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drawings/drawing11.xml" ContentType="application/vnd.openxmlformats-officedocument.drawingml.chartshapes+xml"/>
  <Override PartName="/xl/charts/chart9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0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1.xml" ContentType="application/vnd.openxmlformats-officedocument.drawingml.chart+xml"/>
  <Override PartName="/xl/drawings/drawing16.xml" ContentType="application/vnd.openxmlformats-officedocument.drawing+xml"/>
  <Override PartName="/xl/charts/chart12.xml" ContentType="application/vnd.openxmlformats-officedocument.drawingml.chart+xml"/>
  <Override PartName="/xl/drawings/drawing17.xml" ContentType="application/vnd.openxmlformats-officedocument.drawingml.chartshapes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xt-indreve\Downloads\"/>
    </mc:Choice>
  </mc:AlternateContent>
  <xr:revisionPtr revIDLastSave="0" documentId="13_ncr:1_{D936DAAC-7255-4D77-B861-0D9EC9BCDBE4}" xr6:coauthVersionLast="47" xr6:coauthVersionMax="47" xr10:uidLastSave="{00000000-0000-0000-0000-000000000000}"/>
  <bookViews>
    <workbookView xWindow="10800" yWindow="108" windowWidth="12144" windowHeight="12180" tabRatio="500" firstSheet="2" activeTab="2" xr2:uid="{00000000-000D-0000-FFFF-FFFF00000000}"/>
  </bookViews>
  <sheets>
    <sheet name="OHJELMOINTINÄKYMÄ" sheetId="1" r:id="rId1"/>
    <sheet name="KOORDINOINTINÄKYMÄ" sheetId="2" r:id="rId2"/>
    <sheet name="VERTAILUTAULUKKO" sheetId="3" r:id="rId3"/>
    <sheet name="Kaavio, kadut" sheetId="4" state="hidden" r:id="rId4"/>
    <sheet name="Sitovat alakohdat, kadut" sheetId="5" state="hidden" r:id="rId5"/>
    <sheet name="Sitovat alakohdat, puistot" sheetId="6" state="hidden" r:id="rId6"/>
    <sheet name="Kaavio, yht." sheetId="7" state="hidden" r:id="rId7"/>
    <sheet name="Esirak." sheetId="8" state="hidden" r:id="rId8"/>
    <sheet name="Toteumat" sheetId="9" state="hidden" r:id="rId9"/>
    <sheet name="Pyöräily" sheetId="10" state="hidden" r:id="rId10"/>
    <sheet name="Kaavio, puistot" sheetId="11" state="hidden" r:id="rId11"/>
    <sheet name="Peruskorjaukset" sheetId="12" state="hidden" r:id="rId12"/>
  </sheets>
  <externalReferences>
    <externalReference r:id="rId13"/>
  </externalReferences>
  <definedNames>
    <definedName name="_xlnm.Print_Area" localSheetId="0">OHJELMOINTINÄKYMÄ!$A$1:$W$406</definedName>
    <definedName name="_xlnm.Print_Area" localSheetId="8">Toteumat!$A$1:$AO$41</definedName>
    <definedName name="_xlnm.Print_Titles" localSheetId="0">OHJELMOINTINÄKYMÄ!$1:$9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0" i="12" l="1"/>
  <c r="D30" i="12" s="1"/>
  <c r="B25" i="12"/>
  <c r="D25" i="12" s="1"/>
  <c r="B22" i="12"/>
  <c r="D22" i="12" s="1"/>
  <c r="B21" i="12"/>
  <c r="D21" i="12" s="1"/>
  <c r="B20" i="12"/>
  <c r="D20" i="12" s="1"/>
  <c r="B19" i="12"/>
  <c r="D19" i="12" s="1"/>
  <c r="B18" i="12"/>
  <c r="D18" i="12" s="1"/>
  <c r="B16" i="12"/>
  <c r="D16" i="12" s="1"/>
  <c r="B3" i="12"/>
  <c r="G90" i="11"/>
  <c r="F90" i="11"/>
  <c r="E90" i="11"/>
  <c r="D90" i="11"/>
  <c r="C90" i="11"/>
  <c r="S19" i="11"/>
  <c r="R19" i="11"/>
  <c r="Q19" i="11"/>
  <c r="P19" i="11"/>
  <c r="O19" i="11"/>
  <c r="N19" i="11"/>
  <c r="L19" i="11"/>
  <c r="I19" i="11"/>
  <c r="H19" i="11"/>
  <c r="G19" i="11"/>
  <c r="F19" i="11"/>
  <c r="E19" i="11"/>
  <c r="D19" i="11"/>
  <c r="C19" i="11"/>
  <c r="S18" i="11"/>
  <c r="R18" i="11"/>
  <c r="Q18" i="11"/>
  <c r="P18" i="11"/>
  <c r="O18" i="11"/>
  <c r="N18" i="11"/>
  <c r="L18" i="11"/>
  <c r="K18" i="11"/>
  <c r="J18" i="11"/>
  <c r="I18" i="11"/>
  <c r="H18" i="11"/>
  <c r="G18" i="11"/>
  <c r="F18" i="11"/>
  <c r="E18" i="11"/>
  <c r="D18" i="11"/>
  <c r="C18" i="11"/>
  <c r="S17" i="11"/>
  <c r="R17" i="11"/>
  <c r="Q17" i="11"/>
  <c r="P17" i="11"/>
  <c r="O17" i="11"/>
  <c r="N17" i="11"/>
  <c r="L17" i="11"/>
  <c r="K17" i="11"/>
  <c r="J17" i="11"/>
  <c r="I17" i="11"/>
  <c r="H17" i="11"/>
  <c r="G17" i="11"/>
  <c r="F17" i="11"/>
  <c r="E17" i="11"/>
  <c r="D17" i="11"/>
  <c r="C17" i="11"/>
  <c r="S16" i="11"/>
  <c r="R16" i="11"/>
  <c r="Q16" i="11"/>
  <c r="P16" i="11"/>
  <c r="O16" i="11"/>
  <c r="N16" i="11"/>
  <c r="L16" i="11"/>
  <c r="K16" i="11"/>
  <c r="J16" i="11"/>
  <c r="I16" i="11"/>
  <c r="H16" i="11"/>
  <c r="G16" i="11"/>
  <c r="F16" i="11"/>
  <c r="E16" i="11"/>
  <c r="D16" i="11"/>
  <c r="C16" i="11"/>
  <c r="S15" i="11"/>
  <c r="R15" i="11"/>
  <c r="Q15" i="11"/>
  <c r="P15" i="11"/>
  <c r="O15" i="11"/>
  <c r="N15" i="11"/>
  <c r="L15" i="11"/>
  <c r="E15" i="11"/>
  <c r="D15" i="11"/>
  <c r="C15" i="11"/>
  <c r="S14" i="11"/>
  <c r="R14" i="11"/>
  <c r="Q14" i="11"/>
  <c r="P14" i="11"/>
  <c r="O14" i="11"/>
  <c r="N14" i="11"/>
  <c r="M14" i="11"/>
  <c r="L14" i="11"/>
  <c r="F14" i="11"/>
  <c r="E14" i="11"/>
  <c r="D14" i="11"/>
  <c r="C14" i="11"/>
  <c r="N13" i="11"/>
  <c r="N12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C3" i="11"/>
  <c r="C1" i="11"/>
  <c r="S33" i="10"/>
  <c r="R33" i="10"/>
  <c r="Q33" i="10"/>
  <c r="P33" i="10"/>
  <c r="O33" i="10"/>
  <c r="N33" i="10"/>
  <c r="M33" i="10"/>
  <c r="L33" i="10"/>
  <c r="K33" i="10"/>
  <c r="J33" i="10"/>
  <c r="S31" i="10"/>
  <c r="R31" i="10"/>
  <c r="Q31" i="10"/>
  <c r="P31" i="10"/>
  <c r="O31" i="10"/>
  <c r="N31" i="10"/>
  <c r="L31" i="10"/>
  <c r="K31" i="10"/>
  <c r="J31" i="10"/>
  <c r="I31" i="10"/>
  <c r="S30" i="10"/>
  <c r="R30" i="10"/>
  <c r="Q30" i="10"/>
  <c r="P30" i="10"/>
  <c r="O30" i="10"/>
  <c r="N30" i="10"/>
  <c r="L30" i="10"/>
  <c r="J30" i="10"/>
  <c r="E30" i="10"/>
  <c r="D30" i="10"/>
  <c r="C30" i="10"/>
  <c r="S29" i="10"/>
  <c r="R29" i="10"/>
  <c r="Q29" i="10"/>
  <c r="P29" i="10"/>
  <c r="O29" i="10"/>
  <c r="N29" i="10"/>
  <c r="L29" i="10"/>
  <c r="J29" i="10"/>
  <c r="S28" i="10"/>
  <c r="R28" i="10"/>
  <c r="Q28" i="10"/>
  <c r="P28" i="10"/>
  <c r="O28" i="10"/>
  <c r="N28" i="10"/>
  <c r="L28" i="10"/>
  <c r="J28" i="10"/>
  <c r="S27" i="10"/>
  <c r="R27" i="10"/>
  <c r="Q27" i="10"/>
  <c r="P27" i="10"/>
  <c r="O27" i="10"/>
  <c r="N27" i="10"/>
  <c r="L27" i="10"/>
  <c r="K27" i="10"/>
  <c r="S26" i="10"/>
  <c r="R26" i="10"/>
  <c r="Q26" i="10"/>
  <c r="P26" i="10"/>
  <c r="O26" i="10"/>
  <c r="N26" i="10"/>
  <c r="L26" i="10"/>
  <c r="S25" i="10"/>
  <c r="R25" i="10"/>
  <c r="Q25" i="10"/>
  <c r="P25" i="10"/>
  <c r="O25" i="10"/>
  <c r="N25" i="10"/>
  <c r="L25" i="10"/>
  <c r="G25" i="10"/>
  <c r="F25" i="10"/>
  <c r="E25" i="10"/>
  <c r="D25" i="10"/>
  <c r="S24" i="10"/>
  <c r="R24" i="10"/>
  <c r="Q24" i="10"/>
  <c r="P24" i="10"/>
  <c r="O24" i="10"/>
  <c r="N24" i="10"/>
  <c r="L24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D21" i="10"/>
  <c r="C21" i="10"/>
  <c r="O20" i="10"/>
  <c r="N20" i="10"/>
  <c r="M20" i="10"/>
  <c r="L20" i="10"/>
  <c r="S19" i="10"/>
  <c r="R19" i="10"/>
  <c r="Q19" i="10"/>
  <c r="P19" i="10"/>
  <c r="N19" i="10"/>
  <c r="L19" i="10"/>
  <c r="K19" i="10"/>
  <c r="J19" i="10"/>
  <c r="I19" i="10"/>
  <c r="H19" i="10"/>
  <c r="S18" i="10"/>
  <c r="R18" i="10"/>
  <c r="Q18" i="10"/>
  <c r="P18" i="10"/>
  <c r="N18" i="10"/>
  <c r="L18" i="10"/>
  <c r="K18" i="10"/>
  <c r="J18" i="10"/>
  <c r="H18" i="10"/>
  <c r="S17" i="10"/>
  <c r="R17" i="10"/>
  <c r="Q17" i="10"/>
  <c r="P17" i="10"/>
  <c r="O17" i="10"/>
  <c r="N17" i="10"/>
  <c r="L17" i="10"/>
  <c r="K17" i="10"/>
  <c r="J17" i="10"/>
  <c r="I17" i="10"/>
  <c r="H17" i="10"/>
  <c r="G17" i="10"/>
  <c r="S16" i="10"/>
  <c r="R16" i="10"/>
  <c r="Q16" i="10"/>
  <c r="P16" i="10"/>
  <c r="O16" i="10"/>
  <c r="N16" i="10"/>
  <c r="M16" i="10"/>
  <c r="L16" i="10"/>
  <c r="K16" i="10"/>
  <c r="J16" i="10"/>
  <c r="G16" i="10"/>
  <c r="N15" i="10"/>
  <c r="L15" i="10"/>
  <c r="L14" i="10"/>
  <c r="J14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C3" i="10"/>
  <c r="C1" i="10"/>
  <c r="AR41" i="9"/>
  <c r="AQ41" i="9"/>
  <c r="AP41" i="9"/>
  <c r="AN41" i="9"/>
  <c r="AM41" i="9"/>
  <c r="AL41" i="9"/>
  <c r="AJ41" i="9"/>
  <c r="AI41" i="9"/>
  <c r="AH41" i="9"/>
  <c r="AF41" i="9"/>
  <c r="AE41" i="9"/>
  <c r="AD41" i="9"/>
  <c r="AB41" i="9"/>
  <c r="AA41" i="9"/>
  <c r="Z41" i="9"/>
  <c r="X41" i="9"/>
  <c r="W41" i="9"/>
  <c r="V41" i="9"/>
  <c r="T41" i="9"/>
  <c r="S41" i="9"/>
  <c r="R41" i="9"/>
  <c r="P41" i="9"/>
  <c r="O41" i="9"/>
  <c r="N41" i="9"/>
  <c r="L41" i="9"/>
  <c r="K41" i="9"/>
  <c r="J41" i="9"/>
  <c r="H41" i="9"/>
  <c r="G41" i="9"/>
  <c r="F41" i="9"/>
  <c r="D41" i="9"/>
  <c r="C41" i="9"/>
  <c r="B41" i="9"/>
  <c r="AS39" i="9"/>
  <c r="AO39" i="9"/>
  <c r="AK39" i="9"/>
  <c r="AG37" i="9"/>
  <c r="AC37" i="9"/>
  <c r="Y37" i="9"/>
  <c r="U37" i="9"/>
  <c r="Q37" i="9"/>
  <c r="M37" i="9"/>
  <c r="I37" i="9"/>
  <c r="E37" i="9"/>
  <c r="AS35" i="9"/>
  <c r="AO35" i="9"/>
  <c r="AK35" i="9"/>
  <c r="AS33" i="9"/>
  <c r="AO33" i="9"/>
  <c r="AK33" i="9"/>
  <c r="AG33" i="9"/>
  <c r="AC33" i="9"/>
  <c r="Y33" i="9"/>
  <c r="U33" i="9"/>
  <c r="Q33" i="9"/>
  <c r="M33" i="9"/>
  <c r="I33" i="9"/>
  <c r="E33" i="9"/>
  <c r="AR21" i="9"/>
  <c r="AQ21" i="9"/>
  <c r="AP21" i="9"/>
  <c r="AN21" i="9"/>
  <c r="AM21" i="9"/>
  <c r="AL21" i="9"/>
  <c r="AJ21" i="9"/>
  <c r="AI21" i="9"/>
  <c r="AH21" i="9"/>
  <c r="AF21" i="9"/>
  <c r="AE21" i="9"/>
  <c r="AD21" i="9"/>
  <c r="AB21" i="9"/>
  <c r="AA21" i="9"/>
  <c r="Z21" i="9"/>
  <c r="X21" i="9"/>
  <c r="W21" i="9"/>
  <c r="V21" i="9"/>
  <c r="T21" i="9"/>
  <c r="S21" i="9"/>
  <c r="R21" i="9"/>
  <c r="P21" i="9"/>
  <c r="O21" i="9"/>
  <c r="N21" i="9"/>
  <c r="L21" i="9"/>
  <c r="K21" i="9"/>
  <c r="J21" i="9"/>
  <c r="H21" i="9"/>
  <c r="G21" i="9"/>
  <c r="F21" i="9"/>
  <c r="D21" i="9"/>
  <c r="C21" i="9"/>
  <c r="B21" i="9"/>
  <c r="AG19" i="9"/>
  <c r="AC19" i="9"/>
  <c r="Y19" i="9"/>
  <c r="U19" i="9"/>
  <c r="Q19" i="9"/>
  <c r="M19" i="9"/>
  <c r="AS17" i="9"/>
  <c r="AO17" i="9"/>
  <c r="AK17" i="9"/>
  <c r="AG17" i="9"/>
  <c r="AC17" i="9"/>
  <c r="Y17" i="9"/>
  <c r="U17" i="9"/>
  <c r="Q17" i="9"/>
  <c r="M17" i="9"/>
  <c r="I17" i="9"/>
  <c r="E17" i="9"/>
  <c r="AS15" i="9"/>
  <c r="AO15" i="9"/>
  <c r="AK15" i="9"/>
  <c r="AG15" i="9"/>
  <c r="AC15" i="9"/>
  <c r="Y15" i="9"/>
  <c r="U15" i="9"/>
  <c r="Q15" i="9"/>
  <c r="M15" i="9"/>
  <c r="I15" i="9"/>
  <c r="E15" i="9"/>
  <c r="AS13" i="9"/>
  <c r="AO13" i="9"/>
  <c r="AK13" i="9"/>
  <c r="AG13" i="9"/>
  <c r="AC13" i="9"/>
  <c r="Y13" i="9"/>
  <c r="U13" i="9"/>
  <c r="Q13" i="9"/>
  <c r="M13" i="9"/>
  <c r="I13" i="9"/>
  <c r="E13" i="9"/>
  <c r="AS11" i="9"/>
  <c r="AO11" i="9"/>
  <c r="AK11" i="9"/>
  <c r="AG11" i="9"/>
  <c r="AC11" i="9"/>
  <c r="Y11" i="9"/>
  <c r="U11" i="9"/>
  <c r="Q11" i="9"/>
  <c r="M11" i="9"/>
  <c r="I11" i="9"/>
  <c r="E11" i="9"/>
  <c r="AS9" i="9"/>
  <c r="AO9" i="9"/>
  <c r="AK9" i="9"/>
  <c r="AG9" i="9"/>
  <c r="AC9" i="9"/>
  <c r="Y9" i="9"/>
  <c r="U9" i="9"/>
  <c r="Q9" i="9"/>
  <c r="M9" i="9"/>
  <c r="I9" i="9"/>
  <c r="E9" i="9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V22" i="6"/>
  <c r="U22" i="6"/>
  <c r="T22" i="6"/>
  <c r="S22" i="6"/>
  <c r="R22" i="6"/>
  <c r="Q22" i="6"/>
  <c r="P22" i="6"/>
  <c r="O22" i="6"/>
  <c r="N22" i="6"/>
  <c r="V21" i="6"/>
  <c r="U21" i="6"/>
  <c r="T21" i="6"/>
  <c r="S21" i="6"/>
  <c r="R21" i="6"/>
  <c r="Q21" i="6"/>
  <c r="P21" i="6"/>
  <c r="O21" i="6"/>
  <c r="N21" i="6"/>
  <c r="L21" i="6"/>
  <c r="I21" i="6"/>
  <c r="H21" i="6"/>
  <c r="G21" i="6"/>
  <c r="F21" i="6"/>
  <c r="E21" i="6"/>
  <c r="D21" i="6"/>
  <c r="C21" i="6"/>
  <c r="V20" i="6"/>
  <c r="U20" i="6"/>
  <c r="T20" i="6"/>
  <c r="S20" i="6"/>
  <c r="R20" i="6"/>
  <c r="Q20" i="6"/>
  <c r="P20" i="6"/>
  <c r="O20" i="6"/>
  <c r="N20" i="6"/>
  <c r="L20" i="6"/>
  <c r="K20" i="6"/>
  <c r="J20" i="6"/>
  <c r="I20" i="6"/>
  <c r="H20" i="6"/>
  <c r="G20" i="6"/>
  <c r="F20" i="6"/>
  <c r="E20" i="6"/>
  <c r="D20" i="6"/>
  <c r="C20" i="6"/>
  <c r="V19" i="6"/>
  <c r="U19" i="6"/>
  <c r="T19" i="6"/>
  <c r="S19" i="6"/>
  <c r="R19" i="6"/>
  <c r="Q19" i="6"/>
  <c r="P19" i="6"/>
  <c r="O19" i="6"/>
  <c r="N19" i="6"/>
  <c r="L19" i="6"/>
  <c r="K19" i="6"/>
  <c r="J19" i="6"/>
  <c r="I19" i="6"/>
  <c r="H19" i="6"/>
  <c r="G19" i="6"/>
  <c r="F19" i="6"/>
  <c r="E19" i="6"/>
  <c r="D19" i="6"/>
  <c r="C19" i="6"/>
  <c r="V18" i="6"/>
  <c r="U18" i="6"/>
  <c r="T18" i="6"/>
  <c r="S18" i="6"/>
  <c r="R18" i="6"/>
  <c r="Q18" i="6"/>
  <c r="P18" i="6"/>
  <c r="O18" i="6"/>
  <c r="N18" i="6"/>
  <c r="L18" i="6"/>
  <c r="K18" i="6"/>
  <c r="J18" i="6"/>
  <c r="I18" i="6"/>
  <c r="H18" i="6"/>
  <c r="G18" i="6"/>
  <c r="F18" i="6"/>
  <c r="E18" i="6"/>
  <c r="D18" i="6"/>
  <c r="C18" i="6"/>
  <c r="V17" i="6"/>
  <c r="U17" i="6"/>
  <c r="T17" i="6"/>
  <c r="S17" i="6"/>
  <c r="R17" i="6"/>
  <c r="Q17" i="6"/>
  <c r="P17" i="6"/>
  <c r="O17" i="6"/>
  <c r="N17" i="6"/>
  <c r="L17" i="6"/>
  <c r="E17" i="6"/>
  <c r="D17" i="6"/>
  <c r="C17" i="6"/>
  <c r="V16" i="6"/>
  <c r="U16" i="6"/>
  <c r="T16" i="6"/>
  <c r="S16" i="6"/>
  <c r="R16" i="6"/>
  <c r="Q16" i="6"/>
  <c r="P16" i="6"/>
  <c r="O16" i="6"/>
  <c r="N16" i="6"/>
  <c r="M16" i="6"/>
  <c r="L16" i="6"/>
  <c r="F16" i="6"/>
  <c r="E16" i="6"/>
  <c r="D16" i="6"/>
  <c r="C16" i="6"/>
  <c r="V15" i="6"/>
  <c r="U15" i="6"/>
  <c r="T15" i="6"/>
  <c r="S15" i="6"/>
  <c r="R15" i="6"/>
  <c r="Q15" i="6"/>
  <c r="P15" i="6"/>
  <c r="O15" i="6"/>
  <c r="N15" i="6"/>
  <c r="V14" i="6"/>
  <c r="U14" i="6"/>
  <c r="T14" i="6"/>
  <c r="S14" i="6"/>
  <c r="R14" i="6"/>
  <c r="Q14" i="6"/>
  <c r="N14" i="6"/>
  <c r="J14" i="6"/>
  <c r="I14" i="6"/>
  <c r="H14" i="6"/>
  <c r="N13" i="6"/>
  <c r="K13" i="6"/>
  <c r="J13" i="6"/>
  <c r="V12" i="6"/>
  <c r="U12" i="6"/>
  <c r="T12" i="6"/>
  <c r="S12" i="6"/>
  <c r="R12" i="6"/>
  <c r="Q12" i="6"/>
  <c r="P12" i="6"/>
  <c r="O12" i="6"/>
  <c r="N12" i="6"/>
  <c r="M12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C3" i="6"/>
  <c r="C1" i="6"/>
  <c r="F25" i="5"/>
  <c r="E25" i="5"/>
  <c r="D25" i="5"/>
  <c r="C25" i="5"/>
  <c r="V24" i="5"/>
  <c r="U24" i="5"/>
  <c r="T24" i="5"/>
  <c r="S24" i="5"/>
  <c r="R24" i="5"/>
  <c r="Q24" i="5"/>
  <c r="P24" i="5"/>
  <c r="O24" i="5"/>
  <c r="N24" i="5"/>
  <c r="L24" i="5"/>
  <c r="K24" i="5"/>
  <c r="J24" i="5"/>
  <c r="I24" i="5"/>
  <c r="V23" i="5"/>
  <c r="U23" i="5"/>
  <c r="T23" i="5"/>
  <c r="S23" i="5"/>
  <c r="R23" i="5"/>
  <c r="Q23" i="5"/>
  <c r="P23" i="5"/>
  <c r="O23" i="5"/>
  <c r="N23" i="5"/>
  <c r="L23" i="5"/>
  <c r="K23" i="5"/>
  <c r="J23" i="5"/>
  <c r="I23" i="5"/>
  <c r="V22" i="5"/>
  <c r="U22" i="5"/>
  <c r="T22" i="5"/>
  <c r="S22" i="5"/>
  <c r="R22" i="5"/>
  <c r="Q22" i="5"/>
  <c r="P22" i="5"/>
  <c r="O22" i="5"/>
  <c r="N22" i="5"/>
  <c r="L22" i="5"/>
  <c r="J22" i="5"/>
  <c r="V21" i="5"/>
  <c r="U21" i="5"/>
  <c r="T21" i="5"/>
  <c r="S21" i="5"/>
  <c r="R21" i="5"/>
  <c r="Q21" i="5"/>
  <c r="P21" i="5"/>
  <c r="O21" i="5"/>
  <c r="N21" i="5"/>
  <c r="L21" i="5"/>
  <c r="J21" i="5"/>
  <c r="E21" i="5"/>
  <c r="D21" i="5"/>
  <c r="C21" i="5"/>
  <c r="V20" i="5"/>
  <c r="U20" i="5"/>
  <c r="T20" i="5"/>
  <c r="S20" i="5"/>
  <c r="R20" i="5"/>
  <c r="Q20" i="5"/>
  <c r="P20" i="5"/>
  <c r="O20" i="5"/>
  <c r="N20" i="5"/>
  <c r="L20" i="5"/>
  <c r="J20" i="5"/>
  <c r="E20" i="5"/>
  <c r="D20" i="5"/>
  <c r="C20" i="5"/>
  <c r="V19" i="5"/>
  <c r="U19" i="5"/>
  <c r="T19" i="5"/>
  <c r="S19" i="5"/>
  <c r="R19" i="5"/>
  <c r="Q19" i="5"/>
  <c r="P19" i="5"/>
  <c r="O19" i="5"/>
  <c r="N19" i="5"/>
  <c r="L19" i="5"/>
  <c r="K19" i="5"/>
  <c r="E19" i="5"/>
  <c r="D19" i="5"/>
  <c r="C19" i="5"/>
  <c r="V18" i="5"/>
  <c r="U18" i="5"/>
  <c r="T18" i="5"/>
  <c r="S18" i="5"/>
  <c r="R18" i="5"/>
  <c r="Q18" i="5"/>
  <c r="P18" i="5"/>
  <c r="O18" i="5"/>
  <c r="N18" i="5"/>
  <c r="L18" i="5"/>
  <c r="E18" i="5"/>
  <c r="D18" i="5"/>
  <c r="C18" i="5"/>
  <c r="V17" i="5"/>
  <c r="U17" i="5"/>
  <c r="T17" i="5"/>
  <c r="S17" i="5"/>
  <c r="R17" i="5"/>
  <c r="Q17" i="5"/>
  <c r="P17" i="5"/>
  <c r="O17" i="5"/>
  <c r="N17" i="5"/>
  <c r="L17" i="5"/>
  <c r="E17" i="5"/>
  <c r="D17" i="5"/>
  <c r="C17" i="5"/>
  <c r="K15" i="5"/>
  <c r="F15" i="5"/>
  <c r="E15" i="5"/>
  <c r="D15" i="5"/>
  <c r="C15" i="5"/>
  <c r="V14" i="5"/>
  <c r="U14" i="5"/>
  <c r="T14" i="5"/>
  <c r="S14" i="5"/>
  <c r="R14" i="5"/>
  <c r="Q14" i="5"/>
  <c r="P14" i="5"/>
  <c r="O14" i="5"/>
  <c r="N14" i="5"/>
  <c r="M14" i="5"/>
  <c r="L14" i="5"/>
  <c r="E14" i="5"/>
  <c r="D14" i="5"/>
  <c r="C14" i="5"/>
  <c r="E13" i="5"/>
  <c r="D13" i="5"/>
  <c r="C13" i="5"/>
  <c r="F9" i="5"/>
  <c r="E9" i="5"/>
  <c r="D9" i="5"/>
  <c r="C9" i="5"/>
  <c r="C3" i="5"/>
  <c r="C1" i="5"/>
  <c r="I358" i="4"/>
  <c r="I335" i="4"/>
  <c r="I307" i="4"/>
  <c r="G93" i="4"/>
  <c r="F93" i="4"/>
  <c r="E93" i="4"/>
  <c r="D93" i="4"/>
  <c r="C93" i="4"/>
  <c r="F24" i="4"/>
  <c r="E24" i="4"/>
  <c r="D24" i="4"/>
  <c r="C24" i="4"/>
  <c r="V23" i="4"/>
  <c r="U23" i="4"/>
  <c r="T23" i="4"/>
  <c r="S23" i="4"/>
  <c r="R23" i="4"/>
  <c r="Q23" i="4"/>
  <c r="P23" i="4"/>
  <c r="O23" i="4"/>
  <c r="N23" i="4"/>
  <c r="L23" i="4"/>
  <c r="K23" i="4"/>
  <c r="J23" i="4"/>
  <c r="I23" i="4"/>
  <c r="V22" i="4"/>
  <c r="U22" i="4"/>
  <c r="T22" i="4"/>
  <c r="S22" i="4"/>
  <c r="R22" i="4"/>
  <c r="Q22" i="4"/>
  <c r="P22" i="4"/>
  <c r="O22" i="4"/>
  <c r="N22" i="4"/>
  <c r="L22" i="4"/>
  <c r="K22" i="4"/>
  <c r="J22" i="4"/>
  <c r="I22" i="4"/>
  <c r="V21" i="4"/>
  <c r="U21" i="4"/>
  <c r="T21" i="4"/>
  <c r="S21" i="4"/>
  <c r="R21" i="4"/>
  <c r="Q21" i="4"/>
  <c r="P21" i="4"/>
  <c r="O21" i="4"/>
  <c r="N21" i="4"/>
  <c r="L21" i="4"/>
  <c r="J21" i="4"/>
  <c r="E21" i="4"/>
  <c r="D21" i="4"/>
  <c r="C21" i="4"/>
  <c r="V20" i="4"/>
  <c r="U20" i="4"/>
  <c r="T20" i="4"/>
  <c r="S20" i="4"/>
  <c r="R20" i="4"/>
  <c r="Q20" i="4"/>
  <c r="P20" i="4"/>
  <c r="O20" i="4"/>
  <c r="N20" i="4"/>
  <c r="L20" i="4"/>
  <c r="J20" i="4"/>
  <c r="V19" i="4"/>
  <c r="U19" i="4"/>
  <c r="T19" i="4"/>
  <c r="S19" i="4"/>
  <c r="R19" i="4"/>
  <c r="Q19" i="4"/>
  <c r="P19" i="4"/>
  <c r="O19" i="4"/>
  <c r="N19" i="4"/>
  <c r="L19" i="4"/>
  <c r="J19" i="4"/>
  <c r="V18" i="4"/>
  <c r="U18" i="4"/>
  <c r="T18" i="4"/>
  <c r="S18" i="4"/>
  <c r="R18" i="4"/>
  <c r="Q18" i="4"/>
  <c r="P18" i="4"/>
  <c r="O18" i="4"/>
  <c r="N18" i="4"/>
  <c r="L18" i="4"/>
  <c r="K18" i="4"/>
  <c r="V17" i="4"/>
  <c r="U17" i="4"/>
  <c r="T17" i="4"/>
  <c r="S17" i="4"/>
  <c r="R17" i="4"/>
  <c r="Q17" i="4"/>
  <c r="P17" i="4"/>
  <c r="O17" i="4"/>
  <c r="N17" i="4"/>
  <c r="L17" i="4"/>
  <c r="V16" i="4"/>
  <c r="U16" i="4"/>
  <c r="T16" i="4"/>
  <c r="S16" i="4"/>
  <c r="R16" i="4"/>
  <c r="Q16" i="4"/>
  <c r="P16" i="4"/>
  <c r="O16" i="4"/>
  <c r="N16" i="4"/>
  <c r="L16" i="4"/>
  <c r="K14" i="4"/>
  <c r="F14" i="4"/>
  <c r="E14" i="4"/>
  <c r="D14" i="4"/>
  <c r="C14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C3" i="4"/>
  <c r="C1" i="4"/>
  <c r="P315" i="2"/>
  <c r="R311" i="2"/>
  <c r="Q311" i="2"/>
  <c r="P311" i="2"/>
  <c r="O311" i="2"/>
  <c r="Y309" i="2"/>
  <c r="X309" i="2"/>
  <c r="W309" i="2"/>
  <c r="V309" i="2"/>
  <c r="U309" i="2"/>
  <c r="T309" i="2"/>
  <c r="S309" i="2"/>
  <c r="R309" i="2"/>
  <c r="Q309" i="2"/>
  <c r="P309" i="2"/>
  <c r="S308" i="2"/>
  <c r="R308" i="2"/>
  <c r="Q308" i="2"/>
  <c r="P308" i="2"/>
  <c r="X306" i="2"/>
  <c r="W306" i="2"/>
  <c r="V306" i="2"/>
  <c r="U306" i="2"/>
  <c r="T306" i="2"/>
  <c r="S306" i="2"/>
  <c r="R306" i="2"/>
  <c r="Q306" i="2"/>
  <c r="P306" i="2"/>
  <c r="O306" i="2"/>
  <c r="Y304" i="2"/>
  <c r="X304" i="2"/>
  <c r="W304" i="2"/>
  <c r="V304" i="2"/>
  <c r="U304" i="2"/>
  <c r="T304" i="2"/>
  <c r="S304" i="2"/>
  <c r="R304" i="2"/>
  <c r="Q304" i="2"/>
  <c r="P304" i="2"/>
  <c r="O304" i="2"/>
  <c r="P302" i="2"/>
  <c r="X299" i="2"/>
  <c r="W299" i="2"/>
  <c r="V299" i="2"/>
  <c r="U299" i="2"/>
  <c r="T299" i="2"/>
  <c r="S299" i="2"/>
  <c r="R299" i="2"/>
  <c r="Q299" i="2"/>
  <c r="P299" i="2"/>
  <c r="O299" i="2"/>
  <c r="Y298" i="2"/>
  <c r="X298" i="2"/>
  <c r="W298" i="2"/>
  <c r="V298" i="2"/>
  <c r="U298" i="2"/>
  <c r="T298" i="2"/>
  <c r="S298" i="2"/>
  <c r="R298" i="2"/>
  <c r="Q298" i="2"/>
  <c r="P298" i="2"/>
  <c r="O298" i="2"/>
  <c r="Y291" i="2"/>
  <c r="X291" i="2"/>
  <c r="W291" i="2"/>
  <c r="V291" i="2"/>
  <c r="U291" i="2"/>
  <c r="T291" i="2"/>
  <c r="S291" i="2"/>
  <c r="R291" i="2"/>
  <c r="Q291" i="2"/>
  <c r="P291" i="2"/>
  <c r="O291" i="2"/>
  <c r="P288" i="2"/>
  <c r="P287" i="2"/>
  <c r="X286" i="2"/>
  <c r="W286" i="2"/>
  <c r="V286" i="2"/>
  <c r="U286" i="2"/>
  <c r="T286" i="2"/>
  <c r="S286" i="2"/>
  <c r="R286" i="2"/>
  <c r="Q286" i="2"/>
  <c r="P286" i="2"/>
  <c r="Y285" i="2"/>
  <c r="X285" i="2"/>
  <c r="W285" i="2"/>
  <c r="V285" i="2"/>
  <c r="U285" i="2"/>
  <c r="T285" i="2"/>
  <c r="S285" i="2"/>
  <c r="R285" i="2"/>
  <c r="Q285" i="2"/>
  <c r="P285" i="2"/>
  <c r="O285" i="2"/>
  <c r="Y282" i="2"/>
  <c r="X282" i="2"/>
  <c r="W282" i="2"/>
  <c r="R282" i="2"/>
  <c r="U280" i="2"/>
  <c r="T280" i="2"/>
  <c r="S280" i="2"/>
  <c r="Y278" i="2"/>
  <c r="X278" i="2"/>
  <c r="W278" i="2"/>
  <c r="V278" i="2"/>
  <c r="U278" i="2"/>
  <c r="T278" i="2"/>
  <c r="S278" i="2"/>
  <c r="R278" i="2"/>
  <c r="Q278" i="2"/>
  <c r="P278" i="2"/>
  <c r="O278" i="2"/>
  <c r="Y273" i="2"/>
  <c r="X273" i="2"/>
  <c r="W273" i="2"/>
  <c r="V273" i="2"/>
  <c r="U273" i="2"/>
  <c r="T273" i="2"/>
  <c r="S273" i="2"/>
  <c r="R273" i="2"/>
  <c r="Q273" i="2"/>
  <c r="P273" i="2"/>
  <c r="X272" i="2"/>
  <c r="W272" i="2"/>
  <c r="V272" i="2"/>
  <c r="U272" i="2"/>
  <c r="T272" i="2"/>
  <c r="S272" i="2"/>
  <c r="R272" i="2"/>
  <c r="Q272" i="2"/>
  <c r="P272" i="2"/>
  <c r="O272" i="2"/>
  <c r="Y268" i="2"/>
  <c r="X268" i="2"/>
  <c r="W268" i="2"/>
  <c r="V268" i="2"/>
  <c r="U268" i="2"/>
  <c r="T268" i="2"/>
  <c r="S268" i="2"/>
  <c r="R268" i="2"/>
  <c r="Q268" i="2"/>
  <c r="P268" i="2"/>
  <c r="O268" i="2"/>
  <c r="Y264" i="2"/>
  <c r="X264" i="2"/>
  <c r="W264" i="2"/>
  <c r="V264" i="2"/>
  <c r="U264" i="2"/>
  <c r="T264" i="2"/>
  <c r="S264" i="2"/>
  <c r="R264" i="2"/>
  <c r="Q264" i="2"/>
  <c r="P264" i="2"/>
  <c r="O264" i="2"/>
  <c r="Y262" i="2"/>
  <c r="X262" i="2"/>
  <c r="W262" i="2"/>
  <c r="V262" i="2"/>
  <c r="U262" i="2"/>
  <c r="T262" i="2"/>
  <c r="S262" i="2"/>
  <c r="R262" i="2"/>
  <c r="Q262" i="2"/>
  <c r="P262" i="2"/>
  <c r="O262" i="2"/>
  <c r="P256" i="2"/>
  <c r="U252" i="2"/>
  <c r="T252" i="2"/>
  <c r="S252" i="2"/>
  <c r="R252" i="2"/>
  <c r="Q252" i="2"/>
  <c r="P252" i="2"/>
  <c r="P250" i="2"/>
  <c r="Y244" i="2"/>
  <c r="X244" i="2"/>
  <c r="W244" i="2"/>
  <c r="V244" i="2"/>
  <c r="U244" i="2"/>
  <c r="T244" i="2"/>
  <c r="S244" i="2"/>
  <c r="R244" i="2"/>
  <c r="Q244" i="2"/>
  <c r="P244" i="2"/>
  <c r="O244" i="2"/>
  <c r="O245" i="2" s="1"/>
  <c r="O234" i="2"/>
  <c r="R231" i="2"/>
  <c r="Y229" i="2"/>
  <c r="X229" i="2"/>
  <c r="W229" i="2"/>
  <c r="V229" i="2"/>
  <c r="U229" i="2"/>
  <c r="T229" i="2"/>
  <c r="S229" i="2"/>
  <c r="R229" i="2"/>
  <c r="Y225" i="2"/>
  <c r="X225" i="2"/>
  <c r="W225" i="2"/>
  <c r="V225" i="2"/>
  <c r="U225" i="2"/>
  <c r="T225" i="2"/>
  <c r="S225" i="2"/>
  <c r="R225" i="2"/>
  <c r="Q225" i="2"/>
  <c r="P225" i="2"/>
  <c r="O225" i="2"/>
  <c r="W223" i="2"/>
  <c r="U223" i="2"/>
  <c r="Q223" i="2"/>
  <c r="S215" i="2"/>
  <c r="P215" i="2"/>
  <c r="O215" i="2"/>
  <c r="R213" i="2"/>
  <c r="T211" i="2"/>
  <c r="S211" i="2"/>
  <c r="R211" i="2"/>
  <c r="Q211" i="2"/>
  <c r="Y206" i="2"/>
  <c r="X206" i="2"/>
  <c r="W206" i="2"/>
  <c r="V206" i="2"/>
  <c r="U206" i="2"/>
  <c r="T206" i="2"/>
  <c r="S206" i="2"/>
  <c r="R206" i="2"/>
  <c r="Q206" i="2"/>
  <c r="P206" i="2"/>
  <c r="O206" i="2"/>
  <c r="Y204" i="2"/>
  <c r="X204" i="2"/>
  <c r="W204" i="2"/>
  <c r="V204" i="2"/>
  <c r="U204" i="2"/>
  <c r="T204" i="2"/>
  <c r="S204" i="2"/>
  <c r="R204" i="2"/>
  <c r="Q204" i="2"/>
  <c r="P204" i="2"/>
  <c r="O204" i="2"/>
  <c r="M200" i="2"/>
  <c r="M196" i="2"/>
  <c r="K196" i="2"/>
  <c r="J196" i="2"/>
  <c r="M194" i="2"/>
  <c r="M192" i="2"/>
  <c r="M190" i="2"/>
  <c r="M188" i="2"/>
  <c r="K188" i="2"/>
  <c r="J188" i="2"/>
  <c r="I188" i="2"/>
  <c r="H188" i="2"/>
  <c r="G188" i="2"/>
  <c r="F188" i="2"/>
  <c r="K186" i="2"/>
  <c r="J186" i="2"/>
  <c r="I186" i="2"/>
  <c r="H186" i="2"/>
  <c r="G186" i="2"/>
  <c r="N184" i="2"/>
  <c r="M184" i="2"/>
  <c r="L184" i="2"/>
  <c r="K184" i="2"/>
  <c r="J184" i="2"/>
  <c r="I184" i="2"/>
  <c r="H184" i="2"/>
  <c r="G184" i="2"/>
  <c r="F184" i="2"/>
  <c r="E184" i="2"/>
  <c r="C184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X171" i="2"/>
  <c r="W171" i="2"/>
  <c r="V171" i="2"/>
  <c r="U171" i="2"/>
  <c r="T171" i="2"/>
  <c r="S171" i="2"/>
  <c r="R171" i="2"/>
  <c r="N171" i="2"/>
  <c r="M171" i="2"/>
  <c r="Q169" i="2"/>
  <c r="P169" i="2"/>
  <c r="N169" i="2"/>
  <c r="M169" i="2"/>
  <c r="L169" i="2"/>
  <c r="K169" i="2"/>
  <c r="N165" i="2"/>
  <c r="C160" i="2"/>
  <c r="W158" i="2"/>
  <c r="V158" i="2"/>
  <c r="U158" i="2"/>
  <c r="T158" i="2"/>
  <c r="Y154" i="2"/>
  <c r="X154" i="2"/>
  <c r="W154" i="2"/>
  <c r="V154" i="2"/>
  <c r="U154" i="2"/>
  <c r="T154" i="2"/>
  <c r="S154" i="2"/>
  <c r="R154" i="2"/>
  <c r="Q154" i="2"/>
  <c r="P154" i="2"/>
  <c r="N154" i="2"/>
  <c r="M154" i="2"/>
  <c r="L154" i="2"/>
  <c r="K154" i="2"/>
  <c r="I154" i="2"/>
  <c r="H154" i="2"/>
  <c r="G154" i="2"/>
  <c r="F154" i="2"/>
  <c r="E154" i="2"/>
  <c r="D154" i="2"/>
  <c r="C154" i="2"/>
  <c r="C147" i="2"/>
  <c r="W145" i="2"/>
  <c r="V145" i="2"/>
  <c r="U145" i="2"/>
  <c r="T145" i="2"/>
  <c r="Y141" i="2"/>
  <c r="X141" i="2"/>
  <c r="W141" i="2"/>
  <c r="V141" i="2"/>
  <c r="U141" i="2"/>
  <c r="T141" i="2"/>
  <c r="S141" i="2"/>
  <c r="R141" i="2"/>
  <c r="Q141" i="2"/>
  <c r="P141" i="2"/>
  <c r="N141" i="2"/>
  <c r="M141" i="2"/>
  <c r="L141" i="2"/>
  <c r="K141" i="2"/>
  <c r="J141" i="2"/>
  <c r="J154" i="2" s="1"/>
  <c r="I141" i="2"/>
  <c r="H141" i="2"/>
  <c r="G141" i="2"/>
  <c r="F141" i="2"/>
  <c r="E141" i="2"/>
  <c r="D141" i="2"/>
  <c r="C141" i="2"/>
  <c r="Y139" i="2"/>
  <c r="X139" i="2"/>
  <c r="W139" i="2"/>
  <c r="V139" i="2"/>
  <c r="U139" i="2"/>
  <c r="T139" i="2"/>
  <c r="S139" i="2"/>
  <c r="R139" i="2"/>
  <c r="Q139" i="2"/>
  <c r="P139" i="2"/>
  <c r="N139" i="2"/>
  <c r="M139" i="2"/>
  <c r="L139" i="2"/>
  <c r="I139" i="2"/>
  <c r="H139" i="2"/>
  <c r="G139" i="2"/>
  <c r="F139" i="2"/>
  <c r="E139" i="2"/>
  <c r="D139" i="2"/>
  <c r="C139" i="2"/>
  <c r="Y137" i="2"/>
  <c r="X137" i="2"/>
  <c r="W137" i="2"/>
  <c r="V137" i="2"/>
  <c r="U137" i="2"/>
  <c r="T137" i="2"/>
  <c r="S137" i="2"/>
  <c r="R137" i="2"/>
  <c r="Q137" i="2"/>
  <c r="P137" i="2"/>
  <c r="O137" i="2"/>
  <c r="O167" i="2" s="1"/>
  <c r="N137" i="2"/>
  <c r="M137" i="2"/>
  <c r="L137" i="2"/>
  <c r="K137" i="2"/>
  <c r="J137" i="2"/>
  <c r="I137" i="2"/>
  <c r="H137" i="2"/>
  <c r="G137" i="2"/>
  <c r="F137" i="2"/>
  <c r="E137" i="2"/>
  <c r="D137" i="2"/>
  <c r="C137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M131" i="2"/>
  <c r="M129" i="2"/>
  <c r="M127" i="2"/>
  <c r="M125" i="2"/>
  <c r="K125" i="2"/>
  <c r="I125" i="2"/>
  <c r="H125" i="2"/>
  <c r="G125" i="2"/>
  <c r="M123" i="2"/>
  <c r="K123" i="2"/>
  <c r="I123" i="2"/>
  <c r="H123" i="2"/>
  <c r="G123" i="2"/>
  <c r="F123" i="2"/>
  <c r="E123" i="2"/>
  <c r="D123" i="2"/>
  <c r="C123" i="2"/>
  <c r="M121" i="2"/>
  <c r="K121" i="2"/>
  <c r="I121" i="2"/>
  <c r="H121" i="2"/>
  <c r="G121" i="2"/>
  <c r="F121" i="2"/>
  <c r="E121" i="2"/>
  <c r="D121" i="2"/>
  <c r="C121" i="2"/>
  <c r="M119" i="2"/>
  <c r="J119" i="2"/>
  <c r="I119" i="2"/>
  <c r="H119" i="2"/>
  <c r="G119" i="2"/>
  <c r="F119" i="2"/>
  <c r="E119" i="2"/>
  <c r="D119" i="2"/>
  <c r="C119" i="2"/>
  <c r="M117" i="2"/>
  <c r="K117" i="2"/>
  <c r="J117" i="2"/>
  <c r="I117" i="2"/>
  <c r="H117" i="2"/>
  <c r="G117" i="2"/>
  <c r="F117" i="2"/>
  <c r="E117" i="2"/>
  <c r="D117" i="2"/>
  <c r="C117" i="2"/>
  <c r="M115" i="2"/>
  <c r="K115" i="2"/>
  <c r="J115" i="2"/>
  <c r="I115" i="2"/>
  <c r="H115" i="2"/>
  <c r="G115" i="2"/>
  <c r="F115" i="2"/>
  <c r="E115" i="2"/>
  <c r="D115" i="2"/>
  <c r="C115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C106" i="2"/>
  <c r="W104" i="2"/>
  <c r="V104" i="2"/>
  <c r="U104" i="2"/>
  <c r="T104" i="2"/>
  <c r="Y100" i="2"/>
  <c r="X100" i="2"/>
  <c r="W100" i="2"/>
  <c r="V100" i="2"/>
  <c r="U100" i="2"/>
  <c r="T100" i="2"/>
  <c r="S100" i="2"/>
  <c r="R100" i="2"/>
  <c r="Q100" i="2"/>
  <c r="P100" i="2"/>
  <c r="N100" i="2"/>
  <c r="M100" i="2"/>
  <c r="G100" i="2"/>
  <c r="F100" i="2"/>
  <c r="D100" i="2"/>
  <c r="C100" i="2"/>
  <c r="N98" i="2"/>
  <c r="M98" i="2"/>
  <c r="P96" i="2"/>
  <c r="N96" i="2"/>
  <c r="M96" i="2"/>
  <c r="Q94" i="2"/>
  <c r="N94" i="2"/>
  <c r="M94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J92" i="2"/>
  <c r="I92" i="2"/>
  <c r="H92" i="2"/>
  <c r="G92" i="2"/>
  <c r="F92" i="2"/>
  <c r="E92" i="2"/>
  <c r="D92" i="2"/>
  <c r="C92" i="2"/>
  <c r="C85" i="2"/>
  <c r="W83" i="2"/>
  <c r="V83" i="2"/>
  <c r="U83" i="2"/>
  <c r="T83" i="2"/>
  <c r="P79" i="2"/>
  <c r="N79" i="2"/>
  <c r="M79" i="2"/>
  <c r="G79" i="2"/>
  <c r="D79" i="2"/>
  <c r="C79" i="2"/>
  <c r="C74" i="2"/>
  <c r="W72" i="2"/>
  <c r="V72" i="2"/>
  <c r="U72" i="2"/>
  <c r="T72" i="2"/>
  <c r="P68" i="2"/>
  <c r="N68" i="2"/>
  <c r="M68" i="2"/>
  <c r="I68" i="2"/>
  <c r="G68" i="2"/>
  <c r="F68" i="2"/>
  <c r="E68" i="2"/>
  <c r="D68" i="2"/>
  <c r="C68" i="2"/>
  <c r="R67" i="2"/>
  <c r="Q67" i="2"/>
  <c r="N67" i="2"/>
  <c r="M67" i="2"/>
  <c r="I67" i="2"/>
  <c r="H67" i="2"/>
  <c r="G67" i="2"/>
  <c r="F67" i="2"/>
  <c r="E67" i="2"/>
  <c r="D67" i="2"/>
  <c r="C67" i="2"/>
  <c r="N64" i="2"/>
  <c r="M64" i="2"/>
  <c r="Y62" i="2"/>
  <c r="X62" i="2"/>
  <c r="W62" i="2"/>
  <c r="V62" i="2"/>
  <c r="U62" i="2"/>
  <c r="T62" i="2"/>
  <c r="S62" i="2"/>
  <c r="R62" i="2"/>
  <c r="Q62" i="2"/>
  <c r="P62" i="2"/>
  <c r="N62" i="2"/>
  <c r="M62" i="2"/>
  <c r="K62" i="2"/>
  <c r="J62" i="2"/>
  <c r="I62" i="2"/>
  <c r="H62" i="2"/>
  <c r="G62" i="2"/>
  <c r="F62" i="2"/>
  <c r="E62" i="2"/>
  <c r="D62" i="2"/>
  <c r="C62" i="2"/>
  <c r="C55" i="2"/>
  <c r="W53" i="2"/>
  <c r="V53" i="2"/>
  <c r="U53" i="2"/>
  <c r="T53" i="2"/>
  <c r="X49" i="2"/>
  <c r="W49" i="2"/>
  <c r="V49" i="2"/>
  <c r="U49" i="2"/>
  <c r="T49" i="2"/>
  <c r="S49" i="2"/>
  <c r="R49" i="2"/>
  <c r="Q49" i="2"/>
  <c r="P49" i="2"/>
  <c r="O49" i="2"/>
  <c r="N49" i="2"/>
  <c r="M49" i="2"/>
  <c r="K49" i="2"/>
  <c r="I49" i="2"/>
  <c r="H49" i="2"/>
  <c r="G49" i="2"/>
  <c r="F49" i="2"/>
  <c r="E49" i="2"/>
  <c r="D49" i="2"/>
  <c r="C49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I45" i="2"/>
  <c r="H45" i="2"/>
  <c r="G45" i="2"/>
  <c r="F45" i="2"/>
  <c r="E45" i="2"/>
  <c r="D45" i="2"/>
  <c r="C45" i="2"/>
  <c r="N43" i="2"/>
  <c r="M43" i="2"/>
  <c r="X42" i="2"/>
  <c r="W42" i="2"/>
  <c r="V42" i="2"/>
  <c r="U42" i="2"/>
  <c r="T42" i="2"/>
  <c r="S42" i="2"/>
  <c r="R42" i="2"/>
  <c r="Q42" i="2"/>
  <c r="P42" i="2"/>
  <c r="N42" i="2"/>
  <c r="M42" i="2"/>
  <c r="N41" i="2"/>
  <c r="N40" i="2"/>
  <c r="M40" i="2"/>
  <c r="Y39" i="2"/>
  <c r="X39" i="2"/>
  <c r="W39" i="2"/>
  <c r="V39" i="2"/>
  <c r="U39" i="2"/>
  <c r="T39" i="2"/>
  <c r="S39" i="2"/>
  <c r="N39" i="2"/>
  <c r="M39" i="2"/>
  <c r="R38" i="2"/>
  <c r="Q38" i="2"/>
  <c r="P38" i="2"/>
  <c r="N38" i="2"/>
  <c r="M38" i="2"/>
  <c r="V37" i="2"/>
  <c r="U37" i="2"/>
  <c r="T37" i="2"/>
  <c r="S37" i="2"/>
  <c r="R37" i="2"/>
  <c r="Q37" i="2"/>
  <c r="P37" i="2"/>
  <c r="N37" i="2"/>
  <c r="M37" i="2"/>
  <c r="S36" i="2"/>
  <c r="R36" i="2"/>
  <c r="Q36" i="2"/>
  <c r="P36" i="2"/>
  <c r="N36" i="2"/>
  <c r="M36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X26" i="2"/>
  <c r="W26" i="2"/>
  <c r="V26" i="2"/>
  <c r="U26" i="2"/>
  <c r="T26" i="2"/>
  <c r="S26" i="2"/>
  <c r="R26" i="2"/>
  <c r="N26" i="2"/>
  <c r="M26" i="2"/>
  <c r="F26" i="2"/>
  <c r="E26" i="2"/>
  <c r="D26" i="2"/>
  <c r="C26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N22" i="2"/>
  <c r="M22" i="2"/>
  <c r="N20" i="2"/>
  <c r="M20" i="2"/>
  <c r="E20" i="2"/>
  <c r="D20" i="2"/>
  <c r="C20" i="2"/>
  <c r="N18" i="2"/>
  <c r="M18" i="2"/>
  <c r="N16" i="2"/>
  <c r="M16" i="2"/>
  <c r="N14" i="2"/>
  <c r="M14" i="2"/>
  <c r="N12" i="2"/>
  <c r="M12" i="2"/>
  <c r="N10" i="2"/>
  <c r="M10" i="2"/>
  <c r="M8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O4" i="2"/>
  <c r="N4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Y643" i="1"/>
  <c r="X643" i="1"/>
  <c r="W643" i="1"/>
  <c r="V643" i="1"/>
  <c r="U643" i="1"/>
  <c r="T643" i="1"/>
  <c r="S643" i="1"/>
  <c r="N622" i="1"/>
  <c r="M622" i="1"/>
  <c r="L622" i="1"/>
  <c r="K622" i="1"/>
  <c r="J622" i="1"/>
  <c r="I622" i="1"/>
  <c r="H622" i="1"/>
  <c r="G622" i="1"/>
  <c r="F622" i="1"/>
  <c r="E622" i="1"/>
  <c r="Y620" i="1"/>
  <c r="X620" i="1"/>
  <c r="W620" i="1"/>
  <c r="V620" i="1"/>
  <c r="U620" i="1"/>
  <c r="T620" i="1"/>
  <c r="S620" i="1"/>
  <c r="R620" i="1"/>
  <c r="O620" i="1"/>
  <c r="J620" i="1"/>
  <c r="I620" i="1"/>
  <c r="H620" i="1"/>
  <c r="G620" i="1"/>
  <c r="F620" i="1"/>
  <c r="E620" i="1"/>
  <c r="O619" i="1"/>
  <c r="K619" i="1"/>
  <c r="J619" i="1"/>
  <c r="Y614" i="1"/>
  <c r="X614" i="1"/>
  <c r="W614" i="1"/>
  <c r="V614" i="1"/>
  <c r="U614" i="1"/>
  <c r="T614" i="1"/>
  <c r="S614" i="1"/>
  <c r="R614" i="1"/>
  <c r="Q614" i="1"/>
  <c r="P614" i="1"/>
  <c r="D607" i="1"/>
  <c r="C607" i="1"/>
  <c r="P599" i="1"/>
  <c r="R595" i="1"/>
  <c r="Q595" i="1"/>
  <c r="P595" i="1"/>
  <c r="O595" i="1"/>
  <c r="Y593" i="1"/>
  <c r="X593" i="1"/>
  <c r="W593" i="1"/>
  <c r="V593" i="1"/>
  <c r="U593" i="1"/>
  <c r="T593" i="1"/>
  <c r="S593" i="1"/>
  <c r="R593" i="1"/>
  <c r="Q593" i="1"/>
  <c r="P593" i="1"/>
  <c r="S592" i="1"/>
  <c r="R592" i="1"/>
  <c r="Q592" i="1"/>
  <c r="P592" i="1"/>
  <c r="X590" i="1"/>
  <c r="W590" i="1"/>
  <c r="V590" i="1"/>
  <c r="U590" i="1"/>
  <c r="T590" i="1"/>
  <c r="S590" i="1"/>
  <c r="R590" i="1"/>
  <c r="Q590" i="1"/>
  <c r="P590" i="1"/>
  <c r="O590" i="1"/>
  <c r="S585" i="1"/>
  <c r="R585" i="1"/>
  <c r="Y584" i="1"/>
  <c r="X584" i="1"/>
  <c r="W584" i="1"/>
  <c r="V584" i="1"/>
  <c r="U584" i="1"/>
  <c r="T584" i="1"/>
  <c r="S584" i="1"/>
  <c r="R584" i="1"/>
  <c r="Q584" i="1"/>
  <c r="P584" i="1"/>
  <c r="O584" i="1"/>
  <c r="X582" i="1"/>
  <c r="W582" i="1"/>
  <c r="V582" i="1"/>
  <c r="U582" i="1"/>
  <c r="T582" i="1"/>
  <c r="S582" i="1"/>
  <c r="R582" i="1"/>
  <c r="Q582" i="1"/>
  <c r="P582" i="1"/>
  <c r="O582" i="1"/>
  <c r="Y581" i="1"/>
  <c r="X581" i="1"/>
  <c r="W581" i="1"/>
  <c r="V581" i="1"/>
  <c r="U581" i="1"/>
  <c r="T581" i="1"/>
  <c r="S581" i="1"/>
  <c r="R581" i="1"/>
  <c r="Q581" i="1"/>
  <c r="P581" i="1"/>
  <c r="O581" i="1"/>
  <c r="Y576" i="1"/>
  <c r="X576" i="1"/>
  <c r="W576" i="1"/>
  <c r="V576" i="1"/>
  <c r="U576" i="1"/>
  <c r="T576" i="1"/>
  <c r="S576" i="1"/>
  <c r="R576" i="1"/>
  <c r="Q576" i="1"/>
  <c r="P576" i="1"/>
  <c r="O576" i="1"/>
  <c r="X574" i="1"/>
  <c r="W574" i="1"/>
  <c r="V574" i="1"/>
  <c r="U574" i="1"/>
  <c r="T574" i="1"/>
  <c r="S574" i="1"/>
  <c r="R574" i="1"/>
  <c r="Q574" i="1"/>
  <c r="P574" i="1"/>
  <c r="Y573" i="1"/>
  <c r="Y622" i="1" s="1"/>
  <c r="X573" i="1"/>
  <c r="X622" i="1" s="1"/>
  <c r="W573" i="1"/>
  <c r="W622" i="1" s="1"/>
  <c r="V573" i="1"/>
  <c r="V622" i="1" s="1"/>
  <c r="U573" i="1"/>
  <c r="U622" i="1" s="1"/>
  <c r="T573" i="1"/>
  <c r="T622" i="1" s="1"/>
  <c r="S573" i="1"/>
  <c r="S622" i="1" s="1"/>
  <c r="R573" i="1"/>
  <c r="R622" i="1" s="1"/>
  <c r="Q573" i="1"/>
  <c r="Q622" i="1" s="1"/>
  <c r="P573" i="1"/>
  <c r="P622" i="1" s="1"/>
  <c r="O573" i="1"/>
  <c r="O622" i="1" s="1"/>
  <c r="Y570" i="1"/>
  <c r="X570" i="1"/>
  <c r="W570" i="1"/>
  <c r="R570" i="1"/>
  <c r="U569" i="1"/>
  <c r="T569" i="1"/>
  <c r="S569" i="1"/>
  <c r="Y568" i="1"/>
  <c r="X568" i="1"/>
  <c r="W568" i="1"/>
  <c r="V568" i="1"/>
  <c r="U568" i="1"/>
  <c r="T568" i="1"/>
  <c r="S568" i="1"/>
  <c r="R568" i="1"/>
  <c r="Q568" i="1"/>
  <c r="P568" i="1"/>
  <c r="O568" i="1"/>
  <c r="Y560" i="1"/>
  <c r="X560" i="1"/>
  <c r="W560" i="1"/>
  <c r="V560" i="1"/>
  <c r="U560" i="1"/>
  <c r="T560" i="1"/>
  <c r="S560" i="1"/>
  <c r="R560" i="1"/>
  <c r="Q560" i="1"/>
  <c r="P560" i="1"/>
  <c r="O560" i="1"/>
  <c r="Y555" i="1"/>
  <c r="Y558" i="1" s="1"/>
  <c r="X555" i="1"/>
  <c r="X558" i="1" s="1"/>
  <c r="W555" i="1"/>
  <c r="W558" i="1" s="1"/>
  <c r="V555" i="1"/>
  <c r="V558" i="1" s="1"/>
  <c r="U555" i="1"/>
  <c r="U558" i="1" s="1"/>
  <c r="T555" i="1"/>
  <c r="T558" i="1" s="1"/>
  <c r="S555" i="1"/>
  <c r="S558" i="1" s="1"/>
  <c r="R555" i="1"/>
  <c r="R558" i="1" s="1"/>
  <c r="Q555" i="1"/>
  <c r="Q558" i="1" s="1"/>
  <c r="P555" i="1"/>
  <c r="P558" i="1" s="1"/>
  <c r="O555" i="1"/>
  <c r="P543" i="1"/>
  <c r="U537" i="1"/>
  <c r="T537" i="1"/>
  <c r="S537" i="1"/>
  <c r="R537" i="1"/>
  <c r="Q537" i="1"/>
  <c r="P537" i="1"/>
  <c r="P534" i="1"/>
  <c r="Y518" i="1"/>
  <c r="X518" i="1"/>
  <c r="W518" i="1"/>
  <c r="V518" i="1"/>
  <c r="U518" i="1"/>
  <c r="T518" i="1"/>
  <c r="S518" i="1"/>
  <c r="R518" i="1"/>
  <c r="Q518" i="1"/>
  <c r="P518" i="1"/>
  <c r="O518" i="1"/>
  <c r="O471" i="1"/>
  <c r="R455" i="1"/>
  <c r="Y443" i="1"/>
  <c r="X443" i="1"/>
  <c r="W443" i="1"/>
  <c r="V443" i="1"/>
  <c r="U443" i="1"/>
  <c r="T443" i="1"/>
  <c r="S443" i="1"/>
  <c r="R443" i="1"/>
  <c r="Y429" i="1"/>
  <c r="X429" i="1"/>
  <c r="W429" i="1"/>
  <c r="V429" i="1"/>
  <c r="U429" i="1"/>
  <c r="T429" i="1"/>
  <c r="S429" i="1"/>
  <c r="R429" i="1"/>
  <c r="Q429" i="1"/>
  <c r="P429" i="1"/>
  <c r="O429" i="1"/>
  <c r="W426" i="1"/>
  <c r="U426" i="1"/>
  <c r="Q426" i="1"/>
  <c r="S418" i="1"/>
  <c r="P418" i="1"/>
  <c r="O418" i="1"/>
  <c r="R416" i="1"/>
  <c r="T414" i="1"/>
  <c r="S414" i="1"/>
  <c r="R414" i="1"/>
  <c r="Q414" i="1"/>
  <c r="Y406" i="1"/>
  <c r="X406" i="1"/>
  <c r="W406" i="1"/>
  <c r="V406" i="1"/>
  <c r="U406" i="1"/>
  <c r="T406" i="1"/>
  <c r="S406" i="1"/>
  <c r="R406" i="1"/>
  <c r="Q406" i="1"/>
  <c r="P406" i="1"/>
  <c r="O406" i="1"/>
  <c r="O402" i="1"/>
  <c r="Y401" i="1"/>
  <c r="X401" i="1"/>
  <c r="W401" i="1"/>
  <c r="V401" i="1"/>
  <c r="U401" i="1"/>
  <c r="T401" i="1"/>
  <c r="S401" i="1"/>
  <c r="R401" i="1"/>
  <c r="Q401" i="1"/>
  <c r="P401" i="1"/>
  <c r="O401" i="1"/>
  <c r="M398" i="1"/>
  <c r="M22" i="6" s="1"/>
  <c r="M390" i="1"/>
  <c r="K390" i="1"/>
  <c r="J390" i="1"/>
  <c r="M387" i="1"/>
  <c r="M384" i="1"/>
  <c r="M381" i="1"/>
  <c r="M375" i="1"/>
  <c r="K375" i="1"/>
  <c r="J375" i="1"/>
  <c r="I375" i="1"/>
  <c r="H375" i="1"/>
  <c r="G375" i="1"/>
  <c r="F375" i="1"/>
  <c r="K369" i="1"/>
  <c r="J369" i="1"/>
  <c r="I369" i="1"/>
  <c r="H369" i="1"/>
  <c r="G369" i="1"/>
  <c r="X367" i="1"/>
  <c r="W367" i="1"/>
  <c r="V367" i="1"/>
  <c r="U367" i="1"/>
  <c r="T367" i="1"/>
  <c r="S367" i="1"/>
  <c r="R367" i="1"/>
  <c r="Q367" i="1"/>
  <c r="P367" i="1"/>
  <c r="O367" i="1"/>
  <c r="N364" i="1"/>
  <c r="N621" i="1" s="1"/>
  <c r="M364" i="1"/>
  <c r="L364" i="1"/>
  <c r="K364" i="1"/>
  <c r="J364" i="1"/>
  <c r="I364" i="1"/>
  <c r="H364" i="1"/>
  <c r="G364" i="1"/>
  <c r="G621" i="1" s="1"/>
  <c r="F364" i="1"/>
  <c r="F621" i="1" s="1"/>
  <c r="E364" i="1"/>
  <c r="E621" i="1" s="1"/>
  <c r="C364" i="1"/>
  <c r="X357" i="1"/>
  <c r="X362" i="1" s="1"/>
  <c r="W357" i="1"/>
  <c r="W362" i="1" s="1"/>
  <c r="V357" i="1"/>
  <c r="V362" i="1" s="1"/>
  <c r="U357" i="1"/>
  <c r="U362" i="1" s="1"/>
  <c r="T357" i="1"/>
  <c r="T362" i="1" s="1"/>
  <c r="S357" i="1"/>
  <c r="S362" i="1" s="1"/>
  <c r="R357" i="1"/>
  <c r="R362" i="1" s="1"/>
  <c r="Q357" i="1"/>
  <c r="P357" i="1"/>
  <c r="O357" i="1"/>
  <c r="O362" i="1" s="1"/>
  <c r="N357" i="1"/>
  <c r="M357" i="1"/>
  <c r="O355" i="1"/>
  <c r="X352" i="1"/>
  <c r="X355" i="1" s="1"/>
  <c r="W352" i="1"/>
  <c r="W355" i="1" s="1"/>
  <c r="V352" i="1"/>
  <c r="V355" i="1" s="1"/>
  <c r="U352" i="1"/>
  <c r="U355" i="1" s="1"/>
  <c r="T352" i="1"/>
  <c r="T355" i="1" s="1"/>
  <c r="S352" i="1"/>
  <c r="S355" i="1" s="1"/>
  <c r="R352" i="1"/>
  <c r="R355" i="1" s="1"/>
  <c r="N352" i="1"/>
  <c r="M352" i="1"/>
  <c r="X351" i="1"/>
  <c r="W351" i="1"/>
  <c r="V351" i="1"/>
  <c r="U351" i="1"/>
  <c r="T351" i="1"/>
  <c r="S351" i="1"/>
  <c r="R351" i="1"/>
  <c r="Q349" i="1"/>
  <c r="P349" i="1"/>
  <c r="N349" i="1"/>
  <c r="N620" i="1" s="1"/>
  <c r="M349" i="1"/>
  <c r="L349" i="1"/>
  <c r="K349" i="1"/>
  <c r="N346" i="1"/>
  <c r="C342" i="1"/>
  <c r="W340" i="1"/>
  <c r="V340" i="1"/>
  <c r="U340" i="1"/>
  <c r="T340" i="1"/>
  <c r="Y337" i="1"/>
  <c r="X337" i="1"/>
  <c r="W337" i="1"/>
  <c r="V337" i="1"/>
  <c r="U337" i="1"/>
  <c r="T337" i="1"/>
  <c r="S337" i="1"/>
  <c r="R337" i="1"/>
  <c r="Q337" i="1"/>
  <c r="P337" i="1"/>
  <c r="N337" i="1"/>
  <c r="M337" i="1"/>
  <c r="L337" i="1"/>
  <c r="K337" i="1"/>
  <c r="K13" i="11" s="1"/>
  <c r="I337" i="1"/>
  <c r="H337" i="1"/>
  <c r="G337" i="1"/>
  <c r="F337" i="1"/>
  <c r="E337" i="1"/>
  <c r="D337" i="1"/>
  <c r="C337" i="1"/>
  <c r="C330" i="1"/>
  <c r="W328" i="1"/>
  <c r="V328" i="1"/>
  <c r="U328" i="1"/>
  <c r="T328" i="1"/>
  <c r="Y325" i="1"/>
  <c r="X325" i="1"/>
  <c r="W325" i="1"/>
  <c r="V325" i="1"/>
  <c r="U325" i="1"/>
  <c r="T325" i="1"/>
  <c r="S325" i="1"/>
  <c r="R325" i="1"/>
  <c r="Q325" i="1"/>
  <c r="P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Y321" i="1"/>
  <c r="X321" i="1"/>
  <c r="W321" i="1"/>
  <c r="V321" i="1"/>
  <c r="U321" i="1"/>
  <c r="T321" i="1"/>
  <c r="S321" i="1"/>
  <c r="R321" i="1"/>
  <c r="Q321" i="1"/>
  <c r="P321" i="1"/>
  <c r="N321" i="1"/>
  <c r="M321" i="1"/>
  <c r="L321" i="1"/>
  <c r="I321" i="1"/>
  <c r="H321" i="1"/>
  <c r="G321" i="1"/>
  <c r="F321" i="1"/>
  <c r="E321" i="1"/>
  <c r="D321" i="1"/>
  <c r="C321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L12" i="6" s="1"/>
  <c r="K319" i="1"/>
  <c r="K12" i="6" s="1"/>
  <c r="I319" i="1"/>
  <c r="I12" i="6" s="1"/>
  <c r="H319" i="1"/>
  <c r="H12" i="6" s="1"/>
  <c r="G319" i="1"/>
  <c r="F319" i="1"/>
  <c r="E319" i="1"/>
  <c r="D319" i="1"/>
  <c r="C319" i="1"/>
  <c r="Y313" i="1"/>
  <c r="Y317" i="1" s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I313" i="1"/>
  <c r="H313" i="1"/>
  <c r="G313" i="1"/>
  <c r="F313" i="1"/>
  <c r="E313" i="1"/>
  <c r="D313" i="1"/>
  <c r="C313" i="1"/>
  <c r="U300" i="1"/>
  <c r="T300" i="1"/>
  <c r="Y286" i="1"/>
  <c r="X286" i="1"/>
  <c r="X289" i="1" s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E21" i="10" s="1"/>
  <c r="M283" i="1"/>
  <c r="M280" i="1"/>
  <c r="M278" i="1"/>
  <c r="M273" i="1"/>
  <c r="K273" i="1"/>
  <c r="I273" i="1"/>
  <c r="H273" i="1"/>
  <c r="G273" i="1"/>
  <c r="I261" i="1"/>
  <c r="H261" i="1"/>
  <c r="G261" i="1"/>
  <c r="F261" i="1"/>
  <c r="E261" i="1"/>
  <c r="I258" i="1"/>
  <c r="H258" i="1"/>
  <c r="G258" i="1"/>
  <c r="F258" i="1"/>
  <c r="F21" i="4" s="1"/>
  <c r="E258" i="1"/>
  <c r="M256" i="1"/>
  <c r="K256" i="1"/>
  <c r="I256" i="1"/>
  <c r="H256" i="1"/>
  <c r="G256" i="1"/>
  <c r="F256" i="1"/>
  <c r="E256" i="1"/>
  <c r="D256" i="1"/>
  <c r="C256" i="1"/>
  <c r="M241" i="1"/>
  <c r="L241" i="1"/>
  <c r="H241" i="1"/>
  <c r="G241" i="1"/>
  <c r="F241" i="1"/>
  <c r="E241" i="1"/>
  <c r="C241" i="1"/>
  <c r="M238" i="1"/>
  <c r="K238" i="1"/>
  <c r="I238" i="1"/>
  <c r="H238" i="1"/>
  <c r="G238" i="1"/>
  <c r="F238" i="1"/>
  <c r="E238" i="1"/>
  <c r="D238" i="1"/>
  <c r="C238" i="1"/>
  <c r="M225" i="1"/>
  <c r="H225" i="1"/>
  <c r="G225" i="1"/>
  <c r="F225" i="1"/>
  <c r="E225" i="1"/>
  <c r="C225" i="1"/>
  <c r="M222" i="1"/>
  <c r="J222" i="1"/>
  <c r="I222" i="1"/>
  <c r="H222" i="1"/>
  <c r="G222" i="1"/>
  <c r="F222" i="1"/>
  <c r="E222" i="1"/>
  <c r="D222" i="1"/>
  <c r="C222" i="1"/>
  <c r="C217" i="1"/>
  <c r="C216" i="1"/>
  <c r="M214" i="1"/>
  <c r="H214" i="1"/>
  <c r="G214" i="1"/>
  <c r="F214" i="1"/>
  <c r="C214" i="1"/>
  <c r="M212" i="1"/>
  <c r="M210" i="1"/>
  <c r="K210" i="1"/>
  <c r="J210" i="1"/>
  <c r="I210" i="1"/>
  <c r="H210" i="1"/>
  <c r="G210" i="1"/>
  <c r="F210" i="1"/>
  <c r="E210" i="1"/>
  <c r="D210" i="1"/>
  <c r="C210" i="1"/>
  <c r="C208" i="1"/>
  <c r="C207" i="1"/>
  <c r="C206" i="1"/>
  <c r="C25" i="10" s="1"/>
  <c r="M205" i="1"/>
  <c r="L205" i="1"/>
  <c r="K205" i="1"/>
  <c r="I205" i="1"/>
  <c r="H205" i="1"/>
  <c r="G205" i="1"/>
  <c r="F205" i="1"/>
  <c r="E205" i="1"/>
  <c r="C205" i="1"/>
  <c r="M203" i="1"/>
  <c r="K203" i="1"/>
  <c r="J203" i="1"/>
  <c r="I203" i="1"/>
  <c r="H203" i="1"/>
  <c r="G203" i="1"/>
  <c r="F203" i="1"/>
  <c r="E203" i="1"/>
  <c r="E16" i="4" s="1"/>
  <c r="D203" i="1"/>
  <c r="D16" i="4" s="1"/>
  <c r="C203" i="1"/>
  <c r="C16" i="4" s="1"/>
  <c r="X200" i="1"/>
  <c r="W200" i="1"/>
  <c r="V200" i="1"/>
  <c r="U200" i="1"/>
  <c r="T200" i="1"/>
  <c r="S200" i="1"/>
  <c r="R200" i="1"/>
  <c r="Q200" i="1"/>
  <c r="P200" i="1"/>
  <c r="O200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2" i="1"/>
  <c r="W190" i="1"/>
  <c r="V190" i="1"/>
  <c r="U190" i="1"/>
  <c r="T190" i="1"/>
  <c r="Y187" i="1"/>
  <c r="X187" i="1"/>
  <c r="W187" i="1"/>
  <c r="V187" i="1"/>
  <c r="U187" i="1"/>
  <c r="T187" i="1"/>
  <c r="S187" i="1"/>
  <c r="R187" i="1"/>
  <c r="Q187" i="1"/>
  <c r="P187" i="1"/>
  <c r="N187" i="1"/>
  <c r="M187" i="1"/>
  <c r="G187" i="1"/>
  <c r="F187" i="1"/>
  <c r="D187" i="1"/>
  <c r="C187" i="1"/>
  <c r="N186" i="1"/>
  <c r="M186" i="1"/>
  <c r="P185" i="1"/>
  <c r="N185" i="1"/>
  <c r="M185" i="1"/>
  <c r="Q184" i="1"/>
  <c r="N184" i="1"/>
  <c r="M184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J182" i="1"/>
  <c r="I182" i="1"/>
  <c r="H182" i="1"/>
  <c r="G182" i="1"/>
  <c r="F182" i="1"/>
  <c r="E182" i="1"/>
  <c r="D182" i="1"/>
  <c r="C182" i="1"/>
  <c r="C166" i="1"/>
  <c r="W164" i="1"/>
  <c r="V164" i="1"/>
  <c r="U164" i="1"/>
  <c r="T164" i="1"/>
  <c r="P160" i="1"/>
  <c r="O19" i="10" s="1"/>
  <c r="N160" i="1"/>
  <c r="M160" i="1"/>
  <c r="M19" i="10" s="1"/>
  <c r="G160" i="1"/>
  <c r="G19" i="10" s="1"/>
  <c r="D160" i="1"/>
  <c r="C160" i="1"/>
  <c r="C156" i="1"/>
  <c r="W154" i="1"/>
  <c r="V154" i="1"/>
  <c r="U154" i="1"/>
  <c r="T154" i="1"/>
  <c r="P150" i="1"/>
  <c r="O18" i="10" s="1"/>
  <c r="N150" i="1"/>
  <c r="M150" i="1"/>
  <c r="M18" i="10" s="1"/>
  <c r="I150" i="1"/>
  <c r="I18" i="10" s="1"/>
  <c r="G150" i="1"/>
  <c r="G18" i="10" s="1"/>
  <c r="F150" i="1"/>
  <c r="B17" i="12" s="1"/>
  <c r="D17" i="12" s="1"/>
  <c r="E150" i="1"/>
  <c r="D150" i="1"/>
  <c r="C150" i="1"/>
  <c r="C145" i="1"/>
  <c r="W143" i="1"/>
  <c r="V143" i="1"/>
  <c r="U143" i="1"/>
  <c r="T143" i="1"/>
  <c r="R138" i="1"/>
  <c r="Q138" i="1"/>
  <c r="N138" i="1"/>
  <c r="M138" i="1"/>
  <c r="I138" i="1"/>
  <c r="H138" i="1"/>
  <c r="G138" i="1"/>
  <c r="F138" i="1"/>
  <c r="E138" i="1"/>
  <c r="D138" i="1"/>
  <c r="C138" i="1"/>
  <c r="N136" i="1"/>
  <c r="M136" i="1"/>
  <c r="M17" i="10" s="1"/>
  <c r="C131" i="1"/>
  <c r="W129" i="1"/>
  <c r="V129" i="1"/>
  <c r="U129" i="1"/>
  <c r="T129" i="1"/>
  <c r="P115" i="1"/>
  <c r="X113" i="1"/>
  <c r="W113" i="1"/>
  <c r="V113" i="1"/>
  <c r="U113" i="1"/>
  <c r="T113" i="1"/>
  <c r="S113" i="1"/>
  <c r="R113" i="1"/>
  <c r="Q113" i="1"/>
  <c r="P113" i="1"/>
  <c r="O113" i="1"/>
  <c r="U112" i="1"/>
  <c r="T112" i="1"/>
  <c r="S112" i="1"/>
  <c r="R112" i="1"/>
  <c r="Q112" i="1"/>
  <c r="P112" i="1"/>
  <c r="Y110" i="1"/>
  <c r="X110" i="1"/>
  <c r="W110" i="1"/>
  <c r="V110" i="1"/>
  <c r="U110" i="1"/>
  <c r="T110" i="1"/>
  <c r="S15" i="10" s="1"/>
  <c r="S110" i="1"/>
  <c r="R15" i="10" s="1"/>
  <c r="R110" i="1"/>
  <c r="Q15" i="10" s="1"/>
  <c r="Q110" i="1"/>
  <c r="P15" i="10" s="1"/>
  <c r="P110" i="1"/>
  <c r="O15" i="10" s="1"/>
  <c r="N110" i="1"/>
  <c r="M110" i="1"/>
  <c r="M15" i="10" s="1"/>
  <c r="K110" i="1"/>
  <c r="K15" i="10" s="1"/>
  <c r="J110" i="1"/>
  <c r="J15" i="10" s="1"/>
  <c r="I110" i="1"/>
  <c r="I15" i="10" s="1"/>
  <c r="H110" i="1"/>
  <c r="H15" i="10" s="1"/>
  <c r="G110" i="1"/>
  <c r="G15" i="10" s="1"/>
  <c r="F110" i="1"/>
  <c r="B15" i="12" s="1"/>
  <c r="D15" i="12" s="1"/>
  <c r="E110" i="1"/>
  <c r="D110" i="1"/>
  <c r="C110" i="1"/>
  <c r="C105" i="1"/>
  <c r="W103" i="1"/>
  <c r="V103" i="1"/>
  <c r="U103" i="1"/>
  <c r="T103" i="1"/>
  <c r="X99" i="1"/>
  <c r="W99" i="1"/>
  <c r="V99" i="1"/>
  <c r="U99" i="1"/>
  <c r="T99" i="1"/>
  <c r="S99" i="1"/>
  <c r="R99" i="1"/>
  <c r="Q99" i="1"/>
  <c r="P99" i="1"/>
  <c r="O99" i="1"/>
  <c r="L99" i="1"/>
  <c r="J99" i="1"/>
  <c r="X97" i="1"/>
  <c r="W97" i="1"/>
  <c r="V97" i="1"/>
  <c r="U97" i="1"/>
  <c r="T97" i="1"/>
  <c r="S14" i="10" s="1"/>
  <c r="S97" i="1"/>
  <c r="R14" i="10" s="1"/>
  <c r="R97" i="1"/>
  <c r="Q14" i="10" s="1"/>
  <c r="Q97" i="1"/>
  <c r="P14" i="10" s="1"/>
  <c r="P97" i="1"/>
  <c r="O14" i="10" s="1"/>
  <c r="O97" i="1"/>
  <c r="N14" i="10" s="1"/>
  <c r="N97" i="1"/>
  <c r="M97" i="1"/>
  <c r="K97" i="1"/>
  <c r="K14" i="10" s="1"/>
  <c r="I97" i="1"/>
  <c r="I14" i="10" s="1"/>
  <c r="H97" i="1"/>
  <c r="H14" i="10" s="1"/>
  <c r="G97" i="1"/>
  <c r="G14" i="10" s="1"/>
  <c r="F97" i="1"/>
  <c r="B14" i="12" s="1"/>
  <c r="D14" i="12" s="1"/>
  <c r="E97" i="1"/>
  <c r="D97" i="1"/>
  <c r="C97" i="1"/>
  <c r="Y93" i="1"/>
  <c r="X93" i="1"/>
  <c r="X95" i="1" s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I80" i="1"/>
  <c r="H80" i="1"/>
  <c r="G80" i="1"/>
  <c r="F80" i="1"/>
  <c r="E80" i="1"/>
  <c r="D80" i="1"/>
  <c r="C80" i="1"/>
  <c r="O78" i="1"/>
  <c r="L78" i="1"/>
  <c r="K78" i="1"/>
  <c r="J78" i="1"/>
  <c r="I78" i="1"/>
  <c r="H78" i="1"/>
  <c r="G78" i="1"/>
  <c r="F78" i="1"/>
  <c r="E78" i="1"/>
  <c r="D78" i="1"/>
  <c r="C78" i="1"/>
  <c r="N76" i="1"/>
  <c r="M76" i="1"/>
  <c r="X75" i="1"/>
  <c r="W75" i="1"/>
  <c r="V75" i="1"/>
  <c r="U75" i="1"/>
  <c r="T75" i="1"/>
  <c r="S75" i="1"/>
  <c r="R75" i="1"/>
  <c r="Q75" i="1"/>
  <c r="P75" i="1"/>
  <c r="N75" i="1"/>
  <c r="M75" i="1"/>
  <c r="N74" i="1"/>
  <c r="N73" i="1"/>
  <c r="M73" i="1"/>
  <c r="Y72" i="1"/>
  <c r="Y78" i="1" s="1"/>
  <c r="X72" i="1"/>
  <c r="X78" i="1" s="1"/>
  <c r="W72" i="1"/>
  <c r="W78" i="1" s="1"/>
  <c r="V72" i="1"/>
  <c r="U72" i="1"/>
  <c r="T72" i="1"/>
  <c r="S72" i="1"/>
  <c r="N72" i="1"/>
  <c r="M72" i="1"/>
  <c r="R71" i="1"/>
  <c r="Q71" i="1"/>
  <c r="P71" i="1"/>
  <c r="N71" i="1"/>
  <c r="M71" i="1"/>
  <c r="V70" i="1"/>
  <c r="V78" i="1" s="1"/>
  <c r="U70" i="1"/>
  <c r="U78" i="1" s="1"/>
  <c r="T70" i="1"/>
  <c r="T78" i="1" s="1"/>
  <c r="S70" i="1"/>
  <c r="R70" i="1"/>
  <c r="Q70" i="1"/>
  <c r="P70" i="1"/>
  <c r="N70" i="1"/>
  <c r="M70" i="1"/>
  <c r="S69" i="1"/>
  <c r="S78" i="1" s="1"/>
  <c r="R69" i="1"/>
  <c r="R78" i="1" s="1"/>
  <c r="Q69" i="1"/>
  <c r="Q78" i="1" s="1"/>
  <c r="P69" i="1"/>
  <c r="P78" i="1" s="1"/>
  <c r="N69" i="1"/>
  <c r="N78" i="1" s="1"/>
  <c r="M69" i="1"/>
  <c r="M78" i="1" s="1"/>
  <c r="Y65" i="1"/>
  <c r="X65" i="1"/>
  <c r="X67" i="1" s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Y61" i="1"/>
  <c r="X61" i="1"/>
  <c r="X63" i="1" s="1"/>
  <c r="W61" i="1"/>
  <c r="V61" i="1"/>
  <c r="U61" i="1"/>
  <c r="T61" i="1"/>
  <c r="S61" i="1"/>
  <c r="R61" i="1"/>
  <c r="Q61" i="1"/>
  <c r="P61" i="1"/>
  <c r="O61" i="1"/>
  <c r="N12" i="5" s="1"/>
  <c r="N61" i="1"/>
  <c r="M61" i="1"/>
  <c r="M12" i="5" s="1"/>
  <c r="L61" i="1"/>
  <c r="L12" i="5" s="1"/>
  <c r="K61" i="1"/>
  <c r="K12" i="5" s="1"/>
  <c r="J61" i="1"/>
  <c r="J12" i="5" s="1"/>
  <c r="I61" i="1"/>
  <c r="I12" i="5" s="1"/>
  <c r="H61" i="1"/>
  <c r="H12" i="5" s="1"/>
  <c r="G61" i="1"/>
  <c r="G12" i="5" s="1"/>
  <c r="F61" i="1"/>
  <c r="E61" i="1"/>
  <c r="D61" i="1"/>
  <c r="C61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X52" i="1"/>
  <c r="W52" i="1"/>
  <c r="V52" i="1"/>
  <c r="U52" i="1"/>
  <c r="T52" i="1"/>
  <c r="S52" i="1"/>
  <c r="R52" i="1"/>
  <c r="Q52" i="1"/>
  <c r="P52" i="1"/>
  <c r="O52" i="1"/>
  <c r="X47" i="1"/>
  <c r="W47" i="1"/>
  <c r="V47" i="1"/>
  <c r="U47" i="1"/>
  <c r="T47" i="1"/>
  <c r="S47" i="1"/>
  <c r="R47" i="1"/>
  <c r="N47" i="1"/>
  <c r="M47" i="1"/>
  <c r="F47" i="1"/>
  <c r="E47" i="1"/>
  <c r="D47" i="1"/>
  <c r="C47" i="1"/>
  <c r="Y42" i="1"/>
  <c r="Y45" i="1" s="1"/>
  <c r="X42" i="1"/>
  <c r="W42" i="1"/>
  <c r="V42" i="1"/>
  <c r="U42" i="1"/>
  <c r="T42" i="1"/>
  <c r="S42" i="1"/>
  <c r="R42" i="1"/>
  <c r="Q42" i="1"/>
  <c r="P42" i="1"/>
  <c r="O42" i="1"/>
  <c r="K15" i="8" s="1"/>
  <c r="N42" i="1"/>
  <c r="M42" i="1"/>
  <c r="J15" i="8" s="1"/>
  <c r="L42" i="1"/>
  <c r="K42" i="1"/>
  <c r="J42" i="1"/>
  <c r="I42" i="1"/>
  <c r="H42" i="1"/>
  <c r="G42" i="1"/>
  <c r="F42" i="1"/>
  <c r="E42" i="1"/>
  <c r="D42" i="1"/>
  <c r="C42" i="1"/>
  <c r="N40" i="1"/>
  <c r="M40" i="1"/>
  <c r="N38" i="1"/>
  <c r="M38" i="1"/>
  <c r="E38" i="1"/>
  <c r="D38" i="1"/>
  <c r="C38" i="1"/>
  <c r="N36" i="1"/>
  <c r="M36" i="1"/>
  <c r="N34" i="1"/>
  <c r="M34" i="1"/>
  <c r="N32" i="1"/>
  <c r="M32" i="1"/>
  <c r="N30" i="1"/>
  <c r="M30" i="1"/>
  <c r="N28" i="1"/>
  <c r="M28" i="1"/>
  <c r="M26" i="1"/>
  <c r="X23" i="1"/>
  <c r="W23" i="1"/>
  <c r="V23" i="1"/>
  <c r="U23" i="1"/>
  <c r="T23" i="1"/>
  <c r="S23" i="1"/>
  <c r="R23" i="1"/>
  <c r="Q23" i="1"/>
  <c r="P23" i="1"/>
  <c r="O23" i="1"/>
  <c r="X22" i="1"/>
  <c r="W22" i="1"/>
  <c r="S14" i="8" s="1"/>
  <c r="V22" i="1"/>
  <c r="R14" i="8" s="1"/>
  <c r="U22" i="1"/>
  <c r="Q14" i="8" s="1"/>
  <c r="T22" i="1"/>
  <c r="P14" i="8" s="1"/>
  <c r="S22" i="1"/>
  <c r="O14" i="8" s="1"/>
  <c r="R22" i="1"/>
  <c r="N14" i="8" s="1"/>
  <c r="Q22" i="1"/>
  <c r="M14" i="8" s="1"/>
  <c r="P22" i="1"/>
  <c r="L14" i="8" s="1"/>
  <c r="O22" i="1"/>
  <c r="K14" i="8" s="1"/>
  <c r="N22" i="1"/>
  <c r="M22" i="1"/>
  <c r="J14" i="8" s="1"/>
  <c r="L22" i="1"/>
  <c r="I14" i="8" s="1"/>
  <c r="K22" i="1"/>
  <c r="J22" i="1"/>
  <c r="I22" i="1"/>
  <c r="H22" i="1"/>
  <c r="G22" i="1"/>
  <c r="F22" i="1"/>
  <c r="E22" i="1"/>
  <c r="D22" i="1"/>
  <c r="C22" i="1"/>
  <c r="X20" i="1"/>
  <c r="W20" i="1"/>
  <c r="V20" i="1"/>
  <c r="U20" i="1"/>
  <c r="T20" i="1"/>
  <c r="S20" i="1"/>
  <c r="R20" i="1"/>
  <c r="Q20" i="1"/>
  <c r="P20" i="1"/>
  <c r="O17" i="1"/>
  <c r="O51" i="1" s="1"/>
  <c r="N17" i="1"/>
  <c r="X14" i="1"/>
  <c r="W14" i="1"/>
  <c r="V14" i="1"/>
  <c r="U14" i="1"/>
  <c r="T14" i="1"/>
  <c r="S14" i="1"/>
  <c r="R14" i="1"/>
  <c r="Q14" i="1"/>
  <c r="P14" i="1"/>
  <c r="O13" i="1"/>
  <c r="Y12" i="1"/>
  <c r="X12" i="1"/>
  <c r="W12" i="1"/>
  <c r="V12" i="1"/>
  <c r="U12" i="1"/>
  <c r="T12" i="1"/>
  <c r="S12" i="1"/>
  <c r="R12" i="1"/>
  <c r="Q12" i="1"/>
  <c r="P12" i="1"/>
  <c r="O12" i="1"/>
  <c r="O607" i="1" s="1"/>
  <c r="N12" i="1"/>
  <c r="N607" i="1" s="1"/>
  <c r="M12" i="1"/>
  <c r="M607" i="1" s="1"/>
  <c r="L12" i="1"/>
  <c r="L607" i="1" s="1"/>
  <c r="K12" i="1"/>
  <c r="K607" i="1" s="1"/>
  <c r="J12" i="1"/>
  <c r="I12" i="1"/>
  <c r="I607" i="1" s="1"/>
  <c r="H12" i="1"/>
  <c r="H607" i="1" s="1"/>
  <c r="G12" i="1"/>
  <c r="G607" i="1" s="1"/>
  <c r="F12" i="1"/>
  <c r="F607" i="1" s="1"/>
  <c r="E12" i="1"/>
  <c r="E607" i="1" s="1"/>
  <c r="D12" i="1"/>
  <c r="C12" i="1"/>
  <c r="G608" i="1" l="1"/>
  <c r="H608" i="1"/>
  <c r="I608" i="1"/>
  <c r="L608" i="1"/>
  <c r="M608" i="1"/>
  <c r="N608" i="1"/>
  <c r="O608" i="1"/>
  <c r="P636" i="1"/>
  <c r="P629" i="1"/>
  <c r="P631" i="1" s="1"/>
  <c r="P607" i="1"/>
  <c r="Q636" i="1"/>
  <c r="Q629" i="1"/>
  <c r="Q631" i="1" s="1"/>
  <c r="Q607" i="1"/>
  <c r="R636" i="1"/>
  <c r="R629" i="1"/>
  <c r="R631" i="1" s="1"/>
  <c r="R607" i="1"/>
  <c r="S636" i="1"/>
  <c r="S629" i="1"/>
  <c r="S631" i="1" s="1"/>
  <c r="S607" i="1"/>
  <c r="T636" i="1"/>
  <c r="T629" i="1"/>
  <c r="T631" i="1" s="1"/>
  <c r="T607" i="1"/>
  <c r="U636" i="1"/>
  <c r="U629" i="1"/>
  <c r="U631" i="1" s="1"/>
  <c r="U607" i="1"/>
  <c r="V636" i="1"/>
  <c r="V629" i="1"/>
  <c r="V631" i="1" s="1"/>
  <c r="V607" i="1"/>
  <c r="W636" i="1"/>
  <c r="W629" i="1"/>
  <c r="W631" i="1" s="1"/>
  <c r="W607" i="1"/>
  <c r="X636" i="1"/>
  <c r="X629" i="1"/>
  <c r="X631" i="1" s="1"/>
  <c r="X607" i="1"/>
  <c r="Y636" i="1"/>
  <c r="Y629" i="1"/>
  <c r="Y631" i="1" s="1"/>
  <c r="Y607" i="1"/>
  <c r="L15" i="8"/>
  <c r="P51" i="1"/>
  <c r="P45" i="1"/>
  <c r="P15" i="1" s="1"/>
  <c r="M15" i="8"/>
  <c r="Q51" i="1"/>
  <c r="Q45" i="1"/>
  <c r="Q15" i="1" s="1"/>
  <c r="N15" i="8"/>
  <c r="R51" i="1"/>
  <c r="R45" i="1"/>
  <c r="R15" i="1" s="1"/>
  <c r="O15" i="8"/>
  <c r="S51" i="1"/>
  <c r="S45" i="1"/>
  <c r="S15" i="1" s="1"/>
  <c r="P15" i="8"/>
  <c r="T51" i="1"/>
  <c r="T45" i="1"/>
  <c r="T15" i="1" s="1"/>
  <c r="Q15" i="8"/>
  <c r="U51" i="1"/>
  <c r="U45" i="1"/>
  <c r="U15" i="1" s="1"/>
  <c r="R15" i="8"/>
  <c r="V51" i="1"/>
  <c r="V45" i="1"/>
  <c r="V15" i="1" s="1"/>
  <c r="S15" i="8"/>
  <c r="W51" i="1"/>
  <c r="W45" i="1"/>
  <c r="W15" i="1" s="1"/>
  <c r="X51" i="1"/>
  <c r="X45" i="1"/>
  <c r="X15" i="1" s="1"/>
  <c r="O53" i="1"/>
  <c r="P53" i="1"/>
  <c r="Q53" i="1"/>
  <c r="R53" i="1"/>
  <c r="S53" i="1"/>
  <c r="T53" i="1"/>
  <c r="U53" i="1"/>
  <c r="V53" i="1"/>
  <c r="W53" i="1"/>
  <c r="X53" i="1"/>
  <c r="D57" i="1"/>
  <c r="C96" i="4"/>
  <c r="E57" i="1"/>
  <c r="C13" i="7"/>
  <c r="D96" i="4"/>
  <c r="F57" i="1"/>
  <c r="D13" i="7"/>
  <c r="E96" i="4"/>
  <c r="G57" i="1"/>
  <c r="E13" i="7"/>
  <c r="F96" i="4"/>
  <c r="H57" i="1"/>
  <c r="F13" i="7"/>
  <c r="G96" i="4"/>
  <c r="I57" i="1"/>
  <c r="G13" i="7"/>
  <c r="J57" i="1"/>
  <c r="H13" i="7"/>
  <c r="K57" i="1"/>
  <c r="I13" i="7"/>
  <c r="L57" i="1"/>
  <c r="J13" i="7"/>
  <c r="M57" i="1"/>
  <c r="K13" i="7"/>
  <c r="O57" i="1"/>
  <c r="L13" i="7"/>
  <c r="P634" i="1"/>
  <c r="P59" i="1"/>
  <c r="P57" i="1"/>
  <c r="M13" i="7"/>
  <c r="Q634" i="1"/>
  <c r="Q59" i="1"/>
  <c r="Q57" i="1"/>
  <c r="N13" i="7"/>
  <c r="R634" i="1"/>
  <c r="R59" i="1"/>
  <c r="R57" i="1"/>
  <c r="O13" i="7"/>
  <c r="S634" i="1"/>
  <c r="S59" i="1"/>
  <c r="S57" i="1"/>
  <c r="P13" i="7"/>
  <c r="T634" i="1"/>
  <c r="T59" i="1"/>
  <c r="T57" i="1"/>
  <c r="Q13" i="7"/>
  <c r="U634" i="1"/>
  <c r="U59" i="1"/>
  <c r="U57" i="1"/>
  <c r="R13" i="7"/>
  <c r="V634" i="1"/>
  <c r="V59" i="1"/>
  <c r="V57" i="1"/>
  <c r="S13" i="7"/>
  <c r="W634" i="1"/>
  <c r="W59" i="1"/>
  <c r="W57" i="1"/>
  <c r="X634" i="1"/>
  <c r="X59" i="1"/>
  <c r="X57" i="1"/>
  <c r="Y634" i="1"/>
  <c r="Y57" i="1"/>
  <c r="O12" i="5"/>
  <c r="P63" i="1"/>
  <c r="P12" i="5"/>
  <c r="Q63" i="1"/>
  <c r="Q12" i="5"/>
  <c r="R63" i="1"/>
  <c r="R12" i="5"/>
  <c r="S63" i="1"/>
  <c r="S12" i="5"/>
  <c r="T63" i="1"/>
  <c r="T12" i="5"/>
  <c r="U63" i="1"/>
  <c r="U12" i="5"/>
  <c r="V63" i="1"/>
  <c r="V12" i="5"/>
  <c r="W63" i="1"/>
  <c r="C12" i="10"/>
  <c r="C12" i="4"/>
  <c r="D12" i="10"/>
  <c r="D12" i="4"/>
  <c r="E12" i="10"/>
  <c r="E12" i="4"/>
  <c r="B13" i="12"/>
  <c r="F12" i="10"/>
  <c r="F13" i="5"/>
  <c r="F12" i="4"/>
  <c r="G12" i="10"/>
  <c r="G13" i="5"/>
  <c r="G12" i="4"/>
  <c r="H13" i="5"/>
  <c r="H12" i="4"/>
  <c r="I13" i="5"/>
  <c r="I12" i="4"/>
  <c r="J13" i="5"/>
  <c r="J12" i="4"/>
  <c r="K13" i="5"/>
  <c r="K12" i="4"/>
  <c r="L12" i="10"/>
  <c r="L13" i="5"/>
  <c r="L12" i="4"/>
  <c r="M13" i="5"/>
  <c r="M12" i="4"/>
  <c r="N12" i="10"/>
  <c r="N13" i="5"/>
  <c r="N12" i="4"/>
  <c r="O12" i="10"/>
  <c r="O13" i="5"/>
  <c r="O12" i="4"/>
  <c r="P67" i="1"/>
  <c r="P12" i="10"/>
  <c r="P13" i="5"/>
  <c r="P12" i="4"/>
  <c r="Q67" i="1"/>
  <c r="Q12" i="10"/>
  <c r="Q13" i="5"/>
  <c r="Q12" i="4"/>
  <c r="R67" i="1"/>
  <c r="R12" i="10"/>
  <c r="R13" i="5"/>
  <c r="R12" i="4"/>
  <c r="S67" i="1"/>
  <c r="S12" i="10"/>
  <c r="S13" i="5"/>
  <c r="S12" i="4"/>
  <c r="T67" i="1"/>
  <c r="T13" i="5"/>
  <c r="T12" i="4"/>
  <c r="U67" i="1"/>
  <c r="U13" i="5"/>
  <c r="U12" i="4"/>
  <c r="V67" i="1"/>
  <c r="V13" i="5"/>
  <c r="V12" i="4"/>
  <c r="W67" i="1"/>
  <c r="C13" i="10"/>
  <c r="C13" i="4"/>
  <c r="D13" i="10"/>
  <c r="D13" i="4"/>
  <c r="E13" i="10"/>
  <c r="E13" i="4"/>
  <c r="F13" i="10"/>
  <c r="F14" i="5"/>
  <c r="F13" i="4"/>
  <c r="G13" i="10"/>
  <c r="G14" i="5"/>
  <c r="G13" i="4"/>
  <c r="H13" i="10"/>
  <c r="H14" i="5"/>
  <c r="H13" i="4"/>
  <c r="I13" i="10"/>
  <c r="I14" i="5"/>
  <c r="I13" i="4"/>
  <c r="J13" i="10"/>
  <c r="J14" i="5"/>
  <c r="J13" i="4"/>
  <c r="K13" i="10"/>
  <c r="K14" i="5"/>
  <c r="K13" i="4"/>
  <c r="L13" i="10"/>
  <c r="L13" i="4"/>
  <c r="M13" i="10"/>
  <c r="M13" i="4"/>
  <c r="N13" i="10"/>
  <c r="N13" i="4"/>
  <c r="O13" i="10"/>
  <c r="O13" i="4"/>
  <c r="P95" i="1"/>
  <c r="P13" i="10"/>
  <c r="P13" i="4"/>
  <c r="Q95" i="1"/>
  <c r="Q13" i="10"/>
  <c r="Q13" i="4"/>
  <c r="R95" i="1"/>
  <c r="R13" i="10"/>
  <c r="R13" i="4"/>
  <c r="S95" i="1"/>
  <c r="S13" i="10"/>
  <c r="S13" i="4"/>
  <c r="T95" i="1"/>
  <c r="T13" i="4"/>
  <c r="U95" i="1"/>
  <c r="U13" i="4"/>
  <c r="V95" i="1"/>
  <c r="V13" i="4"/>
  <c r="W95" i="1"/>
  <c r="M14" i="10"/>
  <c r="M99" i="1"/>
  <c r="G15" i="5"/>
  <c r="G14" i="4"/>
  <c r="H15" i="5"/>
  <c r="H14" i="4"/>
  <c r="I15" i="5"/>
  <c r="I14" i="4"/>
  <c r="J15" i="5"/>
  <c r="J14" i="4"/>
  <c r="L15" i="5"/>
  <c r="L14" i="4"/>
  <c r="M15" i="5"/>
  <c r="M14" i="4"/>
  <c r="N15" i="5"/>
  <c r="N14" i="4"/>
  <c r="O15" i="5"/>
  <c r="O14" i="4"/>
  <c r="P15" i="5"/>
  <c r="P14" i="4"/>
  <c r="Q15" i="5"/>
  <c r="Q14" i="4"/>
  <c r="R15" i="5"/>
  <c r="R14" i="4"/>
  <c r="S15" i="5"/>
  <c r="S14" i="4"/>
  <c r="T15" i="5"/>
  <c r="T14" i="4"/>
  <c r="U15" i="5"/>
  <c r="U14" i="4"/>
  <c r="V15" i="5"/>
  <c r="V14" i="4"/>
  <c r="G16" i="5"/>
  <c r="G15" i="4"/>
  <c r="H16" i="5"/>
  <c r="H15" i="4"/>
  <c r="I16" i="5"/>
  <c r="I15" i="4"/>
  <c r="I199" i="1"/>
  <c r="J16" i="5"/>
  <c r="J15" i="4"/>
  <c r="J199" i="1"/>
  <c r="K16" i="5"/>
  <c r="K15" i="4"/>
  <c r="K199" i="1"/>
  <c r="L16" i="5"/>
  <c r="L15" i="4"/>
  <c r="L199" i="1"/>
  <c r="M16" i="5"/>
  <c r="M15" i="4"/>
  <c r="M199" i="1"/>
  <c r="N16" i="5"/>
  <c r="N15" i="4"/>
  <c r="O16" i="5"/>
  <c r="O15" i="4"/>
  <c r="P16" i="5"/>
  <c r="P15" i="4"/>
  <c r="Q16" i="5"/>
  <c r="Q15" i="4"/>
  <c r="R16" i="5"/>
  <c r="R15" i="4"/>
  <c r="S16" i="5"/>
  <c r="S15" i="4"/>
  <c r="T16" i="5"/>
  <c r="T15" i="4"/>
  <c r="U16" i="5"/>
  <c r="U15" i="4"/>
  <c r="V16" i="5"/>
  <c r="V15" i="4"/>
  <c r="B24" i="12"/>
  <c r="D24" i="12" s="1"/>
  <c r="F17" i="5"/>
  <c r="F16" i="4"/>
  <c r="G17" i="5"/>
  <c r="G16" i="4"/>
  <c r="H25" i="10"/>
  <c r="H17" i="5"/>
  <c r="H16" i="4"/>
  <c r="I25" i="10"/>
  <c r="I17" i="5"/>
  <c r="I16" i="4"/>
  <c r="J25" i="10"/>
  <c r="J17" i="5"/>
  <c r="J16" i="4"/>
  <c r="K25" i="10"/>
  <c r="K17" i="5"/>
  <c r="K16" i="4"/>
  <c r="M25" i="10"/>
  <c r="M17" i="5"/>
  <c r="M16" i="4"/>
  <c r="C26" i="10"/>
  <c r="C17" i="4"/>
  <c r="D26" i="10"/>
  <c r="D17" i="4"/>
  <c r="E26" i="10"/>
  <c r="E17" i="4"/>
  <c r="B26" i="12"/>
  <c r="D26" i="12" s="1"/>
  <c r="F26" i="10"/>
  <c r="F18" i="5"/>
  <c r="F17" i="4"/>
  <c r="G26" i="10"/>
  <c r="G18" i="5"/>
  <c r="G17" i="4"/>
  <c r="H26" i="10"/>
  <c r="H18" i="5"/>
  <c r="H17" i="4"/>
  <c r="I26" i="10"/>
  <c r="I18" i="5"/>
  <c r="I17" i="4"/>
  <c r="J26" i="10"/>
  <c r="J18" i="5"/>
  <c r="J17" i="4"/>
  <c r="K26" i="10"/>
  <c r="K18" i="5"/>
  <c r="K17" i="4"/>
  <c r="M26" i="10"/>
  <c r="M18" i="5"/>
  <c r="M17" i="4"/>
  <c r="C27" i="10"/>
  <c r="C18" i="4"/>
  <c r="D27" i="10"/>
  <c r="D18" i="4"/>
  <c r="E27" i="10"/>
  <c r="E18" i="4"/>
  <c r="B27" i="12"/>
  <c r="D27" i="12" s="1"/>
  <c r="F27" i="10"/>
  <c r="F19" i="5"/>
  <c r="F18" i="4"/>
  <c r="G27" i="10"/>
  <c r="G19" i="5"/>
  <c r="G18" i="4"/>
  <c r="H27" i="10"/>
  <c r="H19" i="5"/>
  <c r="H18" i="4"/>
  <c r="I27" i="10"/>
  <c r="I19" i="5"/>
  <c r="I18" i="4"/>
  <c r="J27" i="10"/>
  <c r="J19" i="5"/>
  <c r="J18" i="4"/>
  <c r="M27" i="10"/>
  <c r="M19" i="5"/>
  <c r="M18" i="4"/>
  <c r="C28" i="10"/>
  <c r="C19" i="4"/>
  <c r="D28" i="10"/>
  <c r="D19" i="4"/>
  <c r="E28" i="10"/>
  <c r="E19" i="4"/>
  <c r="B28" i="12"/>
  <c r="D28" i="12" s="1"/>
  <c r="F28" i="10"/>
  <c r="F20" i="5"/>
  <c r="F19" i="4"/>
  <c r="G28" i="10"/>
  <c r="G20" i="5"/>
  <c r="G19" i="4"/>
  <c r="H28" i="10"/>
  <c r="H20" i="5"/>
  <c r="H19" i="4"/>
  <c r="I28" i="10"/>
  <c r="I20" i="5"/>
  <c r="I19" i="4"/>
  <c r="K28" i="10"/>
  <c r="K20" i="5"/>
  <c r="K19" i="4"/>
  <c r="M28" i="10"/>
  <c r="M20" i="5"/>
  <c r="M19" i="4"/>
  <c r="C29" i="10"/>
  <c r="C22" i="5"/>
  <c r="C20" i="4"/>
  <c r="D29" i="10"/>
  <c r="D22" i="5"/>
  <c r="D20" i="4"/>
  <c r="E29" i="10"/>
  <c r="E22" i="5"/>
  <c r="E20" i="4"/>
  <c r="B29" i="12"/>
  <c r="D29" i="12" s="1"/>
  <c r="F29" i="10"/>
  <c r="F22" i="5"/>
  <c r="F21" i="5"/>
  <c r="F20" i="4"/>
  <c r="G29" i="10"/>
  <c r="G21" i="5"/>
  <c r="G20" i="4"/>
  <c r="H29" i="10"/>
  <c r="H21" i="5"/>
  <c r="H20" i="4"/>
  <c r="I29" i="10"/>
  <c r="I21" i="5"/>
  <c r="I20" i="4"/>
  <c r="K29" i="10"/>
  <c r="K21" i="5"/>
  <c r="K20" i="4"/>
  <c r="M29" i="10"/>
  <c r="M21" i="5"/>
  <c r="M20" i="4"/>
  <c r="G30" i="10"/>
  <c r="G22" i="5"/>
  <c r="G21" i="4"/>
  <c r="H30" i="10"/>
  <c r="H22" i="5"/>
  <c r="H21" i="4"/>
  <c r="I30" i="10"/>
  <c r="I22" i="5"/>
  <c r="I21" i="4"/>
  <c r="K30" i="10"/>
  <c r="K22" i="5"/>
  <c r="K21" i="4"/>
  <c r="M30" i="10"/>
  <c r="M22" i="5"/>
  <c r="M21" i="4"/>
  <c r="M23" i="5"/>
  <c r="M22" i="4"/>
  <c r="M31" i="10"/>
  <c r="M24" i="5"/>
  <c r="M23" i="4"/>
  <c r="B23" i="12"/>
  <c r="D23" i="12" s="1"/>
  <c r="F21" i="10"/>
  <c r="G21" i="10"/>
  <c r="G25" i="5"/>
  <c r="G24" i="4"/>
  <c r="H21" i="10"/>
  <c r="H25" i="5"/>
  <c r="H24" i="4"/>
  <c r="I21" i="10"/>
  <c r="I25" i="5"/>
  <c r="I24" i="4"/>
  <c r="J21" i="10"/>
  <c r="J25" i="5"/>
  <c r="J24" i="4"/>
  <c r="K21" i="10"/>
  <c r="K25" i="5"/>
  <c r="K24" i="4"/>
  <c r="L21" i="10"/>
  <c r="L25" i="5"/>
  <c r="L24" i="4"/>
  <c r="M21" i="10"/>
  <c r="M25" i="5"/>
  <c r="M24" i="4"/>
  <c r="N21" i="10"/>
  <c r="N25" i="5"/>
  <c r="N24" i="4"/>
  <c r="O21" i="10"/>
  <c r="O25" i="5"/>
  <c r="O24" i="4"/>
  <c r="P289" i="1"/>
  <c r="P21" i="10"/>
  <c r="P25" i="5"/>
  <c r="P24" i="4"/>
  <c r="Q289" i="1"/>
  <c r="Q21" i="10"/>
  <c r="Q25" i="5"/>
  <c r="Q24" i="4"/>
  <c r="R289" i="1"/>
  <c r="R21" i="10"/>
  <c r="R25" i="5"/>
  <c r="R24" i="4"/>
  <c r="S289" i="1"/>
  <c r="S21" i="10"/>
  <c r="S25" i="5"/>
  <c r="S24" i="4"/>
  <c r="T289" i="1"/>
  <c r="T25" i="5"/>
  <c r="T24" i="4"/>
  <c r="U289" i="1"/>
  <c r="U25" i="5"/>
  <c r="U24" i="4"/>
  <c r="V289" i="1"/>
  <c r="V25" i="5"/>
  <c r="V24" i="4"/>
  <c r="W289" i="1"/>
  <c r="D314" i="1"/>
  <c r="C93" i="11"/>
  <c r="E314" i="1"/>
  <c r="D93" i="11"/>
  <c r="C14" i="7"/>
  <c r="F314" i="1"/>
  <c r="E93" i="11"/>
  <c r="D14" i="7"/>
  <c r="G314" i="1"/>
  <c r="F93" i="11"/>
  <c r="E14" i="7"/>
  <c r="H314" i="1"/>
  <c r="G93" i="11"/>
  <c r="F14" i="7"/>
  <c r="I314" i="1"/>
  <c r="H14" i="7"/>
  <c r="I14" i="7"/>
  <c r="L314" i="1"/>
  <c r="J14" i="7"/>
  <c r="M314" i="1"/>
  <c r="N314" i="1"/>
  <c r="K14" i="7"/>
  <c r="O314" i="1"/>
  <c r="L14" i="7"/>
  <c r="P317" i="1"/>
  <c r="P314" i="1"/>
  <c r="M14" i="7"/>
  <c r="Q317" i="1"/>
  <c r="Q314" i="1"/>
  <c r="N14" i="7"/>
  <c r="R317" i="1"/>
  <c r="R314" i="1"/>
  <c r="O14" i="7"/>
  <c r="S317" i="1"/>
  <c r="S314" i="1"/>
  <c r="P14" i="7"/>
  <c r="T317" i="1"/>
  <c r="T314" i="1"/>
  <c r="Q14" i="7"/>
  <c r="U317" i="1"/>
  <c r="U314" i="1"/>
  <c r="R14" i="7"/>
  <c r="V317" i="1"/>
  <c r="V314" i="1"/>
  <c r="S14" i="7"/>
  <c r="W317" i="1"/>
  <c r="W314" i="1"/>
  <c r="X317" i="1"/>
  <c r="X314" i="1"/>
  <c r="O347" i="1"/>
  <c r="O334" i="1"/>
  <c r="E623" i="1"/>
  <c r="E619" i="1"/>
  <c r="F623" i="1"/>
  <c r="F619" i="1"/>
  <c r="G623" i="1"/>
  <c r="G619" i="1"/>
  <c r="H13" i="6"/>
  <c r="H623" i="1"/>
  <c r="H619" i="1"/>
  <c r="I13" i="6"/>
  <c r="I623" i="1"/>
  <c r="I619" i="1"/>
  <c r="L13" i="6"/>
  <c r="L623" i="1"/>
  <c r="L619" i="1"/>
  <c r="M13" i="6"/>
  <c r="M623" i="1"/>
  <c r="M619" i="1"/>
  <c r="N623" i="1"/>
  <c r="N619" i="1"/>
  <c r="N624" i="1" s="1"/>
  <c r="O13" i="6"/>
  <c r="P623" i="1"/>
  <c r="P625" i="1" s="1"/>
  <c r="P619" i="1"/>
  <c r="P323" i="1"/>
  <c r="P13" i="6"/>
  <c r="Q623" i="1"/>
  <c r="Q625" i="1" s="1"/>
  <c r="Q619" i="1"/>
  <c r="Q323" i="1"/>
  <c r="Q13" i="6"/>
  <c r="R623" i="1"/>
  <c r="R625" i="1" s="1"/>
  <c r="R619" i="1"/>
  <c r="R323" i="1"/>
  <c r="R13" i="6"/>
  <c r="S623" i="1"/>
  <c r="S625" i="1" s="1"/>
  <c r="S619" i="1"/>
  <c r="S323" i="1"/>
  <c r="S13" i="6"/>
  <c r="T623" i="1"/>
  <c r="T625" i="1" s="1"/>
  <c r="T619" i="1"/>
  <c r="T323" i="1"/>
  <c r="T13" i="6"/>
  <c r="U623" i="1"/>
  <c r="U625" i="1" s="1"/>
  <c r="U619" i="1"/>
  <c r="U323" i="1"/>
  <c r="U13" i="6"/>
  <c r="V623" i="1"/>
  <c r="V625" i="1" s="1"/>
  <c r="V619" i="1"/>
  <c r="V323" i="1"/>
  <c r="V13" i="6"/>
  <c r="W623" i="1"/>
  <c r="W625" i="1" s="1"/>
  <c r="W619" i="1"/>
  <c r="W323" i="1"/>
  <c r="X623" i="1"/>
  <c r="X625" i="1" s="1"/>
  <c r="X619" i="1"/>
  <c r="X323" i="1"/>
  <c r="Y623" i="1"/>
  <c r="Y619" i="1"/>
  <c r="C12" i="11"/>
  <c r="C13" i="6"/>
  <c r="C334" i="1"/>
  <c r="D12" i="11"/>
  <c r="D13" i="6"/>
  <c r="D334" i="1"/>
  <c r="E12" i="11"/>
  <c r="E13" i="6"/>
  <c r="E334" i="1"/>
  <c r="F12" i="11"/>
  <c r="F13" i="6"/>
  <c r="F334" i="1"/>
  <c r="G12" i="11"/>
  <c r="G13" i="6"/>
  <c r="G334" i="1"/>
  <c r="H12" i="11"/>
  <c r="H334" i="1"/>
  <c r="I12" i="11"/>
  <c r="I334" i="1"/>
  <c r="J12" i="11"/>
  <c r="J337" i="1"/>
  <c r="K12" i="11"/>
  <c r="K334" i="1"/>
  <c r="L12" i="11"/>
  <c r="L334" i="1"/>
  <c r="M12" i="11"/>
  <c r="M334" i="1"/>
  <c r="N334" i="1"/>
  <c r="O12" i="11"/>
  <c r="P334" i="1"/>
  <c r="P12" i="11"/>
  <c r="Q334" i="1"/>
  <c r="Q12" i="11"/>
  <c r="R334" i="1"/>
  <c r="R12" i="11"/>
  <c r="S334" i="1"/>
  <c r="S12" i="11"/>
  <c r="T334" i="1"/>
  <c r="U334" i="1"/>
  <c r="V334" i="1"/>
  <c r="W334" i="1"/>
  <c r="X334" i="1"/>
  <c r="C13" i="11"/>
  <c r="C14" i="6"/>
  <c r="C347" i="1"/>
  <c r="D13" i="11"/>
  <c r="D14" i="6"/>
  <c r="D347" i="1"/>
  <c r="E13" i="11"/>
  <c r="E14" i="6"/>
  <c r="E347" i="1"/>
  <c r="F13" i="11"/>
  <c r="F14" i="6"/>
  <c r="F347" i="1"/>
  <c r="G13" i="11"/>
  <c r="G14" i="6"/>
  <c r="G347" i="1"/>
  <c r="H13" i="11"/>
  <c r="H347" i="1"/>
  <c r="I13" i="11"/>
  <c r="I347" i="1"/>
  <c r="L13" i="11"/>
  <c r="L347" i="1"/>
  <c r="M13" i="11"/>
  <c r="M347" i="1"/>
  <c r="N347" i="1"/>
  <c r="O13" i="11"/>
  <c r="P347" i="1"/>
  <c r="P13" i="11"/>
  <c r="Q347" i="1"/>
  <c r="Q13" i="11"/>
  <c r="R347" i="1"/>
  <c r="R13" i="11"/>
  <c r="S347" i="1"/>
  <c r="S13" i="11"/>
  <c r="T347" i="1"/>
  <c r="U347" i="1"/>
  <c r="V347" i="1"/>
  <c r="W347" i="1"/>
  <c r="X347" i="1"/>
  <c r="K14" i="6"/>
  <c r="K623" i="1"/>
  <c r="K620" i="1"/>
  <c r="K362" i="1"/>
  <c r="K355" i="1"/>
  <c r="L14" i="6"/>
  <c r="L620" i="1"/>
  <c r="L362" i="1"/>
  <c r="L355" i="1"/>
  <c r="M14" i="6"/>
  <c r="M620" i="1"/>
  <c r="O14" i="6"/>
  <c r="P620" i="1"/>
  <c r="P355" i="1"/>
  <c r="P351" i="1"/>
  <c r="P14" i="6"/>
  <c r="Q620" i="1"/>
  <c r="Q355" i="1"/>
  <c r="Q351" i="1"/>
  <c r="M355" i="1"/>
  <c r="M362" i="1"/>
  <c r="P362" i="1"/>
  <c r="Q362" i="1"/>
  <c r="H15" i="6"/>
  <c r="H621" i="1"/>
  <c r="I15" i="6"/>
  <c r="I621" i="1"/>
  <c r="J15" i="6"/>
  <c r="J623" i="1"/>
  <c r="J621" i="1"/>
  <c r="J365" i="1"/>
  <c r="K15" i="6"/>
  <c r="K621" i="1"/>
  <c r="K365" i="1"/>
  <c r="L15" i="6"/>
  <c r="L621" i="1"/>
  <c r="L365" i="1"/>
  <c r="M15" i="6"/>
  <c r="M621" i="1"/>
  <c r="M365" i="1"/>
  <c r="G14" i="11"/>
  <c r="G16" i="6"/>
  <c r="G15" i="6" s="1"/>
  <c r="H14" i="11"/>
  <c r="H16" i="6"/>
  <c r="I14" i="11"/>
  <c r="I16" i="6"/>
  <c r="J14" i="11"/>
  <c r="J16" i="6"/>
  <c r="K14" i="11"/>
  <c r="K16" i="6"/>
  <c r="F15" i="11"/>
  <c r="F17" i="6"/>
  <c r="F15" i="6" s="1"/>
  <c r="G15" i="11"/>
  <c r="G17" i="6"/>
  <c r="H15" i="11"/>
  <c r="H17" i="6"/>
  <c r="I15" i="11"/>
  <c r="I17" i="6"/>
  <c r="J15" i="11"/>
  <c r="J17" i="6"/>
  <c r="K15" i="11"/>
  <c r="K17" i="6"/>
  <c r="M15" i="11"/>
  <c r="M17" i="6"/>
  <c r="M16" i="11"/>
  <c r="M18" i="6"/>
  <c r="M17" i="11"/>
  <c r="M19" i="6"/>
  <c r="M18" i="11"/>
  <c r="M20" i="6"/>
  <c r="J19" i="11"/>
  <c r="J21" i="6"/>
  <c r="K19" i="11"/>
  <c r="K21" i="6"/>
  <c r="M19" i="11"/>
  <c r="M21" i="6"/>
  <c r="P630" i="1"/>
  <c r="P611" i="1"/>
  <c r="P404" i="1"/>
  <c r="Q630" i="1"/>
  <c r="Q611" i="1"/>
  <c r="Q404" i="1"/>
  <c r="R630" i="1"/>
  <c r="R611" i="1"/>
  <c r="R404" i="1"/>
  <c r="S630" i="1"/>
  <c r="S611" i="1"/>
  <c r="S404" i="1"/>
  <c r="T630" i="1"/>
  <c r="T611" i="1"/>
  <c r="T404" i="1"/>
  <c r="U630" i="1"/>
  <c r="U611" i="1"/>
  <c r="U404" i="1"/>
  <c r="V630" i="1"/>
  <c r="V611" i="1"/>
  <c r="V404" i="1"/>
  <c r="W630" i="1"/>
  <c r="W611" i="1"/>
  <c r="W404" i="1"/>
  <c r="X630" i="1"/>
  <c r="X611" i="1"/>
  <c r="X404" i="1"/>
  <c r="Y630" i="1"/>
  <c r="Y404" i="1"/>
  <c r="X430" i="1"/>
  <c r="Y430" i="1"/>
  <c r="O623" i="1"/>
  <c r="O621" i="1"/>
  <c r="O519" i="1"/>
  <c r="P621" i="1"/>
  <c r="P519" i="1"/>
  <c r="Q621" i="1"/>
  <c r="Q519" i="1"/>
  <c r="R621" i="1"/>
  <c r="R519" i="1"/>
  <c r="S621" i="1"/>
  <c r="S519" i="1"/>
  <c r="T621" i="1"/>
  <c r="T519" i="1"/>
  <c r="U621" i="1"/>
  <c r="U519" i="1"/>
  <c r="V621" i="1"/>
  <c r="V519" i="1"/>
  <c r="W621" i="1"/>
  <c r="W519" i="1"/>
  <c r="X621" i="1"/>
  <c r="X519" i="1"/>
  <c r="Y621" i="1"/>
  <c r="Y519" i="1"/>
  <c r="P588" i="1"/>
  <c r="P586" i="1"/>
  <c r="Q588" i="1"/>
  <c r="Q586" i="1"/>
  <c r="R588" i="1"/>
  <c r="R586" i="1"/>
  <c r="S588" i="1"/>
  <c r="S586" i="1"/>
  <c r="T588" i="1"/>
  <c r="T586" i="1"/>
  <c r="U588" i="1"/>
  <c r="U586" i="1"/>
  <c r="V588" i="1"/>
  <c r="V586" i="1"/>
  <c r="W588" i="1"/>
  <c r="W586" i="1"/>
  <c r="X588" i="1"/>
  <c r="X586" i="1"/>
  <c r="Y588" i="1"/>
  <c r="Y586" i="1"/>
  <c r="D608" i="1"/>
  <c r="C167" i="2"/>
  <c r="D167" i="2"/>
  <c r="E167" i="2"/>
  <c r="F167" i="2"/>
  <c r="G167" i="2"/>
  <c r="H167" i="2"/>
  <c r="I167" i="2"/>
  <c r="L167" i="2"/>
  <c r="M167" i="2"/>
  <c r="N167" i="2"/>
  <c r="P167" i="2"/>
  <c r="Q167" i="2"/>
  <c r="R167" i="2"/>
  <c r="S167" i="2"/>
  <c r="T167" i="2"/>
  <c r="U167" i="2"/>
  <c r="V167" i="2"/>
  <c r="W167" i="2"/>
  <c r="X167" i="2"/>
  <c r="J185" i="2"/>
  <c r="K185" i="2"/>
  <c r="L185" i="2"/>
  <c r="M185" i="2"/>
  <c r="P245" i="2"/>
  <c r="Q245" i="2"/>
  <c r="R245" i="2"/>
  <c r="S245" i="2"/>
  <c r="T245" i="2"/>
  <c r="U245" i="2"/>
  <c r="V245" i="2"/>
  <c r="W245" i="2"/>
  <c r="X245" i="2"/>
  <c r="Y245" i="2"/>
  <c r="E21" i="9"/>
  <c r="I21" i="9"/>
  <c r="M21" i="9"/>
  <c r="Q21" i="9"/>
  <c r="U21" i="9"/>
  <c r="Y21" i="9"/>
  <c r="AC21" i="9"/>
  <c r="AG21" i="9"/>
  <c r="AK21" i="9"/>
  <c r="AO21" i="9"/>
  <c r="AS21" i="9"/>
  <c r="E41" i="9"/>
  <c r="I41" i="9"/>
  <c r="M41" i="9"/>
  <c r="Q41" i="9"/>
  <c r="U41" i="9"/>
  <c r="Y41" i="9"/>
  <c r="AC41" i="9"/>
  <c r="AG41" i="9"/>
  <c r="AK41" i="9"/>
  <c r="AO41" i="9"/>
  <c r="AS41" i="9"/>
  <c r="J13" i="11" l="1"/>
  <c r="J319" i="1"/>
  <c r="M624" i="1"/>
  <c r="G24" i="10"/>
  <c r="F24" i="10"/>
  <c r="M24" i="10"/>
  <c r="M12" i="10" s="1"/>
  <c r="K24" i="10"/>
  <c r="K12" i="10" s="1"/>
  <c r="J24" i="10"/>
  <c r="J12" i="10" s="1"/>
  <c r="I24" i="10"/>
  <c r="I12" i="10" s="1"/>
  <c r="H24" i="10"/>
  <c r="H12" i="10" s="1"/>
  <c r="B31" i="12"/>
  <c r="D13" i="12"/>
  <c r="D31" i="12" s="1"/>
  <c r="C35" i="12" s="1"/>
  <c r="Y615" i="1"/>
  <c r="Y608" i="1"/>
  <c r="Y637" i="1"/>
  <c r="X615" i="1"/>
  <c r="X610" i="1"/>
  <c r="X608" i="1"/>
  <c r="X637" i="1"/>
  <c r="W615" i="1"/>
  <c r="W610" i="1"/>
  <c r="W608" i="1"/>
  <c r="W637" i="1"/>
  <c r="V615" i="1"/>
  <c r="V610" i="1"/>
  <c r="V608" i="1"/>
  <c r="V637" i="1"/>
  <c r="U615" i="1"/>
  <c r="U610" i="1"/>
  <c r="U608" i="1"/>
  <c r="U637" i="1"/>
  <c r="T615" i="1"/>
  <c r="T610" i="1"/>
  <c r="T608" i="1"/>
  <c r="T637" i="1"/>
  <c r="S615" i="1"/>
  <c r="S610" i="1"/>
  <c r="S608" i="1"/>
  <c r="S637" i="1"/>
  <c r="R615" i="1"/>
  <c r="R610" i="1"/>
  <c r="R608" i="1"/>
  <c r="R637" i="1"/>
  <c r="Q615" i="1"/>
  <c r="Q610" i="1"/>
  <c r="Q608" i="1"/>
  <c r="Q637" i="1"/>
  <c r="P615" i="1"/>
  <c r="P610" i="1"/>
  <c r="P608" i="1"/>
  <c r="P637" i="1"/>
  <c r="J12" i="6" l="1"/>
  <c r="J313" i="1"/>
  <c r="J334" i="1"/>
  <c r="G14" i="7" l="1"/>
  <c r="J314" i="1"/>
  <c r="J607" i="1"/>
  <c r="K314" i="1"/>
  <c r="J608" i="1" l="1"/>
  <c r="K60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38" authorId="0" shapeId="0" xr:uid="{00000000-0006-0000-0000-000001000000}">
      <text>
        <r>
          <rPr>
            <sz val="10"/>
            <rFont val="Arial"/>
            <charset val="1"/>
          </rPr>
          <t xml:space="preserve">Pipinen Tuula:
</t>
        </r>
        <r>
          <rPr>
            <sz val="9"/>
            <color rgb="FF000000"/>
            <rFont val="Tahoma"/>
            <family val="2"/>
            <charset val="1"/>
          </rPr>
          <t>Viikinmäki ja Arabianranta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0" authorId="0" shapeId="0" xr:uid="{00000000-0006-0000-0100-000001000000}">
      <text>
        <r>
          <rPr>
            <sz val="10"/>
            <rFont val="Arial"/>
            <charset val="1"/>
          </rPr>
          <t xml:space="preserve">Pipinen Tuula:
</t>
        </r>
        <r>
          <rPr>
            <sz val="9"/>
            <color rgb="FF000000"/>
            <rFont val="Tahoma"/>
            <family val="2"/>
            <charset val="1"/>
          </rPr>
          <t>Viikinmäki ja Arabianranta</t>
        </r>
      </text>
    </comment>
  </commentList>
</comments>
</file>

<file path=xl/sharedStrings.xml><?xml version="1.0" encoding="utf-8"?>
<sst xmlns="http://schemas.openxmlformats.org/spreadsheetml/2006/main" count="3209" uniqueCount="549">
  <si>
    <t>HELSINGIN KAUPUNKI</t>
  </si>
  <si>
    <t>MAANKÄYTTÖ JA KAUPUNKIRAKENNE</t>
  </si>
  <si>
    <t>Liikenne- ja katusuunnittelu/Tuula Pipinen</t>
  </si>
  <si>
    <t xml:space="preserve"> </t>
  </si>
  <si>
    <t>TALOUSARVIOEHDOTUS 2023 JA TALOUSSUUNNITELMAEHDOTUS 2023 - 2025 &amp; ALUSTAVA INVESTOINTIOHJELMA 2026-2032</t>
  </si>
  <si>
    <t>8 01 ESIRAKENTAMINEN, 8 03 KADUT JA LIIKENNEVÄYLÄT, 8 04 PUISTOT JA LIIKUNTA-ALUEET, 8 08 PROJEKTIALUEIDEN INFRARAKENTAMINEN, 8 09 KAUPUNKIUUDISTUSALUEET, 8 10 SUURET LIIKENNEHANKKEET</t>
  </si>
  <si>
    <t>Talousarvion alakohta</t>
  </si>
  <si>
    <t>TP</t>
  </si>
  <si>
    <t>TA</t>
  </si>
  <si>
    <t>TAE</t>
  </si>
  <si>
    <t>TSE</t>
  </si>
  <si>
    <t>Alustava investointiohjelma</t>
  </si>
  <si>
    <t>Nro</t>
  </si>
  <si>
    <t>Vuosi</t>
  </si>
  <si>
    <t>+ylitysoik</t>
  </si>
  <si>
    <t>1000 €</t>
  </si>
  <si>
    <t>8 01</t>
  </si>
  <si>
    <t>ESIRAKENTMAINEN (KIINTEÄ OMAISUUS)</t>
  </si>
  <si>
    <t>TA2021:n ylitysoikeus yht.</t>
  </si>
  <si>
    <t>Raami (TAE23)</t>
  </si>
  <si>
    <t>Poikkeama</t>
  </si>
  <si>
    <t>8 01 01</t>
  </si>
  <si>
    <t>Kiinteistöjen ja kiinteistöjen hallintaan oikeuttavien osakkeiden ostot ja lunastukset</t>
  </si>
  <si>
    <t>TA2021:n ylitysoikeus</t>
  </si>
  <si>
    <t>8 01 02</t>
  </si>
  <si>
    <t>PROJEKTIALUEIDEN ESIRAKENTAMINEN</t>
  </si>
  <si>
    <t>TA2020:n ylitysoikeus yht.</t>
  </si>
  <si>
    <t>8 01 02 01</t>
  </si>
  <si>
    <t>Kamppi-Töölönlahden esirakentaminen</t>
  </si>
  <si>
    <t>8 01 02 02</t>
  </si>
  <si>
    <t>Länsisataman esirakentaminen</t>
  </si>
  <si>
    <t>8 01 02 03</t>
  </si>
  <si>
    <t>Kalasataman esirakentaminen</t>
  </si>
  <si>
    <t>8 01 02 04</t>
  </si>
  <si>
    <t>Kruunuvuorenrannan esirakentaminen</t>
  </si>
  <si>
    <t>8 01 02 05</t>
  </si>
  <si>
    <t>Kuninkaankolmion esirakentaminen</t>
  </si>
  <si>
    <t>8 01 02 06</t>
  </si>
  <si>
    <t>Pasilan esirakentaminen</t>
  </si>
  <si>
    <t>8 01 02 07</t>
  </si>
  <si>
    <t>Uudet projektialueet ja muu täyd. alue esirak.</t>
  </si>
  <si>
    <t>8 01 02 09</t>
  </si>
  <si>
    <t xml:space="preserve">Malmin esirakentaminen </t>
  </si>
  <si>
    <t>ESIRAKENTAMINEN</t>
  </si>
  <si>
    <t xml:space="preserve"> on </t>
  </si>
  <si>
    <t>pääluokka</t>
  </si>
  <si>
    <t>Muu esirakentaminen</t>
  </si>
  <si>
    <t>luokka</t>
  </si>
  <si>
    <t>Täydennysrakentamiskorvaukset</t>
  </si>
  <si>
    <t>alaluokka</t>
  </si>
  <si>
    <t>80101 ja 80103 yhteensä</t>
  </si>
  <si>
    <t>uusi raami</t>
  </si>
  <si>
    <t>erotus</t>
  </si>
  <si>
    <t xml:space="preserve">  </t>
  </si>
  <si>
    <t xml:space="preserve">on </t>
  </si>
  <si>
    <t>PW:n sijaintikenttä / Suurpiirin nimi</t>
  </si>
  <si>
    <t>8 03</t>
  </si>
  <si>
    <t>KADUT, LIIKENNEVÄYLÄT</t>
  </si>
  <si>
    <t>Muutos edelliseen vuoteen, %</t>
  </si>
  <si>
    <t>Raami (TA22)</t>
  </si>
  <si>
    <t>8 03 01</t>
  </si>
  <si>
    <t>UUDISRAKENTAMINEN, PERUSPARANTAMINEN JA MUUT INVESTOINNIT/ Kylkn käytettäväksi</t>
  </si>
  <si>
    <t>Raami (TAE22)</t>
  </si>
  <si>
    <t>PW:n sijaintikenttä / Kaupunginosan nimi</t>
  </si>
  <si>
    <t>UUDISRAKENTAMINEN</t>
  </si>
  <si>
    <t>Eteläinen suurpiiri</t>
  </si>
  <si>
    <t>Kaupungiosan_nimi</t>
  </si>
  <si>
    <t>Läntinen suurpiiri</t>
  </si>
  <si>
    <t>Keskinen suurpiiri</t>
  </si>
  <si>
    <t>Pohjoinen suurpiiri</t>
  </si>
  <si>
    <t>Koillinen suurpiiri</t>
  </si>
  <si>
    <t>Kaakkoinen suurpiiri</t>
  </si>
  <si>
    <t>Itäinen suurpiiri</t>
  </si>
  <si>
    <t>Östersundomin suurpiiri</t>
  </si>
  <si>
    <t>suurpiirit yhteensä</t>
  </si>
  <si>
    <t>Meluesteet</t>
  </si>
  <si>
    <t>Suurpiirin_nimi</t>
  </si>
  <si>
    <t>Tapanilankaari Rintamasotilaantie-Moisiontie</t>
  </si>
  <si>
    <t>Kirkonkyläntie</t>
  </si>
  <si>
    <t>Vanha Porvoontie (pohj.osa ja eteläosa)</t>
  </si>
  <si>
    <t>Tapaninkyläntie(Tapanilankaari/Tapaninkyläntie)</t>
  </si>
  <si>
    <t>Tapaninvainiontie etelä- ja pohjoisosa</t>
  </si>
  <si>
    <t>Suutarilantie, eteläosa</t>
  </si>
  <si>
    <t>Itäväylä, Herttoniemi 5,0 M€</t>
  </si>
  <si>
    <t>Turuntie, Reimarla</t>
  </si>
  <si>
    <t>Itäväylä, Marjaniemi 1,4 M€</t>
  </si>
  <si>
    <t>Muu meluntorjunta</t>
  </si>
  <si>
    <t>PERUSPARANTAMINEN JA LIIKENNEJÄRJESTELYT</t>
  </si>
  <si>
    <t>Katujen peruskorjaukset</t>
  </si>
  <si>
    <t>Ulkovalaistuksen ja liik.valojen peruskorjaus sekä LED</t>
  </si>
  <si>
    <t>Östersundom</t>
  </si>
  <si>
    <t xml:space="preserve">       </t>
  </si>
  <si>
    <t>Siltojen peruskorjaus ja uusiminen</t>
  </si>
  <si>
    <t>RAAMI</t>
  </si>
  <si>
    <t>Siltojen peruskorjaus</t>
  </si>
  <si>
    <t>Uusittavat sillat</t>
  </si>
  <si>
    <t>Kulosaarensilta</t>
  </si>
  <si>
    <t>Rajasaarensilta 2,4M€</t>
  </si>
  <si>
    <t>Hakaniemensilta (kas suuret liikennehankkeet)</t>
  </si>
  <si>
    <t xml:space="preserve">Mannerheimintien silta, 1,5 M€ </t>
  </si>
  <si>
    <t>Arkadiankadun silta 2,1 M€ 2025</t>
  </si>
  <si>
    <t>Runeberginkadun silta 1,1 M€, 2028</t>
  </si>
  <si>
    <t>Vartiosaaren yhteysliikennelaiturit, 400 t€ 2022</t>
  </si>
  <si>
    <t>Kauppatorin rantamuurit ja pistolaituri, 1 M€ 2024</t>
  </si>
  <si>
    <t>Herttoniemensalmen pohjoinen silta, 4,8 M€ 2027</t>
  </si>
  <si>
    <t>Helsinginkadun jks, 0,8 M € 2027</t>
  </si>
  <si>
    <t>Killingholmansilta 170 t€ 2026</t>
  </si>
  <si>
    <t>Professorintie risteyssilta, 2,9 M€ 2030</t>
  </si>
  <si>
    <t>Päällysteiden uusiminen</t>
  </si>
  <si>
    <t xml:space="preserve">Joukkoliikenteen kehittäminen </t>
  </si>
  <si>
    <t>Runkolinjat ja muu keh.</t>
  </si>
  <si>
    <t>Pysäkkien parantaminen ja muu sujuvoittaminen</t>
  </si>
  <si>
    <t>Liikennejärjestelyt</t>
  </si>
  <si>
    <t xml:space="preserve">TA2020:n ylitysoikeus </t>
  </si>
  <si>
    <t>Jalankulun ja pyöräilyn väylät</t>
  </si>
  <si>
    <t>Auroransilta</t>
  </si>
  <si>
    <t>Paciuksenkadun alikulku</t>
  </si>
  <si>
    <t>Mätäojansilta, Pornaistenn.p.raittisilta, Kaarelanp. Raittisilta</t>
  </si>
  <si>
    <t>Latokartanontien alikulku</t>
  </si>
  <si>
    <t>Kansalaistori-Kaisaniemi akk</t>
  </si>
  <si>
    <t>Mikonpojanpolun klv -silta</t>
  </si>
  <si>
    <t>Tilkansillan levennys</t>
  </si>
  <si>
    <t>Raittisillan tyyppisuunnitelmat</t>
  </si>
  <si>
    <t>Vuosaarensilta</t>
  </si>
  <si>
    <t>TA2018:n ylitysoikeus</t>
  </si>
  <si>
    <t>MUUT KADUNPIDON INVESTOINNIT</t>
  </si>
  <si>
    <t>Täytemaan vastaanottopaikat</t>
  </si>
  <si>
    <t>Lumenvastaanottopaikat ja hiekkasiilot</t>
  </si>
  <si>
    <t>Yleiset käymälät</t>
  </si>
  <si>
    <t>Ranta-alueiden kunnostus (tulvasuojarak.)</t>
  </si>
  <si>
    <t>8 03 02</t>
  </si>
  <si>
    <t>PROJEKTIALUEIDEN KADUT / Khn käytettäväksi</t>
  </si>
  <si>
    <t>muutos-%</t>
  </si>
  <si>
    <t>8 03 02 01</t>
  </si>
  <si>
    <t>KAMPPI-TÖÖLÖNLAHTI -ALUEEN KADUT</t>
  </si>
  <si>
    <t xml:space="preserve">Kamppi - Töölönlahti -alueen kadut </t>
  </si>
  <si>
    <t>Kamppi</t>
  </si>
  <si>
    <t>Töölönlahti</t>
  </si>
  <si>
    <t>Leppäsuo</t>
  </si>
  <si>
    <t>8 03 02 02</t>
  </si>
  <si>
    <t>LÄNSISATAMA (ent. JÄTKÄSAARI)</t>
  </si>
  <si>
    <t>Hernesaaren ja Telakkarannan kadut ja rantarak.</t>
  </si>
  <si>
    <t>Hernesaari ja Telakkaranta</t>
  </si>
  <si>
    <t>Jätkäsaaren kadut ja rantarakenteet</t>
  </si>
  <si>
    <t>Saukonlaiturin kadut</t>
  </si>
  <si>
    <t>Saukonpaaden alue</t>
  </si>
  <si>
    <t>Asemakaava-alue 1:n kadut</t>
  </si>
  <si>
    <t>Atlantinkaari</t>
  </si>
  <si>
    <t>Muut asemakaava-alueiden kadut</t>
  </si>
  <si>
    <t>Salmisaari</t>
  </si>
  <si>
    <t>8 03 02 03</t>
  </si>
  <si>
    <t>KALASATAMA</t>
  </si>
  <si>
    <t>Sörnäisten liikennetunneli (160 M€)</t>
  </si>
  <si>
    <t>Kalasataman kadut ja rantarakenteet</t>
  </si>
  <si>
    <t>Kalasataman alue, suunnittelu tms. 2008 - 09</t>
  </si>
  <si>
    <t>Suvilahti, Kaasukellopuisto, kadut ja rakenteet</t>
  </si>
  <si>
    <t>Sörnäistenniemi, kadut ja rakenteet</t>
  </si>
  <si>
    <t>Kalasataman keskus, kadut ja rakenteet(SRV)</t>
  </si>
  <si>
    <t>Hanasaari, kadut ja rakenteet</t>
  </si>
  <si>
    <t>Kyläsaaren pohjoisosa, kadut</t>
  </si>
  <si>
    <t>Verkkosaari, kadut ja rakenteet</t>
  </si>
  <si>
    <t>Sompasaari, kadut ja rakenteet</t>
  </si>
  <si>
    <t>Tukkutori</t>
  </si>
  <si>
    <t>Nihti</t>
  </si>
  <si>
    <t>Hermanninranta</t>
  </si>
  <si>
    <t>8 03 02 04</t>
  </si>
  <si>
    <t>KRUUNUVUORENRANTA</t>
  </si>
  <si>
    <t>Itäväylä /Herttoniemen liittymä</t>
  </si>
  <si>
    <t>Kruunuvuorenrannan kadut ja rantarakenteet</t>
  </si>
  <si>
    <t>Koirasaarentie-Reiherintie, katu &amp; meluntorjunta</t>
  </si>
  <si>
    <t>Laajasalontien pohjoispää</t>
  </si>
  <si>
    <t>Gunillankallion alue</t>
  </si>
  <si>
    <t>Borgströminmäen alue</t>
  </si>
  <si>
    <t>Hopealaakson alue</t>
  </si>
  <si>
    <t>Haakoninlahti 1</t>
  </si>
  <si>
    <t>Päätien alue</t>
  </si>
  <si>
    <t>Palvelukorttelit ja ranta</t>
  </si>
  <si>
    <t>Haakoninlahti 2</t>
  </si>
  <si>
    <t>Kruunuvuori</t>
  </si>
  <si>
    <t>Stansvikinnummi</t>
  </si>
  <si>
    <t>Koirasaaret</t>
  </si>
  <si>
    <t>Muut (proj. Johto tms.)</t>
  </si>
  <si>
    <t>8 03 02 05</t>
  </si>
  <si>
    <t>PASILA</t>
  </si>
  <si>
    <t>Ilmala ja Länsi-Pasila, kadut ja rakenteet</t>
  </si>
  <si>
    <t>Ilmala, Kadut ja rakenteet</t>
  </si>
  <si>
    <t>Raitiotielinja 9, katutyöt Pasila - Ilmala</t>
  </si>
  <si>
    <t>Keski-Pasila, kadut ja rakenteet</t>
  </si>
  <si>
    <r>
      <rPr>
        <i/>
        <sz val="12"/>
        <rFont val="Arial"/>
        <family val="2"/>
        <charset val="1"/>
      </rPr>
      <t xml:space="preserve">Veturitie </t>
    </r>
    <r>
      <rPr>
        <i/>
        <sz val="9"/>
        <rFont val="Arial"/>
        <family val="2"/>
        <charset val="1"/>
      </rPr>
      <t>(YIT:n sop.alueella)</t>
    </r>
  </si>
  <si>
    <r>
      <rPr>
        <i/>
        <sz val="12"/>
        <rFont val="Arial"/>
        <family val="2"/>
        <charset val="1"/>
      </rPr>
      <t xml:space="preserve">Veturitie </t>
    </r>
    <r>
      <rPr>
        <i/>
        <sz val="9"/>
        <rFont val="Arial"/>
        <family val="2"/>
        <charset val="1"/>
      </rPr>
      <t>(YIT:n sop. liittyvä)</t>
    </r>
  </si>
  <si>
    <t>Keski-Pasila:YIT-sopimus (sis. Pasilansillan)</t>
  </si>
  <si>
    <r>
      <rPr>
        <i/>
        <sz val="12"/>
        <rFont val="Arial"/>
        <family val="2"/>
        <charset val="1"/>
      </rPr>
      <t xml:space="preserve">Keski-Pasila </t>
    </r>
    <r>
      <rPr>
        <i/>
        <sz val="10"/>
        <rFont val="Arial"/>
        <family val="2"/>
        <charset val="1"/>
      </rPr>
      <t>(YIT:n sop. liittyvät)</t>
    </r>
  </si>
  <si>
    <t>Muut kadut ja rakenteet</t>
  </si>
  <si>
    <t xml:space="preserve">Asemapäällikönkadun sillan leventäminen </t>
  </si>
  <si>
    <t>Teollisuuskatu</t>
  </si>
  <si>
    <t>Vauhtitien tulvaviemäri</t>
  </si>
  <si>
    <t>Pohjois-Pasila, kadut ja rakenteet</t>
  </si>
  <si>
    <t>Pasilan konepaja-alue</t>
  </si>
  <si>
    <t>8 03 02 06</t>
  </si>
  <si>
    <t>KUNINKAANKOLMIO</t>
  </si>
  <si>
    <t>Kuninkaantammen alue</t>
  </si>
  <si>
    <t>Honkasuon alue</t>
  </si>
  <si>
    <t>8 03 02 07</t>
  </si>
  <si>
    <t xml:space="preserve">KRUUNUSILLAT </t>
  </si>
  <si>
    <t>8 03 02 08</t>
  </si>
  <si>
    <t>UUDET PROJEKTIALUEET JA MUU</t>
  </si>
  <si>
    <t>TÄYDENNYSRAKENTAMINEN</t>
  </si>
  <si>
    <t>8 03 02 09</t>
  </si>
  <si>
    <t>MALMI</t>
  </si>
  <si>
    <t>YHTEISHANKKEET VÄYLÄVIRASTO</t>
  </si>
  <si>
    <t>Kehä I / Espoon raja - Vihdintie</t>
  </si>
  <si>
    <t>Kehä I / Hämeenlinnaväylän eritasoliittymä</t>
  </si>
  <si>
    <t>Kehä I / Kivikontie eritasoliittymä (sis Latokartanon meluest.)</t>
  </si>
  <si>
    <t>Kehä I / Myllypuron eritasoliittymä</t>
  </si>
  <si>
    <t>Kehä I / Itäväylä eritasoliittymä</t>
  </si>
  <si>
    <t>Kehä I / L-Pakila, lisäkaistat ja meluesteet</t>
  </si>
  <si>
    <t>Länsiväylä, Koivusaaren eritasoliittymä</t>
  </si>
  <si>
    <t>Vihdintie / Haaga-kehä III</t>
  </si>
  <si>
    <t>Hämeenlinnanväylä, Kuninkaantammen etl +Kaarela (bussik. ja melu)</t>
  </si>
  <si>
    <t>Lahdenväylä / Koskelantien liitt.+ länsip. rampit</t>
  </si>
  <si>
    <t>Lahdenväylä / Ilmasillan eritasoliittymä</t>
  </si>
  <si>
    <t>Tuusulanväylä, Jokeri 2 /Yhdyskunnantien vaihtopys.</t>
  </si>
  <si>
    <t>Tuusulanväylän kääntö Veturitielle</t>
  </si>
  <si>
    <t>Porvoonväylä (Vt 7) meluntorj. / Jakomäki</t>
  </si>
  <si>
    <t>Turunväylän ja Huopalahdentien liittymä</t>
  </si>
  <si>
    <t>Kehä I meluntorj. / Vantaanjoki - Itäväylä</t>
  </si>
  <si>
    <t xml:space="preserve">Kehä I meluntorj. / Sepänmäki </t>
  </si>
  <si>
    <t xml:space="preserve">Lahdenväylä,Viikki, melueste </t>
  </si>
  <si>
    <t>Tuusulanväylä, Torpparinmäki, melueste</t>
  </si>
  <si>
    <t>Hämeenlinnanväylä, Pohjois-Haagan melueste</t>
  </si>
  <si>
    <t>Turunväylän alittava hulevesirumpu</t>
  </si>
  <si>
    <t>Tiehankkeiden suunnittelu</t>
  </si>
  <si>
    <t>8 04</t>
  </si>
  <si>
    <t>PUISTOT JA LIIKUNTA-ALUEET</t>
  </si>
  <si>
    <t>PUISTOT JA LIIKUNTA-ALUEET/ Kylkn käytettäväksi</t>
  </si>
  <si>
    <t>UUDET PUISTOT JA PUISTOJEN PERUSKORJAUS/ Kylkn käytettäväksi</t>
  </si>
  <si>
    <t>Uudet puistot</t>
  </si>
  <si>
    <t>%-osuus</t>
  </si>
  <si>
    <t>Luonnonsuojelualueet</t>
  </si>
  <si>
    <t>Puistojen peruskorjaus</t>
  </si>
  <si>
    <t>LIIKUNTAPAIKAT JA ULKOILUALUEET/ Kylkn käytettäväksi</t>
  </si>
  <si>
    <t>Uudet liikuntapaikat ja ulkoilualueet</t>
  </si>
  <si>
    <t>Uudet liikuntapuistot</t>
  </si>
  <si>
    <t>Uudet liikuntapaikat ja kentät</t>
  </si>
  <si>
    <t>Liikunta- ja ulkoilualueiden peruskorjaus</t>
  </si>
  <si>
    <t>Peruskorjauksen erillishankkeet</t>
  </si>
  <si>
    <t>Venesatamien, vesiliikennelait. ja -väylien perusk.</t>
  </si>
  <si>
    <t>Ulkoilualueiden ja uimarantojen peruskorjaus</t>
  </si>
  <si>
    <t>Liikuntapaikkojen ja kenttien peruskorjaus</t>
  </si>
  <si>
    <t>8 04 02</t>
  </si>
  <si>
    <t>PROJEKTIALUEIDEN PUISTOT JA LIIKUNTA-ALUEET/ Khn käytettäväksi</t>
  </si>
  <si>
    <t>8 04 02 01</t>
  </si>
  <si>
    <t>KAMPPI-TÖÖLÖNLAHTI ALUEEN PUISTOT</t>
  </si>
  <si>
    <t>Makasiinipuisto</t>
  </si>
  <si>
    <t xml:space="preserve">Töölönlahdenpuisto / "väliaikainen" puisto </t>
  </si>
  <si>
    <t>Hesperianpuiston ranta</t>
  </si>
  <si>
    <t>8 04 02 02</t>
  </si>
  <si>
    <t>LÄNSISATAMAN PUISTOT JA LIIKUNTA-ALUEET</t>
  </si>
  <si>
    <t>Saukonpaasi</t>
  </si>
  <si>
    <t>Jätkäsaari /Hyväntoivonpuisto</t>
  </si>
  <si>
    <t>Jätkäsaaren liikuntapuisto</t>
  </si>
  <si>
    <t>8 04 02 03</t>
  </si>
  <si>
    <t>KALASATAMAN PUISTOT JA LIIKUNTA-ALUEET</t>
  </si>
  <si>
    <t>8 04 02 04</t>
  </si>
  <si>
    <t>KRUUNUVUORENRANNAN PUISTOT JA LIIKUNTA-ALUEET</t>
  </si>
  <si>
    <t>8 04 02 05</t>
  </si>
  <si>
    <t>PASILAN PUISTOT</t>
  </si>
  <si>
    <t>8 04 02 06</t>
  </si>
  <si>
    <t>KUNINKAANKOLMION PUISTOT</t>
  </si>
  <si>
    <t>Kuninkaantammi</t>
  </si>
  <si>
    <t>Honkasuo</t>
  </si>
  <si>
    <t>8 04 02 08</t>
  </si>
  <si>
    <t>8 04 02 09</t>
  </si>
  <si>
    <t>MALMIN PUISTOT</t>
  </si>
  <si>
    <t>8 08</t>
  </si>
  <si>
    <t xml:space="preserve">PROJEKTIALUEIDEN INFRARAKENTAMINEN </t>
  </si>
  <si>
    <t>TA2021</t>
  </si>
  <si>
    <t>Raami</t>
  </si>
  <si>
    <t>Kamppi-Töölönlahti</t>
  </si>
  <si>
    <t>Länsisatama</t>
  </si>
  <si>
    <t>Kalasatama</t>
  </si>
  <si>
    <t>Kruunuvuorenranta</t>
  </si>
  <si>
    <t>Pasila</t>
  </si>
  <si>
    <t>Kuninkaankolmio</t>
  </si>
  <si>
    <t>Malmi</t>
  </si>
  <si>
    <t xml:space="preserve">PROJEKTIALUEET KADUT </t>
  </si>
  <si>
    <t xml:space="preserve">TA2021 </t>
  </si>
  <si>
    <t>PROJEKTIALUEET PUISTOT JA LIIKUNTA-ALUEET</t>
  </si>
  <si>
    <t>8 09</t>
  </si>
  <si>
    <t>KAUPUNKIUUDISTUS</t>
  </si>
  <si>
    <t>Ylitysoikeus</t>
  </si>
  <si>
    <t>Malminkartano-Kannelmäki</t>
  </si>
  <si>
    <t>Esirakentaminen</t>
  </si>
  <si>
    <t>Kadut uudirakentaminen</t>
  </si>
  <si>
    <t>Kadut peruskorjaus</t>
  </si>
  <si>
    <t>Puistot uudisrakentaminen</t>
  </si>
  <si>
    <t>Puisto peruskorjaus</t>
  </si>
  <si>
    <t>Liikunta-alueet</t>
  </si>
  <si>
    <t>Mellunkylä</t>
  </si>
  <si>
    <t xml:space="preserve">8 10 </t>
  </si>
  <si>
    <t>SUURET LIIKENNEHANKKEET</t>
  </si>
  <si>
    <t>KRUUNUSILLAT</t>
  </si>
  <si>
    <t>Perushanke</t>
  </si>
  <si>
    <t>Liittyvä esirakentaminen</t>
  </si>
  <si>
    <t>Liittyvät kadut ja liikenneväylät</t>
  </si>
  <si>
    <t>KALASATAMA-PASILA</t>
  </si>
  <si>
    <t>SÖRNÄISTENTUNNELI</t>
  </si>
  <si>
    <t>INVESTOINNIT YHTEENSÄ</t>
  </si>
  <si>
    <t>Muutos-% edell. vuoteen</t>
  </si>
  <si>
    <t>TA22 Kylk</t>
  </si>
  <si>
    <t>Raami Kylk Khs 13.6.</t>
  </si>
  <si>
    <t>Raami Kh Khs 13.6.</t>
  </si>
  <si>
    <t>Khs 13.6.</t>
  </si>
  <si>
    <t>poikkeama</t>
  </si>
  <si>
    <t xml:space="preserve">Puistot ja liikunta-alueet </t>
  </si>
  <si>
    <t>Uudet puistot ja puistojen peruskorjaus</t>
  </si>
  <si>
    <t>Liikuntapaikat ja ulkoilualueet</t>
  </si>
  <si>
    <t>Projektialueiden puistot ja liikunta-alueet</t>
  </si>
  <si>
    <t>Kaupunkiuudistusalueiden puistot ja liikunta-alueet</t>
  </si>
  <si>
    <t>Puistot ja liikunta-alueet yhteensä</t>
  </si>
  <si>
    <t>raami TA22</t>
  </si>
  <si>
    <t>Infrainvestoinnit</t>
  </si>
  <si>
    <t>Kylkin käytettäväksi</t>
  </si>
  <si>
    <t>Khn käytettäväksi</t>
  </si>
  <si>
    <t>Yhteensä</t>
  </si>
  <si>
    <t>Tie-, katu- ja raideinvestoinnit</t>
  </si>
  <si>
    <t>Uudisinvestoinnit</t>
  </si>
  <si>
    <t>Viima</t>
  </si>
  <si>
    <t>Viikin kadut</t>
  </si>
  <si>
    <t>Kustaa Vaasan tien liittymäalue</t>
  </si>
  <si>
    <t>Kokoava ala taso</t>
  </si>
  <si>
    <t>PW:n sijaintikenttä</t>
  </si>
  <si>
    <t>Muu luokitus</t>
  </si>
  <si>
    <t>Muu luokituksen alakohta</t>
  </si>
  <si>
    <t>8 01 03</t>
  </si>
  <si>
    <t>ESIRAKENTAMINEN, TÄYTTÖTYÖT, RAK. KELP.SAATTAM.</t>
  </si>
  <si>
    <t>8 01 03 01</t>
  </si>
  <si>
    <t>8 01 03 02</t>
  </si>
  <si>
    <t>8 03 01 01</t>
  </si>
  <si>
    <t>8 03 01 02</t>
  </si>
  <si>
    <t>Jalankulun ja pyöräilyn sillat</t>
  </si>
  <si>
    <t>8 03  01 03</t>
  </si>
  <si>
    <t>MUUT INVESTOINNIT</t>
  </si>
  <si>
    <t>Liityntäpysäköintipaikat</t>
  </si>
  <si>
    <t>UUDET PROJEKTIALUEET JA MUU TÄYDENNYSRAKENTAMINEN</t>
  </si>
  <si>
    <t>8 03 03</t>
  </si>
  <si>
    <t>8 04 01</t>
  </si>
  <si>
    <t>8 04 01 01</t>
  </si>
  <si>
    <t>UUDET PUISTOT</t>
  </si>
  <si>
    <t>PUISTOJEN PERUSKORJAUS</t>
  </si>
  <si>
    <t>Kuntoportaat ja penkit</t>
  </si>
  <si>
    <t>8 04 01 02</t>
  </si>
  <si>
    <t>8 07</t>
  </si>
  <si>
    <t>LÄHIÖRAHASTO</t>
  </si>
  <si>
    <t>8 08 01</t>
  </si>
  <si>
    <t>8 08 01 01</t>
  </si>
  <si>
    <t>8 08 01 02</t>
  </si>
  <si>
    <t>8 08 01 03</t>
  </si>
  <si>
    <t>8 08 01 04</t>
  </si>
  <si>
    <t>8 08 01 05</t>
  </si>
  <si>
    <t>8 08 01 06</t>
  </si>
  <si>
    <t>8 08 01 07</t>
  </si>
  <si>
    <t>8 08 01 08</t>
  </si>
  <si>
    <t>8 08 02</t>
  </si>
  <si>
    <t>8 08 02 01</t>
  </si>
  <si>
    <t>KAMPPI-TÖÖLÖNLAHTI</t>
  </si>
  <si>
    <t>8 08 02 02</t>
  </si>
  <si>
    <t>LÄNSISATAMA</t>
  </si>
  <si>
    <t>8 08 02 03</t>
  </si>
  <si>
    <t>8 08 02 04</t>
  </si>
  <si>
    <t>8 08 02 05</t>
  </si>
  <si>
    <t>8 08 02 06</t>
  </si>
  <si>
    <t>8 08 02 07</t>
  </si>
  <si>
    <t>8 08 02 08</t>
  </si>
  <si>
    <t>8 08 03</t>
  </si>
  <si>
    <t>8 08 03 01</t>
  </si>
  <si>
    <t xml:space="preserve">KAMPPI-TÖÖLÖNLAHTI </t>
  </si>
  <si>
    <t>8 08 03 02</t>
  </si>
  <si>
    <t>8 08 03 03</t>
  </si>
  <si>
    <t>8 08 03 04</t>
  </si>
  <si>
    <t>8 08 03 05</t>
  </si>
  <si>
    <t>8 08 03 06</t>
  </si>
  <si>
    <t>8 08 03 07</t>
  </si>
  <si>
    <t>8 08 03 08</t>
  </si>
  <si>
    <t>8 09 01</t>
  </si>
  <si>
    <t>8 09 01 01</t>
  </si>
  <si>
    <t>8 09 01 02</t>
  </si>
  <si>
    <t>Kadut</t>
  </si>
  <si>
    <t>Uudirakentaminen</t>
  </si>
  <si>
    <t>Peruskorjaus</t>
  </si>
  <si>
    <t>8 09 01 03</t>
  </si>
  <si>
    <t>Puistot ja liikunta-alueet</t>
  </si>
  <si>
    <t xml:space="preserve">Puistot </t>
  </si>
  <si>
    <t>Uudisrakentaminen</t>
  </si>
  <si>
    <t>8 09 02</t>
  </si>
  <si>
    <t>8 09 02 01</t>
  </si>
  <si>
    <t>8 09 02 02</t>
  </si>
  <si>
    <t>8 09 02 03</t>
  </si>
  <si>
    <t>8 09 03</t>
  </si>
  <si>
    <t>8 09 03 01</t>
  </si>
  <si>
    <t>8 09 03 02</t>
  </si>
  <si>
    <t>8 09 03 03</t>
  </si>
  <si>
    <t>8 10 01</t>
  </si>
  <si>
    <t>8 10 01 01</t>
  </si>
  <si>
    <t>8 10 01 02</t>
  </si>
  <si>
    <t>8 10 01 03</t>
  </si>
  <si>
    <t>8 10 02</t>
  </si>
  <si>
    <t>8 10 02 01</t>
  </si>
  <si>
    <t>8 10 02 02</t>
  </si>
  <si>
    <t>8 10 03</t>
  </si>
  <si>
    <t>OHJELMOINTINÄKYMÄ</t>
  </si>
  <si>
    <t>Tarkista kohdat Talousarviokirjasta</t>
  </si>
  <si>
    <t>KOORDINAATIONÄKYMÄ</t>
  </si>
  <si>
    <t>ESIRAKENTAMINEN (KIINTEÄ OMAISUUS)</t>
  </si>
  <si>
    <t>Eteläinen</t>
  </si>
  <si>
    <t>Alaluokan alaluokka</t>
  </si>
  <si>
    <t>Ryhmä suurpiireille</t>
  </si>
  <si>
    <t>Östersundom suurpiiri</t>
  </si>
  <si>
    <t>Kadut uudisrakentaminen</t>
  </si>
  <si>
    <t>Maankäyttö ja kaupunkirakenne</t>
  </si>
  <si>
    <t>Liikenne- ja katusuunnittelu</t>
  </si>
  <si>
    <t xml:space="preserve"> 19.10.2018</t>
  </si>
  <si>
    <t xml:space="preserve">TALOUSARVIOEHDOTUS 2020 JA ALUSTAVA INVESTOINTIOHJELMA 2020 - 2029 </t>
  </si>
  <si>
    <t>8 03    KADUT JA LIIKENNEVÄYLÄT</t>
  </si>
  <si>
    <t>TS</t>
  </si>
  <si>
    <t>Alustava</t>
  </si>
  <si>
    <t>Nimi</t>
  </si>
  <si>
    <t>PROJEKTIALUEITA EI VOI JAKAA ENNEN KUIN TA-VAIHEESSA!!!</t>
  </si>
  <si>
    <t>M€</t>
  </si>
  <si>
    <t>PERUSPARANT. JA LIIK.JÄRJ.</t>
  </si>
  <si>
    <t>8 03 01 03</t>
  </si>
  <si>
    <t>PROJEKTIALUEET</t>
  </si>
  <si>
    <t>KAMPPI - TÖÖLÖNLAHTI</t>
  </si>
  <si>
    <t>UUDET PROJEKTIALUEET JA MUU TÄYD. RAK.</t>
  </si>
  <si>
    <t>VÄYLÄVIRASTO</t>
  </si>
  <si>
    <t>TALOUSARVIOEHDOTUS 2011 &amp; TALOUSSUUNNITELMAEHDOTUS 2011 - 2015 / Investointitalous</t>
  </si>
  <si>
    <t>8 03    KADUT, LIIKENNEVÄYLÄT JA RADAT</t>
  </si>
  <si>
    <t>TSE 2011 - 2015 vs. TA 2010 - 2014</t>
  </si>
  <si>
    <t>TAE &amp; TSE 2011 - 2015</t>
  </si>
  <si>
    <t>TA 2010 - 2014</t>
  </si>
  <si>
    <t>Tässä taulukossa on projektialueet yhtenä kokonaisuutena</t>
  </si>
  <si>
    <t>Mechelinink., Mansku,Tukholmank., Hesari, Runebergink., Elielinaukio, Caloniuksenk</t>
  </si>
  <si>
    <t>Mechelinink., Mansku,Tukholmank., Runebergink.,</t>
  </si>
  <si>
    <t>Sturenk., Hämeent., radanvarsi</t>
  </si>
  <si>
    <t>Kuninkaankolmion TA2015:n yl. oik. yht.</t>
  </si>
  <si>
    <t>Kuninkaankolmion puistojen TA2015:n ylitysoik.</t>
  </si>
  <si>
    <t>Ylitysoikeudet yhteensä</t>
  </si>
  <si>
    <t>TALOUSARVIO 2019 JA 2019 - 2028/ Investointitalous</t>
  </si>
  <si>
    <t xml:space="preserve"> 23.8.2019</t>
  </si>
  <si>
    <t>UUDISRAKENTAMINEN+PERUSPARANTAMINEN+MUUT INVESTOINNIT / Kylkn käyttöön</t>
  </si>
  <si>
    <t>PROJEKTIALUEET / Khn käyttöön</t>
  </si>
  <si>
    <t>VÄYLÄVIRASTO / Khn käyttöön</t>
  </si>
  <si>
    <t>RAKENNUSVIRASTO</t>
  </si>
  <si>
    <t>Katu- ja puisto-osasto</t>
  </si>
  <si>
    <t xml:space="preserve">  23.8.2019</t>
  </si>
  <si>
    <t>TALOUSARVIO 2019  JA ALUSTAVA INVESTOINTIOHJELMA 2019- 2028 / Investointitalous</t>
  </si>
  <si>
    <t>8 04 PUISTOT JA LIIKUNTA-ALUEET</t>
  </si>
  <si>
    <t>PUISTOT JA LIIKUNTA-ALUEET/Kylkn käyttöön</t>
  </si>
  <si>
    <t>UUDET PUISTOT JA PUISTOJEN PERUSKORJAUS/Kylkn käyttöön</t>
  </si>
  <si>
    <t>LIIKUNTAPAIKAT JA ULKOILUALUEET/Kylkn käyttöön</t>
  </si>
  <si>
    <t>PROJEKTIALUEIDEN PUISTOT JA LIIKUNTA-ALUEET/Khn käyttöön</t>
  </si>
  <si>
    <t>TALOUSARVIOEHDOTUS 2018 JA TALOUSSUUNNITELMAEHDOTUS 2019 - 2021 / Investointitalous</t>
  </si>
  <si>
    <t xml:space="preserve"> 22.10.2019</t>
  </si>
  <si>
    <t xml:space="preserve">KADUT JA LIIKENNEVÄYLÄT </t>
  </si>
  <si>
    <t>KYMP</t>
  </si>
  <si>
    <t>Like</t>
  </si>
  <si>
    <t>8 01    KIINTEÄ OMAISUUS</t>
  </si>
  <si>
    <t>KIINTEÄ OMAISUUS</t>
  </si>
  <si>
    <t>osakkeiden ostot ja lunastukset</t>
  </si>
  <si>
    <t>Projektialueiden esirakentaminen/kh</t>
  </si>
  <si>
    <t>Muu esirak.+täyd. rak. korv./kylk</t>
  </si>
  <si>
    <t>KYMP / Helena Ström</t>
  </si>
  <si>
    <t>Talousarvio (TA) ja tulosbudjetti (TB) / Tilinpäätös (TP) 2010-</t>
  </si>
  <si>
    <t>8 03 Kadut ja liikenneväylät</t>
  </si>
  <si>
    <t>TA-rakenne muuttui 2017 !!!</t>
  </si>
  <si>
    <t>TB</t>
  </si>
  <si>
    <t>Tot. %</t>
  </si>
  <si>
    <t>Perusparantaminen ja liikennejärjestelyt</t>
  </si>
  <si>
    <t>Yhteishankkeet / liikennevirasto</t>
  </si>
  <si>
    <t>Muut kadunpidon investoinnit</t>
  </si>
  <si>
    <t>Projektialueet</t>
  </si>
  <si>
    <t>Liityntäpysäköinti siirtyi HKL:lle. v. 2017</t>
  </si>
  <si>
    <t>8 06 Puistorakentaminen ja 8 04 Puistot ja liikunta-alueet v. 2017 -</t>
  </si>
  <si>
    <t>Liikuntapaikat ja ulkoilualueet v. 2017 -</t>
  </si>
  <si>
    <t>Projektialueiden puistot</t>
  </si>
  <si>
    <t>TALOUSARVIOEHDOTUS 2017 JA 2017 - 2026 / Investointitalous</t>
  </si>
  <si>
    <t>8 03 08</t>
  </si>
  <si>
    <t>UUDISRAKENTAMINEN sis. Projektial.</t>
  </si>
  <si>
    <t>8 03 09</t>
  </si>
  <si>
    <t>PERUSKORJ. JA LIIK.JÄRJ.</t>
  </si>
  <si>
    <t>Katujen peruskorjaus</t>
  </si>
  <si>
    <t>Ulkovalaistuksen peruskorjaus</t>
  </si>
  <si>
    <t>Raide-Jokeri (HKR:n osuus)</t>
  </si>
  <si>
    <t>8 03 10</t>
  </si>
  <si>
    <t>LIIKENNEVIRASTO</t>
  </si>
  <si>
    <t>8 03 13</t>
  </si>
  <si>
    <t>MUU KADUNPITO</t>
  </si>
  <si>
    <t>8 03 20</t>
  </si>
  <si>
    <t>LIITYNTÄPYSÄKÖINTI</t>
  </si>
  <si>
    <t>8 03 30</t>
  </si>
  <si>
    <t>TALOUSARVIO 2017  JA 2017- 2026/ Investointitalous</t>
  </si>
  <si>
    <t>26.6.2017 PÄIVITTÄMÄTTÄ!</t>
  </si>
  <si>
    <t>8 06 PUISTORAKENTAMINEN</t>
  </si>
  <si>
    <t>8 04 08</t>
  </si>
  <si>
    <t>PERUSKORJAUS</t>
  </si>
  <si>
    <t>8 06 11</t>
  </si>
  <si>
    <t>8 06 14</t>
  </si>
  <si>
    <t>8 06 15</t>
  </si>
  <si>
    <t xml:space="preserve"> KALASATAMA</t>
  </si>
  <si>
    <t>8 06 16</t>
  </si>
  <si>
    <t>8 06 17</t>
  </si>
  <si>
    <t>8 06 18</t>
  </si>
  <si>
    <t>KUNINKAANTAMMI</t>
  </si>
  <si>
    <t>TALOUSARVIO 2010 - 2014 / Investointitalous</t>
  </si>
  <si>
    <t>TAE 2011 - 2015 vs. TA 2010 - 2014</t>
  </si>
  <si>
    <t>8 06</t>
  </si>
  <si>
    <t>HKR / KPO / KPI</t>
  </si>
  <si>
    <t>PERUSKORJAUKSET 2012</t>
  </si>
  <si>
    <t>O Torvinen/H. Ström</t>
  </si>
  <si>
    <t>KATUJEN JA PUISTOJEN PERUSKORJAUKSET 2012</t>
  </si>
  <si>
    <t>TAE 2012</t>
  </si>
  <si>
    <t xml:space="preserve">    Peruskorjaukset</t>
  </si>
  <si>
    <t>osuus</t>
  </si>
  <si>
    <t>Uudisrakentaminen, kadut</t>
  </si>
  <si>
    <t>Uudelleen päällystys</t>
  </si>
  <si>
    <t>Kevyen liikenteen väylät</t>
  </si>
  <si>
    <t>Kevyen liikenteen sillat</t>
  </si>
  <si>
    <t>Raitiolinja 9 katutyöt / keskusta</t>
  </si>
  <si>
    <t>Vallilanlaakson joukkoliik.katu</t>
  </si>
  <si>
    <t>Itäväylä</t>
  </si>
  <si>
    <t>Yhteishankkeet / Liikennevirasto</t>
  </si>
  <si>
    <t>Kamppi-Töölönlahti / kadut</t>
  </si>
  <si>
    <t>Jätkäsaari</t>
  </si>
  <si>
    <t>Liityntäpysäköinti</t>
  </si>
  <si>
    <t>Katuomaisuuden poistot 2012</t>
  </si>
  <si>
    <t>(1000 euroa)</t>
  </si>
  <si>
    <t>????</t>
  </si>
  <si>
    <t>Peruskorjaukset / poistot</t>
  </si>
  <si>
    <t>8 08 01 09</t>
  </si>
  <si>
    <t>LÄNTINEN BULEVARDIKAUPUNKI</t>
  </si>
  <si>
    <t>8 08 01 10</t>
  </si>
  <si>
    <t>MAKASIINIRANTA</t>
  </si>
  <si>
    <t>8 08 02 09</t>
  </si>
  <si>
    <t>8 08 02 10</t>
  </si>
  <si>
    <t>8 08 03 09</t>
  </si>
  <si>
    <t>8 10 04</t>
  </si>
  <si>
    <t>LÄNSI-HELSINGIN RAITIOTIET</t>
  </si>
  <si>
    <t>8 10 04 01</t>
  </si>
  <si>
    <t>8 10 04 02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</si>
</sst>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mm/dd/yyyy"/>
    <numFmt numFmtId="165" formatCode="#,##0&quot; €&quot;;[Red]\-#,##0&quot; €&quot;"/>
    <numFmt numFmtId="166" formatCode="0.0\ %"/>
    <numFmt numFmtId="167" formatCode="_-* #,##0.00\ _€_-;\-* #,##0.00\ _€_-;_-* \-??\ _€_-;_-@_-"/>
    <numFmt numFmtId="168" formatCode="#,##0_ ;\-#,##0\ "/>
    <numFmt numFmtId="169" formatCode="_-* #,##0\ _€_-;\-* #,##0\ _€_-;_-* \-??\ _€_-;_-@_-"/>
    <numFmt numFmtId="170" formatCode="0.0"/>
    <numFmt numFmtId="171" formatCode="#,##0.0"/>
  </numFmts>
  <fonts count="82" x14ac:knownFonts="1">
    <font>
      <sz val="10"/>
      <name val="Arial"/>
      <charset val="1"/>
    </font>
    <font>
      <sz val="12"/>
      <name val="Arial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2"/>
      <name val="Arial"/>
      <family val="2"/>
      <charset val="1"/>
    </font>
    <font>
      <b/>
      <sz val="12"/>
      <color rgb="FFFF0000"/>
      <name val="Arial"/>
      <family val="2"/>
      <charset val="1"/>
    </font>
    <font>
      <b/>
      <i/>
      <sz val="12"/>
      <name val="Arial"/>
      <family val="2"/>
      <charset val="1"/>
    </font>
    <font>
      <b/>
      <i/>
      <sz val="12"/>
      <color rgb="FFFF0000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u/>
      <sz val="10"/>
      <name val="Arial"/>
      <family val="2"/>
      <charset val="1"/>
    </font>
    <font>
      <b/>
      <sz val="10"/>
      <name val="Arial"/>
      <family val="2"/>
      <charset val="1"/>
    </font>
    <font>
      <b/>
      <sz val="14"/>
      <color rgb="FFFF0000"/>
      <name val="Arial"/>
      <family val="2"/>
      <charset val="1"/>
    </font>
    <font>
      <sz val="12"/>
      <color rgb="FFFF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u/>
      <sz val="12"/>
      <name val="Arial"/>
      <family val="2"/>
      <charset val="1"/>
    </font>
    <font>
      <i/>
      <sz val="12"/>
      <color rgb="FF1F497D"/>
      <name val="Arial"/>
      <family val="2"/>
      <charset val="1"/>
    </font>
    <font>
      <i/>
      <sz val="12"/>
      <color rgb="FF4F81BD"/>
      <name val="Arial"/>
      <family val="2"/>
      <charset val="1"/>
    </font>
    <font>
      <b/>
      <i/>
      <sz val="12"/>
      <color rgb="FF0070C0"/>
      <name val="Arial"/>
      <family val="2"/>
      <charset val="1"/>
    </font>
    <font>
      <b/>
      <sz val="10"/>
      <color rgb="FF00B050"/>
      <name val="Arial"/>
      <family val="2"/>
      <charset val="1"/>
    </font>
    <font>
      <b/>
      <i/>
      <sz val="10"/>
      <name val="Arial"/>
      <family val="2"/>
      <charset val="1"/>
    </font>
    <font>
      <b/>
      <i/>
      <sz val="10"/>
      <color rgb="FF4F81BD"/>
      <name val="Arial"/>
      <family val="2"/>
      <charset val="1"/>
    </font>
    <font>
      <b/>
      <i/>
      <sz val="12"/>
      <color rgb="FF1F497D"/>
      <name val="Arial"/>
      <family val="2"/>
      <charset val="1"/>
    </font>
    <font>
      <b/>
      <i/>
      <sz val="10"/>
      <color rgb="FF0070C0"/>
      <name val="Arial"/>
      <family val="2"/>
      <charset val="1"/>
    </font>
    <font>
      <i/>
      <sz val="12"/>
      <name val="Arial"/>
      <family val="2"/>
      <charset val="1"/>
    </font>
    <font>
      <i/>
      <sz val="12"/>
      <color rgb="FFFF0000"/>
      <name val="Arial"/>
      <family val="2"/>
      <charset val="1"/>
    </font>
    <font>
      <i/>
      <sz val="10"/>
      <color rgb="FF0070C0"/>
      <name val="Arial"/>
      <family val="2"/>
      <charset val="1"/>
    </font>
    <font>
      <b/>
      <u/>
      <sz val="12"/>
      <color rgb="FFFF0000"/>
      <name val="Arial"/>
      <family val="2"/>
      <charset val="1"/>
    </font>
    <font>
      <b/>
      <sz val="12"/>
      <color rgb="FF33CC33"/>
      <name val="Arial"/>
      <family val="2"/>
      <charset val="1"/>
    </font>
    <font>
      <i/>
      <sz val="10"/>
      <color rgb="FF7030A0"/>
      <name val="Arial"/>
      <family val="2"/>
      <charset val="1"/>
    </font>
    <font>
      <b/>
      <i/>
      <sz val="10"/>
      <color rgb="FFFF0000"/>
      <name val="Arial"/>
      <family val="2"/>
      <charset val="1"/>
    </font>
    <font>
      <b/>
      <i/>
      <sz val="10"/>
      <color rgb="FF7030A0"/>
      <name val="Arial"/>
      <family val="2"/>
      <charset val="1"/>
    </font>
    <font>
      <i/>
      <sz val="10"/>
      <color rgb="FF00B050"/>
      <name val="Arial"/>
      <family val="2"/>
      <charset val="1"/>
    </font>
    <font>
      <i/>
      <sz val="10"/>
      <color rgb="FFFF0000"/>
      <name val="Arial"/>
      <family val="2"/>
      <charset val="1"/>
    </font>
    <font>
      <i/>
      <sz val="10"/>
      <name val="Arial"/>
      <family val="2"/>
      <charset val="1"/>
    </font>
    <font>
      <i/>
      <sz val="10"/>
      <color rgb="FF00CC00"/>
      <name val="Arial"/>
      <family val="2"/>
      <charset val="1"/>
    </font>
    <font>
      <b/>
      <sz val="12"/>
      <color rgb="FF1F497D"/>
      <name val="Arial"/>
      <family val="2"/>
      <charset val="1"/>
    </font>
    <font>
      <b/>
      <i/>
      <sz val="11"/>
      <name val="Arial"/>
      <family val="2"/>
      <charset val="1"/>
    </font>
    <font>
      <b/>
      <i/>
      <sz val="11"/>
      <color rgb="FF002060"/>
      <name val="Arial"/>
      <family val="2"/>
      <charset val="1"/>
    </font>
    <font>
      <sz val="10"/>
      <color rgb="FF002060"/>
      <name val="Arial"/>
      <family val="2"/>
      <charset val="1"/>
    </font>
    <font>
      <i/>
      <sz val="12"/>
      <color rgb="FFC00000"/>
      <name val="Arial"/>
      <family val="2"/>
      <charset val="1"/>
    </font>
    <font>
      <i/>
      <sz val="11"/>
      <color rgb="FF1F497D"/>
      <name val="Arial"/>
      <family val="2"/>
      <charset val="1"/>
    </font>
    <font>
      <i/>
      <sz val="10"/>
      <color rgb="FF002060"/>
      <name val="Arial"/>
      <family val="2"/>
      <charset val="1"/>
    </font>
    <font>
      <i/>
      <sz val="11"/>
      <name val="Arial"/>
      <family val="2"/>
      <charset val="1"/>
    </font>
    <font>
      <i/>
      <sz val="11"/>
      <color rgb="FF002060"/>
      <name val="Arial"/>
      <family val="2"/>
      <charset val="1"/>
    </font>
    <font>
      <i/>
      <sz val="11"/>
      <color rgb="FFFF0000"/>
      <name val="Arial"/>
      <family val="2"/>
      <charset val="1"/>
    </font>
    <font>
      <i/>
      <sz val="9"/>
      <color rgb="FFFF0000"/>
      <name val="Arial"/>
      <family val="2"/>
      <charset val="1"/>
    </font>
    <font>
      <sz val="12"/>
      <color rgb="FF1F497D"/>
      <name val="Arial"/>
      <family val="2"/>
      <charset val="1"/>
    </font>
    <font>
      <u/>
      <sz val="12"/>
      <name val="Arial"/>
      <family val="2"/>
      <charset val="1"/>
    </font>
    <font>
      <sz val="9"/>
      <name val="Arial"/>
      <family val="2"/>
      <charset val="1"/>
    </font>
    <font>
      <sz val="9"/>
      <color rgb="FFFF0000"/>
      <name val="Arial"/>
      <family val="2"/>
      <charset val="1"/>
    </font>
    <font>
      <b/>
      <i/>
      <u/>
      <sz val="12"/>
      <name val="Arial"/>
      <family val="2"/>
      <charset val="1"/>
    </font>
    <font>
      <i/>
      <sz val="9"/>
      <name val="Arial"/>
      <family val="2"/>
      <charset val="1"/>
    </font>
    <font>
      <sz val="10"/>
      <color rgb="FF00CC00"/>
      <name val="Arial"/>
      <family val="2"/>
      <charset val="1"/>
    </font>
    <font>
      <sz val="12"/>
      <color rgb="FF00B050"/>
      <name val="Arial"/>
      <family val="2"/>
      <charset val="1"/>
    </font>
    <font>
      <i/>
      <sz val="10"/>
      <color rgb="FF4F81BD"/>
      <name val="Arial"/>
      <family val="2"/>
      <charset val="1"/>
    </font>
    <font>
      <b/>
      <sz val="11"/>
      <name val="Arial"/>
      <family val="2"/>
      <charset val="1"/>
    </font>
    <font>
      <b/>
      <i/>
      <sz val="11"/>
      <color rgb="FF1F497D"/>
      <name val="Arial"/>
      <family val="2"/>
      <charset val="1"/>
    </font>
    <font>
      <sz val="11"/>
      <name val="Arial"/>
      <family val="2"/>
      <charset val="1"/>
    </font>
    <font>
      <u/>
      <sz val="10"/>
      <name val="Arial"/>
      <family val="2"/>
      <charset val="1"/>
    </font>
    <font>
      <i/>
      <sz val="11"/>
      <color rgb="FF4F81BD"/>
      <name val="Arial"/>
      <family val="2"/>
      <charset val="1"/>
    </font>
    <font>
      <i/>
      <u/>
      <sz val="12"/>
      <name val="Arial"/>
      <family val="2"/>
      <charset val="1"/>
    </font>
    <font>
      <i/>
      <sz val="12"/>
      <color rgb="FF003192"/>
      <name val="Arial"/>
      <family val="2"/>
      <charset val="1"/>
    </font>
    <font>
      <sz val="10"/>
      <color rgb="FF00B050"/>
      <name val="Arial"/>
      <family val="2"/>
      <charset val="1"/>
    </font>
    <font>
      <b/>
      <sz val="10"/>
      <color rgb="FF33CC33"/>
      <name val="Arial"/>
      <family val="2"/>
      <charset val="1"/>
    </font>
    <font>
      <b/>
      <sz val="11"/>
      <name val="Calibri"/>
      <family val="2"/>
      <charset val="1"/>
    </font>
    <font>
      <sz val="9"/>
      <color rgb="FF000000"/>
      <name val="Tahoma"/>
      <family val="2"/>
      <charset val="1"/>
    </font>
    <font>
      <sz val="36"/>
      <name val="Arial"/>
      <family val="2"/>
      <charset val="1"/>
    </font>
    <font>
      <sz val="16"/>
      <name val="Arial"/>
      <family val="2"/>
      <charset val="1"/>
    </font>
    <font>
      <strike/>
      <sz val="10"/>
      <name val="Arial"/>
      <family val="2"/>
      <charset val="1"/>
    </font>
    <font>
      <b/>
      <sz val="14"/>
      <name val="Arial"/>
      <family val="2"/>
      <charset val="1"/>
    </font>
    <font>
      <sz val="12"/>
      <color rgb="FF00FF00"/>
      <name val="Arial"/>
      <family val="2"/>
      <charset val="1"/>
    </font>
    <font>
      <b/>
      <sz val="16"/>
      <color rgb="FFFF0000"/>
      <name val="Arial"/>
      <family val="2"/>
      <charset val="1"/>
    </font>
    <font>
      <i/>
      <sz val="11"/>
      <color rgb="FF003366"/>
      <name val="Arial"/>
      <family val="2"/>
      <charset val="1"/>
    </font>
    <font>
      <sz val="11"/>
      <color rgb="FF002060"/>
      <name val="Arial"/>
      <family val="2"/>
      <charset val="1"/>
    </font>
    <font>
      <b/>
      <u/>
      <sz val="14"/>
      <color rgb="FFFF0000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26"/>
      <color rgb="FFFF0000"/>
      <name val="Arial"/>
      <family val="2"/>
      <charset val="1"/>
    </font>
    <font>
      <sz val="10"/>
      <name val="Arial"/>
      <charset val="1"/>
    </font>
    <font>
      <b/>
      <sz val="12"/>
      <name val="Arial"/>
      <family val="2"/>
    </font>
    <font>
      <i/>
      <sz val="12"/>
      <color theme="3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D8F2F4"/>
        <bgColor rgb="FFCCECFF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C000"/>
      </patternFill>
    </fill>
    <fill>
      <patternFill patternType="solid">
        <fgColor rgb="FFC9C9C9"/>
        <bgColor rgb="FFD9D9D9"/>
      </patternFill>
    </fill>
    <fill>
      <patternFill patternType="solid">
        <fgColor rgb="FFC3D69B"/>
        <bgColor rgb="FFB8CD97"/>
      </patternFill>
    </fill>
    <fill>
      <patternFill patternType="solid">
        <fgColor rgb="FFD9D9D9"/>
        <bgColor rgb="FFD7E4BD"/>
      </patternFill>
    </fill>
    <fill>
      <patternFill patternType="solid">
        <fgColor rgb="FFFFFFFF"/>
        <bgColor rgb="FFEBF1DE"/>
      </patternFill>
    </fill>
    <fill>
      <patternFill patternType="solid">
        <fgColor rgb="FFF4FAA4"/>
        <bgColor rgb="FFEBF1DE"/>
      </patternFill>
    </fill>
    <fill>
      <patternFill patternType="solid">
        <fgColor rgb="FFE6B9B8"/>
        <bgColor rgb="FFF8B590"/>
      </patternFill>
    </fill>
    <fill>
      <patternFill patternType="solid">
        <fgColor rgb="FFF2DCDB"/>
        <bgColor rgb="FFD9D9D9"/>
      </patternFill>
    </fill>
    <fill>
      <patternFill patternType="solid">
        <fgColor rgb="FF7030A0"/>
        <bgColor rgb="FF4D3B62"/>
      </patternFill>
    </fill>
    <fill>
      <patternFill patternType="solid">
        <fgColor rgb="FF66FF66"/>
        <bgColor rgb="FF92D050"/>
      </patternFill>
    </fill>
    <fill>
      <patternFill patternType="solid">
        <fgColor rgb="FFC6D9F1"/>
        <bgColor rgb="FFD9D9D9"/>
      </patternFill>
    </fill>
    <fill>
      <patternFill patternType="solid">
        <fgColor rgb="FFCCECFF"/>
        <bgColor rgb="FFD8F2F4"/>
      </patternFill>
    </fill>
    <fill>
      <patternFill patternType="solid">
        <fgColor rgb="FFDCE6F2"/>
        <bgColor rgb="FFD8F2F4"/>
      </patternFill>
    </fill>
    <fill>
      <patternFill patternType="solid">
        <fgColor rgb="FFD7E4BD"/>
        <bgColor rgb="FFD9D9D9"/>
      </patternFill>
    </fill>
    <fill>
      <patternFill patternType="solid">
        <fgColor rgb="FFEBF1DE"/>
        <bgColor rgb="FFD8F2F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FF0000"/>
      </left>
      <right style="double">
        <color rgb="FFFF0000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FF0000"/>
      </left>
      <right style="double">
        <color rgb="FFFF0000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FF0000"/>
      </left>
      <right style="double">
        <color rgb="FFFF0000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rgb="FFFF0000"/>
      </left>
      <right style="double">
        <color rgb="FFFF0000"/>
      </right>
      <top style="thin">
        <color auto="1"/>
      </top>
      <bottom/>
      <diagonal/>
    </border>
    <border>
      <left/>
      <right style="double">
        <color rgb="FFFF0000"/>
      </right>
      <top/>
      <bottom/>
      <diagonal/>
    </border>
    <border>
      <left style="double">
        <color rgb="FFFF0000"/>
      </left>
      <right style="double">
        <color rgb="FFFF0000"/>
      </right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rgb="FFFFFFFF"/>
      </bottom>
      <diagonal/>
    </border>
    <border>
      <left/>
      <right style="thin">
        <color auto="1"/>
      </right>
      <top/>
      <bottom style="thin">
        <color rgb="FFFFFFFF"/>
      </bottom>
      <diagonal/>
    </border>
    <border>
      <left style="thin">
        <color auto="1"/>
      </left>
      <right style="thin">
        <color auto="1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medium">
        <color auto="1"/>
      </left>
      <right/>
      <top/>
      <bottom style="thin">
        <color rgb="FFFFFFFF"/>
      </bottom>
      <diagonal/>
    </border>
    <border>
      <left style="thin">
        <color auto="1"/>
      </left>
      <right style="medium">
        <color auto="1"/>
      </right>
      <top/>
      <bottom style="thin">
        <color rgb="FFFFFFFF"/>
      </bottom>
      <diagonal/>
    </border>
    <border>
      <left/>
      <right style="medium">
        <color auto="1"/>
      </right>
      <top/>
      <bottom style="thin">
        <color rgb="FFFFFFFF"/>
      </bottom>
      <diagonal/>
    </border>
    <border>
      <left style="medium">
        <color auto="1"/>
      </left>
      <right style="thin">
        <color auto="1"/>
      </right>
      <top style="thin">
        <color rgb="FFFFFFFF"/>
      </top>
      <bottom style="thin">
        <color rgb="FFFFFFFF"/>
      </bottom>
      <diagonal/>
    </border>
    <border>
      <left/>
      <right style="thin">
        <color auto="1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medium">
        <color auto="1"/>
      </left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medium">
        <color auto="1"/>
      </right>
      <top style="thin">
        <color rgb="FFFFFFFF"/>
      </top>
      <bottom style="thin">
        <color rgb="FFFFFFFF"/>
      </bottom>
      <diagonal/>
    </border>
    <border>
      <left/>
      <right style="medium">
        <color auto="1"/>
      </right>
      <top style="thin">
        <color rgb="FFFFFFFF"/>
      </top>
      <bottom style="thin">
        <color rgb="FFFFFFFF"/>
      </bottom>
      <diagonal/>
    </border>
    <border>
      <left style="medium">
        <color auto="1"/>
      </left>
      <right style="thin">
        <color auto="1"/>
      </right>
      <top style="thin">
        <color rgb="FFFFFFFF"/>
      </top>
      <bottom/>
      <diagonal/>
    </border>
    <border>
      <left/>
      <right style="thin">
        <color auto="1"/>
      </right>
      <top style="thin">
        <color rgb="FFFFFFFF"/>
      </top>
      <bottom/>
      <diagonal/>
    </border>
    <border>
      <left style="thin">
        <color auto="1"/>
      </left>
      <right style="thin">
        <color auto="1"/>
      </right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 style="medium">
        <color auto="1"/>
      </left>
      <right/>
      <top style="thin">
        <color rgb="FFFFFFFF"/>
      </top>
      <bottom/>
      <diagonal/>
    </border>
    <border>
      <left style="thin">
        <color auto="1"/>
      </left>
      <right style="medium">
        <color auto="1"/>
      </right>
      <top style="thin">
        <color rgb="FFFFFFFF"/>
      </top>
      <bottom/>
      <diagonal/>
    </border>
    <border>
      <left/>
      <right style="medium">
        <color auto="1"/>
      </right>
      <top style="thin">
        <color rgb="FFFFFFFF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rgb="FFFFFFFF"/>
      </bottom>
      <diagonal/>
    </border>
    <border>
      <left style="thin">
        <color auto="1"/>
      </left>
      <right/>
      <top style="thin">
        <color rgb="FFFFFFFF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</borders>
  <cellStyleXfs count="4">
    <xf numFmtId="0" fontId="0" fillId="0" borderId="0"/>
    <xf numFmtId="167" fontId="79" fillId="0" borderId="0" applyBorder="0" applyProtection="0"/>
    <xf numFmtId="9" fontId="79" fillId="0" borderId="0" applyBorder="0" applyProtection="0"/>
    <xf numFmtId="0" fontId="1" fillId="0" borderId="0"/>
  </cellStyleXfs>
  <cellXfs count="90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64" fontId="8" fillId="0" borderId="0" xfId="0" applyNumberFormat="1" applyFont="1" applyAlignment="1">
      <alignment horizontal="right"/>
    </xf>
    <xf numFmtId="164" fontId="5" fillId="0" borderId="0" xfId="3" applyNumberFormat="1" applyFont="1" applyAlignment="1">
      <alignment horizontal="left"/>
    </xf>
    <xf numFmtId="164" fontId="4" fillId="0" borderId="0" xfId="3" applyNumberFormat="1" applyFont="1" applyAlignment="1">
      <alignment horizontal="left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4" fontId="10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" fillId="0" borderId="0" xfId="0" applyFont="1" applyAlignment="1">
      <alignment shrinkToFit="1"/>
    </xf>
    <xf numFmtId="0" fontId="0" fillId="0" borderId="0" xfId="0" applyAlignment="1">
      <alignment shrinkToFit="1"/>
    </xf>
    <xf numFmtId="0" fontId="1" fillId="0" borderId="0" xfId="0" applyFont="1"/>
    <xf numFmtId="0" fontId="12" fillId="0" borderId="0" xfId="0" applyFont="1"/>
    <xf numFmtId="0" fontId="4" fillId="0" borderId="1" xfId="0" applyFont="1" applyBorder="1" applyAlignment="1">
      <alignment horizontal="left"/>
    </xf>
    <xf numFmtId="0" fontId="4" fillId="0" borderId="2" xfId="0" applyFont="1" applyBorder="1"/>
    <xf numFmtId="0" fontId="4" fillId="0" borderId="3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left"/>
    </xf>
    <xf numFmtId="0" fontId="4" fillId="0" borderId="9" xfId="0" applyFont="1" applyBorder="1"/>
    <xf numFmtId="0" fontId="4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/>
    <xf numFmtId="0" fontId="1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165" fontId="1" fillId="0" borderId="14" xfId="0" applyNumberFormat="1" applyFont="1" applyBorder="1" applyAlignment="1">
      <alignment horizontal="center" vertical="center"/>
    </xf>
    <xf numFmtId="165" fontId="1" fillId="0" borderId="12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/>
    </xf>
    <xf numFmtId="0" fontId="1" fillId="0" borderId="9" xfId="0" applyFont="1" applyBorder="1"/>
    <xf numFmtId="0" fontId="1" fillId="0" borderId="8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" fillId="0" borderId="8" xfId="0" applyFont="1" applyBorder="1" applyAlignment="1">
      <alignment horizontal="right"/>
    </xf>
    <xf numFmtId="0" fontId="12" fillId="0" borderId="10" xfId="0" applyFont="1" applyBorder="1" applyAlignment="1">
      <alignment horizontal="right"/>
    </xf>
    <xf numFmtId="0" fontId="12" fillId="0" borderId="9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2" borderId="11" xfId="0" applyFont="1" applyFill="1" applyBorder="1" applyAlignment="1">
      <alignment horizontal="right"/>
    </xf>
    <xf numFmtId="165" fontId="1" fillId="0" borderId="10" xfId="0" applyNumberFormat="1" applyFont="1" applyBorder="1" applyAlignment="1">
      <alignment horizontal="right"/>
    </xf>
    <xf numFmtId="165" fontId="1" fillId="0" borderId="8" xfId="0" applyNumberFormat="1" applyFont="1" applyBorder="1" applyAlignment="1">
      <alignment horizontal="right"/>
    </xf>
    <xf numFmtId="3" fontId="4" fillId="0" borderId="8" xfId="0" applyNumberFormat="1" applyFont="1" applyBorder="1" applyAlignment="1">
      <alignment horizontal="left"/>
    </xf>
    <xf numFmtId="0" fontId="15" fillId="3" borderId="8" xfId="0" applyFont="1" applyFill="1" applyBorder="1" applyAlignment="1">
      <alignment horizontal="center"/>
    </xf>
    <xf numFmtId="0" fontId="15" fillId="3" borderId="9" xfId="0" applyFont="1" applyFill="1" applyBorder="1"/>
    <xf numFmtId="3" fontId="4" fillId="0" borderId="8" xfId="0" applyNumberFormat="1" applyFont="1" applyBorder="1" applyAlignment="1">
      <alignment horizontal="right"/>
    </xf>
    <xf numFmtId="3" fontId="4" fillId="0" borderId="10" xfId="0" applyNumberFormat="1" applyFont="1" applyBorder="1" applyAlignment="1">
      <alignment horizontal="right"/>
    </xf>
    <xf numFmtId="3" fontId="4" fillId="0" borderId="9" xfId="0" applyNumberFormat="1" applyFont="1" applyBorder="1" applyAlignment="1">
      <alignment horizontal="right"/>
    </xf>
    <xf numFmtId="3" fontId="4" fillId="2" borderId="11" xfId="0" applyNumberFormat="1" applyFont="1" applyFill="1" applyBorder="1" applyAlignment="1">
      <alignment horizontal="right"/>
    </xf>
    <xf numFmtId="0" fontId="15" fillId="0" borderId="8" xfId="0" applyFont="1" applyBorder="1" applyAlignment="1">
      <alignment horizontal="center"/>
    </xf>
    <xf numFmtId="0" fontId="16" fillId="0" borderId="9" xfId="0" applyFont="1" applyBorder="1" applyAlignment="1">
      <alignment horizontal="right"/>
    </xf>
    <xf numFmtId="0" fontId="1" fillId="0" borderId="0" xfId="0" applyFont="1" applyAlignment="1">
      <alignment horizontal="center"/>
    </xf>
    <xf numFmtId="3" fontId="17" fillId="0" borderId="10" xfId="0" applyNumberFormat="1" applyFont="1" applyBorder="1" applyAlignment="1">
      <alignment horizontal="right"/>
    </xf>
    <xf numFmtId="0" fontId="18" fillId="0" borderId="9" xfId="0" applyFont="1" applyBorder="1" applyAlignment="1">
      <alignment horizontal="right"/>
    </xf>
    <xf numFmtId="0" fontId="3" fillId="0" borderId="10" xfId="0" applyFont="1" applyBorder="1"/>
    <xf numFmtId="0" fontId="3" fillId="0" borderId="8" xfId="0" applyFont="1" applyBorder="1"/>
    <xf numFmtId="0" fontId="3" fillId="0" borderId="8" xfId="0" applyFont="1" applyBorder="1" applyAlignment="1">
      <alignment horizontal="right"/>
    </xf>
    <xf numFmtId="3" fontId="10" fillId="0" borderId="8" xfId="0" applyNumberFormat="1" applyFont="1" applyBorder="1" applyAlignment="1">
      <alignment horizontal="right"/>
    </xf>
    <xf numFmtId="3" fontId="19" fillId="0" borderId="10" xfId="0" applyNumberFormat="1" applyFont="1" applyBorder="1" applyAlignment="1">
      <alignment horizontal="right"/>
    </xf>
    <xf numFmtId="3" fontId="20" fillId="0" borderId="10" xfId="0" applyNumberFormat="1" applyFont="1" applyBorder="1" applyAlignment="1">
      <alignment horizontal="right"/>
    </xf>
    <xf numFmtId="3" fontId="21" fillId="2" borderId="11" xfId="0" applyNumberFormat="1" applyFont="1" applyFill="1" applyBorder="1" applyAlignment="1">
      <alignment horizontal="right"/>
    </xf>
    <xf numFmtId="3" fontId="21" fillId="0" borderId="10" xfId="0" applyNumberFormat="1" applyFont="1" applyBorder="1" applyAlignment="1">
      <alignment horizontal="right"/>
    </xf>
    <xf numFmtId="3" fontId="21" fillId="0" borderId="8" xfId="0" applyNumberFormat="1" applyFont="1" applyBorder="1" applyAlignment="1">
      <alignment horizontal="right"/>
    </xf>
    <xf numFmtId="0" fontId="22" fillId="0" borderId="9" xfId="0" applyFont="1" applyBorder="1" applyAlignment="1">
      <alignment horizontal="right"/>
    </xf>
    <xf numFmtId="3" fontId="23" fillId="0" borderId="8" xfId="0" applyNumberFormat="1" applyFont="1" applyBorder="1" applyAlignment="1">
      <alignment horizontal="right"/>
    </xf>
    <xf numFmtId="3" fontId="24" fillId="0" borderId="10" xfId="0" applyNumberFormat="1" applyFont="1" applyBorder="1" applyAlignment="1">
      <alignment horizontal="right"/>
    </xf>
    <xf numFmtId="3" fontId="24" fillId="0" borderId="9" xfId="0" applyNumberFormat="1" applyFont="1" applyBorder="1" applyAlignment="1">
      <alignment horizontal="right"/>
    </xf>
    <xf numFmtId="3" fontId="25" fillId="2" borderId="11" xfId="0" applyNumberFormat="1" applyFont="1" applyFill="1" applyBorder="1" applyAlignment="1">
      <alignment horizontal="right"/>
    </xf>
    <xf numFmtId="3" fontId="25" fillId="0" borderId="10" xfId="0" applyNumberFormat="1" applyFont="1" applyBorder="1" applyAlignment="1">
      <alignment horizontal="right"/>
    </xf>
    <xf numFmtId="3" fontId="25" fillId="0" borderId="8" xfId="0" applyNumberFormat="1" applyFont="1" applyBorder="1" applyAlignment="1">
      <alignment horizontal="right"/>
    </xf>
    <xf numFmtId="0" fontId="15" fillId="0" borderId="8" xfId="0" applyFont="1" applyBorder="1" applyAlignment="1">
      <alignment horizontal="left"/>
    </xf>
    <xf numFmtId="0" fontId="6" fillId="0" borderId="9" xfId="0" applyFont="1" applyBorder="1" applyAlignment="1">
      <alignment horizontal="right" wrapText="1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right"/>
    </xf>
    <xf numFmtId="3" fontId="15" fillId="0" borderId="8" xfId="0" applyNumberFormat="1" applyFont="1" applyBorder="1" applyAlignment="1">
      <alignment horizontal="right"/>
    </xf>
    <xf numFmtId="3" fontId="15" fillId="0" borderId="10" xfId="0" applyNumberFormat="1" applyFont="1" applyBorder="1" applyAlignment="1">
      <alignment horizontal="right"/>
    </xf>
    <xf numFmtId="3" fontId="15" fillId="0" borderId="9" xfId="0" applyNumberFormat="1" applyFont="1" applyBorder="1" applyAlignment="1">
      <alignment horizontal="right"/>
    </xf>
    <xf numFmtId="3" fontId="15" fillId="2" borderId="11" xfId="0" applyNumberFormat="1" applyFont="1" applyFill="1" applyBorder="1" applyAlignment="1">
      <alignment horizontal="right"/>
    </xf>
    <xf numFmtId="3" fontId="26" fillId="0" borderId="8" xfId="0" applyNumberFormat="1" applyFont="1" applyBorder="1" applyAlignment="1">
      <alignment horizontal="right"/>
    </xf>
    <xf numFmtId="0" fontId="25" fillId="0" borderId="9" xfId="0" applyFont="1" applyBorder="1" applyAlignment="1">
      <alignment horizontal="right"/>
    </xf>
    <xf numFmtId="9" fontId="25" fillId="0" borderId="9" xfId="0" applyNumberFormat="1" applyFont="1" applyBorder="1" applyAlignment="1">
      <alignment horizontal="right"/>
    </xf>
    <xf numFmtId="3" fontId="5" fillId="0" borderId="8" xfId="0" applyNumberFormat="1" applyFont="1" applyBorder="1" applyAlignment="1">
      <alignment horizontal="center"/>
    </xf>
    <xf numFmtId="3" fontId="4" fillId="0" borderId="8" xfId="0" applyNumberFormat="1" applyFont="1" applyBorder="1" applyAlignment="1">
      <alignment horizontal="center"/>
    </xf>
    <xf numFmtId="0" fontId="4" fillId="0" borderId="9" xfId="0" applyFont="1" applyBorder="1" applyAlignment="1">
      <alignment horizontal="left"/>
    </xf>
    <xf numFmtId="3" fontId="13" fillId="0" borderId="8" xfId="0" applyNumberFormat="1" applyFont="1" applyBorder="1" applyAlignment="1">
      <alignment horizontal="center"/>
    </xf>
    <xf numFmtId="3" fontId="5" fillId="0" borderId="10" xfId="0" applyNumberFormat="1" applyFont="1" applyBorder="1" applyAlignment="1">
      <alignment horizontal="right"/>
    </xf>
    <xf numFmtId="3" fontId="5" fillId="0" borderId="9" xfId="0" applyNumberFormat="1" applyFont="1" applyBorder="1" applyAlignment="1">
      <alignment horizontal="right"/>
    </xf>
    <xf numFmtId="0" fontId="15" fillId="4" borderId="8" xfId="0" applyFont="1" applyFill="1" applyBorder="1" applyAlignment="1">
      <alignment horizontal="left"/>
    </xf>
    <xf numFmtId="0" fontId="4" fillId="4" borderId="9" xfId="0" applyFont="1" applyFill="1" applyBorder="1"/>
    <xf numFmtId="3" fontId="27" fillId="0" borderId="10" xfId="0" applyNumberFormat="1" applyFont="1" applyBorder="1" applyAlignment="1">
      <alignment horizontal="right"/>
    </xf>
    <xf numFmtId="3" fontId="27" fillId="0" borderId="8" xfId="0" applyNumberFormat="1" applyFont="1" applyBorder="1" applyAlignment="1">
      <alignment horizontal="right"/>
    </xf>
    <xf numFmtId="0" fontId="0" fillId="3" borderId="0" xfId="0" applyFill="1"/>
    <xf numFmtId="0" fontId="3" fillId="0" borderId="0" xfId="0" applyFont="1" applyAlignment="1">
      <alignment horizontal="center"/>
    </xf>
    <xf numFmtId="3" fontId="24" fillId="2" borderId="11" xfId="0" applyNumberFormat="1" applyFont="1" applyFill="1" applyBorder="1" applyAlignment="1">
      <alignment horizontal="right"/>
    </xf>
    <xf numFmtId="3" fontId="24" fillId="0" borderId="0" xfId="0" applyNumberFormat="1" applyFont="1" applyAlignment="1">
      <alignment horizontal="right"/>
    </xf>
    <xf numFmtId="3" fontId="24" fillId="0" borderId="8" xfId="0" applyNumberFormat="1" applyFont="1" applyBorder="1" applyAlignment="1">
      <alignment horizontal="right"/>
    </xf>
    <xf numFmtId="0" fontId="1" fillId="5" borderId="9" xfId="0" applyFont="1" applyFill="1" applyBorder="1"/>
    <xf numFmtId="3" fontId="28" fillId="0" borderId="10" xfId="0" applyNumberFormat="1" applyFont="1" applyBorder="1" applyAlignment="1">
      <alignment horizontal="right"/>
    </xf>
    <xf numFmtId="3" fontId="5" fillId="0" borderId="8" xfId="0" applyNumberFormat="1" applyFont="1" applyBorder="1" applyAlignment="1">
      <alignment horizontal="right"/>
    </xf>
    <xf numFmtId="0" fontId="0" fillId="4" borderId="0" xfId="0" applyFill="1"/>
    <xf numFmtId="3" fontId="1" fillId="0" borderId="8" xfId="0" applyNumberFormat="1" applyFont="1" applyBorder="1" applyAlignment="1">
      <alignment horizontal="center"/>
    </xf>
    <xf numFmtId="3" fontId="14" fillId="0" borderId="8" xfId="0" applyNumberFormat="1" applyFont="1" applyBorder="1" applyAlignment="1">
      <alignment horizontal="center"/>
    </xf>
    <xf numFmtId="3" fontId="1" fillId="0" borderId="8" xfId="0" applyNumberFormat="1" applyFont="1" applyBorder="1" applyAlignment="1">
      <alignment horizontal="right"/>
    </xf>
    <xf numFmtId="3" fontId="12" fillId="0" borderId="10" xfId="0" applyNumberFormat="1" applyFont="1" applyBorder="1" applyAlignment="1">
      <alignment horizontal="right"/>
    </xf>
    <xf numFmtId="3" fontId="12" fillId="0" borderId="9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1" fillId="2" borderId="11" xfId="0" applyNumberFormat="1" applyFont="1" applyFill="1" applyBorder="1" applyAlignment="1">
      <alignment horizontal="right"/>
    </xf>
    <xf numFmtId="0" fontId="0" fillId="5" borderId="0" xfId="0" applyFill="1"/>
    <xf numFmtId="166" fontId="29" fillId="0" borderId="8" xfId="2" applyNumberFormat="1" applyFont="1" applyBorder="1" applyAlignment="1" applyProtection="1">
      <alignment horizontal="center"/>
    </xf>
    <xf numFmtId="3" fontId="20" fillId="0" borderId="8" xfId="2" applyNumberFormat="1" applyFont="1" applyBorder="1" applyAlignment="1" applyProtection="1">
      <alignment horizontal="right"/>
    </xf>
    <xf numFmtId="3" fontId="26" fillId="0" borderId="8" xfId="2" applyNumberFormat="1" applyFont="1" applyBorder="1" applyAlignment="1" applyProtection="1">
      <alignment horizontal="right"/>
    </xf>
    <xf numFmtId="3" fontId="30" fillId="0" borderId="10" xfId="2" applyNumberFormat="1" applyFont="1" applyBorder="1" applyAlignment="1" applyProtection="1">
      <alignment horizontal="right"/>
    </xf>
    <xf numFmtId="3" fontId="30" fillId="0" borderId="9" xfId="2" applyNumberFormat="1" applyFont="1" applyBorder="1" applyAlignment="1" applyProtection="1">
      <alignment horizontal="right"/>
    </xf>
    <xf numFmtId="3" fontId="20" fillId="0" borderId="10" xfId="2" applyNumberFormat="1" applyFont="1" applyBorder="1" applyAlignment="1" applyProtection="1">
      <alignment horizontal="right"/>
    </xf>
    <xf numFmtId="3" fontId="31" fillId="2" borderId="11" xfId="2" applyNumberFormat="1" applyFont="1" applyFill="1" applyBorder="1" applyAlignment="1" applyProtection="1">
      <alignment horizontal="right"/>
    </xf>
    <xf numFmtId="3" fontId="31" fillId="0" borderId="10" xfId="2" applyNumberFormat="1" applyFont="1" applyBorder="1" applyAlignment="1" applyProtection="1">
      <alignment horizontal="right"/>
    </xf>
    <xf numFmtId="3" fontId="31" fillId="0" borderId="8" xfId="2" applyNumberFormat="1" applyFont="1" applyBorder="1" applyAlignment="1" applyProtection="1">
      <alignment horizontal="right"/>
    </xf>
    <xf numFmtId="3" fontId="31" fillId="0" borderId="10" xfId="2" applyNumberFormat="1" applyFont="1" applyBorder="1" applyAlignment="1" applyProtection="1">
      <alignment horizontal="left"/>
    </xf>
    <xf numFmtId="3" fontId="31" fillId="0" borderId="9" xfId="2" applyNumberFormat="1" applyFont="1" applyBorder="1" applyAlignment="1" applyProtection="1">
      <alignment horizontal="right"/>
    </xf>
    <xf numFmtId="3" fontId="31" fillId="0" borderId="0" xfId="2" applyNumberFormat="1" applyFont="1" applyBorder="1" applyAlignment="1" applyProtection="1">
      <alignment horizontal="left"/>
    </xf>
    <xf numFmtId="0" fontId="16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166" fontId="29" fillId="0" borderId="0" xfId="2" applyNumberFormat="1" applyFont="1" applyBorder="1" applyAlignment="1" applyProtection="1">
      <alignment horizontal="center"/>
    </xf>
    <xf numFmtId="3" fontId="20" fillId="0" borderId="0" xfId="2" applyNumberFormat="1" applyFont="1" applyBorder="1" applyAlignment="1" applyProtection="1">
      <alignment horizontal="right"/>
    </xf>
    <xf numFmtId="3" fontId="31" fillId="0" borderId="14" xfId="2" applyNumberFormat="1" applyFont="1" applyBorder="1" applyAlignment="1" applyProtection="1">
      <alignment horizontal="right"/>
    </xf>
    <xf numFmtId="0" fontId="1" fillId="0" borderId="16" xfId="0" applyFont="1" applyBorder="1" applyAlignment="1">
      <alignment horizontal="left"/>
    </xf>
    <xf numFmtId="0" fontId="16" fillId="0" borderId="16" xfId="0" applyFont="1" applyBorder="1" applyAlignment="1">
      <alignment horizontal="right"/>
    </xf>
    <xf numFmtId="0" fontId="1" fillId="0" borderId="16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166" fontId="29" fillId="0" borderId="16" xfId="2" applyNumberFormat="1" applyFont="1" applyBorder="1" applyAlignment="1" applyProtection="1">
      <alignment horizontal="center"/>
    </xf>
    <xf numFmtId="3" fontId="20" fillId="0" borderId="16" xfId="2" applyNumberFormat="1" applyFont="1" applyBorder="1" applyAlignment="1" applyProtection="1">
      <alignment horizontal="right"/>
    </xf>
    <xf numFmtId="3" fontId="20" fillId="0" borderId="17" xfId="2" applyNumberFormat="1" applyFont="1" applyBorder="1" applyAlignment="1" applyProtection="1">
      <alignment horizontal="right"/>
    </xf>
    <xf numFmtId="3" fontId="30" fillId="0" borderId="7" xfId="2" applyNumberFormat="1" applyFont="1" applyBorder="1" applyAlignment="1" applyProtection="1">
      <alignment horizontal="right"/>
    </xf>
    <xf numFmtId="3" fontId="30" fillId="0" borderId="18" xfId="2" applyNumberFormat="1" applyFont="1" applyBorder="1" applyAlignment="1" applyProtection="1">
      <alignment horizontal="right"/>
    </xf>
    <xf numFmtId="3" fontId="20" fillId="0" borderId="7" xfId="2" applyNumberFormat="1" applyFont="1" applyBorder="1" applyAlignment="1" applyProtection="1">
      <alignment horizontal="right"/>
    </xf>
    <xf numFmtId="3" fontId="31" fillId="2" borderId="19" xfId="2" applyNumberFormat="1" applyFont="1" applyFill="1" applyBorder="1" applyAlignment="1" applyProtection="1">
      <alignment horizontal="right"/>
    </xf>
    <xf numFmtId="3" fontId="31" fillId="0" borderId="16" xfId="2" applyNumberFormat="1" applyFont="1" applyBorder="1" applyAlignment="1" applyProtection="1">
      <alignment horizontal="right"/>
    </xf>
    <xf numFmtId="3" fontId="31" fillId="0" borderId="18" xfId="2" applyNumberFormat="1" applyFont="1" applyBorder="1" applyAlignment="1" applyProtection="1">
      <alignment horizontal="right"/>
    </xf>
    <xf numFmtId="0" fontId="32" fillId="0" borderId="9" xfId="0" applyFont="1" applyBorder="1" applyAlignment="1">
      <alignment horizontal="right"/>
    </xf>
    <xf numFmtId="3" fontId="12" fillId="0" borderId="8" xfId="0" applyNumberFormat="1" applyFont="1" applyBorder="1" applyAlignment="1">
      <alignment horizontal="center"/>
    </xf>
    <xf numFmtId="3" fontId="25" fillId="0" borderId="8" xfId="0" applyNumberFormat="1" applyFont="1" applyBorder="1" applyAlignment="1">
      <alignment horizontal="center"/>
    </xf>
    <xf numFmtId="0" fontId="24" fillId="0" borderId="8" xfId="1" applyNumberFormat="1" applyFont="1" applyBorder="1" applyAlignment="1" applyProtection="1">
      <alignment horizontal="center"/>
    </xf>
    <xf numFmtId="3" fontId="33" fillId="0" borderId="8" xfId="0" applyNumberFormat="1" applyFont="1" applyBorder="1" applyAlignment="1">
      <alignment horizontal="center"/>
    </xf>
    <xf numFmtId="3" fontId="34" fillId="0" borderId="8" xfId="0" applyNumberFormat="1" applyFont="1" applyBorder="1" applyAlignment="1">
      <alignment horizontal="right"/>
    </xf>
    <xf numFmtId="3" fontId="33" fillId="0" borderId="10" xfId="0" applyNumberFormat="1" applyFont="1" applyBorder="1" applyAlignment="1">
      <alignment horizontal="right"/>
    </xf>
    <xf numFmtId="3" fontId="33" fillId="0" borderId="9" xfId="0" applyNumberFormat="1" applyFont="1" applyBorder="1" applyAlignment="1">
      <alignment horizontal="right"/>
    </xf>
    <xf numFmtId="3" fontId="34" fillId="0" borderId="10" xfId="0" applyNumberFormat="1" applyFont="1" applyBorder="1" applyAlignment="1">
      <alignment horizontal="right"/>
    </xf>
    <xf numFmtId="3" fontId="35" fillId="2" borderId="11" xfId="0" applyNumberFormat="1" applyFont="1" applyFill="1" applyBorder="1" applyAlignment="1">
      <alignment horizontal="right"/>
    </xf>
    <xf numFmtId="3" fontId="35" fillId="0" borderId="10" xfId="0" applyNumberFormat="1" applyFont="1" applyBorder="1" applyAlignment="1">
      <alignment horizontal="right"/>
    </xf>
    <xf numFmtId="3" fontId="32" fillId="0" borderId="10" xfId="0" applyNumberFormat="1" applyFont="1" applyBorder="1" applyAlignment="1">
      <alignment horizontal="right"/>
    </xf>
    <xf numFmtId="3" fontId="32" fillId="0" borderId="9" xfId="0" applyNumberFormat="1" applyFont="1" applyBorder="1" applyAlignment="1">
      <alignment horizontal="right"/>
    </xf>
    <xf numFmtId="3" fontId="32" fillId="0" borderId="0" xfId="0" applyNumberFormat="1" applyFont="1" applyAlignment="1">
      <alignment horizontal="right"/>
    </xf>
    <xf numFmtId="0" fontId="0" fillId="6" borderId="0" xfId="0" applyFill="1"/>
    <xf numFmtId="3" fontId="15" fillId="0" borderId="8" xfId="0" applyNumberFormat="1" applyFont="1" applyBorder="1"/>
    <xf numFmtId="166" fontId="1" fillId="0" borderId="8" xfId="0" applyNumberFormat="1" applyFont="1" applyBorder="1"/>
    <xf numFmtId="166" fontId="3" fillId="0" borderId="10" xfId="0" applyNumberFormat="1" applyFont="1" applyBorder="1"/>
    <xf numFmtId="166" fontId="3" fillId="0" borderId="0" xfId="0" applyNumberFormat="1" applyFont="1"/>
    <xf numFmtId="166" fontId="3" fillId="0" borderId="8" xfId="0" applyNumberFormat="1" applyFont="1" applyBorder="1"/>
    <xf numFmtId="166" fontId="3" fillId="0" borderId="8" xfId="0" applyNumberFormat="1" applyFont="1" applyBorder="1" applyAlignment="1">
      <alignment horizontal="right"/>
    </xf>
    <xf numFmtId="166" fontId="3" fillId="0" borderId="10" xfId="0" applyNumberFormat="1" applyFont="1" applyBorder="1" applyAlignment="1">
      <alignment horizontal="right"/>
    </xf>
    <xf numFmtId="166" fontId="3" fillId="0" borderId="9" xfId="0" applyNumberFormat="1" applyFont="1" applyBorder="1" applyAlignment="1">
      <alignment horizontal="right"/>
    </xf>
    <xf numFmtId="166" fontId="3" fillId="2" borderId="11" xfId="0" applyNumberFormat="1" applyFont="1" applyFill="1" applyBorder="1" applyAlignment="1">
      <alignment horizontal="right"/>
    </xf>
    <xf numFmtId="0" fontId="7" fillId="0" borderId="9" xfId="0" applyFont="1" applyBorder="1" applyAlignment="1">
      <alignment horizontal="right"/>
    </xf>
    <xf numFmtId="3" fontId="30" fillId="2" borderId="11" xfId="0" applyNumberFormat="1" applyFont="1" applyFill="1" applyBorder="1" applyAlignment="1">
      <alignment horizontal="right"/>
    </xf>
    <xf numFmtId="3" fontId="30" fillId="0" borderId="10" xfId="0" applyNumberFormat="1" applyFont="1" applyBorder="1" applyAlignment="1">
      <alignment horizontal="right"/>
    </xf>
    <xf numFmtId="3" fontId="30" fillId="0" borderId="8" xfId="0" applyNumberFormat="1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3" fontId="6" fillId="0" borderId="8" xfId="0" applyNumberFormat="1" applyFont="1" applyBorder="1" applyAlignment="1">
      <alignment horizontal="right"/>
    </xf>
    <xf numFmtId="3" fontId="36" fillId="0" borderId="8" xfId="0" applyNumberFormat="1" applyFont="1" applyBorder="1" applyAlignment="1">
      <alignment horizontal="right"/>
    </xf>
    <xf numFmtId="3" fontId="7" fillId="0" borderId="0" xfId="0" applyNumberFormat="1" applyFont="1" applyAlignment="1">
      <alignment horizontal="right"/>
    </xf>
    <xf numFmtId="3" fontId="22" fillId="0" borderId="8" xfId="0" applyNumberFormat="1" applyFont="1" applyBorder="1" applyAlignment="1">
      <alignment horizontal="right"/>
    </xf>
    <xf numFmtId="168" fontId="37" fillId="0" borderId="8" xfId="1" applyNumberFormat="1" applyFont="1" applyBorder="1" applyProtection="1"/>
    <xf numFmtId="168" fontId="38" fillId="0" borderId="8" xfId="1" applyNumberFormat="1" applyFont="1" applyBorder="1" applyProtection="1"/>
    <xf numFmtId="3" fontId="34" fillId="0" borderId="9" xfId="0" applyNumberFormat="1" applyFont="1" applyBorder="1" applyAlignment="1">
      <alignment horizontal="right"/>
    </xf>
    <xf numFmtId="3" fontId="32" fillId="2" borderId="11" xfId="0" applyNumberFormat="1" applyFont="1" applyFill="1" applyBorder="1" applyAlignment="1">
      <alignment horizontal="right"/>
    </xf>
    <xf numFmtId="3" fontId="32" fillId="0" borderId="8" xfId="0" applyNumberFormat="1" applyFont="1" applyBorder="1" applyAlignment="1">
      <alignment horizontal="right"/>
    </xf>
    <xf numFmtId="0" fontId="15" fillId="0" borderId="9" xfId="0" applyFont="1" applyBorder="1" applyAlignment="1">
      <alignment wrapText="1"/>
    </xf>
    <xf numFmtId="0" fontId="10" fillId="0" borderId="0" xfId="0" applyFont="1"/>
    <xf numFmtId="3" fontId="39" fillId="0" borderId="8" xfId="0" applyNumberFormat="1" applyFont="1" applyBorder="1" applyAlignment="1">
      <alignment horizontal="right"/>
    </xf>
    <xf numFmtId="3" fontId="33" fillId="2" borderId="11" xfId="0" applyNumberFormat="1" applyFont="1" applyFill="1" applyBorder="1" applyAlignment="1">
      <alignment horizontal="right"/>
    </xf>
    <xf numFmtId="3" fontId="33" fillId="0" borderId="8" xfId="0" applyNumberFormat="1" applyFont="1" applyBorder="1" applyAlignment="1">
      <alignment horizontal="right"/>
    </xf>
    <xf numFmtId="0" fontId="0" fillId="7" borderId="0" xfId="0" applyFill="1"/>
    <xf numFmtId="0" fontId="0" fillId="0" borderId="0" xfId="0" applyAlignment="1">
      <alignment horizontal="center"/>
    </xf>
    <xf numFmtId="49" fontId="4" fillId="4" borderId="8" xfId="0" applyNumberFormat="1" applyFont="1" applyFill="1" applyBorder="1" applyAlignment="1">
      <alignment horizontal="center"/>
    </xf>
    <xf numFmtId="3" fontId="40" fillId="0" borderId="8" xfId="0" applyNumberFormat="1" applyFont="1" applyBorder="1"/>
    <xf numFmtId="3" fontId="41" fillId="0" borderId="8" xfId="0" applyNumberFormat="1" applyFont="1" applyBorder="1" applyAlignment="1">
      <alignment horizontal="right"/>
    </xf>
    <xf numFmtId="1" fontId="34" fillId="0" borderId="8" xfId="0" applyNumberFormat="1" applyFont="1" applyBorder="1"/>
    <xf numFmtId="3" fontId="42" fillId="0" borderId="8" xfId="0" applyNumberFormat="1" applyFont="1" applyBorder="1" applyAlignment="1">
      <alignment horizontal="right"/>
    </xf>
    <xf numFmtId="3" fontId="4" fillId="0" borderId="8" xfId="0" applyNumberFormat="1" applyFont="1" applyBorder="1"/>
    <xf numFmtId="0" fontId="3" fillId="7" borderId="0" xfId="0" applyFont="1" applyFill="1"/>
    <xf numFmtId="3" fontId="5" fillId="2" borderId="11" xfId="0" applyNumberFormat="1" applyFont="1" applyFill="1" applyBorder="1" applyAlignment="1">
      <alignment horizontal="right"/>
    </xf>
    <xf numFmtId="0" fontId="24" fillId="0" borderId="12" xfId="0" applyFont="1" applyBorder="1"/>
    <xf numFmtId="0" fontId="24" fillId="5" borderId="13" xfId="0" applyFont="1" applyFill="1" applyBorder="1" applyAlignment="1">
      <alignment horizontal="right"/>
    </xf>
    <xf numFmtId="3" fontId="24" fillId="0" borderId="12" xfId="0" applyNumberFormat="1" applyFont="1" applyBorder="1"/>
    <xf numFmtId="3" fontId="24" fillId="0" borderId="12" xfId="0" applyNumberFormat="1" applyFont="1" applyBorder="1" applyAlignment="1">
      <alignment horizontal="right"/>
    </xf>
    <xf numFmtId="3" fontId="24" fillId="0" borderId="14" xfId="0" applyNumberFormat="1" applyFont="1" applyBorder="1" applyAlignment="1">
      <alignment horizontal="right"/>
    </xf>
    <xf numFmtId="3" fontId="24" fillId="0" borderId="13" xfId="0" applyNumberFormat="1" applyFont="1" applyBorder="1" applyAlignment="1">
      <alignment horizontal="right"/>
    </xf>
    <xf numFmtId="3" fontId="24" fillId="2" borderId="15" xfId="0" applyNumberFormat="1" applyFont="1" applyFill="1" applyBorder="1" applyAlignment="1">
      <alignment horizontal="right"/>
    </xf>
    <xf numFmtId="0" fontId="24" fillId="0" borderId="8" xfId="0" applyFont="1" applyBorder="1"/>
    <xf numFmtId="0" fontId="24" fillId="5" borderId="9" xfId="0" applyFont="1" applyFill="1" applyBorder="1" applyAlignment="1">
      <alignment horizontal="right"/>
    </xf>
    <xf numFmtId="3" fontId="24" fillId="0" borderId="8" xfId="0" applyNumberFormat="1" applyFont="1" applyBorder="1"/>
    <xf numFmtId="3" fontId="34" fillId="0" borderId="8" xfId="0" applyNumberFormat="1" applyFont="1" applyBorder="1"/>
    <xf numFmtId="3" fontId="33" fillId="0" borderId="8" xfId="0" applyNumberFormat="1" applyFont="1" applyBorder="1"/>
    <xf numFmtId="0" fontId="1" fillId="0" borderId="8" xfId="0" applyFont="1" applyBorder="1"/>
    <xf numFmtId="0" fontId="0" fillId="8" borderId="0" xfId="0" applyFill="1"/>
    <xf numFmtId="3" fontId="43" fillId="0" borderId="8" xfId="0" applyNumberFormat="1" applyFont="1" applyBorder="1"/>
    <xf numFmtId="3" fontId="4" fillId="0" borderId="0" xfId="0" applyNumberFormat="1" applyFont="1" applyAlignment="1">
      <alignment horizontal="right"/>
    </xf>
    <xf numFmtId="3" fontId="1" fillId="0" borderId="8" xfId="0" applyNumberFormat="1" applyFont="1" applyBorder="1"/>
    <xf numFmtId="0" fontId="1" fillId="0" borderId="0" xfId="0" applyFont="1" applyAlignment="1">
      <alignment horizontal="right"/>
    </xf>
    <xf numFmtId="0" fontId="1" fillId="0" borderId="10" xfId="0" applyFont="1" applyBorder="1" applyAlignment="1">
      <alignment horizontal="left"/>
    </xf>
    <xf numFmtId="3" fontId="14" fillId="0" borderId="8" xfId="0" applyNumberFormat="1" applyFont="1" applyBorder="1"/>
    <xf numFmtId="0" fontId="12" fillId="0" borderId="0" xfId="0" applyFont="1" applyAlignment="1">
      <alignment horizontal="right"/>
    </xf>
    <xf numFmtId="3" fontId="4" fillId="0" borderId="12" xfId="0" applyNumberFormat="1" applyFont="1" applyBorder="1"/>
    <xf numFmtId="3" fontId="34" fillId="0" borderId="12" xfId="0" applyNumberFormat="1" applyFont="1" applyBorder="1"/>
    <xf numFmtId="3" fontId="4" fillId="0" borderId="12" xfId="0" applyNumberFormat="1" applyFont="1" applyBorder="1" applyAlignment="1">
      <alignment horizontal="right"/>
    </xf>
    <xf numFmtId="3" fontId="3" fillId="0" borderId="12" xfId="0" applyNumberFormat="1" applyFont="1" applyBorder="1" applyAlignment="1">
      <alignment horizontal="right"/>
    </xf>
    <xf numFmtId="3" fontId="2" fillId="0" borderId="14" xfId="0" applyNumberFormat="1" applyFont="1" applyBorder="1" applyAlignment="1">
      <alignment horizontal="right"/>
    </xf>
    <xf numFmtId="3" fontId="2" fillId="0" borderId="13" xfId="0" applyNumberFormat="1" applyFont="1" applyBorder="1" applyAlignment="1">
      <alignment horizontal="right"/>
    </xf>
    <xf numFmtId="3" fontId="3" fillId="0" borderId="14" xfId="0" applyNumberFormat="1" applyFont="1" applyBorder="1" applyAlignment="1">
      <alignment horizontal="right"/>
    </xf>
    <xf numFmtId="3" fontId="3" fillId="2" borderId="15" xfId="0" applyNumberFormat="1" applyFont="1" applyFill="1" applyBorder="1" applyAlignment="1">
      <alignment horizontal="right"/>
    </xf>
    <xf numFmtId="3" fontId="3" fillId="0" borderId="13" xfId="0" applyNumberFormat="1" applyFont="1" applyBorder="1" applyAlignment="1">
      <alignment horizontal="right"/>
    </xf>
    <xf numFmtId="3" fontId="3" fillId="0" borderId="20" xfId="0" applyNumberFormat="1" applyFont="1" applyBorder="1" applyAlignment="1">
      <alignment horizontal="right"/>
    </xf>
    <xf numFmtId="0" fontId="4" fillId="4" borderId="8" xfId="0" applyFont="1" applyFill="1" applyBorder="1" applyAlignment="1">
      <alignment horizontal="center"/>
    </xf>
    <xf numFmtId="3" fontId="16" fillId="0" borderId="0" xfId="0" applyNumberFormat="1" applyFont="1"/>
    <xf numFmtId="3" fontId="44" fillId="0" borderId="8" xfId="0" applyNumberFormat="1" applyFont="1" applyBorder="1"/>
    <xf numFmtId="3" fontId="4" fillId="0" borderId="0" xfId="0" applyNumberFormat="1" applyFont="1"/>
    <xf numFmtId="3" fontId="45" fillId="0" borderId="8" xfId="0" applyNumberFormat="1" applyFont="1" applyBorder="1"/>
    <xf numFmtId="3" fontId="34" fillId="2" borderId="11" xfId="0" applyNumberFormat="1" applyFont="1" applyFill="1" applyBorder="1" applyAlignment="1">
      <alignment horizontal="right"/>
    </xf>
    <xf numFmtId="3" fontId="34" fillId="0" borderId="0" xfId="0" applyNumberFormat="1" applyFont="1" applyAlignment="1">
      <alignment horizontal="right"/>
    </xf>
    <xf numFmtId="0" fontId="24" fillId="0" borderId="9" xfId="0" applyFont="1" applyBorder="1" applyAlignment="1">
      <alignment horizontal="left"/>
    </xf>
    <xf numFmtId="0" fontId="25" fillId="0" borderId="9" xfId="0" applyFont="1" applyBorder="1" applyAlignment="1">
      <alignment horizontal="left"/>
    </xf>
    <xf numFmtId="0" fontId="1" fillId="6" borderId="9" xfId="0" applyFont="1" applyFill="1" applyBorder="1" applyAlignment="1">
      <alignment horizontal="left"/>
    </xf>
    <xf numFmtId="3" fontId="1" fillId="6" borderId="8" xfId="0" applyNumberFormat="1" applyFont="1" applyFill="1" applyBorder="1"/>
    <xf numFmtId="3" fontId="1" fillId="6" borderId="8" xfId="0" applyNumberFormat="1" applyFont="1" applyFill="1" applyBorder="1" applyAlignment="1">
      <alignment horizontal="right"/>
    </xf>
    <xf numFmtId="3" fontId="2" fillId="6" borderId="8" xfId="0" applyNumberFormat="1" applyFont="1" applyFill="1" applyBorder="1" applyAlignment="1">
      <alignment horizontal="right"/>
    </xf>
    <xf numFmtId="3" fontId="3" fillId="6" borderId="10" xfId="0" applyNumberFormat="1" applyFont="1" applyFill="1" applyBorder="1" applyAlignment="1">
      <alignment horizontal="right"/>
    </xf>
    <xf numFmtId="3" fontId="2" fillId="6" borderId="9" xfId="0" applyNumberFormat="1" applyFont="1" applyFill="1" applyBorder="1" applyAlignment="1">
      <alignment horizontal="right"/>
    </xf>
    <xf numFmtId="3" fontId="3" fillId="6" borderId="11" xfId="0" applyNumberFormat="1" applyFont="1" applyFill="1" applyBorder="1" applyAlignment="1">
      <alignment horizontal="right"/>
    </xf>
    <xf numFmtId="3" fontId="3" fillId="6" borderId="9" xfId="0" applyNumberFormat="1" applyFont="1" applyFill="1" applyBorder="1" applyAlignment="1">
      <alignment horizontal="right"/>
    </xf>
    <xf numFmtId="3" fontId="3" fillId="6" borderId="0" xfId="0" applyNumberFormat="1" applyFont="1" applyFill="1" applyAlignment="1">
      <alignment horizontal="right"/>
    </xf>
    <xf numFmtId="3" fontId="3" fillId="6" borderId="8" xfId="0" applyNumberFormat="1" applyFont="1" applyFill="1" applyBorder="1" applyAlignment="1">
      <alignment horizontal="right"/>
    </xf>
    <xf numFmtId="3" fontId="2" fillId="6" borderId="0" xfId="0" applyNumberFormat="1" applyFont="1" applyFill="1" applyAlignment="1">
      <alignment horizontal="right"/>
    </xf>
    <xf numFmtId="3" fontId="1" fillId="0" borderId="10" xfId="0" applyNumberFormat="1" applyFont="1" applyBorder="1"/>
    <xf numFmtId="3" fontId="1" fillId="0" borderId="0" xfId="0" applyNumberFormat="1" applyFont="1"/>
    <xf numFmtId="3" fontId="4" fillId="0" borderId="10" xfId="0" applyNumberFormat="1" applyFont="1" applyBorder="1"/>
    <xf numFmtId="0" fontId="25" fillId="5" borderId="9" xfId="0" applyFont="1" applyFill="1" applyBorder="1" applyAlignment="1">
      <alignment horizontal="right"/>
    </xf>
    <xf numFmtId="3" fontId="33" fillId="0" borderId="0" xfId="0" applyNumberFormat="1" applyFont="1" applyAlignment="1">
      <alignment horizontal="right"/>
    </xf>
    <xf numFmtId="0" fontId="24" fillId="0" borderId="8" xfId="0" applyFont="1" applyBorder="1" applyAlignment="1">
      <alignment horizontal="left"/>
    </xf>
    <xf numFmtId="0" fontId="25" fillId="0" borderId="9" xfId="0" applyFont="1" applyBorder="1"/>
    <xf numFmtId="3" fontId="24" fillId="0" borderId="0" xfId="0" applyNumberFormat="1" applyFont="1"/>
    <xf numFmtId="3" fontId="24" fillId="0" borderId="10" xfId="0" applyNumberFormat="1" applyFont="1" applyBorder="1"/>
    <xf numFmtId="0" fontId="34" fillId="0" borderId="0" xfId="0" applyFont="1"/>
    <xf numFmtId="3" fontId="1" fillId="0" borderId="9" xfId="0" applyNumberFormat="1" applyFont="1" applyBorder="1" applyAlignment="1">
      <alignment horizontal="right"/>
    </xf>
    <xf numFmtId="3" fontId="1" fillId="0" borderId="0" xfId="0" applyNumberFormat="1" applyFont="1" applyAlignment="1">
      <alignment horizontal="right"/>
    </xf>
    <xf numFmtId="3" fontId="4" fillId="0" borderId="10" xfId="1" applyNumberFormat="1" applyFont="1" applyBorder="1" applyAlignment="1" applyProtection="1">
      <alignment horizontal="right"/>
    </xf>
    <xf numFmtId="3" fontId="4" fillId="0" borderId="9" xfId="1" applyNumberFormat="1" applyFont="1" applyBorder="1" applyAlignment="1" applyProtection="1">
      <alignment horizontal="right"/>
    </xf>
    <xf numFmtId="3" fontId="4" fillId="2" borderId="11" xfId="1" applyNumberFormat="1" applyFont="1" applyFill="1" applyBorder="1" applyAlignment="1" applyProtection="1">
      <alignment horizontal="right"/>
    </xf>
    <xf numFmtId="3" fontId="4" fillId="0" borderId="0" xfId="1" applyNumberFormat="1" applyFont="1" applyBorder="1" applyAlignment="1" applyProtection="1">
      <alignment horizontal="right"/>
    </xf>
    <xf numFmtId="3" fontId="34" fillId="0" borderId="10" xfId="1" applyNumberFormat="1" applyFont="1" applyBorder="1" applyAlignment="1" applyProtection="1">
      <alignment horizontal="right"/>
    </xf>
    <xf numFmtId="3" fontId="34" fillId="0" borderId="9" xfId="1" applyNumberFormat="1" applyFont="1" applyBorder="1" applyAlignment="1" applyProtection="1">
      <alignment horizontal="right"/>
    </xf>
    <xf numFmtId="3" fontId="34" fillId="2" borderId="11" xfId="1" applyNumberFormat="1" applyFont="1" applyFill="1" applyBorder="1" applyAlignment="1" applyProtection="1">
      <alignment horizontal="right"/>
    </xf>
    <xf numFmtId="3" fontId="34" fillId="0" borderId="0" xfId="1" applyNumberFormat="1" applyFont="1" applyBorder="1" applyAlignment="1" applyProtection="1">
      <alignment horizontal="right"/>
    </xf>
    <xf numFmtId="0" fontId="12" fillId="0" borderId="9" xfId="0" applyFont="1" applyBorder="1"/>
    <xf numFmtId="3" fontId="1" fillId="0" borderId="11" xfId="0" applyNumberFormat="1" applyFont="1" applyBorder="1" applyAlignment="1">
      <alignment horizontal="right"/>
    </xf>
    <xf numFmtId="3" fontId="3" fillId="0" borderId="8" xfId="0" applyNumberFormat="1" applyFont="1" applyBorder="1" applyAlignment="1">
      <alignment horizontal="right"/>
    </xf>
    <xf numFmtId="3" fontId="3" fillId="0" borderId="10" xfId="0" applyNumberFormat="1" applyFont="1" applyBorder="1" applyAlignment="1">
      <alignment horizontal="right"/>
    </xf>
    <xf numFmtId="3" fontId="3" fillId="0" borderId="9" xfId="0" applyNumberFormat="1" applyFont="1" applyBorder="1" applyAlignment="1">
      <alignment horizontal="right"/>
    </xf>
    <xf numFmtId="3" fontId="3" fillId="0" borderId="11" xfId="0" applyNumberFormat="1" applyFont="1" applyBorder="1" applyAlignment="1">
      <alignment horizontal="right"/>
    </xf>
    <xf numFmtId="3" fontId="3" fillId="0" borderId="0" xfId="0" applyNumberFormat="1" applyFont="1" applyAlignment="1">
      <alignment horizontal="right"/>
    </xf>
    <xf numFmtId="3" fontId="46" fillId="0" borderId="8" xfId="0" applyNumberFormat="1" applyFont="1" applyBorder="1"/>
    <xf numFmtId="0" fontId="34" fillId="0" borderId="8" xfId="0" applyFont="1" applyBorder="1" applyAlignment="1">
      <alignment horizontal="right"/>
    </xf>
    <xf numFmtId="0" fontId="34" fillId="0" borderId="10" xfId="0" applyFont="1" applyBorder="1" applyAlignment="1">
      <alignment horizontal="right"/>
    </xf>
    <xf numFmtId="0" fontId="34" fillId="0" borderId="9" xfId="0" applyFont="1" applyBorder="1" applyAlignment="1">
      <alignment horizontal="right"/>
    </xf>
    <xf numFmtId="0" fontId="34" fillId="0" borderId="11" xfId="0" applyFont="1" applyBorder="1" applyAlignment="1">
      <alignment horizontal="right"/>
    </xf>
    <xf numFmtId="0" fontId="34" fillId="0" borderId="0" xfId="0" applyFont="1" applyAlignment="1">
      <alignment horizontal="right"/>
    </xf>
    <xf numFmtId="0" fontId="16" fillId="5" borderId="9" xfId="0" applyFont="1" applyFill="1" applyBorder="1" applyAlignment="1">
      <alignment horizontal="right"/>
    </xf>
    <xf numFmtId="3" fontId="25" fillId="0" borderId="8" xfId="0" applyNumberFormat="1" applyFont="1" applyBorder="1"/>
    <xf numFmtId="0" fontId="26" fillId="0" borderId="8" xfId="0" applyFont="1" applyBorder="1" applyAlignment="1">
      <alignment horizontal="right"/>
    </xf>
    <xf numFmtId="3" fontId="16" fillId="0" borderId="8" xfId="0" applyNumberFormat="1" applyFont="1" applyBorder="1" applyAlignment="1">
      <alignment horizontal="right"/>
    </xf>
    <xf numFmtId="3" fontId="43" fillId="0" borderId="8" xfId="0" applyNumberFormat="1" applyFont="1" applyBorder="1" applyAlignment="1">
      <alignment horizontal="right"/>
    </xf>
    <xf numFmtId="0" fontId="34" fillId="2" borderId="11" xfId="0" applyFont="1" applyFill="1" applyBorder="1" applyAlignment="1">
      <alignment horizontal="right"/>
    </xf>
    <xf numFmtId="0" fontId="4" fillId="2" borderId="11" xfId="0" applyFont="1" applyFill="1" applyBorder="1" applyAlignment="1">
      <alignment horizontal="right"/>
    </xf>
    <xf numFmtId="0" fontId="4" fillId="0" borderId="10" xfId="0" applyFont="1" applyBorder="1" applyAlignment="1">
      <alignment horizontal="right"/>
    </xf>
    <xf numFmtId="3" fontId="28" fillId="0" borderId="8" xfId="0" applyNumberFormat="1" applyFont="1" applyBorder="1" applyAlignment="1">
      <alignment horizontal="right"/>
    </xf>
    <xf numFmtId="0" fontId="3" fillId="6" borderId="0" xfId="0" applyFont="1" applyFill="1"/>
    <xf numFmtId="3" fontId="1" fillId="0" borderId="8" xfId="1" applyNumberFormat="1" applyFont="1" applyBorder="1" applyAlignment="1" applyProtection="1">
      <alignment horizontal="right"/>
    </xf>
    <xf numFmtId="3" fontId="1" fillId="0" borderId="10" xfId="1" applyNumberFormat="1" applyFont="1" applyBorder="1" applyAlignment="1" applyProtection="1">
      <alignment horizontal="right"/>
    </xf>
    <xf numFmtId="3" fontId="1" fillId="0" borderId="9" xfId="1" applyNumberFormat="1" applyFont="1" applyBorder="1" applyAlignment="1" applyProtection="1">
      <alignment horizontal="right"/>
    </xf>
    <xf numFmtId="3" fontId="1" fillId="2" borderId="11" xfId="1" applyNumberFormat="1" applyFont="1" applyFill="1" applyBorder="1" applyAlignment="1" applyProtection="1">
      <alignment horizontal="right"/>
    </xf>
    <xf numFmtId="3" fontId="1" fillId="0" borderId="0" xfId="1" applyNumberFormat="1" applyFont="1" applyBorder="1" applyAlignment="1" applyProtection="1">
      <alignment horizontal="right"/>
    </xf>
    <xf numFmtId="3" fontId="47" fillId="0" borderId="8" xfId="0" applyNumberFormat="1" applyFont="1" applyBorder="1"/>
    <xf numFmtId="3" fontId="3" fillId="0" borderId="8" xfId="1" applyNumberFormat="1" applyFont="1" applyBorder="1" applyAlignment="1" applyProtection="1">
      <alignment horizontal="right"/>
    </xf>
    <xf numFmtId="3" fontId="2" fillId="0" borderId="10" xfId="1" applyNumberFormat="1" applyFont="1" applyBorder="1" applyAlignment="1" applyProtection="1">
      <alignment horizontal="right"/>
    </xf>
    <xf numFmtId="3" fontId="2" fillId="0" borderId="9" xfId="1" applyNumberFormat="1" applyFont="1" applyBorder="1" applyAlignment="1" applyProtection="1">
      <alignment horizontal="right"/>
    </xf>
    <xf numFmtId="3" fontId="3" fillId="0" borderId="10" xfId="1" applyNumberFormat="1" applyFont="1" applyBorder="1" applyAlignment="1" applyProtection="1">
      <alignment horizontal="right"/>
    </xf>
    <xf numFmtId="3" fontId="3" fillId="2" borderId="11" xfId="1" applyNumberFormat="1" applyFont="1" applyFill="1" applyBorder="1" applyAlignment="1" applyProtection="1">
      <alignment horizontal="right"/>
    </xf>
    <xf numFmtId="3" fontId="3" fillId="0" borderId="9" xfId="1" applyNumberFormat="1" applyFont="1" applyBorder="1" applyAlignment="1" applyProtection="1">
      <alignment horizontal="right"/>
    </xf>
    <xf numFmtId="3" fontId="3" fillId="0" borderId="0" xfId="1" applyNumberFormat="1" applyFont="1" applyBorder="1" applyAlignment="1" applyProtection="1">
      <alignment horizontal="right"/>
    </xf>
    <xf numFmtId="0" fontId="15" fillId="0" borderId="9" xfId="0" applyFont="1" applyBorder="1"/>
    <xf numFmtId="3" fontId="48" fillId="0" borderId="8" xfId="0" applyNumberFormat="1" applyFont="1" applyBorder="1"/>
    <xf numFmtId="9" fontId="49" fillId="0" borderId="8" xfId="2" applyFont="1" applyBorder="1" applyProtection="1"/>
    <xf numFmtId="166" fontId="49" fillId="0" borderId="8" xfId="2" applyNumberFormat="1" applyFont="1" applyBorder="1" applyProtection="1"/>
    <xf numFmtId="166" fontId="49" fillId="0" borderId="8" xfId="2" applyNumberFormat="1" applyFont="1" applyBorder="1" applyAlignment="1" applyProtection="1">
      <alignment horizontal="right"/>
    </xf>
    <xf numFmtId="166" fontId="49" fillId="0" borderId="10" xfId="2" applyNumberFormat="1" applyFont="1" applyBorder="1" applyAlignment="1" applyProtection="1">
      <alignment horizontal="right"/>
    </xf>
    <xf numFmtId="166" fontId="49" fillId="0" borderId="9" xfId="2" applyNumberFormat="1" applyFont="1" applyBorder="1" applyAlignment="1" applyProtection="1">
      <alignment horizontal="right"/>
    </xf>
    <xf numFmtId="166" fontId="49" fillId="2" borderId="11" xfId="2" applyNumberFormat="1" applyFont="1" applyFill="1" applyBorder="1" applyAlignment="1" applyProtection="1">
      <alignment horizontal="right"/>
    </xf>
    <xf numFmtId="1" fontId="1" fillId="0" borderId="8" xfId="0" applyNumberFormat="1" applyFont="1" applyBorder="1" applyAlignment="1">
      <alignment horizontal="left"/>
    </xf>
    <xf numFmtId="1" fontId="16" fillId="0" borderId="9" xfId="0" applyNumberFormat="1" applyFont="1" applyBorder="1" applyAlignment="1">
      <alignment horizontal="right"/>
    </xf>
    <xf numFmtId="1" fontId="1" fillId="0" borderId="8" xfId="0" applyNumberFormat="1" applyFont="1" applyBorder="1"/>
    <xf numFmtId="1" fontId="49" fillId="0" borderId="8" xfId="2" applyNumberFormat="1" applyFont="1" applyBorder="1" applyProtection="1"/>
    <xf numFmtId="1" fontId="3" fillId="0" borderId="8" xfId="0" applyNumberFormat="1" applyFont="1" applyBorder="1"/>
    <xf numFmtId="1" fontId="49" fillId="0" borderId="8" xfId="2" applyNumberFormat="1" applyFont="1" applyBorder="1" applyAlignment="1" applyProtection="1">
      <alignment horizontal="right"/>
    </xf>
    <xf numFmtId="1" fontId="50" fillId="0" borderId="10" xfId="2" applyNumberFormat="1" applyFont="1" applyBorder="1" applyAlignment="1" applyProtection="1">
      <alignment horizontal="right"/>
    </xf>
    <xf numFmtId="1" fontId="50" fillId="0" borderId="9" xfId="2" applyNumberFormat="1" applyFont="1" applyBorder="1" applyAlignment="1" applyProtection="1">
      <alignment horizontal="right"/>
    </xf>
    <xf numFmtId="1" fontId="49" fillId="0" borderId="10" xfId="2" applyNumberFormat="1" applyFont="1" applyBorder="1" applyAlignment="1" applyProtection="1">
      <alignment horizontal="right"/>
    </xf>
    <xf numFmtId="3" fontId="7" fillId="2" borderId="11" xfId="2" applyNumberFormat="1" applyFont="1" applyFill="1" applyBorder="1" applyAlignment="1" applyProtection="1">
      <alignment horizontal="right"/>
    </xf>
    <xf numFmtId="3" fontId="7" fillId="0" borderId="9" xfId="2" applyNumberFormat="1" applyFont="1" applyBorder="1" applyAlignment="1" applyProtection="1">
      <alignment horizontal="right"/>
    </xf>
    <xf numFmtId="1" fontId="0" fillId="0" borderId="0" xfId="0" applyNumberFormat="1"/>
    <xf numFmtId="9" fontId="16" fillId="0" borderId="9" xfId="0" applyNumberFormat="1" applyFont="1" applyBorder="1" applyAlignment="1">
      <alignment horizontal="right"/>
    </xf>
    <xf numFmtId="3" fontId="41" fillId="0" borderId="8" xfId="2" applyNumberFormat="1" applyFont="1" applyBorder="1" applyProtection="1"/>
    <xf numFmtId="3" fontId="43" fillId="0" borderId="8" xfId="2" applyNumberFormat="1" applyFont="1" applyBorder="1" applyProtection="1"/>
    <xf numFmtId="3" fontId="34" fillId="0" borderId="8" xfId="2" applyNumberFormat="1" applyFont="1" applyBorder="1" applyAlignment="1" applyProtection="1">
      <alignment horizontal="right"/>
    </xf>
    <xf numFmtId="3" fontId="25" fillId="0" borderId="10" xfId="2" applyNumberFormat="1" applyFont="1" applyBorder="1" applyAlignment="1" applyProtection="1">
      <alignment horizontal="right"/>
    </xf>
    <xf numFmtId="3" fontId="25" fillId="0" borderId="9" xfId="2" applyNumberFormat="1" applyFont="1" applyBorder="1" applyAlignment="1" applyProtection="1">
      <alignment horizontal="right"/>
    </xf>
    <xf numFmtId="3" fontId="24" fillId="0" borderId="10" xfId="2" applyNumberFormat="1" applyFont="1" applyBorder="1" applyAlignment="1" applyProtection="1">
      <alignment horizontal="right"/>
    </xf>
    <xf numFmtId="3" fontId="25" fillId="2" borderId="11" xfId="2" applyNumberFormat="1" applyFont="1" applyFill="1" applyBorder="1" applyAlignment="1" applyProtection="1">
      <alignment horizontal="right"/>
    </xf>
    <xf numFmtId="3" fontId="25" fillId="0" borderId="0" xfId="2" applyNumberFormat="1" applyFont="1" applyBorder="1" applyAlignment="1" applyProtection="1">
      <alignment horizontal="right"/>
    </xf>
    <xf numFmtId="3" fontId="44" fillId="0" borderId="8" xfId="0" applyNumberFormat="1" applyFont="1" applyBorder="1" applyAlignment="1">
      <alignment horizontal="right"/>
    </xf>
    <xf numFmtId="3" fontId="34" fillId="0" borderId="10" xfId="2" applyNumberFormat="1" applyFont="1" applyBorder="1" applyAlignment="1" applyProtection="1">
      <alignment horizontal="right"/>
    </xf>
    <xf numFmtId="3" fontId="34" fillId="0" borderId="9" xfId="2" applyNumberFormat="1" applyFont="1" applyBorder="1" applyAlignment="1" applyProtection="1">
      <alignment horizontal="right"/>
    </xf>
    <xf numFmtId="3" fontId="34" fillId="2" borderId="11" xfId="2" applyNumberFormat="1" applyFont="1" applyFill="1" applyBorder="1" applyAlignment="1" applyProtection="1">
      <alignment horizontal="right"/>
    </xf>
    <xf numFmtId="3" fontId="34" fillId="0" borderId="0" xfId="2" applyNumberFormat="1" applyFont="1" applyBorder="1" applyAlignment="1" applyProtection="1">
      <alignment horizontal="right"/>
    </xf>
    <xf numFmtId="3" fontId="16" fillId="0" borderId="8" xfId="0" applyNumberFormat="1" applyFont="1" applyBorder="1"/>
    <xf numFmtId="0" fontId="51" fillId="0" borderId="8" xfId="0" applyFont="1" applyBorder="1" applyAlignment="1">
      <alignment horizontal="center"/>
    </xf>
    <xf numFmtId="0" fontId="24" fillId="0" borderId="0" xfId="0" applyFont="1" applyAlignment="1">
      <alignment horizontal="left"/>
    </xf>
    <xf numFmtId="0" fontId="24" fillId="0" borderId="8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24" fillId="0" borderId="0" xfId="0" applyFont="1"/>
    <xf numFmtId="3" fontId="24" fillId="2" borderId="11" xfId="1" applyNumberFormat="1" applyFont="1" applyFill="1" applyBorder="1" applyAlignment="1" applyProtection="1">
      <alignment horizontal="right"/>
    </xf>
    <xf numFmtId="3" fontId="24" fillId="0" borderId="10" xfId="1" applyNumberFormat="1" applyFont="1" applyBorder="1" applyAlignment="1" applyProtection="1">
      <alignment horizontal="right"/>
    </xf>
    <xf numFmtId="3" fontId="24" fillId="0" borderId="9" xfId="1" applyNumberFormat="1" applyFont="1" applyBorder="1" applyAlignment="1" applyProtection="1">
      <alignment horizontal="right"/>
    </xf>
    <xf numFmtId="3" fontId="24" fillId="0" borderId="0" xfId="1" applyNumberFormat="1" applyFont="1" applyBorder="1" applyAlignment="1" applyProtection="1">
      <alignment horizontal="right"/>
    </xf>
    <xf numFmtId="0" fontId="4" fillId="0" borderId="9" xfId="0" applyFont="1" applyBorder="1" applyAlignment="1">
      <alignment horizontal="right"/>
    </xf>
    <xf numFmtId="3" fontId="26" fillId="0" borderId="8" xfId="1" applyNumberFormat="1" applyFont="1" applyBorder="1" applyAlignment="1" applyProtection="1">
      <alignment horizontal="right"/>
    </xf>
    <xf numFmtId="3" fontId="24" fillId="0" borderId="8" xfId="1" applyNumberFormat="1" applyFont="1" applyBorder="1" applyAlignment="1" applyProtection="1">
      <alignment horizontal="right"/>
    </xf>
    <xf numFmtId="168" fontId="34" fillId="0" borderId="8" xfId="1" applyNumberFormat="1" applyFont="1" applyBorder="1" applyAlignment="1" applyProtection="1">
      <alignment horizontal="right"/>
    </xf>
    <xf numFmtId="168" fontId="34" fillId="0" borderId="10" xfId="1" applyNumberFormat="1" applyFont="1" applyBorder="1" applyAlignment="1" applyProtection="1">
      <alignment horizontal="right"/>
    </xf>
    <xf numFmtId="168" fontId="34" fillId="0" borderId="9" xfId="1" applyNumberFormat="1" applyFont="1" applyBorder="1" applyAlignment="1" applyProtection="1">
      <alignment horizontal="right"/>
    </xf>
    <xf numFmtId="168" fontId="34" fillId="2" borderId="11" xfId="1" applyNumberFormat="1" applyFont="1" applyFill="1" applyBorder="1" applyAlignment="1" applyProtection="1">
      <alignment horizontal="right"/>
    </xf>
    <xf numFmtId="168" fontId="34" fillId="0" borderId="0" xfId="1" applyNumberFormat="1" applyFont="1" applyBorder="1" applyAlignment="1" applyProtection="1">
      <alignment horizontal="right"/>
    </xf>
    <xf numFmtId="0" fontId="24" fillId="0" borderId="9" xfId="0" applyFont="1" applyBorder="1"/>
    <xf numFmtId="3" fontId="24" fillId="0" borderId="8" xfId="1" applyNumberFormat="1" applyFont="1" applyBorder="1" applyProtection="1"/>
    <xf numFmtId="3" fontId="34" fillId="0" borderId="8" xfId="1" applyNumberFormat="1" applyFont="1" applyBorder="1" applyAlignment="1" applyProtection="1">
      <alignment horizontal="right"/>
    </xf>
    <xf numFmtId="3" fontId="41" fillId="0" borderId="8" xfId="0" applyNumberFormat="1" applyFont="1" applyBorder="1"/>
    <xf numFmtId="3" fontId="6" fillId="0" borderId="8" xfId="0" applyNumberFormat="1" applyFont="1" applyBorder="1"/>
    <xf numFmtId="3" fontId="4" fillId="0" borderId="8" xfId="1" applyNumberFormat="1" applyFont="1" applyBorder="1" applyAlignment="1" applyProtection="1">
      <alignment horizontal="right"/>
    </xf>
    <xf numFmtId="2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left" vertical="center"/>
    </xf>
    <xf numFmtId="3" fontId="5" fillId="0" borderId="10" xfId="1" applyNumberFormat="1" applyFont="1" applyBorder="1" applyAlignment="1" applyProtection="1">
      <alignment horizontal="right"/>
    </xf>
    <xf numFmtId="3" fontId="5" fillId="0" borderId="9" xfId="1" applyNumberFormat="1" applyFont="1" applyBorder="1" applyAlignment="1" applyProtection="1">
      <alignment horizontal="right"/>
    </xf>
    <xf numFmtId="0" fontId="4" fillId="0" borderId="12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3" fontId="33" fillId="0" borderId="12" xfId="0" applyNumberFormat="1" applyFont="1" applyBorder="1"/>
    <xf numFmtId="3" fontId="34" fillId="0" borderId="12" xfId="0" applyNumberFormat="1" applyFont="1" applyBorder="1" applyAlignment="1">
      <alignment horizontal="right"/>
    </xf>
    <xf numFmtId="3" fontId="34" fillId="0" borderId="12" xfId="1" applyNumberFormat="1" applyFont="1" applyBorder="1" applyAlignment="1" applyProtection="1">
      <alignment horizontal="right"/>
    </xf>
    <xf numFmtId="3" fontId="33" fillId="0" borderId="14" xfId="1" applyNumberFormat="1" applyFont="1" applyBorder="1" applyAlignment="1" applyProtection="1">
      <alignment horizontal="right"/>
    </xf>
    <xf numFmtId="3" fontId="33" fillId="0" borderId="13" xfId="1" applyNumberFormat="1" applyFont="1" applyBorder="1" applyAlignment="1" applyProtection="1">
      <alignment horizontal="right"/>
    </xf>
    <xf numFmtId="3" fontId="34" fillId="0" borderId="14" xfId="1" applyNumberFormat="1" applyFont="1" applyBorder="1" applyAlignment="1" applyProtection="1">
      <alignment horizontal="right"/>
    </xf>
    <xf numFmtId="3" fontId="35" fillId="2" borderId="15" xfId="1" applyNumberFormat="1" applyFont="1" applyFill="1" applyBorder="1" applyAlignment="1" applyProtection="1">
      <alignment horizontal="right"/>
    </xf>
    <xf numFmtId="3" fontId="35" fillId="0" borderId="14" xfId="1" applyNumberFormat="1" applyFont="1" applyBorder="1" applyAlignment="1" applyProtection="1">
      <alignment horizontal="right"/>
    </xf>
    <xf numFmtId="3" fontId="53" fillId="0" borderId="13" xfId="1" applyNumberFormat="1" applyFont="1" applyBorder="1" applyAlignment="1" applyProtection="1">
      <alignment horizontal="right"/>
    </xf>
    <xf numFmtId="3" fontId="53" fillId="0" borderId="20" xfId="1" applyNumberFormat="1" applyFont="1" applyBorder="1" applyAlignment="1" applyProtection="1">
      <alignment horizontal="right"/>
    </xf>
    <xf numFmtId="3" fontId="53" fillId="0" borderId="14" xfId="1" applyNumberFormat="1" applyFont="1" applyBorder="1" applyAlignment="1" applyProtection="1">
      <alignment horizontal="right"/>
    </xf>
    <xf numFmtId="0" fontId="15" fillId="4" borderId="9" xfId="0" applyFont="1" applyFill="1" applyBorder="1"/>
    <xf numFmtId="3" fontId="15" fillId="0" borderId="10" xfId="0" applyNumberFormat="1" applyFont="1" applyBorder="1"/>
    <xf numFmtId="0" fontId="8" fillId="0" borderId="0" xfId="0" applyFont="1"/>
    <xf numFmtId="3" fontId="15" fillId="0" borderId="0" xfId="0" applyNumberFormat="1" applyFont="1"/>
    <xf numFmtId="0" fontId="14" fillId="2" borderId="11" xfId="0" applyFont="1" applyFill="1" applyBorder="1" applyAlignment="1">
      <alignment horizontal="right"/>
    </xf>
    <xf numFmtId="3" fontId="14" fillId="0" borderId="10" xfId="0" applyNumberFormat="1" applyFont="1" applyBorder="1" applyAlignment="1">
      <alignment horizontal="right"/>
    </xf>
    <xf numFmtId="3" fontId="1" fillId="5" borderId="10" xfId="0" applyNumberFormat="1" applyFont="1" applyFill="1" applyBorder="1" applyAlignment="1">
      <alignment horizontal="right"/>
    </xf>
    <xf numFmtId="3" fontId="12" fillId="5" borderId="9" xfId="0" applyNumberFormat="1" applyFont="1" applyFill="1" applyBorder="1" applyAlignment="1">
      <alignment horizontal="right"/>
    </xf>
    <xf numFmtId="3" fontId="1" fillId="5" borderId="9" xfId="0" applyNumberFormat="1" applyFont="1" applyFill="1" applyBorder="1" applyAlignment="1">
      <alignment horizontal="right"/>
    </xf>
    <xf numFmtId="0" fontId="1" fillId="0" borderId="9" xfId="0" applyFont="1" applyBorder="1" applyAlignment="1">
      <alignment wrapText="1"/>
    </xf>
    <xf numFmtId="3" fontId="12" fillId="0" borderId="8" xfId="0" applyNumberFormat="1" applyFont="1" applyBorder="1"/>
    <xf numFmtId="3" fontId="1" fillId="5" borderId="11" xfId="0" applyNumberFormat="1" applyFont="1" applyFill="1" applyBorder="1" applyAlignment="1">
      <alignment horizontal="right"/>
    </xf>
    <xf numFmtId="0" fontId="14" fillId="0" borderId="9" xfId="0" applyFont="1" applyBorder="1" applyAlignment="1">
      <alignment horizontal="left"/>
    </xf>
    <xf numFmtId="3" fontId="54" fillId="0" borderId="8" xfId="0" applyNumberFormat="1" applyFont="1" applyBorder="1"/>
    <xf numFmtId="3" fontId="54" fillId="0" borderId="8" xfId="0" applyNumberFormat="1" applyFont="1" applyBorder="1" applyAlignment="1">
      <alignment horizontal="right"/>
    </xf>
    <xf numFmtId="3" fontId="54" fillId="2" borderId="11" xfId="0" applyNumberFormat="1" applyFont="1" applyFill="1" applyBorder="1" applyAlignment="1">
      <alignment horizontal="right"/>
    </xf>
    <xf numFmtId="3" fontId="54" fillId="0" borderId="10" xfId="0" applyNumberFormat="1" applyFont="1" applyBorder="1" applyAlignment="1">
      <alignment horizontal="right"/>
    </xf>
    <xf numFmtId="0" fontId="4" fillId="0" borderId="3" xfId="0" applyFont="1" applyBorder="1" applyAlignment="1">
      <alignment horizontal="left"/>
    </xf>
    <xf numFmtId="3" fontId="4" fillId="0" borderId="3" xfId="0" applyNumberFormat="1" applyFont="1" applyBorder="1"/>
    <xf numFmtId="3" fontId="33" fillId="0" borderId="1" xfId="0" applyNumberFormat="1" applyFont="1" applyBorder="1"/>
    <xf numFmtId="3" fontId="34" fillId="0" borderId="1" xfId="0" applyNumberFormat="1" applyFont="1" applyBorder="1" applyAlignment="1">
      <alignment horizontal="right"/>
    </xf>
    <xf numFmtId="3" fontId="34" fillId="0" borderId="1" xfId="1" applyNumberFormat="1" applyFont="1" applyBorder="1" applyAlignment="1" applyProtection="1">
      <alignment horizontal="right"/>
    </xf>
    <xf numFmtId="3" fontId="33" fillId="0" borderId="4" xfId="1" applyNumberFormat="1" applyFont="1" applyBorder="1" applyAlignment="1" applyProtection="1">
      <alignment horizontal="right"/>
    </xf>
    <xf numFmtId="3" fontId="33" fillId="0" borderId="2" xfId="1" applyNumberFormat="1" applyFont="1" applyBorder="1" applyAlignment="1" applyProtection="1">
      <alignment horizontal="right"/>
    </xf>
    <xf numFmtId="3" fontId="34" fillId="0" borderId="4" xfId="1" applyNumberFormat="1" applyFont="1" applyBorder="1" applyAlignment="1" applyProtection="1">
      <alignment horizontal="right"/>
    </xf>
    <xf numFmtId="3" fontId="33" fillId="2" borderId="21" xfId="1" applyNumberFormat="1" applyFont="1" applyFill="1" applyBorder="1" applyAlignment="1" applyProtection="1">
      <alignment horizontal="right"/>
    </xf>
    <xf numFmtId="3" fontId="33" fillId="0" borderId="3" xfId="1" applyNumberFormat="1" applyFont="1" applyBorder="1" applyAlignment="1" applyProtection="1">
      <alignment horizontal="right"/>
    </xf>
    <xf numFmtId="3" fontId="1" fillId="0" borderId="3" xfId="1" applyNumberFormat="1" applyFont="1" applyBorder="1" applyAlignment="1" applyProtection="1">
      <alignment horizontal="right"/>
    </xf>
    <xf numFmtId="3" fontId="1" fillId="0" borderId="2" xfId="1" applyNumberFormat="1" applyFont="1" applyBorder="1" applyAlignment="1" applyProtection="1">
      <alignment horizontal="right"/>
    </xf>
    <xf numFmtId="3" fontId="1" fillId="0" borderId="4" xfId="1" applyNumberFormat="1" applyFont="1" applyBorder="1" applyAlignment="1" applyProtection="1">
      <alignment horizontal="right"/>
    </xf>
    <xf numFmtId="0" fontId="15" fillId="3" borderId="1" xfId="0" applyFont="1" applyFill="1" applyBorder="1" applyAlignment="1">
      <alignment horizontal="center"/>
    </xf>
    <xf numFmtId="0" fontId="15" fillId="3" borderId="2" xfId="0" applyFont="1" applyFill="1" applyBorder="1"/>
    <xf numFmtId="3" fontId="15" fillId="0" borderId="1" xfId="0" applyNumberFormat="1" applyFont="1" applyBorder="1"/>
    <xf numFmtId="3" fontId="15" fillId="0" borderId="1" xfId="0" applyNumberFormat="1" applyFont="1" applyBorder="1" applyAlignment="1">
      <alignment horizontal="right"/>
    </xf>
    <xf numFmtId="3" fontId="15" fillId="0" borderId="4" xfId="0" applyNumberFormat="1" applyFont="1" applyBorder="1" applyAlignment="1">
      <alignment horizontal="right"/>
    </xf>
    <xf numFmtId="3" fontId="15" fillId="0" borderId="2" xfId="0" applyNumberFormat="1" applyFont="1" applyBorder="1" applyAlignment="1">
      <alignment horizontal="right"/>
    </xf>
    <xf numFmtId="3" fontId="27" fillId="2" borderId="21" xfId="0" applyNumberFormat="1" applyFont="1" applyFill="1" applyBorder="1" applyAlignment="1">
      <alignment horizontal="right"/>
    </xf>
    <xf numFmtId="3" fontId="27" fillId="9" borderId="4" xfId="0" applyNumberFormat="1" applyFont="1" applyFill="1" applyBorder="1" applyAlignment="1">
      <alignment horizontal="right"/>
    </xf>
    <xf numFmtId="3" fontId="15" fillId="9" borderId="4" xfId="0" applyNumberFormat="1" applyFont="1" applyFill="1" applyBorder="1" applyAlignment="1">
      <alignment horizontal="right"/>
    </xf>
    <xf numFmtId="3" fontId="15" fillId="9" borderId="1" xfId="0" applyNumberFormat="1" applyFont="1" applyFill="1" applyBorder="1" applyAlignment="1">
      <alignment horizontal="right"/>
    </xf>
    <xf numFmtId="1" fontId="55" fillId="0" borderId="10" xfId="0" applyNumberFormat="1" applyFont="1" applyBorder="1" applyAlignment="1">
      <alignment horizontal="right"/>
    </xf>
    <xf numFmtId="1" fontId="55" fillId="2" borderId="11" xfId="2" applyNumberFormat="1" applyFont="1" applyFill="1" applyBorder="1" applyAlignment="1" applyProtection="1">
      <alignment horizontal="right"/>
    </xf>
    <xf numFmtId="3" fontId="19" fillId="0" borderId="9" xfId="0" applyNumberFormat="1" applyFont="1" applyBorder="1" applyAlignment="1">
      <alignment horizontal="right"/>
    </xf>
    <xf numFmtId="3" fontId="21" fillId="0" borderId="9" xfId="0" applyNumberFormat="1" applyFont="1" applyBorder="1" applyAlignment="1">
      <alignment horizontal="right"/>
    </xf>
    <xf numFmtId="3" fontId="21" fillId="0" borderId="0" xfId="0" applyNumberFormat="1" applyFont="1" applyAlignment="1">
      <alignment horizontal="right"/>
    </xf>
    <xf numFmtId="49" fontId="15" fillId="0" borderId="8" xfId="0" applyNumberFormat="1" applyFont="1" applyBorder="1" applyAlignment="1">
      <alignment horizontal="left"/>
    </xf>
    <xf numFmtId="0" fontId="4" fillId="4" borderId="9" xfId="0" applyFont="1" applyFill="1" applyBorder="1" applyAlignment="1">
      <alignment horizontal="left" vertical="top"/>
    </xf>
    <xf numFmtId="3" fontId="27" fillId="2" borderId="11" xfId="0" applyNumberFormat="1" applyFont="1" applyFill="1" applyBorder="1" applyAlignment="1">
      <alignment horizontal="right"/>
    </xf>
    <xf numFmtId="3" fontId="27" fillId="0" borderId="9" xfId="0" applyNumberFormat="1" applyFont="1" applyBorder="1" applyAlignment="1">
      <alignment horizontal="right"/>
    </xf>
    <xf numFmtId="3" fontId="15" fillId="0" borderId="0" xfId="0" applyNumberFormat="1" applyFont="1" applyAlignment="1">
      <alignment horizontal="right"/>
    </xf>
    <xf numFmtId="0" fontId="24" fillId="0" borderId="9" xfId="0" applyFont="1" applyBorder="1" applyAlignment="1">
      <alignment horizontal="right"/>
    </xf>
    <xf numFmtId="3" fontId="56" fillId="0" borderId="8" xfId="0" applyNumberFormat="1" applyFont="1" applyBorder="1"/>
    <xf numFmtId="3" fontId="20" fillId="0" borderId="8" xfId="1" applyNumberFormat="1" applyFont="1" applyBorder="1" applyAlignment="1" applyProtection="1">
      <alignment horizontal="right"/>
    </xf>
    <xf numFmtId="3" fontId="20" fillId="0" borderId="10" xfId="1" applyNumberFormat="1" applyFont="1" applyBorder="1" applyAlignment="1" applyProtection="1">
      <alignment horizontal="right"/>
    </xf>
    <xf numFmtId="3" fontId="20" fillId="0" borderId="9" xfId="1" applyNumberFormat="1" applyFont="1" applyBorder="1" applyAlignment="1" applyProtection="1">
      <alignment horizontal="right"/>
    </xf>
    <xf numFmtId="3" fontId="30" fillId="2" borderId="11" xfId="1" applyNumberFormat="1" applyFont="1" applyFill="1" applyBorder="1" applyAlignment="1" applyProtection="1">
      <alignment horizontal="right"/>
    </xf>
    <xf numFmtId="3" fontId="30" fillId="0" borderId="10" xfId="1" applyNumberFormat="1" applyFont="1" applyBorder="1" applyAlignment="1" applyProtection="1">
      <alignment horizontal="right"/>
    </xf>
    <xf numFmtId="3" fontId="30" fillId="0" borderId="9" xfId="1" applyNumberFormat="1" applyFont="1" applyBorder="1" applyAlignment="1" applyProtection="1">
      <alignment horizontal="right"/>
    </xf>
    <xf numFmtId="3" fontId="30" fillId="0" borderId="0" xfId="1" applyNumberFormat="1" applyFont="1" applyBorder="1" applyAlignment="1" applyProtection="1">
      <alignment horizontal="right"/>
    </xf>
    <xf numFmtId="0" fontId="4" fillId="0" borderId="8" xfId="0" applyFont="1" applyBorder="1" applyAlignment="1">
      <alignment horizontal="left" vertical="top" wrapText="1"/>
    </xf>
    <xf numFmtId="0" fontId="4" fillId="5" borderId="9" xfId="0" applyFont="1" applyFill="1" applyBorder="1" applyAlignment="1">
      <alignment horizontal="left" vertical="top" wrapText="1"/>
    </xf>
    <xf numFmtId="3" fontId="15" fillId="0" borderId="8" xfId="0" applyNumberFormat="1" applyFont="1" applyBorder="1" applyAlignment="1">
      <alignment horizontal="right" wrapText="1"/>
    </xf>
    <xf numFmtId="3" fontId="15" fillId="0" borderId="10" xfId="0" applyNumberFormat="1" applyFont="1" applyBorder="1" applyAlignment="1">
      <alignment horizontal="right" wrapText="1"/>
    </xf>
    <xf numFmtId="3" fontId="15" fillId="0" borderId="9" xfId="0" applyNumberFormat="1" applyFont="1" applyBorder="1" applyAlignment="1">
      <alignment horizontal="right" wrapText="1"/>
    </xf>
    <xf numFmtId="3" fontId="27" fillId="2" borderId="11" xfId="0" applyNumberFormat="1" applyFont="1" applyFill="1" applyBorder="1" applyAlignment="1">
      <alignment horizontal="right" wrapText="1"/>
    </xf>
    <xf numFmtId="3" fontId="27" fillId="0" borderId="8" xfId="0" applyNumberFormat="1" applyFont="1" applyBorder="1" applyAlignment="1">
      <alignment horizontal="right" wrapText="1"/>
    </xf>
    <xf numFmtId="0" fontId="2" fillId="0" borderId="0" xfId="0" applyFont="1" applyAlignment="1">
      <alignment wrapText="1"/>
    </xf>
    <xf numFmtId="0" fontId="5" fillId="0" borderId="8" xfId="0" applyFont="1" applyBorder="1" applyAlignment="1">
      <alignment horizontal="left" vertical="top"/>
    </xf>
    <xf numFmtId="3" fontId="6" fillId="0" borderId="8" xfId="0" applyNumberFormat="1" applyFont="1" applyBorder="1" applyAlignment="1">
      <alignment horizontal="right" vertical="top"/>
    </xf>
    <xf numFmtId="3" fontId="37" fillId="0" borderId="8" xfId="0" applyNumberFormat="1" applyFont="1" applyBorder="1" applyAlignment="1">
      <alignment vertical="top"/>
    </xf>
    <xf numFmtId="3" fontId="20" fillId="0" borderId="8" xfId="0" applyNumberFormat="1" applyFont="1" applyBorder="1" applyAlignment="1">
      <alignment horizontal="right" vertical="top"/>
    </xf>
    <xf numFmtId="3" fontId="43" fillId="0" borderId="8" xfId="0" applyNumberFormat="1" applyFont="1" applyBorder="1" applyAlignment="1">
      <alignment horizontal="right" vertical="top"/>
    </xf>
    <xf numFmtId="3" fontId="20" fillId="0" borderId="8" xfId="0" applyNumberFormat="1" applyFont="1" applyBorder="1" applyAlignment="1">
      <alignment horizontal="right"/>
    </xf>
    <xf numFmtId="3" fontId="33" fillId="2" borderId="11" xfId="1" applyNumberFormat="1" applyFont="1" applyFill="1" applyBorder="1" applyAlignment="1" applyProtection="1">
      <alignment horizontal="right"/>
    </xf>
    <xf numFmtId="3" fontId="33" fillId="0" borderId="10" xfId="1" applyNumberFormat="1" applyFont="1" applyBorder="1" applyAlignment="1" applyProtection="1">
      <alignment horizontal="right"/>
    </xf>
    <xf numFmtId="3" fontId="33" fillId="0" borderId="9" xfId="1" applyNumberFormat="1" applyFont="1" applyBorder="1" applyAlignment="1" applyProtection="1">
      <alignment horizontal="right"/>
    </xf>
    <xf numFmtId="3" fontId="33" fillId="0" borderId="0" xfId="1" applyNumberFormat="1" applyFont="1" applyBorder="1" applyAlignment="1" applyProtection="1">
      <alignment horizontal="right"/>
    </xf>
    <xf numFmtId="0" fontId="5" fillId="0" borderId="8" xfId="0" applyFont="1" applyBorder="1" applyAlignment="1">
      <alignment horizontal="left"/>
    </xf>
    <xf numFmtId="0" fontId="1" fillId="5" borderId="9" xfId="0" applyFont="1" applyFill="1" applyBorder="1" applyAlignment="1">
      <alignment horizontal="left"/>
    </xf>
    <xf numFmtId="3" fontId="2" fillId="0" borderId="8" xfId="0" applyNumberFormat="1" applyFont="1" applyBorder="1" applyAlignment="1">
      <alignment horizontal="right"/>
    </xf>
    <xf numFmtId="3" fontId="2" fillId="0" borderId="9" xfId="0" applyNumberFormat="1" applyFont="1" applyBorder="1" applyAlignment="1">
      <alignment horizontal="right"/>
    </xf>
    <xf numFmtId="3" fontId="3" fillId="2" borderId="11" xfId="0" applyNumberFormat="1" applyFont="1" applyFill="1" applyBorder="1" applyAlignment="1">
      <alignment horizontal="right"/>
    </xf>
    <xf numFmtId="3" fontId="2" fillId="0" borderId="0" xfId="0" applyNumberFormat="1" applyFont="1" applyAlignment="1">
      <alignment horizontal="right"/>
    </xf>
    <xf numFmtId="166" fontId="34" fillId="0" borderId="8" xfId="0" applyNumberFormat="1" applyFont="1" applyBorder="1" applyAlignment="1">
      <alignment horizontal="right"/>
    </xf>
    <xf numFmtId="166" fontId="34" fillId="0" borderId="10" xfId="0" applyNumberFormat="1" applyFont="1" applyBorder="1" applyAlignment="1">
      <alignment horizontal="right"/>
    </xf>
    <xf numFmtId="166" fontId="34" fillId="0" borderId="9" xfId="0" applyNumberFormat="1" applyFont="1" applyBorder="1" applyAlignment="1">
      <alignment horizontal="right"/>
    </xf>
    <xf numFmtId="166" fontId="34" fillId="2" borderId="11" xfId="0" applyNumberFormat="1" applyFont="1" applyFill="1" applyBorder="1" applyAlignment="1">
      <alignment horizontal="right"/>
    </xf>
    <xf numFmtId="166" fontId="24" fillId="0" borderId="8" xfId="0" applyNumberFormat="1" applyFont="1" applyBorder="1" applyAlignment="1">
      <alignment horizontal="right"/>
    </xf>
    <xf numFmtId="166" fontId="2" fillId="2" borderId="11" xfId="0" applyNumberFormat="1" applyFont="1" applyFill="1" applyBorder="1" applyAlignment="1">
      <alignment horizontal="right"/>
    </xf>
    <xf numFmtId="3" fontId="2" fillId="0" borderId="10" xfId="0" applyNumberFormat="1" applyFont="1" applyBorder="1" applyAlignment="1">
      <alignment horizontal="right"/>
    </xf>
    <xf numFmtId="166" fontId="2" fillId="0" borderId="10" xfId="0" applyNumberFormat="1" applyFont="1" applyBorder="1" applyAlignment="1">
      <alignment horizontal="right"/>
    </xf>
    <xf numFmtId="166" fontId="2" fillId="0" borderId="9" xfId="0" applyNumberFormat="1" applyFont="1" applyBorder="1" applyAlignment="1">
      <alignment horizontal="right"/>
    </xf>
    <xf numFmtId="166" fontId="2" fillId="0" borderId="0" xfId="0" applyNumberFormat="1" applyFont="1" applyAlignment="1">
      <alignment horizontal="right"/>
    </xf>
    <xf numFmtId="3" fontId="20" fillId="0" borderId="9" xfId="0" applyNumberFormat="1" applyFont="1" applyBorder="1" applyAlignment="1">
      <alignment horizontal="right"/>
    </xf>
    <xf numFmtId="0" fontId="4" fillId="4" borderId="9" xfId="0" applyFont="1" applyFill="1" applyBorder="1" applyAlignment="1">
      <alignment horizontal="left"/>
    </xf>
    <xf numFmtId="0" fontId="34" fillId="0" borderId="9" xfId="0" applyFont="1" applyBorder="1" applyAlignment="1">
      <alignment horizontal="left"/>
    </xf>
    <xf numFmtId="166" fontId="52" fillId="0" borderId="8" xfId="0" applyNumberFormat="1" applyFont="1" applyBorder="1" applyAlignment="1">
      <alignment horizontal="right"/>
    </xf>
    <xf numFmtId="166" fontId="49" fillId="0" borderId="8" xfId="0" applyNumberFormat="1" applyFont="1" applyBorder="1" applyAlignment="1">
      <alignment horizontal="right"/>
    </xf>
    <xf numFmtId="166" fontId="50" fillId="0" borderId="10" xfId="0" applyNumberFormat="1" applyFont="1" applyBorder="1" applyAlignment="1">
      <alignment horizontal="right"/>
    </xf>
    <xf numFmtId="166" fontId="49" fillId="0" borderId="9" xfId="0" applyNumberFormat="1" applyFont="1" applyBorder="1" applyAlignment="1">
      <alignment horizontal="right"/>
    </xf>
    <xf numFmtId="166" fontId="49" fillId="2" borderId="11" xfId="0" applyNumberFormat="1" applyFont="1" applyFill="1" applyBorder="1" applyAlignment="1">
      <alignment horizontal="right"/>
    </xf>
    <xf numFmtId="166" fontId="49" fillId="0" borderId="10" xfId="0" applyNumberFormat="1" applyFont="1" applyBorder="1" applyAlignment="1">
      <alignment horizontal="right"/>
    </xf>
    <xf numFmtId="166" fontId="49" fillId="0" borderId="0" xfId="0" applyNumberFormat="1" applyFont="1" applyAlignment="1">
      <alignment horizontal="right"/>
    </xf>
    <xf numFmtId="3" fontId="4" fillId="0" borderId="22" xfId="0" applyNumberFormat="1" applyFont="1" applyBorder="1" applyAlignment="1">
      <alignment horizontal="right"/>
    </xf>
    <xf numFmtId="166" fontId="50" fillId="0" borderId="9" xfId="0" applyNumberFormat="1" applyFont="1" applyBorder="1" applyAlignment="1">
      <alignment horizontal="right"/>
    </xf>
    <xf numFmtId="166" fontId="1" fillId="0" borderId="8" xfId="0" applyNumberFormat="1" applyFont="1" applyBorder="1" applyAlignment="1">
      <alignment horizontal="right"/>
    </xf>
    <xf numFmtId="0" fontId="15" fillId="0" borderId="9" xfId="0" applyFont="1" applyBorder="1" applyAlignment="1">
      <alignment horizontal="left" wrapText="1"/>
    </xf>
    <xf numFmtId="0" fontId="0" fillId="0" borderId="9" xfId="0" applyBorder="1"/>
    <xf numFmtId="3" fontId="45" fillId="0" borderId="8" xfId="0" applyNumberFormat="1" applyFont="1" applyBorder="1" applyAlignment="1">
      <alignment horizontal="right"/>
    </xf>
    <xf numFmtId="3" fontId="57" fillId="0" borderId="8" xfId="0" applyNumberFormat="1" applyFont="1" applyBorder="1"/>
    <xf numFmtId="3" fontId="37" fillId="0" borderId="8" xfId="0" applyNumberFormat="1" applyFont="1" applyBorder="1"/>
    <xf numFmtId="1" fontId="3" fillId="0" borderId="8" xfId="0" applyNumberFormat="1" applyFont="1" applyBorder="1" applyAlignment="1">
      <alignment horizontal="right"/>
    </xf>
    <xf numFmtId="1" fontId="3" fillId="0" borderId="10" xfId="0" applyNumberFormat="1" applyFont="1" applyBorder="1" applyAlignment="1">
      <alignment horizontal="right"/>
    </xf>
    <xf numFmtId="1" fontId="3" fillId="0" borderId="9" xfId="0" applyNumberFormat="1" applyFont="1" applyBorder="1" applyAlignment="1">
      <alignment horizontal="right"/>
    </xf>
    <xf numFmtId="169" fontId="56" fillId="2" borderId="11" xfId="1" applyNumberFormat="1" applyFont="1" applyFill="1" applyBorder="1" applyProtection="1"/>
    <xf numFmtId="169" fontId="56" fillId="0" borderId="10" xfId="1" applyNumberFormat="1" applyFont="1" applyBorder="1" applyProtection="1"/>
    <xf numFmtId="169" fontId="56" fillId="0" borderId="9" xfId="1" applyNumberFormat="1" applyFont="1" applyBorder="1" applyProtection="1"/>
    <xf numFmtId="169" fontId="58" fillId="0" borderId="9" xfId="1" applyNumberFormat="1" applyFont="1" applyBorder="1" applyProtection="1"/>
    <xf numFmtId="169" fontId="58" fillId="0" borderId="0" xfId="1" applyNumberFormat="1" applyFont="1" applyBorder="1" applyProtection="1"/>
    <xf numFmtId="169" fontId="58" fillId="0" borderId="10" xfId="1" applyNumberFormat="1" applyFont="1" applyBorder="1" applyProtection="1"/>
    <xf numFmtId="1" fontId="15" fillId="0" borderId="8" xfId="0" applyNumberFormat="1" applyFont="1" applyBorder="1" applyAlignment="1">
      <alignment horizontal="right"/>
    </xf>
    <xf numFmtId="3" fontId="8" fillId="0" borderId="8" xfId="0" applyNumberFormat="1" applyFont="1" applyBorder="1" applyAlignment="1">
      <alignment horizontal="right"/>
    </xf>
    <xf numFmtId="0" fontId="4" fillId="0" borderId="8" xfId="0" applyFont="1" applyBorder="1"/>
    <xf numFmtId="0" fontId="59" fillId="0" borderId="0" xfId="0" applyFont="1"/>
    <xf numFmtId="3" fontId="60" fillId="0" borderId="8" xfId="0" applyNumberFormat="1" applyFont="1" applyBorder="1" applyAlignment="1">
      <alignment horizontal="right"/>
    </xf>
    <xf numFmtId="3" fontId="61" fillId="0" borderId="8" xfId="0" applyNumberFormat="1" applyFont="1" applyBorder="1" applyAlignment="1">
      <alignment horizontal="right"/>
    </xf>
    <xf numFmtId="3" fontId="15" fillId="0" borderId="8" xfId="1" applyNumberFormat="1" applyFont="1" applyBorder="1" applyAlignment="1" applyProtection="1">
      <alignment horizontal="right"/>
    </xf>
    <xf numFmtId="3" fontId="15" fillId="0" borderId="10" xfId="1" applyNumberFormat="1" applyFont="1" applyBorder="1" applyAlignment="1" applyProtection="1">
      <alignment horizontal="right"/>
    </xf>
    <xf numFmtId="3" fontId="15" fillId="0" borderId="9" xfId="1" applyNumberFormat="1" applyFont="1" applyBorder="1" applyAlignment="1" applyProtection="1">
      <alignment horizontal="right"/>
    </xf>
    <xf numFmtId="3" fontId="15" fillId="2" borderId="11" xfId="1" applyNumberFormat="1" applyFont="1" applyFill="1" applyBorder="1" applyAlignment="1" applyProtection="1">
      <alignment horizontal="right"/>
    </xf>
    <xf numFmtId="3" fontId="15" fillId="0" borderId="0" xfId="1" applyNumberFormat="1" applyFont="1" applyBorder="1" applyAlignment="1" applyProtection="1">
      <alignment horizontal="right"/>
    </xf>
    <xf numFmtId="0" fontId="15" fillId="0" borderId="9" xfId="0" applyFont="1" applyBorder="1" applyAlignment="1">
      <alignment horizontal="left"/>
    </xf>
    <xf numFmtId="166" fontId="3" fillId="0" borderId="0" xfId="0" applyNumberFormat="1" applyFont="1" applyAlignment="1">
      <alignment horizontal="right"/>
    </xf>
    <xf numFmtId="166" fontId="49" fillId="0" borderId="14" xfId="0" applyNumberFormat="1" applyFont="1" applyBorder="1" applyAlignment="1">
      <alignment horizontal="right"/>
    </xf>
    <xf numFmtId="0" fontId="4" fillId="0" borderId="17" xfId="0" applyFont="1" applyBorder="1" applyAlignment="1">
      <alignment horizontal="left"/>
    </xf>
    <xf numFmtId="0" fontId="34" fillId="0" borderId="18" xfId="0" applyFont="1" applyBorder="1" applyAlignment="1">
      <alignment horizontal="right"/>
    </xf>
    <xf numFmtId="166" fontId="3" fillId="0" borderId="17" xfId="0" applyNumberFormat="1" applyFont="1" applyBorder="1" applyAlignment="1">
      <alignment horizontal="right"/>
    </xf>
    <xf numFmtId="166" fontId="3" fillId="0" borderId="16" xfId="0" applyNumberFormat="1" applyFont="1" applyBorder="1" applyAlignment="1">
      <alignment horizontal="right"/>
    </xf>
    <xf numFmtId="3" fontId="1" fillId="0" borderId="17" xfId="0" applyNumberFormat="1" applyFont="1" applyBorder="1" applyAlignment="1">
      <alignment horizontal="right"/>
    </xf>
    <xf numFmtId="166" fontId="52" fillId="0" borderId="17" xfId="0" applyNumberFormat="1" applyFont="1" applyBorder="1" applyAlignment="1">
      <alignment horizontal="right"/>
    </xf>
    <xf numFmtId="166" fontId="49" fillId="0" borderId="17" xfId="0" applyNumberFormat="1" applyFont="1" applyBorder="1" applyAlignment="1">
      <alignment horizontal="right"/>
    </xf>
    <xf numFmtId="166" fontId="49" fillId="0" borderId="7" xfId="0" applyNumberFormat="1" applyFont="1" applyBorder="1" applyAlignment="1">
      <alignment horizontal="right"/>
    </xf>
    <xf numFmtId="166" fontId="49" fillId="2" borderId="19" xfId="0" applyNumberFormat="1" applyFont="1" applyFill="1" applyBorder="1" applyAlignment="1">
      <alignment horizontal="right"/>
    </xf>
    <xf numFmtId="0" fontId="4" fillId="3" borderId="8" xfId="0" applyFont="1" applyFill="1" applyBorder="1" applyAlignment="1">
      <alignment horizontal="left"/>
    </xf>
    <xf numFmtId="0" fontId="10" fillId="0" borderId="9" xfId="0" applyFont="1" applyBorder="1" applyAlignment="1">
      <alignment horizontal="left"/>
    </xf>
    <xf numFmtId="9" fontId="24" fillId="0" borderId="9" xfId="0" applyNumberFormat="1" applyFont="1" applyBorder="1" applyAlignment="1">
      <alignment horizontal="right"/>
    </xf>
    <xf numFmtId="3" fontId="17" fillId="2" borderId="11" xfId="0" applyNumberFormat="1" applyFont="1" applyFill="1" applyBorder="1" applyAlignment="1">
      <alignment horizontal="right"/>
    </xf>
    <xf numFmtId="3" fontId="17" fillId="0" borderId="8" xfId="0" applyNumberFormat="1" applyFont="1" applyBorder="1" applyAlignment="1">
      <alignment horizontal="right"/>
    </xf>
    <xf numFmtId="3" fontId="6" fillId="2" borderId="11" xfId="2" applyNumberFormat="1" applyFont="1" applyFill="1" applyBorder="1" applyAlignment="1" applyProtection="1">
      <alignment horizontal="right"/>
    </xf>
    <xf numFmtId="3" fontId="62" fillId="0" borderId="10" xfId="2" applyNumberFormat="1" applyFont="1" applyBorder="1" applyAlignment="1" applyProtection="1">
      <alignment horizontal="right"/>
    </xf>
    <xf numFmtId="3" fontId="24" fillId="2" borderId="11" xfId="2" applyNumberFormat="1" applyFont="1" applyFill="1" applyBorder="1" applyAlignment="1" applyProtection="1">
      <alignment horizontal="right"/>
    </xf>
    <xf numFmtId="3" fontId="17" fillId="0" borderId="9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0" fontId="33" fillId="0" borderId="9" xfId="0" applyFont="1" applyBorder="1" applyAlignment="1">
      <alignment horizontal="right"/>
    </xf>
    <xf numFmtId="0" fontId="33" fillId="0" borderId="0" xfId="0" applyFont="1" applyAlignment="1">
      <alignment horizontal="right"/>
    </xf>
    <xf numFmtId="0" fontId="33" fillId="0" borderId="10" xfId="0" applyFont="1" applyBorder="1" applyAlignment="1">
      <alignment horizontal="right"/>
    </xf>
    <xf numFmtId="3" fontId="12" fillId="0" borderId="0" xfId="0" applyNumberFormat="1" applyFont="1" applyAlignment="1">
      <alignment horizontal="right"/>
    </xf>
    <xf numFmtId="0" fontId="12" fillId="0" borderId="8" xfId="0" applyFont="1" applyBorder="1" applyAlignment="1">
      <alignment horizontal="right"/>
    </xf>
    <xf numFmtId="3" fontId="33" fillId="0" borderId="9" xfId="2" applyNumberFormat="1" applyFont="1" applyBorder="1" applyAlignment="1" applyProtection="1">
      <alignment horizontal="right"/>
    </xf>
    <xf numFmtId="3" fontId="33" fillId="0" borderId="0" xfId="2" applyNumberFormat="1" applyFont="1" applyBorder="1" applyAlignment="1" applyProtection="1">
      <alignment horizontal="right"/>
    </xf>
    <xf numFmtId="3" fontId="33" fillId="0" borderId="10" xfId="2" applyNumberFormat="1" applyFont="1" applyBorder="1" applyAlignment="1" applyProtection="1">
      <alignment horizontal="right"/>
    </xf>
    <xf numFmtId="0" fontId="4" fillId="5" borderId="9" xfId="0" applyFont="1" applyFill="1" applyBorder="1" applyAlignment="1">
      <alignment horizontal="left"/>
    </xf>
    <xf numFmtId="0" fontId="15" fillId="4" borderId="9" xfId="0" applyFont="1" applyFill="1" applyBorder="1" applyAlignment="1">
      <alignment horizontal="left" wrapText="1"/>
    </xf>
    <xf numFmtId="3" fontId="5" fillId="2" borderId="11" xfId="1" applyNumberFormat="1" applyFont="1" applyFill="1" applyBorder="1" applyAlignment="1" applyProtection="1">
      <alignment horizontal="right"/>
    </xf>
    <xf numFmtId="0" fontId="4" fillId="0" borderId="0" xfId="0" applyFont="1" applyAlignment="1">
      <alignment horizontal="left"/>
    </xf>
    <xf numFmtId="3" fontId="10" fillId="0" borderId="10" xfId="0" applyNumberFormat="1" applyFont="1" applyBorder="1" applyAlignment="1">
      <alignment horizontal="right"/>
    </xf>
    <xf numFmtId="3" fontId="10" fillId="2" borderId="11" xfId="0" applyNumberFormat="1" applyFont="1" applyFill="1" applyBorder="1" applyAlignment="1">
      <alignment horizontal="right"/>
    </xf>
    <xf numFmtId="0" fontId="3" fillId="0" borderId="17" xfId="0" applyFont="1" applyBorder="1"/>
    <xf numFmtId="0" fontId="3" fillId="0" borderId="7" xfId="0" applyFont="1" applyBorder="1"/>
    <xf numFmtId="0" fontId="3" fillId="0" borderId="16" xfId="0" applyFont="1" applyBorder="1"/>
    <xf numFmtId="0" fontId="3" fillId="0" borderId="17" xfId="0" applyFont="1" applyBorder="1" applyAlignment="1">
      <alignment horizontal="right"/>
    </xf>
    <xf numFmtId="3" fontId="10" fillId="0" borderId="17" xfId="0" applyNumberFormat="1" applyFont="1" applyBorder="1" applyAlignment="1">
      <alignment horizontal="right"/>
    </xf>
    <xf numFmtId="3" fontId="19" fillId="0" borderId="7" xfId="0" applyNumberFormat="1" applyFont="1" applyBorder="1" applyAlignment="1">
      <alignment horizontal="right"/>
    </xf>
    <xf numFmtId="3" fontId="10" fillId="0" borderId="7" xfId="0" applyNumberFormat="1" applyFont="1" applyBorder="1" applyAlignment="1">
      <alignment horizontal="right"/>
    </xf>
    <xf numFmtId="3" fontId="10" fillId="2" borderId="19" xfId="0" applyNumberFormat="1" applyFont="1" applyFill="1" applyBorder="1" applyAlignment="1">
      <alignment horizontal="right"/>
    </xf>
    <xf numFmtId="0" fontId="15" fillId="3" borderId="9" xfId="0" applyFont="1" applyFill="1" applyBorder="1" applyAlignment="1">
      <alignment horizontal="left" wrapText="1"/>
    </xf>
    <xf numFmtId="0" fontId="7" fillId="0" borderId="9" xfId="0" applyFont="1" applyBorder="1" applyAlignment="1">
      <alignment horizontal="right" wrapText="1"/>
    </xf>
    <xf numFmtId="0" fontId="4" fillId="4" borderId="8" xfId="0" applyFont="1" applyFill="1" applyBorder="1" applyAlignment="1">
      <alignment horizontal="left"/>
    </xf>
    <xf numFmtId="0" fontId="15" fillId="4" borderId="9" xfId="0" applyFont="1" applyFill="1" applyBorder="1" applyAlignment="1">
      <alignment horizontal="left"/>
    </xf>
    <xf numFmtId="3" fontId="63" fillId="0" borderId="10" xfId="0" applyNumberFormat="1" applyFont="1" applyBorder="1" applyAlignment="1">
      <alignment horizontal="right"/>
    </xf>
    <xf numFmtId="0" fontId="1" fillId="5" borderId="0" xfId="0" applyFont="1" applyFill="1" applyAlignment="1">
      <alignment horizontal="left"/>
    </xf>
    <xf numFmtId="3" fontId="8" fillId="0" borderId="10" xfId="0" applyNumberFormat="1" applyFont="1" applyBorder="1" applyAlignment="1">
      <alignment horizontal="right"/>
    </xf>
    <xf numFmtId="3" fontId="8" fillId="2" borderId="11" xfId="0" applyNumberFormat="1" applyFont="1" applyFill="1" applyBorder="1" applyAlignment="1">
      <alignment horizontal="right"/>
    </xf>
    <xf numFmtId="0" fontId="15" fillId="3" borderId="9" xfId="0" applyFont="1" applyFill="1" applyBorder="1" applyAlignment="1">
      <alignment horizontal="left"/>
    </xf>
    <xf numFmtId="3" fontId="64" fillId="0" borderId="10" xfId="0" applyNumberFormat="1" applyFont="1" applyBorder="1" applyAlignment="1">
      <alignment horizontal="right"/>
    </xf>
    <xf numFmtId="3" fontId="64" fillId="0" borderId="8" xfId="0" applyNumberFormat="1" applyFont="1" applyBorder="1" applyAlignment="1">
      <alignment horizontal="right"/>
    </xf>
    <xf numFmtId="0" fontId="15" fillId="0" borderId="1" xfId="0" applyFont="1" applyBorder="1"/>
    <xf numFmtId="0" fontId="15" fillId="0" borderId="3" xfId="0" applyFont="1" applyBorder="1"/>
    <xf numFmtId="3" fontId="4" fillId="0" borderId="4" xfId="0" applyNumberFormat="1" applyFont="1" applyBorder="1"/>
    <xf numFmtId="3" fontId="4" fillId="0" borderId="1" xfId="0" applyNumberFormat="1" applyFont="1" applyBorder="1"/>
    <xf numFmtId="3" fontId="4" fillId="0" borderId="1" xfId="0" applyNumberFormat="1" applyFont="1" applyBorder="1" applyAlignment="1">
      <alignment horizontal="right"/>
    </xf>
    <xf numFmtId="3" fontId="4" fillId="0" borderId="4" xfId="0" applyNumberFormat="1" applyFont="1" applyBorder="1" applyAlignment="1">
      <alignment horizontal="right"/>
    </xf>
    <xf numFmtId="3" fontId="4" fillId="2" borderId="21" xfId="0" applyNumberFormat="1" applyFont="1" applyFill="1" applyBorder="1" applyAlignment="1">
      <alignment horizontal="right"/>
    </xf>
    <xf numFmtId="0" fontId="3" fillId="0" borderId="12" xfId="0" applyFont="1" applyBorder="1"/>
    <xf numFmtId="0" fontId="3" fillId="0" borderId="20" xfId="0" applyFont="1" applyBorder="1"/>
    <xf numFmtId="170" fontId="3" fillId="0" borderId="14" xfId="0" applyNumberFormat="1" applyFont="1" applyBorder="1"/>
    <xf numFmtId="170" fontId="3" fillId="0" borderId="20" xfId="0" applyNumberFormat="1" applyFont="1" applyBorder="1"/>
    <xf numFmtId="170" fontId="3" fillId="0" borderId="12" xfId="0" applyNumberFormat="1" applyFont="1" applyBorder="1"/>
    <xf numFmtId="170" fontId="3" fillId="0" borderId="12" xfId="0" applyNumberFormat="1" applyFont="1" applyBorder="1" applyAlignment="1">
      <alignment horizontal="right"/>
    </xf>
    <xf numFmtId="170" fontId="3" fillId="0" borderId="14" xfId="0" applyNumberFormat="1" applyFont="1" applyBorder="1" applyAlignment="1">
      <alignment horizontal="right"/>
    </xf>
    <xf numFmtId="170" fontId="3" fillId="2" borderId="23" xfId="0" applyNumberFormat="1" applyFont="1" applyFill="1" applyBorder="1" applyAlignment="1">
      <alignment horizontal="right"/>
    </xf>
    <xf numFmtId="170" fontId="3" fillId="0" borderId="13" xfId="0" applyNumberFormat="1" applyFont="1" applyBorder="1" applyAlignment="1">
      <alignment horizontal="right"/>
    </xf>
    <xf numFmtId="170" fontId="3" fillId="0" borderId="20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10" fillId="0" borderId="0" xfId="0" applyNumberFormat="1" applyFont="1" applyAlignment="1">
      <alignment horizontal="right"/>
    </xf>
    <xf numFmtId="1" fontId="10" fillId="0" borderId="0" xfId="0" applyNumberFormat="1" applyFont="1" applyAlignment="1">
      <alignment horizontal="right"/>
    </xf>
    <xf numFmtId="0" fontId="65" fillId="0" borderId="0" xfId="0" applyFont="1"/>
    <xf numFmtId="9" fontId="79" fillId="0" borderId="0" xfId="2" applyBorder="1" applyAlignment="1" applyProtection="1">
      <alignment horizontal="right"/>
    </xf>
    <xf numFmtId="0" fontId="4" fillId="3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/>
    <xf numFmtId="0" fontId="4" fillId="10" borderId="0" xfId="0" applyFont="1" applyFill="1"/>
    <xf numFmtId="0" fontId="0" fillId="6" borderId="7" xfId="0" applyFill="1" applyBorder="1"/>
    <xf numFmtId="0" fontId="0" fillId="11" borderId="0" xfId="0" applyFill="1"/>
    <xf numFmtId="0" fontId="0" fillId="12" borderId="0" xfId="0" applyFill="1"/>
    <xf numFmtId="49" fontId="4" fillId="5" borderId="8" xfId="0" applyNumberFormat="1" applyFont="1" applyFill="1" applyBorder="1" applyAlignment="1">
      <alignment horizontal="center"/>
    </xf>
    <xf numFmtId="0" fontId="3" fillId="6" borderId="7" xfId="0" applyFont="1" applyFill="1" applyBorder="1"/>
    <xf numFmtId="0" fontId="3" fillId="11" borderId="0" xfId="0" applyFont="1" applyFill="1"/>
    <xf numFmtId="3" fontId="5" fillId="0" borderId="0" xfId="0" applyNumberFormat="1" applyFont="1" applyAlignment="1">
      <alignment horizontal="right"/>
    </xf>
    <xf numFmtId="0" fontId="7" fillId="0" borderId="9" xfId="0" applyFont="1" applyBorder="1"/>
    <xf numFmtId="3" fontId="34" fillId="0" borderId="11" xfId="0" applyNumberFormat="1" applyFont="1" applyBorder="1" applyAlignment="1">
      <alignment horizontal="right"/>
    </xf>
    <xf numFmtId="0" fontId="3" fillId="0" borderId="9" xfId="0" applyFont="1" applyBorder="1"/>
    <xf numFmtId="0" fontId="4" fillId="0" borderId="11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3" fontId="28" fillId="0" borderId="0" xfId="0" applyNumberFormat="1" applyFont="1" applyAlignment="1">
      <alignment horizontal="right"/>
    </xf>
    <xf numFmtId="2" fontId="4" fillId="5" borderId="8" xfId="0" applyNumberFormat="1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3" fontId="30" fillId="0" borderId="11" xfId="1" applyNumberFormat="1" applyFont="1" applyBorder="1" applyAlignment="1" applyProtection="1">
      <alignment horizontal="right"/>
    </xf>
    <xf numFmtId="0" fontId="4" fillId="5" borderId="9" xfId="0" applyFont="1" applyFill="1" applyBorder="1" applyAlignment="1">
      <alignment horizontal="center"/>
    </xf>
    <xf numFmtId="0" fontId="5" fillId="0" borderId="8" xfId="0" applyFont="1" applyBorder="1" applyAlignment="1">
      <alignment horizontal="center" vertical="top"/>
    </xf>
    <xf numFmtId="0" fontId="5" fillId="0" borderId="8" xfId="0" applyFont="1" applyBorder="1" applyAlignment="1">
      <alignment horizontal="center"/>
    </xf>
    <xf numFmtId="3" fontId="4" fillId="0" borderId="11" xfId="0" applyNumberFormat="1" applyFont="1" applyBorder="1" applyAlignment="1">
      <alignment horizontal="right"/>
    </xf>
    <xf numFmtId="3" fontId="5" fillId="0" borderId="11" xfId="0" applyNumberFormat="1" applyFont="1" applyBorder="1" applyAlignment="1">
      <alignment horizontal="right"/>
    </xf>
    <xf numFmtId="3" fontId="1" fillId="0" borderId="11" xfId="1" applyNumberFormat="1" applyFont="1" applyBorder="1" applyAlignment="1" applyProtection="1">
      <alignment horizontal="right"/>
    </xf>
    <xf numFmtId="3" fontId="4" fillId="0" borderId="11" xfId="1" applyNumberFormat="1" applyFont="1" applyBorder="1" applyAlignment="1" applyProtection="1">
      <alignment horizontal="right"/>
    </xf>
    <xf numFmtId="0" fontId="4" fillId="3" borderId="9" xfId="0" applyFont="1" applyFill="1" applyBorder="1"/>
    <xf numFmtId="0" fontId="4" fillId="5" borderId="0" xfId="0" applyFont="1" applyFill="1" applyAlignment="1">
      <alignment horizontal="left"/>
    </xf>
    <xf numFmtId="0" fontId="3" fillId="0" borderId="8" xfId="0" applyFont="1" applyBorder="1" applyAlignment="1">
      <alignment horizontal="center"/>
    </xf>
    <xf numFmtId="3" fontId="10" fillId="0" borderId="11" xfId="0" applyNumberFormat="1" applyFont="1" applyBorder="1" applyAlignment="1">
      <alignment horizontal="right"/>
    </xf>
    <xf numFmtId="3" fontId="2" fillId="2" borderId="11" xfId="0" applyNumberFormat="1" applyFont="1" applyFill="1" applyBorder="1" applyAlignment="1">
      <alignment horizontal="right"/>
    </xf>
    <xf numFmtId="0" fontId="3" fillId="0" borderId="1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67" fillId="0" borderId="0" xfId="0" applyFont="1"/>
    <xf numFmtId="0" fontId="68" fillId="0" borderId="0" xfId="0" applyFont="1" applyAlignment="1">
      <alignment wrapText="1"/>
    </xf>
    <xf numFmtId="0" fontId="67" fillId="0" borderId="0" xfId="0" applyFont="1" applyAlignment="1">
      <alignment horizontal="center"/>
    </xf>
    <xf numFmtId="0" fontId="0" fillId="13" borderId="0" xfId="0" applyFill="1"/>
    <xf numFmtId="0" fontId="0" fillId="14" borderId="0" xfId="0" applyFill="1"/>
    <xf numFmtId="0" fontId="10" fillId="14" borderId="0" xfId="0" applyFont="1" applyFill="1"/>
    <xf numFmtId="9" fontId="4" fillId="4" borderId="9" xfId="2" applyFont="1" applyFill="1" applyBorder="1" applyProtection="1"/>
    <xf numFmtId="0" fontId="3" fillId="13" borderId="0" xfId="0" applyFont="1" applyFill="1"/>
    <xf numFmtId="0" fontId="25" fillId="11" borderId="9" xfId="0" applyFont="1" applyFill="1" applyBorder="1" applyAlignment="1">
      <alignment horizontal="left"/>
    </xf>
    <xf numFmtId="0" fontId="4" fillId="14" borderId="8" xfId="0" applyFont="1" applyFill="1" applyBorder="1" applyAlignment="1">
      <alignment horizontal="center"/>
    </xf>
    <xf numFmtId="0" fontId="12" fillId="11" borderId="9" xfId="0" applyFont="1" applyFill="1" applyBorder="1"/>
    <xf numFmtId="0" fontId="4" fillId="14" borderId="9" xfId="0" applyFont="1" applyFill="1" applyBorder="1"/>
    <xf numFmtId="0" fontId="8" fillId="13" borderId="0" xfId="0" applyFont="1" applyFill="1"/>
    <xf numFmtId="0" fontId="4" fillId="0" borderId="9" xfId="0" applyFont="1" applyBorder="1" applyAlignment="1">
      <alignment horizontal="left" vertical="top"/>
    </xf>
    <xf numFmtId="0" fontId="2" fillId="14" borderId="0" xfId="0" applyFont="1" applyFill="1"/>
    <xf numFmtId="0" fontId="4" fillId="14" borderId="9" xfId="0" applyFont="1" applyFill="1" applyBorder="1" applyAlignment="1">
      <alignment horizontal="center"/>
    </xf>
    <xf numFmtId="0" fontId="4" fillId="0" borderId="9" xfId="0" applyFont="1" applyBorder="1" applyAlignment="1">
      <alignment horizontal="left" vertical="top" wrapText="1"/>
    </xf>
    <xf numFmtId="0" fontId="2" fillId="14" borderId="0" xfId="0" applyFont="1" applyFill="1" applyAlignment="1">
      <alignment wrapText="1"/>
    </xf>
    <xf numFmtId="0" fontId="5" fillId="14" borderId="8" xfId="0" applyFont="1" applyFill="1" applyBorder="1" applyAlignment="1">
      <alignment horizontal="center"/>
    </xf>
    <xf numFmtId="0" fontId="69" fillId="11" borderId="0" xfId="0" applyFont="1" applyFill="1"/>
    <xf numFmtId="0" fontId="5" fillId="0" borderId="0" xfId="0" applyFont="1" applyAlignment="1">
      <alignment horizontal="center"/>
    </xf>
    <xf numFmtId="0" fontId="3" fillId="14" borderId="0" xfId="0" applyFont="1" applyFill="1"/>
    <xf numFmtId="0" fontId="1" fillId="0" borderId="0" xfId="0" applyFont="1" applyAlignment="1">
      <alignment horizontal="left"/>
    </xf>
    <xf numFmtId="0" fontId="27" fillId="0" borderId="0" xfId="0" applyFont="1"/>
    <xf numFmtId="0" fontId="14" fillId="0" borderId="0" xfId="0" applyFont="1"/>
    <xf numFmtId="0" fontId="70" fillId="0" borderId="0" xfId="0" applyFont="1"/>
    <xf numFmtId="0" fontId="11" fillId="0" borderId="0" xfId="0" applyFont="1"/>
    <xf numFmtId="164" fontId="2" fillId="0" borderId="0" xfId="0" applyNumberFormat="1" applyFont="1"/>
    <xf numFmtId="0" fontId="71" fillId="0" borderId="0" xfId="0" applyFont="1"/>
    <xf numFmtId="0" fontId="14" fillId="0" borderId="20" xfId="0" applyFont="1" applyBorder="1"/>
    <xf numFmtId="0" fontId="0" fillId="0" borderId="20" xfId="0" applyBorder="1"/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15" borderId="4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9" borderId="10" xfId="0" applyFont="1" applyFill="1" applyBorder="1" applyAlignment="1">
      <alignment horizontal="center"/>
    </xf>
    <xf numFmtId="0" fontId="4" fillId="15" borderId="10" xfId="0" applyFont="1" applyFill="1" applyBorder="1" applyAlignment="1">
      <alignment horizontal="center"/>
    </xf>
    <xf numFmtId="0" fontId="72" fillId="0" borderId="0" xfId="0" applyFont="1"/>
    <xf numFmtId="0" fontId="1" fillId="0" borderId="1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9" borderId="14" xfId="0" applyFont="1" applyFill="1" applyBorder="1" applyAlignment="1">
      <alignment horizontal="center"/>
    </xf>
    <xf numFmtId="0" fontId="1" fillId="15" borderId="14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" xfId="0" applyFont="1" applyBorder="1"/>
    <xf numFmtId="0" fontId="12" fillId="0" borderId="10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2" fillId="15" borderId="10" xfId="0" applyFont="1" applyFill="1" applyBorder="1" applyAlignment="1">
      <alignment horizontal="center"/>
    </xf>
    <xf numFmtId="0" fontId="0" fillId="0" borderId="4" xfId="0" applyBorder="1"/>
    <xf numFmtId="49" fontId="15" fillId="0" borderId="8" xfId="0" applyNumberFormat="1" applyFont="1" applyBorder="1" applyAlignment="1">
      <alignment horizontal="center"/>
    </xf>
    <xf numFmtId="0" fontId="4" fillId="0" borderId="10" xfId="0" applyFont="1" applyBorder="1"/>
    <xf numFmtId="171" fontId="15" fillId="0" borderId="10" xfId="0" applyNumberFormat="1" applyFont="1" applyBorder="1"/>
    <xf numFmtId="171" fontId="15" fillId="0" borderId="8" xfId="0" applyNumberFormat="1" applyFont="1" applyBorder="1"/>
    <xf numFmtId="171" fontId="15" fillId="0" borderId="9" xfId="0" applyNumberFormat="1" applyFont="1" applyBorder="1"/>
    <xf numFmtId="171" fontId="15" fillId="9" borderId="10" xfId="0" applyNumberFormat="1" applyFont="1" applyFill="1" applyBorder="1"/>
    <xf numFmtId="171" fontId="15" fillId="15" borderId="10" xfId="0" applyNumberFormat="1" applyFont="1" applyFill="1" applyBorder="1"/>
    <xf numFmtId="3" fontId="15" fillId="0" borderId="8" xfId="0" applyNumberFormat="1" applyFont="1" applyBorder="1" applyAlignment="1">
      <alignment horizontal="center"/>
    </xf>
    <xf numFmtId="171" fontId="27" fillId="0" borderId="10" xfId="0" applyNumberFormat="1" applyFont="1" applyBorder="1"/>
    <xf numFmtId="0" fontId="15" fillId="0" borderId="0" xfId="0" applyFont="1" applyAlignment="1">
      <alignment horizontal="left"/>
    </xf>
    <xf numFmtId="171" fontId="15" fillId="0" borderId="0" xfId="0" applyNumberFormat="1" applyFont="1"/>
    <xf numFmtId="0" fontId="0" fillId="9" borderId="0" xfId="0" applyFill="1"/>
    <xf numFmtId="0" fontId="73" fillId="0" borderId="0" xfId="0" applyFont="1"/>
    <xf numFmtId="0" fontId="74" fillId="0" borderId="0" xfId="0" applyFont="1"/>
    <xf numFmtId="0" fontId="44" fillId="0" borderId="0" xfId="0" applyFont="1"/>
    <xf numFmtId="0" fontId="13" fillId="0" borderId="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4" xfId="0" applyFont="1" applyBorder="1"/>
    <xf numFmtId="0" fontId="58" fillId="0" borderId="0" xfId="0" applyFont="1"/>
    <xf numFmtId="0" fontId="0" fillId="0" borderId="22" xfId="0" applyBorder="1"/>
    <xf numFmtId="0" fontId="0" fillId="0" borderId="12" xfId="0" applyBorder="1"/>
    <xf numFmtId="0" fontId="0" fillId="0" borderId="24" xfId="0" applyBorder="1"/>
    <xf numFmtId="164" fontId="10" fillId="0" borderId="0" xfId="0" applyNumberFormat="1" applyFont="1"/>
    <xf numFmtId="0" fontId="4" fillId="9" borderId="2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49" fontId="4" fillId="0" borderId="8" xfId="0" applyNumberFormat="1" applyFont="1" applyBorder="1" applyAlignment="1">
      <alignment horizontal="center"/>
    </xf>
    <xf numFmtId="0" fontId="1" fillId="0" borderId="10" xfId="0" applyFont="1" applyBorder="1"/>
    <xf numFmtId="171" fontId="1" fillId="0" borderId="9" xfId="0" applyNumberFormat="1" applyFont="1" applyBorder="1"/>
    <xf numFmtId="171" fontId="1" fillId="0" borderId="10" xfId="0" applyNumberFormat="1" applyFont="1" applyBorder="1"/>
    <xf numFmtId="171" fontId="1" fillId="9" borderId="9" xfId="0" applyNumberFormat="1" applyFont="1" applyFill="1" applyBorder="1"/>
    <xf numFmtId="171" fontId="1" fillId="15" borderId="9" xfId="0" applyNumberFormat="1" applyFont="1" applyFill="1" applyBorder="1"/>
    <xf numFmtId="171" fontId="1" fillId="9" borderId="10" xfId="0" applyNumberFormat="1" applyFont="1" applyFill="1" applyBorder="1"/>
    <xf numFmtId="3" fontId="15" fillId="0" borderId="10" xfId="0" applyNumberFormat="1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171" fontId="1" fillId="15" borderId="10" xfId="0" applyNumberFormat="1" applyFont="1" applyFill="1" applyBorder="1"/>
    <xf numFmtId="0" fontId="15" fillId="0" borderId="10" xfId="0" applyFont="1" applyBorder="1" applyAlignment="1">
      <alignment horizontal="left"/>
    </xf>
    <xf numFmtId="171" fontId="48" fillId="0" borderId="10" xfId="0" applyNumberFormat="1" applyFont="1" applyBorder="1"/>
    <xf numFmtId="0" fontId="0" fillId="0" borderId="10" xfId="0" applyBorder="1"/>
    <xf numFmtId="0" fontId="4" fillId="16" borderId="4" xfId="0" applyFont="1" applyFill="1" applyBorder="1" applyAlignment="1">
      <alignment horizontal="center"/>
    </xf>
    <xf numFmtId="0" fontId="4" fillId="16" borderId="10" xfId="0" applyFont="1" applyFill="1" applyBorder="1" applyAlignment="1">
      <alignment horizontal="center"/>
    </xf>
    <xf numFmtId="0" fontId="1" fillId="16" borderId="14" xfId="0" applyFont="1" applyFill="1" applyBorder="1" applyAlignment="1">
      <alignment horizontal="center"/>
    </xf>
    <xf numFmtId="0" fontId="1" fillId="16" borderId="10" xfId="0" applyFont="1" applyFill="1" applyBorder="1" applyAlignment="1">
      <alignment horizontal="center"/>
    </xf>
    <xf numFmtId="171" fontId="15" fillId="16" borderId="10" xfId="0" applyNumberFormat="1" applyFont="1" applyFill="1" applyBorder="1"/>
    <xf numFmtId="171" fontId="48" fillId="16" borderId="10" xfId="0" applyNumberFormat="1" applyFont="1" applyFill="1" applyBorder="1"/>
    <xf numFmtId="164" fontId="4" fillId="0" borderId="0" xfId="0" applyNumberFormat="1" applyFont="1"/>
    <xf numFmtId="164" fontId="10" fillId="0" borderId="0" xfId="0" applyNumberFormat="1" applyFont="1" applyAlignment="1">
      <alignment horizontal="left"/>
    </xf>
    <xf numFmtId="0" fontId="7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64" fontId="76" fillId="0" borderId="0" xfId="0" applyNumberFormat="1" applyFont="1"/>
    <xf numFmtId="171" fontId="15" fillId="0" borderId="20" xfId="0" applyNumberFormat="1" applyFont="1" applyBorder="1"/>
    <xf numFmtId="0" fontId="4" fillId="2" borderId="4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5" fillId="0" borderId="10" xfId="0" applyFont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171" fontId="15" fillId="2" borderId="10" xfId="0" applyNumberFormat="1" applyFont="1" applyFill="1" applyBorder="1"/>
    <xf numFmtId="3" fontId="15" fillId="2" borderId="10" xfId="0" applyNumberFormat="1" applyFont="1" applyFill="1" applyBorder="1"/>
    <xf numFmtId="164" fontId="1" fillId="0" borderId="0" xfId="0" applyNumberFormat="1" applyFont="1"/>
    <xf numFmtId="0" fontId="4" fillId="17" borderId="4" xfId="0" applyFont="1" applyFill="1" applyBorder="1" applyAlignment="1">
      <alignment horizontal="center"/>
    </xf>
    <xf numFmtId="0" fontId="4" fillId="17" borderId="10" xfId="0" applyFont="1" applyFill="1" applyBorder="1" applyAlignment="1">
      <alignment horizontal="center"/>
    </xf>
    <xf numFmtId="0" fontId="1" fillId="17" borderId="7" xfId="0" applyFont="1" applyFill="1" applyBorder="1" applyAlignment="1">
      <alignment horizontal="center"/>
    </xf>
    <xf numFmtId="0" fontId="1" fillId="17" borderId="0" xfId="0" applyFont="1" applyFill="1" applyAlignment="1">
      <alignment horizontal="center"/>
    </xf>
    <xf numFmtId="170" fontId="10" fillId="0" borderId="10" xfId="0" applyNumberFormat="1" applyFont="1" applyBorder="1" applyAlignment="1">
      <alignment horizontal="right"/>
    </xf>
    <xf numFmtId="170" fontId="10" fillId="17" borderId="10" xfId="0" applyNumberFormat="1" applyFont="1" applyFill="1" applyBorder="1" applyAlignment="1">
      <alignment horizontal="right"/>
    </xf>
    <xf numFmtId="0" fontId="10" fillId="0" borderId="10" xfId="0" applyFont="1" applyBorder="1"/>
    <xf numFmtId="170" fontId="10" fillId="0" borderId="10" xfId="0" applyNumberFormat="1" applyFont="1" applyBorder="1"/>
    <xf numFmtId="171" fontId="9" fillId="0" borderId="10" xfId="0" applyNumberFormat="1" applyFont="1" applyBorder="1"/>
    <xf numFmtId="171" fontId="9" fillId="17" borderId="10" xfId="0" applyNumberFormat="1" applyFont="1" applyFill="1" applyBorder="1"/>
    <xf numFmtId="1" fontId="10" fillId="0" borderId="0" xfId="0" applyNumberFormat="1" applyFont="1"/>
    <xf numFmtId="170" fontId="10" fillId="0" borderId="0" xfId="0" applyNumberFormat="1" applyFont="1"/>
    <xf numFmtId="170" fontId="10" fillId="0" borderId="14" xfId="0" applyNumberFormat="1" applyFont="1" applyBorder="1"/>
    <xf numFmtId="171" fontId="9" fillId="17" borderId="14" xfId="0" applyNumberFormat="1" applyFont="1" applyFill="1" applyBorder="1"/>
    <xf numFmtId="171" fontId="9" fillId="0" borderId="14" xfId="0" applyNumberFormat="1" applyFont="1" applyBorder="1"/>
    <xf numFmtId="170" fontId="0" fillId="0" borderId="0" xfId="0" applyNumberFormat="1"/>
    <xf numFmtId="164" fontId="0" fillId="0" borderId="0" xfId="0" applyNumberFormat="1"/>
    <xf numFmtId="0" fontId="0" fillId="0" borderId="25" xfId="0" applyBorder="1"/>
    <xf numFmtId="0" fontId="0" fillId="0" borderId="26" xfId="0" applyBorder="1"/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0" fillId="0" borderId="30" xfId="0" applyBorder="1"/>
    <xf numFmtId="0" fontId="0" fillId="0" borderId="31" xfId="0" applyBorder="1"/>
    <xf numFmtId="170" fontId="77" fillId="18" borderId="32" xfId="0" applyNumberFormat="1" applyFont="1" applyFill="1" applyBorder="1" applyAlignment="1">
      <alignment horizontal="center"/>
    </xf>
    <xf numFmtId="170" fontId="77" fillId="18" borderId="18" xfId="0" applyNumberFormat="1" applyFont="1" applyFill="1" applyBorder="1" applyAlignment="1">
      <alignment horizontal="center"/>
    </xf>
    <xf numFmtId="170" fontId="77" fillId="18" borderId="7" xfId="0" applyNumberFormat="1" applyFont="1" applyFill="1" applyBorder="1" applyAlignment="1">
      <alignment horizontal="center"/>
    </xf>
    <xf numFmtId="170" fontId="77" fillId="18" borderId="17" xfId="0" applyNumberFormat="1" applyFont="1" applyFill="1" applyBorder="1" applyAlignment="1">
      <alignment horizontal="center"/>
    </xf>
    <xf numFmtId="170" fontId="77" fillId="18" borderId="33" xfId="0" applyNumberFormat="1" applyFont="1" applyFill="1" applyBorder="1" applyAlignment="1">
      <alignment horizontal="center"/>
    </xf>
    <xf numFmtId="170" fontId="77" fillId="18" borderId="34" xfId="0" applyNumberFormat="1" applyFont="1" applyFill="1" applyBorder="1" applyAlignment="1">
      <alignment horizontal="center"/>
    </xf>
    <xf numFmtId="170" fontId="77" fillId="18" borderId="35" xfId="0" applyNumberFormat="1" applyFont="1" applyFill="1" applyBorder="1" applyAlignment="1">
      <alignment horizontal="center"/>
    </xf>
    <xf numFmtId="170" fontId="10" fillId="18" borderId="18" xfId="0" applyNumberFormat="1" applyFont="1" applyFill="1" applyBorder="1" applyAlignment="1">
      <alignment horizontal="center"/>
    </xf>
    <xf numFmtId="170" fontId="10" fillId="18" borderId="7" xfId="0" applyNumberFormat="1" applyFont="1" applyFill="1" applyBorder="1" applyAlignment="1">
      <alignment horizontal="center"/>
    </xf>
    <xf numFmtId="170" fontId="10" fillId="18" borderId="35" xfId="0" applyNumberFormat="1" applyFont="1" applyFill="1" applyBorder="1" applyAlignment="1">
      <alignment horizontal="center"/>
    </xf>
    <xf numFmtId="170" fontId="10" fillId="18" borderId="32" xfId="0" applyNumberFormat="1" applyFont="1" applyFill="1" applyBorder="1" applyAlignment="1">
      <alignment horizontal="center"/>
    </xf>
    <xf numFmtId="0" fontId="4" fillId="0" borderId="31" xfId="0" applyFont="1" applyBorder="1"/>
    <xf numFmtId="170" fontId="13" fillId="19" borderId="36" xfId="0" applyNumberFormat="1" applyFont="1" applyFill="1" applyBorder="1"/>
    <xf numFmtId="170" fontId="13" fillId="19" borderId="37" xfId="0" applyNumberFormat="1" applyFont="1" applyFill="1" applyBorder="1"/>
    <xf numFmtId="170" fontId="13" fillId="19" borderId="38" xfId="0" applyNumberFormat="1" applyFont="1" applyFill="1" applyBorder="1"/>
    <xf numFmtId="170" fontId="13" fillId="19" borderId="39" xfId="0" applyNumberFormat="1" applyFont="1" applyFill="1" applyBorder="1"/>
    <xf numFmtId="170" fontId="13" fillId="19" borderId="40" xfId="0" applyNumberFormat="1" applyFont="1" applyFill="1" applyBorder="1"/>
    <xf numFmtId="170" fontId="13" fillId="19" borderId="41" xfId="0" applyNumberFormat="1" applyFont="1" applyFill="1" applyBorder="1"/>
    <xf numFmtId="170" fontId="13" fillId="19" borderId="42" xfId="0" applyNumberFormat="1" applyFont="1" applyFill="1" applyBorder="1"/>
    <xf numFmtId="170" fontId="4" fillId="19" borderId="37" xfId="0" applyNumberFormat="1" applyFont="1" applyFill="1" applyBorder="1"/>
    <xf numFmtId="170" fontId="4" fillId="19" borderId="38" xfId="0" applyNumberFormat="1" applyFont="1" applyFill="1" applyBorder="1"/>
    <xf numFmtId="170" fontId="4" fillId="19" borderId="42" xfId="0" applyNumberFormat="1" applyFont="1" applyFill="1" applyBorder="1"/>
    <xf numFmtId="170" fontId="4" fillId="19" borderId="36" xfId="0" applyNumberFormat="1" applyFont="1" applyFill="1" applyBorder="1"/>
    <xf numFmtId="170" fontId="13" fillId="18" borderId="43" xfId="0" applyNumberFormat="1" applyFont="1" applyFill="1" applyBorder="1"/>
    <xf numFmtId="170" fontId="13" fillId="18" borderId="44" xfId="0" applyNumberFormat="1" applyFont="1" applyFill="1" applyBorder="1"/>
    <xf numFmtId="170" fontId="13" fillId="18" borderId="45" xfId="0" applyNumberFormat="1" applyFont="1" applyFill="1" applyBorder="1"/>
    <xf numFmtId="170" fontId="13" fillId="18" borderId="46" xfId="0" applyNumberFormat="1" applyFont="1" applyFill="1" applyBorder="1"/>
    <xf numFmtId="170" fontId="13" fillId="18" borderId="47" xfId="0" applyNumberFormat="1" applyFont="1" applyFill="1" applyBorder="1"/>
    <xf numFmtId="170" fontId="13" fillId="18" borderId="48" xfId="0" applyNumberFormat="1" applyFont="1" applyFill="1" applyBorder="1"/>
    <xf numFmtId="170" fontId="13" fillId="18" borderId="49" xfId="0" applyNumberFormat="1" applyFont="1" applyFill="1" applyBorder="1"/>
    <xf numFmtId="170" fontId="4" fillId="18" borderId="44" xfId="0" applyNumberFormat="1" applyFont="1" applyFill="1" applyBorder="1"/>
    <xf numFmtId="170" fontId="4" fillId="18" borderId="45" xfId="0" applyNumberFormat="1" applyFont="1" applyFill="1" applyBorder="1"/>
    <xf numFmtId="170" fontId="4" fillId="18" borderId="49" xfId="0" applyNumberFormat="1" applyFont="1" applyFill="1" applyBorder="1"/>
    <xf numFmtId="170" fontId="4" fillId="18" borderId="43" xfId="0" applyNumberFormat="1" applyFont="1" applyFill="1" applyBorder="1"/>
    <xf numFmtId="170" fontId="13" fillId="19" borderId="43" xfId="0" applyNumberFormat="1" applyFont="1" applyFill="1" applyBorder="1"/>
    <xf numFmtId="170" fontId="13" fillId="19" borderId="44" xfId="0" applyNumberFormat="1" applyFont="1" applyFill="1" applyBorder="1"/>
    <xf numFmtId="170" fontId="13" fillId="19" borderId="45" xfId="0" applyNumberFormat="1" applyFont="1" applyFill="1" applyBorder="1"/>
    <xf numFmtId="170" fontId="13" fillId="19" borderId="46" xfId="0" applyNumberFormat="1" applyFont="1" applyFill="1" applyBorder="1"/>
    <xf numFmtId="170" fontId="13" fillId="19" borderId="47" xfId="0" applyNumberFormat="1" applyFont="1" applyFill="1" applyBorder="1"/>
    <xf numFmtId="170" fontId="13" fillId="19" borderId="48" xfId="0" applyNumberFormat="1" applyFont="1" applyFill="1" applyBorder="1"/>
    <xf numFmtId="170" fontId="13" fillId="19" borderId="49" xfId="0" applyNumberFormat="1" applyFont="1" applyFill="1" applyBorder="1"/>
    <xf numFmtId="170" fontId="4" fillId="19" borderId="44" xfId="0" applyNumberFormat="1" applyFont="1" applyFill="1" applyBorder="1"/>
    <xf numFmtId="170" fontId="4" fillId="19" borderId="45" xfId="0" applyNumberFormat="1" applyFont="1" applyFill="1" applyBorder="1"/>
    <xf numFmtId="170" fontId="4" fillId="19" borderId="49" xfId="0" applyNumberFormat="1" applyFont="1" applyFill="1" applyBorder="1"/>
    <xf numFmtId="170" fontId="4" fillId="19" borderId="43" xfId="0" applyNumberFormat="1" applyFont="1" applyFill="1" applyBorder="1"/>
    <xf numFmtId="170" fontId="13" fillId="19" borderId="50" xfId="0" applyNumberFormat="1" applyFont="1" applyFill="1" applyBorder="1"/>
    <xf numFmtId="170" fontId="13" fillId="19" borderId="51" xfId="0" applyNumberFormat="1" applyFont="1" applyFill="1" applyBorder="1"/>
    <xf numFmtId="170" fontId="13" fillId="19" borderId="52" xfId="0" applyNumberFormat="1" applyFont="1" applyFill="1" applyBorder="1"/>
    <xf numFmtId="170" fontId="13" fillId="19" borderId="53" xfId="0" applyNumberFormat="1" applyFont="1" applyFill="1" applyBorder="1"/>
    <xf numFmtId="170" fontId="13" fillId="19" borderId="54" xfId="0" applyNumberFormat="1" applyFont="1" applyFill="1" applyBorder="1"/>
    <xf numFmtId="170" fontId="13" fillId="19" borderId="55" xfId="0" applyNumberFormat="1" applyFont="1" applyFill="1" applyBorder="1"/>
    <xf numFmtId="170" fontId="13" fillId="19" borderId="56" xfId="0" applyNumberFormat="1" applyFont="1" applyFill="1" applyBorder="1"/>
    <xf numFmtId="170" fontId="4" fillId="19" borderId="51" xfId="0" applyNumberFormat="1" applyFont="1" applyFill="1" applyBorder="1"/>
    <xf numFmtId="170" fontId="4" fillId="19" borderId="52" xfId="0" applyNumberFormat="1" applyFont="1" applyFill="1" applyBorder="1"/>
    <xf numFmtId="170" fontId="4" fillId="19" borderId="56" xfId="0" applyNumberFormat="1" applyFont="1" applyFill="1" applyBorder="1"/>
    <xf numFmtId="170" fontId="4" fillId="19" borderId="50" xfId="0" applyNumberFormat="1" applyFont="1" applyFill="1" applyBorder="1"/>
    <xf numFmtId="170" fontId="13" fillId="18" borderId="50" xfId="0" applyNumberFormat="1" applyFont="1" applyFill="1" applyBorder="1"/>
    <xf numFmtId="170" fontId="13" fillId="18" borderId="51" xfId="0" applyNumberFormat="1" applyFont="1" applyFill="1" applyBorder="1"/>
    <xf numFmtId="170" fontId="13" fillId="18" borderId="52" xfId="0" applyNumberFormat="1" applyFont="1" applyFill="1" applyBorder="1"/>
    <xf numFmtId="170" fontId="13" fillId="18" borderId="53" xfId="0" applyNumberFormat="1" applyFont="1" applyFill="1" applyBorder="1"/>
    <xf numFmtId="170" fontId="13" fillId="18" borderId="54" xfId="0" applyNumberFormat="1" applyFont="1" applyFill="1" applyBorder="1"/>
    <xf numFmtId="170" fontId="13" fillId="18" borderId="55" xfId="0" applyNumberFormat="1" applyFont="1" applyFill="1" applyBorder="1"/>
    <xf numFmtId="170" fontId="13" fillId="18" borderId="56" xfId="0" applyNumberFormat="1" applyFont="1" applyFill="1" applyBorder="1"/>
    <xf numFmtId="170" fontId="4" fillId="18" borderId="51" xfId="0" applyNumberFormat="1" applyFont="1" applyFill="1" applyBorder="1"/>
    <xf numFmtId="170" fontId="4" fillId="18" borderId="52" xfId="0" applyNumberFormat="1" applyFont="1" applyFill="1" applyBorder="1"/>
    <xf numFmtId="170" fontId="4" fillId="18" borderId="56" xfId="0" applyNumberFormat="1" applyFont="1" applyFill="1" applyBorder="1"/>
    <xf numFmtId="170" fontId="4" fillId="18" borderId="50" xfId="0" applyNumberFormat="1" applyFont="1" applyFill="1" applyBorder="1"/>
    <xf numFmtId="170" fontId="13" fillId="18" borderId="57" xfId="0" applyNumberFormat="1" applyFont="1" applyFill="1" applyBorder="1"/>
    <xf numFmtId="170" fontId="13" fillId="18" borderId="9" xfId="0" applyNumberFormat="1" applyFont="1" applyFill="1" applyBorder="1"/>
    <xf numFmtId="170" fontId="13" fillId="18" borderId="10" xfId="0" applyNumberFormat="1" applyFont="1" applyFill="1" applyBorder="1"/>
    <xf numFmtId="170" fontId="13" fillId="18" borderId="0" xfId="0" applyNumberFormat="1" applyFont="1" applyFill="1"/>
    <xf numFmtId="170" fontId="13" fillId="18" borderId="58" xfId="0" applyNumberFormat="1" applyFont="1" applyFill="1" applyBorder="1"/>
    <xf numFmtId="170" fontId="13" fillId="18" borderId="59" xfId="0" applyNumberFormat="1" applyFont="1" applyFill="1" applyBorder="1"/>
    <xf numFmtId="170" fontId="13" fillId="18" borderId="60" xfId="0" applyNumberFormat="1" applyFont="1" applyFill="1" applyBorder="1"/>
    <xf numFmtId="170" fontId="4" fillId="18" borderId="9" xfId="0" applyNumberFormat="1" applyFont="1" applyFill="1" applyBorder="1"/>
    <xf numFmtId="170" fontId="4" fillId="18" borderId="10" xfId="0" applyNumberFormat="1" applyFont="1" applyFill="1" applyBorder="1"/>
    <xf numFmtId="170" fontId="4" fillId="18" borderId="60" xfId="0" applyNumberFormat="1" applyFont="1" applyFill="1" applyBorder="1"/>
    <xf numFmtId="170" fontId="4" fillId="18" borderId="57" xfId="0" applyNumberFormat="1" applyFont="1" applyFill="1" applyBorder="1"/>
    <xf numFmtId="0" fontId="4" fillId="0" borderId="61" xfId="0" applyFont="1" applyBorder="1" applyAlignment="1">
      <alignment horizontal="right"/>
    </xf>
    <xf numFmtId="170" fontId="13" fillId="19" borderId="62" xfId="0" applyNumberFormat="1" applyFont="1" applyFill="1" applyBorder="1"/>
    <xf numFmtId="170" fontId="13" fillId="19" borderId="63" xfId="0" applyNumberFormat="1" applyFont="1" applyFill="1" applyBorder="1"/>
    <xf numFmtId="170" fontId="13" fillId="19" borderId="64" xfId="0" applyNumberFormat="1" applyFont="1" applyFill="1" applyBorder="1"/>
    <xf numFmtId="170" fontId="13" fillId="19" borderId="65" xfId="0" applyNumberFormat="1" applyFont="1" applyFill="1" applyBorder="1"/>
    <xf numFmtId="170" fontId="13" fillId="19" borderId="66" xfId="0" applyNumberFormat="1" applyFont="1" applyFill="1" applyBorder="1"/>
    <xf numFmtId="170" fontId="13" fillId="19" borderId="67" xfId="0" applyNumberFormat="1" applyFont="1" applyFill="1" applyBorder="1"/>
    <xf numFmtId="170" fontId="13" fillId="19" borderId="68" xfId="0" applyNumberFormat="1" applyFont="1" applyFill="1" applyBorder="1"/>
    <xf numFmtId="170" fontId="4" fillId="19" borderId="67" xfId="0" applyNumberFormat="1" applyFont="1" applyFill="1" applyBorder="1"/>
    <xf numFmtId="170" fontId="4" fillId="19" borderId="63" xfId="0" applyNumberFormat="1" applyFont="1" applyFill="1" applyBorder="1"/>
    <xf numFmtId="170" fontId="4" fillId="19" borderId="68" xfId="0" applyNumberFormat="1" applyFont="1" applyFill="1" applyBorder="1"/>
    <xf numFmtId="170" fontId="4" fillId="19" borderId="62" xfId="0" applyNumberFormat="1" applyFont="1" applyFill="1" applyBorder="1"/>
    <xf numFmtId="170" fontId="3" fillId="0" borderId="0" xfId="0" applyNumberFormat="1" applyFont="1"/>
    <xf numFmtId="170" fontId="10" fillId="18" borderId="16" xfId="0" applyNumberFormat="1" applyFont="1" applyFill="1" applyBorder="1" applyAlignment="1">
      <alignment horizontal="center"/>
    </xf>
    <xf numFmtId="170" fontId="13" fillId="19" borderId="69" xfId="0" applyNumberFormat="1" applyFont="1" applyFill="1" applyBorder="1"/>
    <xf numFmtId="170" fontId="4" fillId="19" borderId="39" xfId="0" applyNumberFormat="1" applyFont="1" applyFill="1" applyBorder="1"/>
    <xf numFmtId="170" fontId="13" fillId="19" borderId="70" xfId="0" applyNumberFormat="1" applyFont="1" applyFill="1" applyBorder="1"/>
    <xf numFmtId="170" fontId="4" fillId="19" borderId="53" xfId="0" applyNumberFormat="1" applyFont="1" applyFill="1" applyBorder="1"/>
    <xf numFmtId="170" fontId="13" fillId="19" borderId="71" xfId="0" applyNumberFormat="1" applyFont="1" applyFill="1" applyBorder="1"/>
    <xf numFmtId="170" fontId="4" fillId="19" borderId="64" xfId="0" applyNumberFormat="1" applyFont="1" applyFill="1" applyBorder="1"/>
    <xf numFmtId="0" fontId="78" fillId="0" borderId="0" xfId="0" applyFont="1"/>
    <xf numFmtId="164" fontId="10" fillId="0" borderId="0" xfId="3" applyNumberFormat="1" applyFont="1" applyAlignment="1">
      <alignment horizontal="left"/>
    </xf>
    <xf numFmtId="0" fontId="10" fillId="0" borderId="20" xfId="0" applyFont="1" applyBorder="1"/>
    <xf numFmtId="165" fontId="10" fillId="0" borderId="20" xfId="0" applyNumberFormat="1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3" fontId="10" fillId="0" borderId="0" xfId="0" applyNumberFormat="1" applyFont="1"/>
    <xf numFmtId="9" fontId="10" fillId="0" borderId="0" xfId="0" applyNumberFormat="1" applyFont="1"/>
    <xf numFmtId="3" fontId="10" fillId="0" borderId="20" xfId="0" applyNumberFormat="1" applyFont="1" applyBorder="1"/>
    <xf numFmtId="9" fontId="10" fillId="0" borderId="20" xfId="0" applyNumberFormat="1" applyFont="1" applyBorder="1"/>
    <xf numFmtId="3" fontId="9" fillId="0" borderId="0" xfId="0" applyNumberFormat="1" applyFont="1"/>
    <xf numFmtId="3" fontId="8" fillId="0" borderId="0" xfId="0" applyNumberFormat="1" applyFont="1"/>
    <xf numFmtId="9" fontId="9" fillId="0" borderId="0" xfId="0" applyNumberFormat="1" applyFont="1"/>
    <xf numFmtId="0" fontId="10" fillId="0" borderId="72" xfId="0" applyFont="1" applyBorder="1"/>
    <xf numFmtId="9" fontId="10" fillId="0" borderId="72" xfId="0" applyNumberFormat="1" applyFont="1" applyBorder="1"/>
    <xf numFmtId="3" fontId="3" fillId="0" borderId="0" xfId="0" applyNumberFormat="1" applyFont="1"/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80" fillId="20" borderId="8" xfId="0" applyFont="1" applyFill="1" applyBorder="1" applyAlignment="1">
      <alignment horizontal="center"/>
    </xf>
    <xf numFmtId="0" fontId="80" fillId="20" borderId="9" xfId="0" applyFont="1" applyFill="1" applyBorder="1" applyAlignment="1">
      <alignment horizontal="left"/>
    </xf>
    <xf numFmtId="0" fontId="80" fillId="0" borderId="8" xfId="0" applyFont="1" applyBorder="1" applyAlignment="1">
      <alignment horizontal="center"/>
    </xf>
    <xf numFmtId="0" fontId="81" fillId="0" borderId="9" xfId="0" applyFont="1" applyBorder="1" applyAlignment="1">
      <alignment horizontal="right"/>
    </xf>
    <xf numFmtId="0" fontId="80" fillId="21" borderId="8" xfId="0" applyFont="1" applyFill="1" applyBorder="1" applyAlignment="1">
      <alignment horizontal="center"/>
    </xf>
    <xf numFmtId="0" fontId="80" fillId="21" borderId="9" xfId="0" applyFont="1" applyFill="1" applyBorder="1" applyAlignment="1">
      <alignment horizontal="left"/>
    </xf>
  </cellXfs>
  <cellStyles count="4">
    <cellStyle name="Normaali" xfId="0" builtinId="0"/>
    <cellStyle name="Normaali_tae2004länsi1" xfId="3" xr:uid="{00000000-0005-0000-0000-000006000000}"/>
    <cellStyle name="Pilkku" xfId="1" builtinId="3"/>
    <cellStyle name="Prosenttia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8B590"/>
      <rgbColor rgb="FF66FF66"/>
      <rgbColor rgb="FFC00000"/>
      <rgbColor rgb="FF00CC00"/>
      <rgbColor rgb="FF002060"/>
      <rgbColor rgb="FF5F7530"/>
      <rgbColor rgb="FF9BBB59"/>
      <rgbColor rgb="FF295C79"/>
      <rgbColor rgb="FFC9C9C9"/>
      <rgbColor rgb="FF808080"/>
      <rgbColor rgb="FF93A9CE"/>
      <rgbColor rgb="FF7030A0"/>
      <rgbColor rgb="FFEBF1DE"/>
      <rgbColor rgb="FFD8F2F4"/>
      <rgbColor rgb="FF4F81BD"/>
      <rgbColor rgb="FFF79646"/>
      <rgbColor rgb="FF0070C0"/>
      <rgbColor rgb="FFC6D9F1"/>
      <rgbColor rgb="FF003192"/>
      <rgbColor rgb="FFD9D9D9"/>
      <rgbColor rgb="FFC3D69B"/>
      <rgbColor rgb="FF92D050"/>
      <rgbColor rgb="FFB8CD97"/>
      <rgbColor rgb="FFF2DCDB"/>
      <rgbColor rgb="FF00B050"/>
      <rgbColor rgb="FFDCE6F2"/>
      <rgbColor rgb="FF33CC33"/>
      <rgbColor rgb="FFCCECFF"/>
      <rgbColor rgb="FFD7E4BD"/>
      <rgbColor rgb="FFF4FAA4"/>
      <rgbColor rgb="FF92C3D5"/>
      <rgbColor rgb="FFE6B9B8"/>
      <rgbColor rgb="FFA99BBD"/>
      <rgbColor rgb="FFFFCC99"/>
      <rgbColor rgb="FF3366FF"/>
      <rgbColor rgb="FF4BACC6"/>
      <rgbColor rgb="FF99CC00"/>
      <rgbColor rgb="FFFFC000"/>
      <rgbColor rgb="FFFF9900"/>
      <rgbColor rgb="FFD09493"/>
      <rgbColor rgb="FF666699"/>
      <rgbColor rgb="FF878787"/>
      <rgbColor rgb="FF003366"/>
      <rgbColor rgb="FF4299B0"/>
      <rgbColor rgb="FF4672A8"/>
      <rgbColor rgb="FF595959"/>
      <rgbColor rgb="FF725990"/>
      <rgbColor rgb="FFC0504D"/>
      <rgbColor rgb="FF1F497D"/>
      <rgbColor rgb="FF4D3B6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[1]TAE2022!$B$393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i-FI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[1]TAE2022!$L$6:$X$7</c:f>
              <c:multiLvlStrCache>
                <c:ptCount val="13"/>
                <c:lvl>
                  <c:pt idx="0">
                    <c:v>#VIITTAUS!</c:v>
                  </c:pt>
                  <c:pt idx="1">
                    <c:v>#VIITTAUS!</c:v>
                  </c:pt>
                  <c:pt idx="2">
                    <c:v>#VIITTAUS!</c:v>
                  </c:pt>
                  <c:pt idx="3">
                    <c:v>#VIITTAUS!</c:v>
                  </c:pt>
                  <c:pt idx="4">
                    <c:v>#VIITTAUS!</c:v>
                  </c:pt>
                  <c:pt idx="5">
                    <c:v>#VIITTAUS!</c:v>
                  </c:pt>
                  <c:pt idx="6">
                    <c:v>#VIITTAUS!</c:v>
                  </c:pt>
                  <c:pt idx="7">
                    <c:v>#VIITTAUS!</c:v>
                  </c:pt>
                  <c:pt idx="8">
                    <c:v>#VIITTAUS!</c:v>
                  </c:pt>
                  <c:pt idx="9">
                    <c:v>#VIITTAUS!</c:v>
                  </c:pt>
                  <c:pt idx="10">
                    <c:v>#VIITTAUS!</c:v>
                  </c:pt>
                  <c:pt idx="11">
                    <c:v>#VIITTAUS!</c:v>
                  </c:pt>
                  <c:pt idx="12">
                    <c:v>#VIITTAUS!</c:v>
                  </c:pt>
                </c:lvl>
                <c:lvl>
                  <c:pt idx="0">
                    <c:v>#VIITTAUS!</c:v>
                  </c:pt>
                  <c:pt idx="1">
                    <c:v>#VIITTAUS!</c:v>
                  </c:pt>
                  <c:pt idx="2">
                    <c:v>#VIITTAUS!</c:v>
                  </c:pt>
                  <c:pt idx="3">
                    <c:v>#VIITTAUS!</c:v>
                  </c:pt>
                  <c:pt idx="4">
                    <c:v>#VIITTAUS!</c:v>
                  </c:pt>
                  <c:pt idx="5">
                    <c:v>#VIITTAUS!</c:v>
                  </c:pt>
                  <c:pt idx="6">
                    <c:v>#VIITTAUS!</c:v>
                  </c:pt>
                  <c:pt idx="7">
                    <c:v>#VIITTAUS!</c:v>
                  </c:pt>
                  <c:pt idx="8">
                    <c:v>#VIITTAUS!</c:v>
                  </c:pt>
                  <c:pt idx="9">
                    <c:v>#VIITTAUS!</c:v>
                  </c:pt>
                  <c:pt idx="10">
                    <c:v>#VIITTAUS!</c:v>
                  </c:pt>
                  <c:pt idx="11">
                    <c:v>#VIITTAUS!</c:v>
                  </c:pt>
                  <c:pt idx="12">
                    <c:v>#VIITTAUS!</c:v>
                  </c:pt>
                </c:lvl>
              </c:multiLvlStrCache>
            </c:multiLvlStrRef>
          </c:cat>
          <c:val>
            <c:numRef>
              <c:f>[1]TAE2022!$O$393:$X$393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A-452A-8890-41297A34652A}"/>
            </c:ext>
          </c:extLst>
        </c:ser>
        <c:ser>
          <c:idx val="1"/>
          <c:order val="1"/>
          <c:tx>
            <c:strRef>
              <c:f>[1]TAE2022!$B$404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i-FI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[1]TAE2022!$L$6:$X$7</c:f>
              <c:multiLvlStrCache>
                <c:ptCount val="13"/>
                <c:lvl>
                  <c:pt idx="0">
                    <c:v>#VIITTAUS!</c:v>
                  </c:pt>
                  <c:pt idx="1">
                    <c:v>#VIITTAUS!</c:v>
                  </c:pt>
                  <c:pt idx="2">
                    <c:v>#VIITTAUS!</c:v>
                  </c:pt>
                  <c:pt idx="3">
                    <c:v>#VIITTAUS!</c:v>
                  </c:pt>
                  <c:pt idx="4">
                    <c:v>#VIITTAUS!</c:v>
                  </c:pt>
                  <c:pt idx="5">
                    <c:v>#VIITTAUS!</c:v>
                  </c:pt>
                  <c:pt idx="6">
                    <c:v>#VIITTAUS!</c:v>
                  </c:pt>
                  <c:pt idx="7">
                    <c:v>#VIITTAUS!</c:v>
                  </c:pt>
                  <c:pt idx="8">
                    <c:v>#VIITTAUS!</c:v>
                  </c:pt>
                  <c:pt idx="9">
                    <c:v>#VIITTAUS!</c:v>
                  </c:pt>
                  <c:pt idx="10">
                    <c:v>#VIITTAUS!</c:v>
                  </c:pt>
                  <c:pt idx="11">
                    <c:v>#VIITTAUS!</c:v>
                  </c:pt>
                  <c:pt idx="12">
                    <c:v>#VIITTAUS!</c:v>
                  </c:pt>
                </c:lvl>
                <c:lvl>
                  <c:pt idx="0">
                    <c:v>#VIITTAUS!</c:v>
                  </c:pt>
                  <c:pt idx="1">
                    <c:v>#VIITTAUS!</c:v>
                  </c:pt>
                  <c:pt idx="2">
                    <c:v>#VIITTAUS!</c:v>
                  </c:pt>
                  <c:pt idx="3">
                    <c:v>#VIITTAUS!</c:v>
                  </c:pt>
                  <c:pt idx="4">
                    <c:v>#VIITTAUS!</c:v>
                  </c:pt>
                  <c:pt idx="5">
                    <c:v>#VIITTAUS!</c:v>
                  </c:pt>
                  <c:pt idx="6">
                    <c:v>#VIITTAUS!</c:v>
                  </c:pt>
                  <c:pt idx="7">
                    <c:v>#VIITTAUS!</c:v>
                  </c:pt>
                  <c:pt idx="8">
                    <c:v>#VIITTAUS!</c:v>
                  </c:pt>
                  <c:pt idx="9">
                    <c:v>#VIITTAUS!</c:v>
                  </c:pt>
                  <c:pt idx="10">
                    <c:v>#VIITTAUS!</c:v>
                  </c:pt>
                  <c:pt idx="11">
                    <c:v>#VIITTAUS!</c:v>
                  </c:pt>
                  <c:pt idx="12">
                    <c:v>#VIITTAUS!</c:v>
                  </c:pt>
                </c:lvl>
              </c:multiLvlStrCache>
            </c:multiLvlStrRef>
          </c:cat>
          <c:val>
            <c:numRef>
              <c:f>[1]TAE2022!$O$404:$X$404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FA-452A-8890-41297A34652A}"/>
            </c:ext>
          </c:extLst>
        </c:ser>
        <c:ser>
          <c:idx val="2"/>
          <c:order val="2"/>
          <c:tx>
            <c:strRef>
              <c:f>[1]TAE2022!$B$413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i-FI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[1]TAE2022!$L$6:$X$7</c:f>
              <c:multiLvlStrCache>
                <c:ptCount val="13"/>
                <c:lvl>
                  <c:pt idx="0">
                    <c:v>#VIITTAUS!</c:v>
                  </c:pt>
                  <c:pt idx="1">
                    <c:v>#VIITTAUS!</c:v>
                  </c:pt>
                  <c:pt idx="2">
                    <c:v>#VIITTAUS!</c:v>
                  </c:pt>
                  <c:pt idx="3">
                    <c:v>#VIITTAUS!</c:v>
                  </c:pt>
                  <c:pt idx="4">
                    <c:v>#VIITTAUS!</c:v>
                  </c:pt>
                  <c:pt idx="5">
                    <c:v>#VIITTAUS!</c:v>
                  </c:pt>
                  <c:pt idx="6">
                    <c:v>#VIITTAUS!</c:v>
                  </c:pt>
                  <c:pt idx="7">
                    <c:v>#VIITTAUS!</c:v>
                  </c:pt>
                  <c:pt idx="8">
                    <c:v>#VIITTAUS!</c:v>
                  </c:pt>
                  <c:pt idx="9">
                    <c:v>#VIITTAUS!</c:v>
                  </c:pt>
                  <c:pt idx="10">
                    <c:v>#VIITTAUS!</c:v>
                  </c:pt>
                  <c:pt idx="11">
                    <c:v>#VIITTAUS!</c:v>
                  </c:pt>
                  <c:pt idx="12">
                    <c:v>#VIITTAUS!</c:v>
                  </c:pt>
                </c:lvl>
                <c:lvl>
                  <c:pt idx="0">
                    <c:v>#VIITTAUS!</c:v>
                  </c:pt>
                  <c:pt idx="1">
                    <c:v>#VIITTAUS!</c:v>
                  </c:pt>
                  <c:pt idx="2">
                    <c:v>#VIITTAUS!</c:v>
                  </c:pt>
                  <c:pt idx="3">
                    <c:v>#VIITTAUS!</c:v>
                  </c:pt>
                  <c:pt idx="4">
                    <c:v>#VIITTAUS!</c:v>
                  </c:pt>
                  <c:pt idx="5">
                    <c:v>#VIITTAUS!</c:v>
                  </c:pt>
                  <c:pt idx="6">
                    <c:v>#VIITTAUS!</c:v>
                  </c:pt>
                  <c:pt idx="7">
                    <c:v>#VIITTAUS!</c:v>
                  </c:pt>
                  <c:pt idx="8">
                    <c:v>#VIITTAUS!</c:v>
                  </c:pt>
                  <c:pt idx="9">
                    <c:v>#VIITTAUS!</c:v>
                  </c:pt>
                  <c:pt idx="10">
                    <c:v>#VIITTAUS!</c:v>
                  </c:pt>
                  <c:pt idx="11">
                    <c:v>#VIITTAUS!</c:v>
                  </c:pt>
                  <c:pt idx="12">
                    <c:v>#VIITTAUS!</c:v>
                  </c:pt>
                </c:lvl>
              </c:multiLvlStrCache>
            </c:multiLvlStrRef>
          </c:cat>
          <c:val>
            <c:numRef>
              <c:f>[1]TAE2022!$O$413:$X$413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FA-452A-8890-41297A346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356850"/>
        <c:axId val="18454057"/>
      </c:barChart>
      <c:catAx>
        <c:axId val="8235685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i-FI"/>
          </a:p>
        </c:txPr>
        <c:crossAx val="18454057"/>
        <c:crosses val="autoZero"/>
        <c:auto val="1"/>
        <c:lblAlgn val="ctr"/>
        <c:lblOffset val="100"/>
        <c:noMultiLvlLbl val="0"/>
      </c:catAx>
      <c:valAx>
        <c:axId val="184540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i-FI"/>
          </a:p>
        </c:txPr>
        <c:crossAx val="8235685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i-FI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c:style val="2"/>
  <c:chart>
    <c:title>
      <c:tx>
        <c:rich>
          <a:bodyPr rot="0"/>
          <a:lstStyle/>
          <a:p>
            <a:pPr>
              <a:defRPr lang="fi-FI" sz="1440" b="1" strike="noStrike" spc="-1">
                <a:solidFill>
                  <a:srgbClr val="595959"/>
                </a:solidFill>
                <a:latin typeface="Calibri"/>
              </a:defRPr>
            </a:pPr>
            <a:r>
              <a:rPr lang="fi-FI" sz="1440" b="1" strike="noStrike" spc="-1">
                <a:solidFill>
                  <a:srgbClr val="595959"/>
                </a:solidFill>
                <a:latin typeface="Calibri"/>
              </a:rPr>
              <a:t>8 01 02 + 8 01 03 ESIRAKENTAMINEN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918915648069697E-2"/>
          <c:y val="0.142425283407764"/>
          <c:w val="0.88872080358223404"/>
          <c:h val="0.657986946066643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Esirak.!$B$14</c:f>
              <c:strCache>
                <c:ptCount val="1"/>
                <c:pt idx="0">
                  <c:v>Projektialueiden esirakentaminen/kh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i-FI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Esirak.!$H$9:$S$9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Esirak.!$H$14:$S$14</c:f>
              <c:numCache>
                <c:formatCode>#\ ##0.0</c:formatCode>
                <c:ptCount val="12"/>
                <c:pt idx="0" formatCode="0.0">
                  <c:v>44</c:v>
                </c:pt>
                <c:pt idx="1">
                  <c:v>55.557000000000002</c:v>
                </c:pt>
                <c:pt idx="2">
                  <c:v>96.40528599999999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09-4723-8B61-AF1AEFDB9FF9}"/>
            </c:ext>
          </c:extLst>
        </c:ser>
        <c:ser>
          <c:idx val="1"/>
          <c:order val="1"/>
          <c:tx>
            <c:strRef>
              <c:f>Esirak.!$B$15</c:f>
              <c:strCache>
                <c:ptCount val="1"/>
                <c:pt idx="0">
                  <c:v>Muu esirak.+täyd. rak. korv./kylk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i-FI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Esirak.!$H$9:$S$9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Esirak.!$H$15:$S$15</c:f>
              <c:numCache>
                <c:formatCode>0.0</c:formatCode>
                <c:ptCount val="12"/>
                <c:pt idx="0">
                  <c:v>20.399999999999999</c:v>
                </c:pt>
                <c:pt idx="1">
                  <c:v>38</c:v>
                </c:pt>
                <c:pt idx="2" formatCode="#\ ##0.0">
                  <c:v>28.560129</c:v>
                </c:pt>
                <c:pt idx="3" formatCode="#\ ##0.0">
                  <c:v>19.899999999999999</c:v>
                </c:pt>
                <c:pt idx="4" formatCode="#\ ##0.0">
                  <c:v>18.7</c:v>
                </c:pt>
                <c:pt idx="5" formatCode="#\ ##0.0">
                  <c:v>15.4</c:v>
                </c:pt>
                <c:pt idx="6" formatCode="#\ ##0.0">
                  <c:v>17.899999999999999</c:v>
                </c:pt>
                <c:pt idx="7" formatCode="#\ ##0.0">
                  <c:v>27.1</c:v>
                </c:pt>
                <c:pt idx="8" formatCode="#\ ##0.0">
                  <c:v>29.8</c:v>
                </c:pt>
                <c:pt idx="9" formatCode="#\ ##0.0">
                  <c:v>28.4</c:v>
                </c:pt>
                <c:pt idx="10" formatCode="#\ ##0.0">
                  <c:v>35.9</c:v>
                </c:pt>
                <c:pt idx="11" formatCode="#\ ##0.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09-4723-8B61-AF1AEFDB9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467019"/>
        <c:axId val="46765577"/>
      </c:barChart>
      <c:catAx>
        <c:axId val="9946701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1" strike="noStrike" spc="-1">
                <a:solidFill>
                  <a:srgbClr val="595959"/>
                </a:solidFill>
                <a:latin typeface="Calibri"/>
              </a:defRPr>
            </a:pPr>
            <a:endParaRPr lang="fi-FI"/>
          </a:p>
        </c:txPr>
        <c:crossAx val="46765577"/>
        <c:crosses val="autoZero"/>
        <c:auto val="1"/>
        <c:lblAlgn val="ctr"/>
        <c:lblOffset val="100"/>
        <c:noMultiLvlLbl val="0"/>
      </c:catAx>
      <c:valAx>
        <c:axId val="467655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1200" b="1" strike="noStrike" spc="-1">
                <a:solidFill>
                  <a:srgbClr val="595959"/>
                </a:solidFill>
                <a:latin typeface="Calibri"/>
              </a:defRPr>
            </a:pPr>
            <a:endParaRPr lang="fi-FI"/>
          </a:p>
        </c:txPr>
        <c:crossAx val="99467019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20642106678320399"/>
          <c:y val="0.87144467262976599"/>
          <c:w val="0.57619486001513498"/>
          <c:h val="0.1274142277332759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1200" b="1" strike="noStrike" spc="-1">
              <a:solidFill>
                <a:srgbClr val="595959"/>
              </a:solidFill>
              <a:latin typeface="Calibri"/>
            </a:defRPr>
          </a:pPr>
          <a:endParaRPr lang="fi-FI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c:style val="2"/>
  <c:chart>
    <c:title>
      <c:tx>
        <c:rich>
          <a:bodyPr rot="0"/>
          <a:lstStyle/>
          <a:p>
            <a:pPr>
              <a:defRPr lang="en-US" sz="2000" b="1" u="sng" strike="noStrike" spc="-1">
                <a:solidFill>
                  <a:srgbClr val="595959"/>
                </a:solidFill>
                <a:uFillTx/>
                <a:latin typeface="Calibri"/>
              </a:defRPr>
            </a:pPr>
            <a:r>
              <a:rPr lang="en-US" sz="2000" b="1" u="sng" strike="noStrike" spc="-1">
                <a:solidFill>
                  <a:srgbClr val="595959"/>
                </a:solidFill>
                <a:uFillTx/>
                <a:latin typeface="Calibri"/>
              </a:rPr>
              <a:t>KATUINVESTOINNIT 2017-2026 /PYÖRÄILY /
TA2016 ei sisällä ylitysoikeutta</a:t>
            </a:r>
          </a:p>
        </c:rich>
      </c:tx>
      <c:layout>
        <c:manualLayout>
          <c:xMode val="edge"/>
          <c:yMode val="edge"/>
          <c:x val="0.16444493006993"/>
          <c:y val="2.0450926158746101E-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907342657343"/>
          <c:y val="0.19948034531891701"/>
          <c:w val="0.84200174825174801"/>
          <c:h val="0.426116838487972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Pyöräily!$B$12</c:f>
              <c:strCache>
                <c:ptCount val="1"/>
                <c:pt idx="0">
                  <c:v>UUDISRAKENTAMINEN sis. Projektial.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i-FI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Pyöräily!$I$9:$S$9</c:f>
              <c:numCache>
                <c:formatCode>General</c:formatCod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cat>
          <c:val>
            <c:numRef>
              <c:f>Pyöräily!$I$12:$S$12</c:f>
              <c:numCache>
                <c:formatCode>#\ ##0.0</c:formatCode>
                <c:ptCount val="11"/>
                <c:pt idx="0">
                  <c:v>64.75200000000001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8-4753-820F-FFE0F105A9E5}"/>
            </c:ext>
          </c:extLst>
        </c:ser>
        <c:ser>
          <c:idx val="1"/>
          <c:order val="1"/>
          <c:tx>
            <c:strRef>
              <c:f>Pyöräily!$B$14</c:f>
              <c:strCache>
                <c:ptCount val="1"/>
                <c:pt idx="0">
                  <c:v>Katujen peruskorjaus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i-FI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Pyöräily!$I$9:$S$9</c:f>
              <c:numCache>
                <c:formatCode>General</c:formatCod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cat>
          <c:val>
            <c:numRef>
              <c:f>Pyöräily!$H$14:$R$14</c:f>
              <c:numCache>
                <c:formatCode>#\ ##0.0</c:formatCode>
                <c:ptCount val="11"/>
                <c:pt idx="0">
                  <c:v>1.794</c:v>
                </c:pt>
                <c:pt idx="1">
                  <c:v>2.58</c:v>
                </c:pt>
                <c:pt idx="2">
                  <c:v>7.72</c:v>
                </c:pt>
                <c:pt idx="3">
                  <c:v>0</c:v>
                </c:pt>
                <c:pt idx="4">
                  <c:v>10.542</c:v>
                </c:pt>
                <c:pt idx="5">
                  <c:v>9.6391090000000013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B8-4753-820F-FFE0F105A9E5}"/>
            </c:ext>
          </c:extLst>
        </c:ser>
        <c:ser>
          <c:idx val="2"/>
          <c:order val="2"/>
          <c:tx>
            <c:strRef>
              <c:f>Pyöräily!$B$14</c:f>
              <c:strCache>
                <c:ptCount val="1"/>
                <c:pt idx="0">
                  <c:v>Katujen peruskorjaus</c:v>
                </c:pt>
              </c:strCache>
            </c:strRef>
          </c:tx>
          <c:spPr>
            <a:solidFill>
              <a:srgbClr val="00CC0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i-FI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Pyöräily!$I$9:$S$9</c:f>
              <c:numCache>
                <c:formatCode>General</c:formatCod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cat>
          <c:val>
            <c:numRef>
              <c:f>Pyöräily!$I$14:$S$14</c:f>
              <c:numCache>
                <c:formatCode>#\ ##0.0</c:formatCode>
                <c:ptCount val="11"/>
                <c:pt idx="0">
                  <c:v>2.58</c:v>
                </c:pt>
                <c:pt idx="1">
                  <c:v>7.72</c:v>
                </c:pt>
                <c:pt idx="2">
                  <c:v>0</c:v>
                </c:pt>
                <c:pt idx="3">
                  <c:v>10.542</c:v>
                </c:pt>
                <c:pt idx="4">
                  <c:v>9.6391090000000013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B8-4753-820F-FFE0F105A9E5}"/>
            </c:ext>
          </c:extLst>
        </c:ser>
        <c:ser>
          <c:idx val="3"/>
          <c:order val="3"/>
          <c:tx>
            <c:strRef>
              <c:f>Pyöräily!$B$15</c:f>
              <c:strCache>
                <c:ptCount val="1"/>
                <c:pt idx="0">
                  <c:v>Siltojen peruskorjaus</c:v>
                </c:pt>
              </c:strCache>
            </c:strRef>
          </c:tx>
          <c:spPr>
            <a:solidFill>
              <a:srgbClr val="66FF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i-FI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Pyöräily!$I$9:$S$9</c:f>
              <c:numCache>
                <c:formatCode>General</c:formatCod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cat>
          <c:val>
            <c:numRef>
              <c:f>Pyöräily!$I$15:$S$15</c:f>
              <c:numCache>
                <c:formatCode>#\ ##0.0</c:formatCode>
                <c:ptCount val="11"/>
                <c:pt idx="0">
                  <c:v>7.6230000000000002</c:v>
                </c:pt>
                <c:pt idx="1">
                  <c:v>3.331</c:v>
                </c:pt>
                <c:pt idx="2">
                  <c:v>8.8849999999999998</c:v>
                </c:pt>
                <c:pt idx="3">
                  <c:v>10.622999999999999</c:v>
                </c:pt>
                <c:pt idx="4">
                  <c:v>15.914662</c:v>
                </c:pt>
                <c:pt idx="5">
                  <c:v>4.9000000000000004</c:v>
                </c:pt>
                <c:pt idx="6">
                  <c:v>8.1</c:v>
                </c:pt>
                <c:pt idx="7">
                  <c:v>15.3</c:v>
                </c:pt>
                <c:pt idx="8">
                  <c:v>32</c:v>
                </c:pt>
                <c:pt idx="9">
                  <c:v>27.65</c:v>
                </c:pt>
                <c:pt idx="10">
                  <c:v>17.899999999999999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B8-4753-820F-FFE0F105A9E5}"/>
            </c:ext>
          </c:extLst>
        </c:ser>
        <c:ser>
          <c:idx val="4"/>
          <c:order val="4"/>
          <c:tx>
            <c:strRef>
              <c:f>Pyöräily!$B$16</c:f>
              <c:strCache>
                <c:ptCount val="1"/>
                <c:pt idx="0">
                  <c:v>Ulkovalaistuksen peruskorjaus</c:v>
                </c:pt>
              </c:strCache>
            </c:strRef>
          </c:tx>
          <c:spPr>
            <a:solidFill>
              <a:srgbClr val="4BACC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i-FI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Pyöräily!$I$9:$S$9</c:f>
              <c:numCache>
                <c:formatCode>General</c:formatCod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cat>
          <c:val>
            <c:numRef>
              <c:f>Pyöräily!$C$16:$R$16</c:f>
              <c:numCache>
                <c:formatCode>#\ 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B8-4753-820F-FFE0F105A9E5}"/>
            </c:ext>
          </c:extLst>
        </c:ser>
        <c:ser>
          <c:idx val="5"/>
          <c:order val="5"/>
          <c:tx>
            <c:strRef>
              <c:f>Pyöräily!$B$17</c:f>
              <c:strCache>
                <c:ptCount val="1"/>
                <c:pt idx="0">
                  <c:v>Päällysteiden uusiminen</c:v>
                </c:pt>
              </c:strCache>
            </c:strRef>
          </c:tx>
          <c:spPr>
            <a:solidFill>
              <a:srgbClr val="F7964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i-FI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Pyöräily!$I$9:$S$9</c:f>
              <c:numCache>
                <c:formatCode>General</c:formatCod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cat>
          <c:val>
            <c:numRef>
              <c:f>Pyöräily!$I$17:$S$17</c:f>
              <c:numCache>
                <c:formatCode>#\ ##0.0</c:formatCode>
                <c:ptCount val="11"/>
                <c:pt idx="0">
                  <c:v>4.875</c:v>
                </c:pt>
                <c:pt idx="1">
                  <c:v>4.1849999999999996</c:v>
                </c:pt>
                <c:pt idx="2">
                  <c:v>4.218</c:v>
                </c:pt>
                <c:pt idx="3">
                  <c:v>4.226</c:v>
                </c:pt>
                <c:pt idx="4">
                  <c:v>4.3615820000000003</c:v>
                </c:pt>
                <c:pt idx="5">
                  <c:v>4.5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B8-4753-820F-FFE0F105A9E5}"/>
            </c:ext>
          </c:extLst>
        </c:ser>
        <c:ser>
          <c:idx val="6"/>
          <c:order val="6"/>
          <c:tx>
            <c:strRef>
              <c:f>Pyöräily!$B$18</c:f>
              <c:strCache>
                <c:ptCount val="1"/>
                <c:pt idx="0">
                  <c:v>Liikennejärjestelyt</c:v>
                </c:pt>
              </c:strCache>
            </c:strRef>
          </c:tx>
          <c:spPr>
            <a:solidFill>
              <a:srgbClr val="2C4D7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i-FI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Pyöräily!$I$9:$S$9</c:f>
              <c:numCache>
                <c:formatCode>General</c:formatCod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cat>
          <c:val>
            <c:numRef>
              <c:f>Pyöräily!$I$18:$S$18</c:f>
              <c:numCache>
                <c:formatCode>#\ ##0.0</c:formatCode>
                <c:ptCount val="11"/>
                <c:pt idx="0">
                  <c:v>2.3239999999999998</c:v>
                </c:pt>
                <c:pt idx="1">
                  <c:v>3.3109999999999999</c:v>
                </c:pt>
                <c:pt idx="2">
                  <c:v>3.1880000000000002</c:v>
                </c:pt>
                <c:pt idx="3">
                  <c:v>8.1389999999999993</c:v>
                </c:pt>
                <c:pt idx="4">
                  <c:v>10.718579</c:v>
                </c:pt>
                <c:pt idx="5">
                  <c:v>4.7</c:v>
                </c:pt>
                <c:pt idx="6">
                  <c:v>9</c:v>
                </c:pt>
                <c:pt idx="7">
                  <c:v>6</c:v>
                </c:pt>
                <c:pt idx="8">
                  <c:v>6.5</c:v>
                </c:pt>
                <c:pt idx="9">
                  <c:v>5.6</c:v>
                </c:pt>
                <c:pt idx="10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B8-4753-820F-FFE0F105A9E5}"/>
            </c:ext>
          </c:extLst>
        </c:ser>
        <c:ser>
          <c:idx val="7"/>
          <c:order val="7"/>
          <c:tx>
            <c:strRef>
              <c:f>Pyöräily!$B$19</c:f>
              <c:strCache>
                <c:ptCount val="1"/>
                <c:pt idx="0">
                  <c:v>Jalankulun ja pyöräilyn väylät</c:v>
                </c:pt>
              </c:strCache>
            </c:strRef>
          </c:tx>
          <c:spPr>
            <a:solidFill>
              <a:srgbClr val="FF000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i-FI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Pyöräily!$I$9:$S$9</c:f>
              <c:numCache>
                <c:formatCode>General</c:formatCod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cat>
          <c:val>
            <c:numRef>
              <c:f>Pyöräily!$I$19:$S$19</c:f>
              <c:numCache>
                <c:formatCode>#\ ##0.0</c:formatCode>
                <c:ptCount val="11"/>
                <c:pt idx="0">
                  <c:v>10.992000000000001</c:v>
                </c:pt>
                <c:pt idx="1">
                  <c:v>14.205</c:v>
                </c:pt>
                <c:pt idx="2">
                  <c:v>12.592000000000001</c:v>
                </c:pt>
                <c:pt idx="3">
                  <c:v>13.9</c:v>
                </c:pt>
                <c:pt idx="4">
                  <c:v>24.42473</c:v>
                </c:pt>
                <c:pt idx="5">
                  <c:v>25.5</c:v>
                </c:pt>
                <c:pt idx="6">
                  <c:v>23.5</c:v>
                </c:pt>
                <c:pt idx="7">
                  <c:v>19</c:v>
                </c:pt>
                <c:pt idx="8">
                  <c:v>19</c:v>
                </c:pt>
                <c:pt idx="9">
                  <c:v>19.5</c:v>
                </c:pt>
                <c:pt idx="10">
                  <c:v>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B8-4753-820F-FFE0F105A9E5}"/>
            </c:ext>
          </c:extLst>
        </c:ser>
        <c:ser>
          <c:idx val="8"/>
          <c:order val="8"/>
          <c:tx>
            <c:strRef>
              <c:f>Pyöräily!$B$21</c:f>
              <c:strCache>
                <c:ptCount val="1"/>
                <c:pt idx="0">
                  <c:v>LIIKENNEVIRASTO</c:v>
                </c:pt>
              </c:strCache>
            </c:strRef>
          </c:tx>
          <c:spPr>
            <a:solidFill>
              <a:srgbClr val="5F753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i-FI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Pyöräily!$I$9:$S$9</c:f>
              <c:numCache>
                <c:formatCode>General</c:formatCod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cat>
          <c:val>
            <c:numRef>
              <c:f>Pyöräily!$I$21:$S$21</c:f>
              <c:numCache>
                <c:formatCode>#\ ##0.0</c:formatCode>
                <c:ptCount val="11"/>
                <c:pt idx="0">
                  <c:v>8.7750000000000004</c:v>
                </c:pt>
                <c:pt idx="1">
                  <c:v>1.121</c:v>
                </c:pt>
                <c:pt idx="2">
                  <c:v>1.65</c:v>
                </c:pt>
                <c:pt idx="3">
                  <c:v>0.91900000000000004</c:v>
                </c:pt>
                <c:pt idx="4">
                  <c:v>0.87262400000000007</c:v>
                </c:pt>
                <c:pt idx="5">
                  <c:v>2.09</c:v>
                </c:pt>
                <c:pt idx="6">
                  <c:v>0.9</c:v>
                </c:pt>
                <c:pt idx="7">
                  <c:v>0.6</c:v>
                </c:pt>
                <c:pt idx="8">
                  <c:v>1.1000000000000001</c:v>
                </c:pt>
                <c:pt idx="9">
                  <c:v>7.8</c:v>
                </c:pt>
                <c:pt idx="10">
                  <c:v>21.7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B8-4753-820F-FFE0F105A9E5}"/>
            </c:ext>
          </c:extLst>
        </c:ser>
        <c:ser>
          <c:idx val="9"/>
          <c:order val="9"/>
          <c:tx>
            <c:strRef>
              <c:f>Pyöräily!$B$22</c:f>
              <c:strCache>
                <c:ptCount val="1"/>
                <c:pt idx="0">
                  <c:v>MUU KADUNPITO</c:v>
                </c:pt>
              </c:strCache>
            </c:strRef>
          </c:tx>
          <c:spPr>
            <a:solidFill>
              <a:srgbClr val="4D3B62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i-FI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Pyöräily!$I$9:$S$9</c:f>
              <c:numCache>
                <c:formatCode>General</c:formatCod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cat>
          <c:val>
            <c:numRef>
              <c:f>Pyöräily!$C$22:$R$22</c:f>
              <c:numCache>
                <c:formatCode>#\ 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B8-4753-820F-FFE0F105A9E5}"/>
            </c:ext>
          </c:extLst>
        </c:ser>
        <c:ser>
          <c:idx val="10"/>
          <c:order val="10"/>
          <c:tx>
            <c:strRef>
              <c:f>Pyöräily!$B$23</c:f>
              <c:strCache>
                <c:ptCount val="1"/>
                <c:pt idx="0">
                  <c:v>LIITYNTÄPYSÄKÖINTI</c:v>
                </c:pt>
              </c:strCache>
            </c:strRef>
          </c:tx>
          <c:spPr>
            <a:solidFill>
              <a:srgbClr val="276A7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i-FI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Pyöräily!$I$9:$S$9</c:f>
              <c:numCache>
                <c:formatCode>General</c:formatCod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cat>
          <c:val>
            <c:numRef>
              <c:f>Pyöräily!$I$23:$S$23</c:f>
              <c:numCache>
                <c:formatCode>#\ 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9B8-4753-820F-FFE0F105A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648459"/>
        <c:axId val="371283"/>
      </c:barChart>
      <c:catAx>
        <c:axId val="536484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50" b="1" strike="noStrike" spc="-1">
                <a:solidFill>
                  <a:srgbClr val="595959"/>
                </a:solidFill>
                <a:latin typeface="Calibri"/>
              </a:defRPr>
            </a:pPr>
            <a:endParaRPr lang="fi-FI"/>
          </a:p>
        </c:txPr>
        <c:crossAx val="371283"/>
        <c:crosses val="autoZero"/>
        <c:auto val="1"/>
        <c:lblAlgn val="ctr"/>
        <c:lblOffset val="100"/>
        <c:noMultiLvlLbl val="0"/>
      </c:catAx>
      <c:valAx>
        <c:axId val="3712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i-FI" sz="12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fi-FI" sz="1200" b="1" strike="noStrike" spc="-1">
                    <a:solidFill>
                      <a:srgbClr val="595959"/>
                    </a:solidFill>
                    <a:latin typeface="Calibri"/>
                  </a:rPr>
                  <a:t>Milj. euroa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\ ##0.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1100" b="1" strike="noStrike" spc="-1">
                <a:solidFill>
                  <a:srgbClr val="595959"/>
                </a:solidFill>
                <a:latin typeface="Calibri"/>
              </a:defRPr>
            </a:pPr>
            <a:endParaRPr lang="fi-FI"/>
          </a:p>
        </c:txPr>
        <c:crossAx val="53648459"/>
        <c:crosses val="autoZero"/>
        <c:crossBetween val="between"/>
        <c:majorUnit val="20"/>
      </c:valAx>
      <c:spPr>
        <a:noFill/>
        <a:ln w="0">
          <a:noFill/>
        </a:ln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13572296440473"/>
          <c:y val="0.68460621246694198"/>
          <c:w val="0.79448530146707697"/>
          <c:h val="0.2878205365174419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1050" b="1" strike="noStrike" spc="-1">
              <a:solidFill>
                <a:srgbClr val="595959"/>
              </a:solidFill>
              <a:latin typeface="Calibri"/>
            </a:defRPr>
          </a:pPr>
          <a:endParaRPr lang="fi-FI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c:style val="2"/>
  <c:chart>
    <c:title>
      <c:tx>
        <c:rich>
          <a:bodyPr rot="0"/>
          <a:lstStyle/>
          <a:p>
            <a:pPr>
              <a:defRPr lang="fi-FI" sz="2400" b="1" u="sng" strike="noStrike" spc="-1">
                <a:solidFill>
                  <a:srgbClr val="000000"/>
                </a:solidFill>
                <a:uFillTx/>
                <a:latin typeface="Arial"/>
                <a:ea typeface="Arial"/>
              </a:defRPr>
            </a:pPr>
            <a:r>
              <a:rPr lang="fi-FI" sz="2400" b="1" u="sng" strike="noStrike" spc="-1">
                <a:solidFill>
                  <a:srgbClr val="000000"/>
                </a:solidFill>
                <a:uFillTx/>
                <a:latin typeface="Arial"/>
                <a:ea typeface="Arial"/>
              </a:rPr>
              <a:t>PUISTOINVESTOINNIT 2017 - 2026
TA 2016 lisäksi ylitysoikeutta 2,9 M€
      </a:t>
            </a:r>
          </a:p>
        </c:rich>
      </c:tx>
      <c:layout>
        <c:manualLayout>
          <c:xMode val="edge"/>
          <c:yMode val="edge"/>
          <c:x val="0.21479467230656901"/>
          <c:y val="2.13901704350479E-2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2725784928368"/>
          <c:y val="0.150531894612422"/>
          <c:w val="0.72283908653725104"/>
          <c:h val="0.5790978762344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'Kaavio, puistot'!$B$12</c:f>
              <c:strCache>
                <c:ptCount val="1"/>
                <c:pt idx="0">
                  <c:v>UUDISRAKENTAMINEN</c:v>
                </c:pt>
              </c:strCache>
            </c:strRef>
          </c:tx>
          <c:spPr>
            <a:solidFill>
              <a:srgbClr val="FF0000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525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fi-FI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puistot'!$H$9:$S$9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</c:numCache>
            </c:numRef>
          </c:cat>
          <c:val>
            <c:numRef>
              <c:f>'Kaavio, puistot'!$H$12:$S$12</c:f>
              <c:numCache>
                <c:formatCode>#\ ##0.0</c:formatCode>
                <c:ptCount val="12"/>
                <c:pt idx="0">
                  <c:v>1.51</c:v>
                </c:pt>
                <c:pt idx="1">
                  <c:v>2.3239999999999998</c:v>
                </c:pt>
                <c:pt idx="2">
                  <c:v>2.5938183799999996</c:v>
                </c:pt>
                <c:pt idx="3">
                  <c:v>3.1237299700000003</c:v>
                </c:pt>
                <c:pt idx="4">
                  <c:v>0</c:v>
                </c:pt>
                <c:pt idx="5">
                  <c:v>8.0760916399999996</c:v>
                </c:pt>
                <c:pt idx="6">
                  <c:v>0</c:v>
                </c:pt>
                <c:pt idx="7">
                  <c:v>2.5</c:v>
                </c:pt>
                <c:pt idx="8">
                  <c:v>5.9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5F-4FD4-BBF5-B610B960664C}"/>
            </c:ext>
          </c:extLst>
        </c:ser>
        <c:ser>
          <c:idx val="1"/>
          <c:order val="1"/>
          <c:tx>
            <c:strRef>
              <c:f>'Kaavio, puistot'!$B$13</c:f>
              <c:strCache>
                <c:ptCount val="1"/>
                <c:pt idx="0">
                  <c:v>PERUSKORJAUS</c:v>
                </c:pt>
              </c:strCache>
            </c:strRef>
          </c:tx>
          <c:spPr>
            <a:solidFill>
              <a:srgbClr val="0000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525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fi-FI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puistot'!$H$9:$S$9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</c:numCache>
            </c:numRef>
          </c:cat>
          <c:val>
            <c:numRef>
              <c:f>'Kaavio, puistot'!$H$13:$S$13</c:f>
              <c:numCache>
                <c:formatCode>#\ ##0.0</c:formatCode>
                <c:ptCount val="12"/>
                <c:pt idx="0">
                  <c:v>1.794</c:v>
                </c:pt>
                <c:pt idx="1">
                  <c:v>2.016</c:v>
                </c:pt>
                <c:pt idx="2">
                  <c:v>2.3551816200000002</c:v>
                </c:pt>
                <c:pt idx="3">
                  <c:v>3.3928615399999997</c:v>
                </c:pt>
                <c:pt idx="4">
                  <c:v>0.192</c:v>
                </c:pt>
                <c:pt idx="5">
                  <c:v>10.811464599999999</c:v>
                </c:pt>
                <c:pt idx="6">
                  <c:v>0</c:v>
                </c:pt>
                <c:pt idx="7">
                  <c:v>3.7</c:v>
                </c:pt>
                <c:pt idx="8">
                  <c:v>7.1</c:v>
                </c:pt>
                <c:pt idx="9">
                  <c:v>8.1</c:v>
                </c:pt>
                <c:pt idx="10">
                  <c:v>7.5</c:v>
                </c:pt>
                <c:pt idx="11">
                  <c:v>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5F-4FD4-BBF5-B610B960664C}"/>
            </c:ext>
          </c:extLst>
        </c:ser>
        <c:ser>
          <c:idx val="2"/>
          <c:order val="2"/>
          <c:tx>
            <c:strRef>
              <c:f>'Kaavio, puistot'!$B$14</c:f>
              <c:strCache>
                <c:ptCount val="1"/>
                <c:pt idx="0">
                  <c:v>KAMPPI-TÖÖLÖNLAHTI</c:v>
                </c:pt>
              </c:strCache>
            </c:strRef>
          </c:tx>
          <c:spPr>
            <a:solidFill>
              <a:srgbClr val="FF9900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525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fi-FI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puistot'!$H$9:$S$9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</c:numCache>
            </c:numRef>
          </c:cat>
          <c:val>
            <c:numRef>
              <c:f>'Kaavio, puistot'!$H$14:$S$14</c:f>
              <c:numCache>
                <c:formatCode>#\ ##0.0</c:formatCode>
                <c:ptCount val="12"/>
                <c:pt idx="0">
                  <c:v>5.3979999999999997</c:v>
                </c:pt>
                <c:pt idx="1">
                  <c:v>0.45700000000000002</c:v>
                </c:pt>
                <c:pt idx="2">
                  <c:v>0.25</c:v>
                </c:pt>
                <c:pt idx="3">
                  <c:v>5</c:v>
                </c:pt>
                <c:pt idx="4">
                  <c:v>2.496</c:v>
                </c:pt>
                <c:pt idx="5">
                  <c:v>0.19914999999999999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5F-4FD4-BBF5-B610B960664C}"/>
            </c:ext>
          </c:extLst>
        </c:ser>
        <c:ser>
          <c:idx val="3"/>
          <c:order val="3"/>
          <c:tx>
            <c:strRef>
              <c:f>'Kaavio, puistot'!$B$15</c:f>
              <c:strCache>
                <c:ptCount val="1"/>
                <c:pt idx="0">
                  <c:v>LÄNSISATAMA</c:v>
                </c:pt>
              </c:strCache>
            </c:strRef>
          </c:tx>
          <c:spPr>
            <a:solidFill>
              <a:srgbClr val="00FF00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525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fi-FI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puistot'!$H$9:$S$9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</c:numCache>
            </c:numRef>
          </c:cat>
          <c:val>
            <c:numRef>
              <c:f>'Kaavio, puistot'!$H$15:$S$15</c:f>
              <c:numCache>
                <c:formatCode>#\ ##0.0</c:formatCode>
                <c:ptCount val="12"/>
                <c:pt idx="0">
                  <c:v>0.34899999999999998</c:v>
                </c:pt>
                <c:pt idx="1">
                  <c:v>1.5820000000000001</c:v>
                </c:pt>
                <c:pt idx="2">
                  <c:v>1.355</c:v>
                </c:pt>
                <c:pt idx="3">
                  <c:v>2.879</c:v>
                </c:pt>
                <c:pt idx="4">
                  <c:v>6.4409999999999998</c:v>
                </c:pt>
                <c:pt idx="5">
                  <c:v>4.1460499999999998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5F-4FD4-BBF5-B610B960664C}"/>
            </c:ext>
          </c:extLst>
        </c:ser>
        <c:ser>
          <c:idx val="4"/>
          <c:order val="4"/>
          <c:tx>
            <c:strRef>
              <c:f>'Kaavio, puistot'!$B$16</c:f>
              <c:strCache>
                <c:ptCount val="1"/>
                <c:pt idx="0">
                  <c:v> KALASATAMA</c:v>
                </c:pt>
              </c:strCache>
            </c:strRef>
          </c:tx>
          <c:spPr>
            <a:solidFill>
              <a:srgbClr val="FFFF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525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fi-FI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puistot'!$H$9:$S$9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</c:numCache>
            </c:numRef>
          </c:cat>
          <c:val>
            <c:numRef>
              <c:f>'Kaavio, puistot'!$H$16:$S$16</c:f>
              <c:numCache>
                <c:formatCode>#\ ##0.0</c:formatCode>
                <c:ptCount val="12"/>
                <c:pt idx="0">
                  <c:v>0.41799999999999998</c:v>
                </c:pt>
                <c:pt idx="1">
                  <c:v>1.3680000000000001</c:v>
                </c:pt>
                <c:pt idx="2">
                  <c:v>1.0880000000000001</c:v>
                </c:pt>
                <c:pt idx="3">
                  <c:v>0.42199999999999999</c:v>
                </c:pt>
                <c:pt idx="4">
                  <c:v>1.2929999999999999</c:v>
                </c:pt>
                <c:pt idx="5">
                  <c:v>1.58283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5F-4FD4-BBF5-B610B960664C}"/>
            </c:ext>
          </c:extLst>
        </c:ser>
        <c:ser>
          <c:idx val="5"/>
          <c:order val="5"/>
          <c:tx>
            <c:strRef>
              <c:f>'Kaavio, puistot'!$B$17</c:f>
              <c:strCache>
                <c:ptCount val="1"/>
                <c:pt idx="0">
                  <c:v>KRUUNUVUORENRANTA</c:v>
                </c:pt>
              </c:strCache>
            </c:strRef>
          </c:tx>
          <c:spPr>
            <a:solidFill>
              <a:srgbClr val="666699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525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fi-FI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puistot'!$H$9:$S$9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</c:numCache>
            </c:numRef>
          </c:cat>
          <c:val>
            <c:numRef>
              <c:f>'Kaavio, puistot'!$H$17:$S$17</c:f>
              <c:numCache>
                <c:formatCode>#\ ##0.0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0.12</c:v>
                </c:pt>
                <c:pt idx="3">
                  <c:v>0.26800000000000002</c:v>
                </c:pt>
                <c:pt idx="4">
                  <c:v>0.47099999999999997</c:v>
                </c:pt>
                <c:pt idx="5">
                  <c:v>1.036373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5F-4FD4-BBF5-B610B960664C}"/>
            </c:ext>
          </c:extLst>
        </c:ser>
        <c:ser>
          <c:idx val="6"/>
          <c:order val="6"/>
          <c:tx>
            <c:strRef>
              <c:f>'Kaavio, puistot'!$B$18</c:f>
              <c:strCache>
                <c:ptCount val="1"/>
                <c:pt idx="0">
                  <c:v>PASILA</c:v>
                </c:pt>
              </c:strCache>
            </c:strRef>
          </c:tx>
          <c:spPr>
            <a:solidFill>
              <a:srgbClr val="FFCC99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525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fi-FI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puistot'!$H$9:$S$9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</c:numCache>
            </c:numRef>
          </c:cat>
          <c:val>
            <c:numRef>
              <c:f>'Kaavio, puistot'!$H$18:$S$18</c:f>
              <c:numCache>
                <c:formatCode>#\ ##0.0</c:formatCode>
                <c:ptCount val="12"/>
                <c:pt idx="0">
                  <c:v>0</c:v>
                </c:pt>
                <c:pt idx="1">
                  <c:v>9.5000000000000001E-2</c:v>
                </c:pt>
                <c:pt idx="2">
                  <c:v>0.19500000000000001</c:v>
                </c:pt>
                <c:pt idx="3">
                  <c:v>0.89600000000000002</c:v>
                </c:pt>
                <c:pt idx="4">
                  <c:v>5.0999999999999997E-2</c:v>
                </c:pt>
                <c:pt idx="5">
                  <c:v>0.11430800000000001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5F-4FD4-BBF5-B610B960664C}"/>
            </c:ext>
          </c:extLst>
        </c:ser>
        <c:ser>
          <c:idx val="7"/>
          <c:order val="7"/>
          <c:tx>
            <c:strRef>
              <c:f>'Kaavio, puistot'!$B$19</c:f>
              <c:strCache>
                <c:ptCount val="1"/>
                <c:pt idx="0">
                  <c:v>KUNINKAANTAMMI</c:v>
                </c:pt>
              </c:strCache>
            </c:strRef>
          </c:tx>
          <c:spPr>
            <a:solidFill>
              <a:srgbClr val="4672A8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525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fi-FI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puistot'!$H$9:$S$9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</c:numCache>
            </c:numRef>
          </c:cat>
          <c:val>
            <c:numRef>
              <c:f>'Kaavio, puistot'!$H$19:$S$19</c:f>
              <c:numCache>
                <c:formatCode>#\ ##0.0</c:formatCode>
                <c:ptCount val="12"/>
                <c:pt idx="0">
                  <c:v>5.8999999999999997E-2</c:v>
                </c:pt>
                <c:pt idx="1">
                  <c:v>0.32800000000000001</c:v>
                </c:pt>
                <c:pt idx="2">
                  <c:v>0.74199999999999999</c:v>
                </c:pt>
                <c:pt idx="3">
                  <c:v>0.23</c:v>
                </c:pt>
                <c:pt idx="4">
                  <c:v>0.70599999999999996</c:v>
                </c:pt>
                <c:pt idx="5">
                  <c:v>1.6882929999999998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5F-4FD4-BBF5-B610B9606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372036"/>
        <c:axId val="55280347"/>
      </c:barChart>
      <c:catAx>
        <c:axId val="353720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6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fi-FI"/>
          </a:p>
        </c:txPr>
        <c:crossAx val="55280347"/>
        <c:crosses val="autoZero"/>
        <c:auto val="1"/>
        <c:lblAlgn val="ctr"/>
        <c:lblOffset val="100"/>
        <c:noMultiLvlLbl val="0"/>
      </c:catAx>
      <c:valAx>
        <c:axId val="55280347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fi-FI" sz="1800" b="1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lang="fi-FI" sz="1800" b="1" strike="noStrike" spc="-1">
                    <a:solidFill>
                      <a:srgbClr val="000000"/>
                    </a:solidFill>
                    <a:latin typeface="Arial"/>
                    <a:ea typeface="Arial"/>
                  </a:rPr>
                  <a:t>M€</a:t>
                </a:r>
              </a:p>
            </c:rich>
          </c:tx>
          <c:layout>
            <c:manualLayout>
              <c:xMode val="edge"/>
              <c:yMode val="edge"/>
              <c:x val="0.14351537125160499"/>
              <c:y val="0.16578335303313399"/>
            </c:manualLayout>
          </c:layout>
          <c:overlay val="0"/>
          <c:spPr>
            <a:noFill/>
            <a:ln w="25560">
              <a:noFill/>
            </a:ln>
          </c:spPr>
        </c:title>
        <c:numFmt formatCode="#\ ##0.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6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fi-FI"/>
          </a:p>
        </c:txPr>
        <c:crossAx val="35372036"/>
        <c:crosses val="autoZero"/>
        <c:crossBetween val="between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21634082245265501"/>
          <c:y val="0.80866512156419101"/>
          <c:w val="0.72846472430102904"/>
          <c:h val="0.11564271090398499"/>
        </c:manualLayout>
      </c:layout>
      <c:overlay val="0"/>
      <c:spPr>
        <a:solidFill>
          <a:srgbClr val="FFFFFF"/>
        </a:solidFill>
        <a:ln w="25560">
          <a:noFill/>
        </a:ln>
      </c:spPr>
      <c:txPr>
        <a:bodyPr/>
        <a:lstStyle/>
        <a:p>
          <a:pPr>
            <a:defRPr sz="1650" b="1" strike="noStrike" spc="-1">
              <a:solidFill>
                <a:srgbClr val="000000"/>
              </a:solidFill>
              <a:latin typeface="Arial"/>
              <a:ea typeface="Arial"/>
            </a:defRPr>
          </a:pPr>
          <a:endParaRPr lang="fi-FI"/>
        </a:p>
      </c:txPr>
    </c:legend>
    <c:plotVisOnly val="1"/>
    <c:dispBlanksAs val="gap"/>
    <c:showDLblsOverMax val="1"/>
  </c:chart>
  <c:spPr>
    <a:solidFill>
      <a:srgbClr val="FFFFFF"/>
    </a:solidFill>
    <a:ln w="324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c:style val="2"/>
  <c:chart>
    <c:title>
      <c:tx>
        <c:rich>
          <a:bodyPr rot="0"/>
          <a:lstStyle/>
          <a:p>
            <a:pPr>
              <a:defRPr lang="fi-FI" sz="24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lang="fi-FI" sz="2400" b="1" strike="noStrike" spc="-1">
                <a:solidFill>
                  <a:srgbClr val="000000"/>
                </a:solidFill>
                <a:latin typeface="Arial"/>
                <a:ea typeface="Arial"/>
              </a:rPr>
              <a:t>PUISTOINVESTOINNIT 2010 - 2015
TAE 2011 - 15 verrattuna TA 2010 - 2014
          - 2009 sisältää talousarvion  ylitysoikeudet</a:t>
            </a:r>
          </a:p>
        </c:rich>
      </c:tx>
      <c:layout>
        <c:manualLayout>
          <c:xMode val="edge"/>
          <c:yMode val="edge"/>
          <c:x val="0.15919564306661099"/>
          <c:y val="2.58624649731269E-2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607038123167"/>
          <c:y val="0.26749046809683502"/>
          <c:w val="0.79539170506912404"/>
          <c:h val="0.563415866599292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'Kaavio, puistot'!$B$93</c:f>
              <c:strCache>
                <c:ptCount val="1"/>
                <c:pt idx="0">
                  <c:v>TAE &amp; TSE 2011 - 2015</c:v>
                </c:pt>
              </c:strCache>
            </c:strRef>
          </c:tx>
          <c:spPr>
            <a:solidFill>
              <a:srgbClr val="FF0000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15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fi-FI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puistot'!$C$90:$G$90</c:f>
              <c:numCache>
                <c:formatCode>General</c:formatCode>
                <c:ptCount val="1"/>
                <c:pt idx="0">
                  <c:v>2016</c:v>
                </c:pt>
              </c:numCache>
            </c:numRef>
          </c:cat>
          <c:val>
            <c:numRef>
              <c:f>'Kaavio, puistot'!$C$93:$G$93</c:f>
              <c:numCache>
                <c:formatCode>#\ ##0.0</c:formatCode>
                <c:ptCount val="1"/>
                <c:pt idx="0">
                  <c:v>16.667999999999999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7-4C06-9FE0-B6873B0D696B}"/>
            </c:ext>
          </c:extLst>
        </c:ser>
        <c:ser>
          <c:idx val="1"/>
          <c:order val="1"/>
          <c:tx>
            <c:strRef>
              <c:f>'Kaavio, puistot'!$B$94</c:f>
              <c:strCache>
                <c:ptCount val="1"/>
                <c:pt idx="0">
                  <c:v>TA 2010 - 2014</c:v>
                </c:pt>
              </c:strCache>
            </c:strRef>
          </c:tx>
          <c:spPr>
            <a:solidFill>
              <a:srgbClr val="3366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15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fi-FI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puistot'!$C$90:$G$90</c:f>
              <c:numCache>
                <c:formatCode>General</c:formatCode>
                <c:ptCount val="1"/>
                <c:pt idx="0">
                  <c:v>2016</c:v>
                </c:pt>
              </c:numCache>
            </c:numRef>
          </c:cat>
          <c:val>
            <c:numRef>
              <c:f>'Kaavio, puistot'!$C$94:$G$94</c:f>
              <c:numCache>
                <c:formatCode>#\ ##0.0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5927-4C06-9FE0-B6873B0D6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02366"/>
        <c:axId val="98661149"/>
      </c:barChart>
      <c:catAx>
        <c:axId val="5430236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6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fi-FI"/>
          </a:p>
        </c:txPr>
        <c:crossAx val="98661149"/>
        <c:crosses val="autoZero"/>
        <c:auto val="1"/>
        <c:lblAlgn val="ctr"/>
        <c:lblOffset val="100"/>
        <c:noMultiLvlLbl val="0"/>
      </c:catAx>
      <c:valAx>
        <c:axId val="98661149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fi-FI" sz="1600" b="1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lang="fi-FI" sz="1600" b="1" strike="noStrike" spc="-1">
                    <a:solidFill>
                      <a:srgbClr val="000000"/>
                    </a:solidFill>
                    <a:latin typeface="Arial"/>
                    <a:ea typeface="Arial"/>
                  </a:rPr>
                  <a:t>M€</a:t>
                </a:r>
              </a:p>
            </c:rich>
          </c:tx>
          <c:layout>
            <c:manualLayout>
              <c:xMode val="edge"/>
              <c:yMode val="edge"/>
              <c:x val="8.0645161290322606E-2"/>
              <c:y val="0.28784050714318499"/>
            </c:manualLayout>
          </c:layout>
          <c:overlay val="0"/>
          <c:spPr>
            <a:noFill/>
            <a:ln w="25560">
              <a:noFill/>
            </a:ln>
          </c:spPr>
        </c:title>
        <c:numFmt formatCode="#\ ##0.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6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fi-FI"/>
          </a:p>
        </c:txPr>
        <c:crossAx val="54302366"/>
        <c:crosses val="autoZero"/>
        <c:crossBetween val="between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8.8117464899860304E-2"/>
          <c:y val="0.91676084231876898"/>
          <c:w val="0.68357812788604599"/>
          <c:h val="2.4746924860394901E-2"/>
        </c:manualLayout>
      </c:layout>
      <c:overlay val="0"/>
      <c:spPr>
        <a:solidFill>
          <a:srgbClr val="FFFFFF"/>
        </a:solidFill>
        <a:ln w="25560">
          <a:noFill/>
        </a:ln>
      </c:spPr>
      <c:txPr>
        <a:bodyPr/>
        <a:lstStyle/>
        <a:p>
          <a:pPr>
            <a:defRPr sz="1350" b="1" strike="noStrike" spc="-1">
              <a:solidFill>
                <a:srgbClr val="000000"/>
              </a:solidFill>
              <a:latin typeface="Arial"/>
              <a:ea typeface="Arial"/>
            </a:defRPr>
          </a:pPr>
          <a:endParaRPr lang="fi-FI"/>
        </a:p>
      </c:txPr>
    </c:legend>
    <c:plotVisOnly val="1"/>
    <c:dispBlanksAs val="gap"/>
    <c:showDLblsOverMax val="1"/>
  </c:chart>
  <c:spPr>
    <a:solidFill>
      <a:srgbClr val="FFFFFF"/>
    </a:solidFill>
    <a:ln w="324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[1]TAE2022!$B$393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i-FI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[1]TAE2022!$L$6:$X$7</c:f>
              <c:multiLvlStrCache>
                <c:ptCount val="13"/>
                <c:lvl>
                  <c:pt idx="0">
                    <c:v>#VIITTAUS!</c:v>
                  </c:pt>
                  <c:pt idx="1">
                    <c:v>#VIITTAUS!</c:v>
                  </c:pt>
                  <c:pt idx="2">
                    <c:v>#VIITTAUS!</c:v>
                  </c:pt>
                  <c:pt idx="3">
                    <c:v>#VIITTAUS!</c:v>
                  </c:pt>
                  <c:pt idx="4">
                    <c:v>#VIITTAUS!</c:v>
                  </c:pt>
                  <c:pt idx="5">
                    <c:v>#VIITTAUS!</c:v>
                  </c:pt>
                  <c:pt idx="6">
                    <c:v>#VIITTAUS!</c:v>
                  </c:pt>
                  <c:pt idx="7">
                    <c:v>#VIITTAUS!</c:v>
                  </c:pt>
                  <c:pt idx="8">
                    <c:v>#VIITTAUS!</c:v>
                  </c:pt>
                  <c:pt idx="9">
                    <c:v>#VIITTAUS!</c:v>
                  </c:pt>
                  <c:pt idx="10">
                    <c:v>#VIITTAUS!</c:v>
                  </c:pt>
                  <c:pt idx="11">
                    <c:v>#VIITTAUS!</c:v>
                  </c:pt>
                  <c:pt idx="12">
                    <c:v>#VIITTAUS!</c:v>
                  </c:pt>
                </c:lvl>
                <c:lvl>
                  <c:pt idx="0">
                    <c:v>#VIITTAUS!</c:v>
                  </c:pt>
                  <c:pt idx="1">
                    <c:v>#VIITTAUS!</c:v>
                  </c:pt>
                  <c:pt idx="2">
                    <c:v>#VIITTAUS!</c:v>
                  </c:pt>
                  <c:pt idx="3">
                    <c:v>#VIITTAUS!</c:v>
                  </c:pt>
                  <c:pt idx="4">
                    <c:v>#VIITTAUS!</c:v>
                  </c:pt>
                  <c:pt idx="5">
                    <c:v>#VIITTAUS!</c:v>
                  </c:pt>
                  <c:pt idx="6">
                    <c:v>#VIITTAUS!</c:v>
                  </c:pt>
                  <c:pt idx="7">
                    <c:v>#VIITTAUS!</c:v>
                  </c:pt>
                  <c:pt idx="8">
                    <c:v>#VIITTAUS!</c:v>
                  </c:pt>
                  <c:pt idx="9">
                    <c:v>#VIITTAUS!</c:v>
                  </c:pt>
                  <c:pt idx="10">
                    <c:v>#VIITTAUS!</c:v>
                  </c:pt>
                  <c:pt idx="11">
                    <c:v>#VIITTAUS!</c:v>
                  </c:pt>
                  <c:pt idx="12">
                    <c:v>#VIITTAUS!</c:v>
                  </c:pt>
                </c:lvl>
              </c:multiLvlStrCache>
            </c:multiLvlStrRef>
          </c:cat>
          <c:val>
            <c:numRef>
              <c:f>[1]TAE2022!$O$393:$X$393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A-4686-962A-E8087AAB6D50}"/>
            </c:ext>
          </c:extLst>
        </c:ser>
        <c:ser>
          <c:idx val="1"/>
          <c:order val="1"/>
          <c:tx>
            <c:strRef>
              <c:f>[1]TAE2022!$B$404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i-FI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[1]TAE2022!$L$6:$X$7</c:f>
              <c:multiLvlStrCache>
                <c:ptCount val="13"/>
                <c:lvl>
                  <c:pt idx="0">
                    <c:v>#VIITTAUS!</c:v>
                  </c:pt>
                  <c:pt idx="1">
                    <c:v>#VIITTAUS!</c:v>
                  </c:pt>
                  <c:pt idx="2">
                    <c:v>#VIITTAUS!</c:v>
                  </c:pt>
                  <c:pt idx="3">
                    <c:v>#VIITTAUS!</c:v>
                  </c:pt>
                  <c:pt idx="4">
                    <c:v>#VIITTAUS!</c:v>
                  </c:pt>
                  <c:pt idx="5">
                    <c:v>#VIITTAUS!</c:v>
                  </c:pt>
                  <c:pt idx="6">
                    <c:v>#VIITTAUS!</c:v>
                  </c:pt>
                  <c:pt idx="7">
                    <c:v>#VIITTAUS!</c:v>
                  </c:pt>
                  <c:pt idx="8">
                    <c:v>#VIITTAUS!</c:v>
                  </c:pt>
                  <c:pt idx="9">
                    <c:v>#VIITTAUS!</c:v>
                  </c:pt>
                  <c:pt idx="10">
                    <c:v>#VIITTAUS!</c:v>
                  </c:pt>
                  <c:pt idx="11">
                    <c:v>#VIITTAUS!</c:v>
                  </c:pt>
                  <c:pt idx="12">
                    <c:v>#VIITTAUS!</c:v>
                  </c:pt>
                </c:lvl>
                <c:lvl>
                  <c:pt idx="0">
                    <c:v>#VIITTAUS!</c:v>
                  </c:pt>
                  <c:pt idx="1">
                    <c:v>#VIITTAUS!</c:v>
                  </c:pt>
                  <c:pt idx="2">
                    <c:v>#VIITTAUS!</c:v>
                  </c:pt>
                  <c:pt idx="3">
                    <c:v>#VIITTAUS!</c:v>
                  </c:pt>
                  <c:pt idx="4">
                    <c:v>#VIITTAUS!</c:v>
                  </c:pt>
                  <c:pt idx="5">
                    <c:v>#VIITTAUS!</c:v>
                  </c:pt>
                  <c:pt idx="6">
                    <c:v>#VIITTAUS!</c:v>
                  </c:pt>
                  <c:pt idx="7">
                    <c:v>#VIITTAUS!</c:v>
                  </c:pt>
                  <c:pt idx="8">
                    <c:v>#VIITTAUS!</c:v>
                  </c:pt>
                  <c:pt idx="9">
                    <c:v>#VIITTAUS!</c:v>
                  </c:pt>
                  <c:pt idx="10">
                    <c:v>#VIITTAUS!</c:v>
                  </c:pt>
                  <c:pt idx="11">
                    <c:v>#VIITTAUS!</c:v>
                  </c:pt>
                  <c:pt idx="12">
                    <c:v>#VIITTAUS!</c:v>
                  </c:pt>
                </c:lvl>
              </c:multiLvlStrCache>
            </c:multiLvlStrRef>
          </c:cat>
          <c:val>
            <c:numRef>
              <c:f>[1]TAE2022!$O$404:$X$404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CA-4686-962A-E8087AAB6D50}"/>
            </c:ext>
          </c:extLst>
        </c:ser>
        <c:ser>
          <c:idx val="2"/>
          <c:order val="2"/>
          <c:tx>
            <c:strRef>
              <c:f>[1]TAE2022!$B$413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i-FI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[1]TAE2022!$L$6:$X$7</c:f>
              <c:multiLvlStrCache>
                <c:ptCount val="13"/>
                <c:lvl>
                  <c:pt idx="0">
                    <c:v>#VIITTAUS!</c:v>
                  </c:pt>
                  <c:pt idx="1">
                    <c:v>#VIITTAUS!</c:v>
                  </c:pt>
                  <c:pt idx="2">
                    <c:v>#VIITTAUS!</c:v>
                  </c:pt>
                  <c:pt idx="3">
                    <c:v>#VIITTAUS!</c:v>
                  </c:pt>
                  <c:pt idx="4">
                    <c:v>#VIITTAUS!</c:v>
                  </c:pt>
                  <c:pt idx="5">
                    <c:v>#VIITTAUS!</c:v>
                  </c:pt>
                  <c:pt idx="6">
                    <c:v>#VIITTAUS!</c:v>
                  </c:pt>
                  <c:pt idx="7">
                    <c:v>#VIITTAUS!</c:v>
                  </c:pt>
                  <c:pt idx="8">
                    <c:v>#VIITTAUS!</c:v>
                  </c:pt>
                  <c:pt idx="9">
                    <c:v>#VIITTAUS!</c:v>
                  </c:pt>
                  <c:pt idx="10">
                    <c:v>#VIITTAUS!</c:v>
                  </c:pt>
                  <c:pt idx="11">
                    <c:v>#VIITTAUS!</c:v>
                  </c:pt>
                  <c:pt idx="12">
                    <c:v>#VIITTAUS!</c:v>
                  </c:pt>
                </c:lvl>
                <c:lvl>
                  <c:pt idx="0">
                    <c:v>#VIITTAUS!</c:v>
                  </c:pt>
                  <c:pt idx="1">
                    <c:v>#VIITTAUS!</c:v>
                  </c:pt>
                  <c:pt idx="2">
                    <c:v>#VIITTAUS!</c:v>
                  </c:pt>
                  <c:pt idx="3">
                    <c:v>#VIITTAUS!</c:v>
                  </c:pt>
                  <c:pt idx="4">
                    <c:v>#VIITTAUS!</c:v>
                  </c:pt>
                  <c:pt idx="5">
                    <c:v>#VIITTAUS!</c:v>
                  </c:pt>
                  <c:pt idx="6">
                    <c:v>#VIITTAUS!</c:v>
                  </c:pt>
                  <c:pt idx="7">
                    <c:v>#VIITTAUS!</c:v>
                  </c:pt>
                  <c:pt idx="8">
                    <c:v>#VIITTAUS!</c:v>
                  </c:pt>
                  <c:pt idx="9">
                    <c:v>#VIITTAUS!</c:v>
                  </c:pt>
                  <c:pt idx="10">
                    <c:v>#VIITTAUS!</c:v>
                  </c:pt>
                  <c:pt idx="11">
                    <c:v>#VIITTAUS!</c:v>
                  </c:pt>
                  <c:pt idx="12">
                    <c:v>#VIITTAUS!</c:v>
                  </c:pt>
                </c:lvl>
              </c:multiLvlStrCache>
            </c:multiLvlStrRef>
          </c:cat>
          <c:val>
            <c:numRef>
              <c:f>[1]TAE2022!$O$413:$X$413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CA-4686-962A-E8087AAB6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445377"/>
        <c:axId val="60166993"/>
      </c:barChart>
      <c:catAx>
        <c:axId val="5844537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i-FI"/>
          </a:p>
        </c:txPr>
        <c:crossAx val="60166993"/>
        <c:crosses val="autoZero"/>
        <c:auto val="1"/>
        <c:lblAlgn val="ctr"/>
        <c:lblOffset val="100"/>
        <c:noMultiLvlLbl val="0"/>
      </c:catAx>
      <c:valAx>
        <c:axId val="601669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i-FI"/>
          </a:p>
        </c:txPr>
        <c:crossAx val="5844537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i-FI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c:style val="2"/>
  <c:chart>
    <c:title>
      <c:tx>
        <c:rich>
          <a:bodyPr rot="0"/>
          <a:lstStyle/>
          <a:p>
            <a:pPr>
              <a:defRPr lang="fi-FI" sz="2450" b="1" strike="noStrike" spc="-1">
                <a:solidFill>
                  <a:srgbClr val="000000"/>
                </a:solidFill>
                <a:latin typeface="Arial"/>
              </a:defRPr>
            </a:pPr>
            <a:r>
              <a:rPr lang="fi-FI" sz="2450" b="1" strike="noStrike" spc="-1">
                <a:solidFill>
                  <a:srgbClr val="000000"/>
                </a:solidFill>
                <a:latin typeface="Arial"/>
              </a:rPr>
              <a:t>KATU- JA LIIKENNEVÄYLÄINVESTOINNIT 2018 - 2029
TA 2020 lisäksi ylitysoikeutta 4,0M€ 
</a:t>
            </a:r>
          </a:p>
        </c:rich>
      </c:tx>
      <c:layout>
        <c:manualLayout>
          <c:xMode val="edge"/>
          <c:yMode val="edge"/>
          <c:x val="0.16814745323105801"/>
          <c:y val="2.50521316033364E-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281606975332501E-2"/>
          <c:y val="0.14113183503243701"/>
          <c:w val="0.80210805143204"/>
          <c:h val="0.527108433734939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'Kaavio, kadut'!$B$12</c:f>
              <c:strCache>
                <c:ptCount val="1"/>
                <c:pt idx="0">
                  <c:v>UUDISRAKENTAMINEN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i-FI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kadut'!$K$9:$V$9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kadut'!$K$12:$V$12</c:f>
              <c:numCache>
                <c:formatCode>#\ ##0.0</c:formatCode>
                <c:ptCount val="12"/>
                <c:pt idx="0">
                  <c:v>16.09</c:v>
                </c:pt>
                <c:pt idx="1">
                  <c:v>22.765000000000001</c:v>
                </c:pt>
                <c:pt idx="2">
                  <c:v>31.799675999999998</c:v>
                </c:pt>
                <c:pt idx="3">
                  <c:v>20.100000000000001</c:v>
                </c:pt>
                <c:pt idx="4">
                  <c:v>16.3</c:v>
                </c:pt>
                <c:pt idx="5">
                  <c:v>20.6</c:v>
                </c:pt>
                <c:pt idx="6">
                  <c:v>25.4</c:v>
                </c:pt>
                <c:pt idx="7">
                  <c:v>21.2</c:v>
                </c:pt>
                <c:pt idx="8">
                  <c:v>24.5</c:v>
                </c:pt>
                <c:pt idx="9">
                  <c:v>34.799999999999997</c:v>
                </c:pt>
                <c:pt idx="10">
                  <c:v>48.1</c:v>
                </c:pt>
                <c:pt idx="11">
                  <c:v>45.9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9-48C5-848F-E01DC70C98FE}"/>
            </c:ext>
          </c:extLst>
        </c:ser>
        <c:ser>
          <c:idx val="1"/>
          <c:order val="1"/>
          <c:tx>
            <c:strRef>
              <c:f>'Kaavio, kadut'!$B$13</c:f>
              <c:strCache>
                <c:ptCount val="1"/>
                <c:pt idx="0">
                  <c:v>PERUSPARANT. JA LIIK.JÄRJ.</c:v>
                </c:pt>
              </c:strCache>
            </c:strRef>
          </c:tx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i-FI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kadut'!$K$9:$V$9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kadut'!$K$13:$V$13</c:f>
              <c:numCache>
                <c:formatCode>#\ ##0.0</c:formatCode>
                <c:ptCount val="12"/>
                <c:pt idx="0">
                  <c:v>0</c:v>
                </c:pt>
                <c:pt idx="1">
                  <c:v>49.956000000000003</c:v>
                </c:pt>
                <c:pt idx="2">
                  <c:v>66.202769000000004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B9-48C5-848F-E01DC70C98FE}"/>
            </c:ext>
          </c:extLst>
        </c:ser>
        <c:ser>
          <c:idx val="2"/>
          <c:order val="2"/>
          <c:tx>
            <c:strRef>
              <c:f>'Kaavio, kadut'!$B$14</c:f>
              <c:strCache>
                <c:ptCount val="1"/>
                <c:pt idx="0">
                  <c:v>MUUT INVESTOINNIT</c:v>
                </c:pt>
              </c:strCache>
            </c:strRef>
          </c:tx>
          <c:spPr>
            <a:solidFill>
              <a:srgbClr val="F7964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i-FI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kadut'!$K$9:$V$9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kadut'!$K$14:$V$14</c:f>
              <c:numCache>
                <c:formatCode>#\ ##0.0</c:formatCode>
                <c:ptCount val="12"/>
                <c:pt idx="0">
                  <c:v>1.147</c:v>
                </c:pt>
                <c:pt idx="1">
                  <c:v>3.1739999999999999</c:v>
                </c:pt>
                <c:pt idx="2">
                  <c:v>3.2530640000000002</c:v>
                </c:pt>
                <c:pt idx="3">
                  <c:v>4</c:v>
                </c:pt>
                <c:pt idx="4">
                  <c:v>7.3</c:v>
                </c:pt>
                <c:pt idx="5">
                  <c:v>6.2</c:v>
                </c:pt>
                <c:pt idx="6">
                  <c:v>6.4</c:v>
                </c:pt>
                <c:pt idx="7">
                  <c:v>29.95</c:v>
                </c:pt>
                <c:pt idx="8">
                  <c:v>29.7</c:v>
                </c:pt>
                <c:pt idx="9">
                  <c:v>26</c:v>
                </c:pt>
                <c:pt idx="10">
                  <c:v>26</c:v>
                </c:pt>
                <c:pt idx="11">
                  <c:v>26.1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B9-48C5-848F-E01DC70C98FE}"/>
            </c:ext>
          </c:extLst>
        </c:ser>
        <c:ser>
          <c:idx val="3"/>
          <c:order val="3"/>
          <c:tx>
            <c:strRef>
              <c:f>'Kaavio, kadut'!$B$16</c:f>
              <c:strCache>
                <c:ptCount val="1"/>
                <c:pt idx="0">
                  <c:v>KAMPPI - TÖÖLÖNLAHTI</c:v>
                </c:pt>
              </c:strCache>
            </c:strRef>
          </c:tx>
          <c:spPr>
            <a:solidFill>
              <a:srgbClr val="4672A8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i-FI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kadut'!$K$9:$V$9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kadut'!$K$16:$V$16</c:f>
              <c:numCache>
                <c:formatCode>#\ ##0.0</c:formatCode>
                <c:ptCount val="12"/>
                <c:pt idx="0">
                  <c:v>4.83</c:v>
                </c:pt>
                <c:pt idx="1">
                  <c:v>2.617</c:v>
                </c:pt>
                <c:pt idx="2">
                  <c:v>0.188606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B9-48C5-848F-E01DC70C98FE}"/>
            </c:ext>
          </c:extLst>
        </c:ser>
        <c:ser>
          <c:idx val="4"/>
          <c:order val="4"/>
          <c:tx>
            <c:strRef>
              <c:f>'Kaavio, kadut'!$B$17</c:f>
              <c:strCache>
                <c:ptCount val="1"/>
                <c:pt idx="0">
                  <c:v>LÄNSISATAMA</c:v>
                </c:pt>
              </c:strCache>
            </c:strRef>
          </c:tx>
          <c:spPr>
            <a:solidFill>
              <a:srgbClr val="72599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i-FI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kadut'!$K$9:$V$9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kadut'!$K$17:$V$17</c:f>
              <c:numCache>
                <c:formatCode>#\ ##0.0</c:formatCode>
                <c:ptCount val="12"/>
                <c:pt idx="0">
                  <c:v>13.27</c:v>
                </c:pt>
                <c:pt idx="1">
                  <c:v>16.920000000000002</c:v>
                </c:pt>
                <c:pt idx="2">
                  <c:v>22.806918000000003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B9-48C5-848F-E01DC70C98FE}"/>
            </c:ext>
          </c:extLst>
        </c:ser>
        <c:ser>
          <c:idx val="5"/>
          <c:order val="5"/>
          <c:tx>
            <c:strRef>
              <c:f>'Kaavio, kadut'!$B$18</c:f>
              <c:strCache>
                <c:ptCount val="1"/>
                <c:pt idx="0">
                  <c:v>KALASATAMA</c:v>
                </c:pt>
              </c:strCache>
            </c:strRef>
          </c:tx>
          <c:spPr>
            <a:solidFill>
              <a:srgbClr val="4299B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i-FI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kadut'!$K$9:$V$9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kadut'!$K$18:$V$18</c:f>
              <c:numCache>
                <c:formatCode>#\ ##0.0</c:formatCode>
                <c:ptCount val="12"/>
                <c:pt idx="0">
                  <c:v>14.964</c:v>
                </c:pt>
                <c:pt idx="1">
                  <c:v>15.704000000000001</c:v>
                </c:pt>
                <c:pt idx="2">
                  <c:v>14.397551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B9-48C5-848F-E01DC70C98FE}"/>
            </c:ext>
          </c:extLst>
        </c:ser>
        <c:ser>
          <c:idx val="6"/>
          <c:order val="6"/>
          <c:tx>
            <c:strRef>
              <c:f>'Kaavio, kadut'!$B$19</c:f>
              <c:strCache>
                <c:ptCount val="1"/>
                <c:pt idx="0">
                  <c:v>KRUUNUVUORENRANTA</c:v>
                </c:pt>
              </c:strCache>
            </c:strRef>
          </c:tx>
          <c:spPr>
            <a:solidFill>
              <a:srgbClr val="93A9CE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i-FI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kadut'!$K$9:$V$9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kadut'!$K$19:$V$19</c:f>
              <c:numCache>
                <c:formatCode>#\ ##0.0</c:formatCode>
                <c:ptCount val="12"/>
                <c:pt idx="0">
                  <c:v>6.1619999999999999</c:v>
                </c:pt>
                <c:pt idx="1">
                  <c:v>2.91</c:v>
                </c:pt>
                <c:pt idx="2">
                  <c:v>7.8985510000000003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B9-48C5-848F-E01DC70C98FE}"/>
            </c:ext>
          </c:extLst>
        </c:ser>
        <c:ser>
          <c:idx val="7"/>
          <c:order val="7"/>
          <c:tx>
            <c:strRef>
              <c:f>'Kaavio, kadut'!$B$20</c:f>
              <c:strCache>
                <c:ptCount val="1"/>
                <c:pt idx="0">
                  <c:v>PASILA</c:v>
                </c:pt>
              </c:strCache>
            </c:strRef>
          </c:tx>
          <c:spPr>
            <a:solidFill>
              <a:srgbClr val="D0949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i-FI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kadut'!$K$9:$V$9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kadut'!$K$20:$V$20</c:f>
              <c:numCache>
                <c:formatCode>#\ ##0.0</c:formatCode>
                <c:ptCount val="12"/>
                <c:pt idx="0">
                  <c:v>33.095999999999997</c:v>
                </c:pt>
                <c:pt idx="1">
                  <c:v>34.896999999999998</c:v>
                </c:pt>
                <c:pt idx="2">
                  <c:v>18.964599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B9-48C5-848F-E01DC70C98FE}"/>
            </c:ext>
          </c:extLst>
        </c:ser>
        <c:ser>
          <c:idx val="8"/>
          <c:order val="8"/>
          <c:tx>
            <c:strRef>
              <c:f>'Kaavio, kadut'!$B$21</c:f>
              <c:strCache>
                <c:ptCount val="1"/>
                <c:pt idx="0">
                  <c:v>KUNINKAANKOLMIO</c:v>
                </c:pt>
              </c:strCache>
            </c:strRef>
          </c:tx>
          <c:spPr>
            <a:solidFill>
              <a:srgbClr val="B8CD97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i-FI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kadut'!$K$9:$V$9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kadut'!$K$21:$V$21</c:f>
              <c:numCache>
                <c:formatCode>#\ ##0.0</c:formatCode>
                <c:ptCount val="12"/>
                <c:pt idx="0">
                  <c:v>2.2269999999999999</c:v>
                </c:pt>
                <c:pt idx="1">
                  <c:v>5.9130000000000003</c:v>
                </c:pt>
                <c:pt idx="2">
                  <c:v>3.835464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B9-48C5-848F-E01DC70C98FE}"/>
            </c:ext>
          </c:extLst>
        </c:ser>
        <c:ser>
          <c:idx val="9"/>
          <c:order val="9"/>
          <c:tx>
            <c:strRef>
              <c:f>'Kaavio, kadut'!$B$22</c:f>
              <c:strCache>
                <c:ptCount val="1"/>
                <c:pt idx="0">
                  <c:v>KRUUNUSILLAT</c:v>
                </c:pt>
              </c:strCache>
            </c:strRef>
          </c:tx>
          <c:spPr>
            <a:solidFill>
              <a:srgbClr val="A99BB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i-FI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kadut'!$K$9:$V$9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kadut'!$K$22:$V$22</c:f>
              <c:numCache>
                <c:formatCode>#\ ##0.0</c:formatCode>
                <c:ptCount val="12"/>
                <c:pt idx="0">
                  <c:v>1.554</c:v>
                </c:pt>
                <c:pt idx="1">
                  <c:v>0.50800000000000001</c:v>
                </c:pt>
                <c:pt idx="2">
                  <c:v>2.472302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2B9-48C5-848F-E01DC70C98FE}"/>
            </c:ext>
          </c:extLst>
        </c:ser>
        <c:ser>
          <c:idx val="10"/>
          <c:order val="10"/>
          <c:tx>
            <c:strRef>
              <c:f>'Kaavio, kadut'!$B$23</c:f>
              <c:strCache>
                <c:ptCount val="1"/>
                <c:pt idx="0">
                  <c:v>UUDET PROJEKTIALUEET JA MUU TÄYD. RAK.</c:v>
                </c:pt>
              </c:strCache>
            </c:strRef>
          </c:tx>
          <c:spPr>
            <a:solidFill>
              <a:srgbClr val="92C3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i-FI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kadut'!$K$9:$V$9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kadut'!$K$23:$V$23</c:f>
              <c:numCache>
                <c:formatCode>#\ ##0.0</c:formatCode>
                <c:ptCount val="12"/>
                <c:pt idx="0">
                  <c:v>3.093</c:v>
                </c:pt>
                <c:pt idx="1">
                  <c:v>2.4359999999999999</c:v>
                </c:pt>
                <c:pt idx="2">
                  <c:v>0.35628199999999999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2B9-48C5-848F-E01DC70C98FE}"/>
            </c:ext>
          </c:extLst>
        </c:ser>
        <c:ser>
          <c:idx val="11"/>
          <c:order val="11"/>
          <c:tx>
            <c:strRef>
              <c:f>'Kaavio, kadut'!$B$24</c:f>
              <c:strCache>
                <c:ptCount val="1"/>
                <c:pt idx="0">
                  <c:v>VÄYLÄVIRASTO</c:v>
                </c:pt>
              </c:strCache>
            </c:strRef>
          </c:tx>
          <c:spPr>
            <a:solidFill>
              <a:srgbClr val="F8B59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i-FI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kadut'!$K$9:$V$9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kadut'!$K$24:$V$24</c:f>
              <c:numCache>
                <c:formatCode>#\ ##0.0</c:formatCode>
                <c:ptCount val="12"/>
                <c:pt idx="0">
                  <c:v>1.65</c:v>
                </c:pt>
                <c:pt idx="1">
                  <c:v>0.91900000000000004</c:v>
                </c:pt>
                <c:pt idx="2">
                  <c:v>0.87262400000000007</c:v>
                </c:pt>
                <c:pt idx="3">
                  <c:v>2.09</c:v>
                </c:pt>
                <c:pt idx="4">
                  <c:v>0.9</c:v>
                </c:pt>
                <c:pt idx="5">
                  <c:v>0.6</c:v>
                </c:pt>
                <c:pt idx="6">
                  <c:v>1.1000000000000001</c:v>
                </c:pt>
                <c:pt idx="7">
                  <c:v>7.8</c:v>
                </c:pt>
                <c:pt idx="8">
                  <c:v>21.7</c:v>
                </c:pt>
                <c:pt idx="9">
                  <c:v>12.9</c:v>
                </c:pt>
                <c:pt idx="10">
                  <c:v>8.5</c:v>
                </c:pt>
                <c:pt idx="11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2B9-48C5-848F-E01DC70C9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36162"/>
        <c:axId val="26713338"/>
      </c:barChart>
      <c:catAx>
        <c:axId val="4343616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500" b="1" strike="noStrike" spc="-1">
                <a:solidFill>
                  <a:srgbClr val="595959"/>
                </a:solidFill>
                <a:latin typeface="Calibri"/>
              </a:defRPr>
            </a:pPr>
            <a:endParaRPr lang="fi-FI"/>
          </a:p>
        </c:txPr>
        <c:crossAx val="26713338"/>
        <c:crosses val="autoZero"/>
        <c:auto val="1"/>
        <c:lblAlgn val="ctr"/>
        <c:lblOffset val="100"/>
        <c:noMultiLvlLbl val="0"/>
      </c:catAx>
      <c:valAx>
        <c:axId val="26713338"/>
        <c:scaling>
          <c:orientation val="minMax"/>
          <c:max val="20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fi-FI" sz="1800" b="1" strike="noStrike" spc="-1">
                    <a:solidFill>
                      <a:srgbClr val="595959"/>
                    </a:solidFill>
                    <a:latin typeface="Arial"/>
                  </a:defRPr>
                </a:pPr>
                <a:r>
                  <a:rPr lang="fi-FI" sz="1800" b="1" strike="noStrike" spc="-1">
                    <a:solidFill>
                      <a:srgbClr val="595959"/>
                    </a:solidFill>
                    <a:latin typeface="Arial"/>
                  </a:rPr>
                  <a:t>M€</a:t>
                </a:r>
              </a:p>
            </c:rich>
          </c:tx>
          <c:layout>
            <c:manualLayout>
              <c:xMode val="edge"/>
              <c:yMode val="edge"/>
              <c:x val="3.04343027426742E-2"/>
              <c:y val="9.7717794253938797E-2"/>
            </c:manualLayout>
          </c:layout>
          <c:overlay val="0"/>
          <c:spPr>
            <a:noFill/>
            <a:ln w="0">
              <a:noFill/>
            </a:ln>
          </c:spPr>
        </c:title>
        <c:numFmt formatCode="#\ ##0.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1500" b="1" strike="noStrike" spc="-1">
                <a:solidFill>
                  <a:srgbClr val="595959"/>
                </a:solidFill>
                <a:latin typeface="Arial"/>
              </a:defRPr>
            </a:pPr>
            <a:endParaRPr lang="fi-FI"/>
          </a:p>
        </c:txPr>
        <c:crossAx val="43436162"/>
        <c:crosses val="autoZero"/>
        <c:crossBetween val="between"/>
        <c:majorUnit val="20"/>
      </c:valAx>
      <c:spPr>
        <a:noFill/>
        <a:ln w="25560">
          <a:noFill/>
        </a:ln>
      </c:spPr>
    </c:plotArea>
    <c:legend>
      <c:legendPos val="b"/>
      <c:layout>
        <c:manualLayout>
          <c:xMode val="edge"/>
          <c:yMode val="edge"/>
          <c:x val="0.11677082479100701"/>
          <c:y val="0.71911763929483596"/>
          <c:w val="0.65992431416849795"/>
          <c:h val="0.2632259810794270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1800" b="0" strike="noStrike" spc="-1">
              <a:solidFill>
                <a:srgbClr val="000000"/>
              </a:solidFill>
              <a:latin typeface="Calibri"/>
            </a:defRPr>
          </a:pPr>
          <a:endParaRPr lang="fi-FI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3809523809523801E-2"/>
          <c:y val="0.114525139664804"/>
          <c:w val="0.88095238095238104"/>
          <c:h val="0.735335195530726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i-FI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'Kaavio, kadut'!$I$8:$T$8</c:f>
              <c:strCache>
                <c:ptCount val="12"/>
                <c:pt idx="0">
                  <c:v>TP</c:v>
                </c:pt>
                <c:pt idx="1">
                  <c:v>TP</c:v>
                </c:pt>
                <c:pt idx="2">
                  <c:v>TP</c:v>
                </c:pt>
                <c:pt idx="3">
                  <c:v>TP</c:v>
                </c:pt>
                <c:pt idx="4">
                  <c:v>TA</c:v>
                </c:pt>
                <c:pt idx="5">
                  <c:v>TAE</c:v>
                </c:pt>
                <c:pt idx="6">
                  <c:v>TSE</c:v>
                </c:pt>
                <c:pt idx="7">
                  <c:v>TSE</c:v>
                </c:pt>
                <c:pt idx="8">
                  <c:v>Alustava</c:v>
                </c:pt>
                <c:pt idx="9">
                  <c:v>Alustava</c:v>
                </c:pt>
                <c:pt idx="10">
                  <c:v>Alustava</c:v>
                </c:pt>
                <c:pt idx="11">
                  <c:v>Alustava</c:v>
                </c:pt>
              </c:strCache>
            </c:strRef>
          </c:cat>
          <c:val>
            <c:numRef>
              <c:f>'Kaavio, kadut'!$I$10:$T$10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5-43BD-9F9F-8BD897FE1DE7}"/>
            </c:ext>
          </c:extLst>
        </c:ser>
        <c:ser>
          <c:idx val="1"/>
          <c:order val="1"/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i-FI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'Kaavio, kadut'!$I$8:$T$8</c:f>
              <c:strCache>
                <c:ptCount val="12"/>
                <c:pt idx="0">
                  <c:v>TP</c:v>
                </c:pt>
                <c:pt idx="1">
                  <c:v>TP</c:v>
                </c:pt>
                <c:pt idx="2">
                  <c:v>TP</c:v>
                </c:pt>
                <c:pt idx="3">
                  <c:v>TP</c:v>
                </c:pt>
                <c:pt idx="4">
                  <c:v>TA</c:v>
                </c:pt>
                <c:pt idx="5">
                  <c:v>TAE</c:v>
                </c:pt>
                <c:pt idx="6">
                  <c:v>TSE</c:v>
                </c:pt>
                <c:pt idx="7">
                  <c:v>TSE</c:v>
                </c:pt>
                <c:pt idx="8">
                  <c:v>Alustava</c:v>
                </c:pt>
                <c:pt idx="9">
                  <c:v>Alustava</c:v>
                </c:pt>
                <c:pt idx="10">
                  <c:v>Alustava</c:v>
                </c:pt>
                <c:pt idx="11">
                  <c:v>Alustava</c:v>
                </c:pt>
              </c:strCache>
            </c:strRef>
          </c:cat>
          <c:val>
            <c:numRef>
              <c:f>'Kaavio, kadut'!$I$11:$T$11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6EA5-43BD-9F9F-8BD897FE1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060820"/>
        <c:axId val="28578320"/>
      </c:barChart>
      <c:catAx>
        <c:axId val="450608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578320"/>
        <c:crosses val="autoZero"/>
        <c:auto val="1"/>
        <c:lblAlgn val="ctr"/>
        <c:lblOffset val="100"/>
        <c:noMultiLvlLbl val="0"/>
      </c:catAx>
      <c:valAx>
        <c:axId val="28578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060820"/>
        <c:crosses val="autoZero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c:style val="2"/>
  <c:chart>
    <c:title>
      <c:tx>
        <c:rich>
          <a:bodyPr rot="0"/>
          <a:lstStyle/>
          <a:p>
            <a:pPr>
              <a:defRPr lang="en-US" sz="2800" b="1" u="sng" strike="noStrike" spc="-1">
                <a:solidFill>
                  <a:srgbClr val="595959"/>
                </a:solidFill>
                <a:uFillTx/>
                <a:latin typeface="Calibri"/>
              </a:defRPr>
            </a:pPr>
            <a:r>
              <a:rPr lang="en-US" sz="2800" b="1" u="sng" strike="noStrike" spc="-1">
                <a:solidFill>
                  <a:srgbClr val="595959"/>
                </a:solidFill>
                <a:uFillTx/>
                <a:latin typeface="Calibri"/>
              </a:rPr>
              <a:t>KATU- JA LIIKENNEVÄYLÄINVESTOINNIT 2019-2029
TA 2020 lisäksi ylitysoikeutta 4,0 M€</a:t>
            </a:r>
          </a:p>
        </c:rich>
      </c:tx>
      <c:layout>
        <c:manualLayout>
          <c:xMode val="edge"/>
          <c:yMode val="edge"/>
          <c:x val="0.12568828609517199"/>
          <c:y val="1.0040514356174E-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2472613458529E-2"/>
          <c:y val="0.163686806411837"/>
          <c:w val="0.88138294789311999"/>
          <c:h val="0.575920380482649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'Kaavio, kadut'!$B$12</c:f>
              <c:strCache>
                <c:ptCount val="1"/>
                <c:pt idx="0">
                  <c:v>UUDISRAKENTAMINEN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i-FI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kadut'!$K$9:$V$9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kadut'!$K$12:$V$12</c:f>
              <c:numCache>
                <c:formatCode>#\ ##0.0</c:formatCode>
                <c:ptCount val="12"/>
                <c:pt idx="0">
                  <c:v>16.09</c:v>
                </c:pt>
                <c:pt idx="1">
                  <c:v>22.765000000000001</c:v>
                </c:pt>
                <c:pt idx="2">
                  <c:v>31.799675999999998</c:v>
                </c:pt>
                <c:pt idx="3">
                  <c:v>20.100000000000001</c:v>
                </c:pt>
                <c:pt idx="4">
                  <c:v>16.3</c:v>
                </c:pt>
                <c:pt idx="5">
                  <c:v>20.6</c:v>
                </c:pt>
                <c:pt idx="6">
                  <c:v>25.4</c:v>
                </c:pt>
                <c:pt idx="7">
                  <c:v>21.2</c:v>
                </c:pt>
                <c:pt idx="8">
                  <c:v>24.5</c:v>
                </c:pt>
                <c:pt idx="9">
                  <c:v>34.799999999999997</c:v>
                </c:pt>
                <c:pt idx="10">
                  <c:v>48.1</c:v>
                </c:pt>
                <c:pt idx="11">
                  <c:v>45.9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0-4DB6-9C4D-88BC461BF364}"/>
            </c:ext>
          </c:extLst>
        </c:ser>
        <c:ser>
          <c:idx val="1"/>
          <c:order val="1"/>
          <c:tx>
            <c:strRef>
              <c:f>'Kaavio, kadut'!$B$13</c:f>
              <c:strCache>
                <c:ptCount val="1"/>
                <c:pt idx="0">
                  <c:v>PERUSPARANT. JA LIIK.JÄRJ.</c:v>
                </c:pt>
              </c:strCache>
            </c:strRef>
          </c:tx>
          <c:spPr>
            <a:solidFill>
              <a:srgbClr val="FF000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i-FI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kadut'!$K$9:$V$9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kadut'!$K$13:$V$13</c:f>
              <c:numCache>
                <c:formatCode>#\ ##0.0</c:formatCode>
                <c:ptCount val="12"/>
                <c:pt idx="0">
                  <c:v>0</c:v>
                </c:pt>
                <c:pt idx="1">
                  <c:v>49.956000000000003</c:v>
                </c:pt>
                <c:pt idx="2">
                  <c:v>66.202769000000004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E0-4DB6-9C4D-88BC461BF364}"/>
            </c:ext>
          </c:extLst>
        </c:ser>
        <c:ser>
          <c:idx val="2"/>
          <c:order val="2"/>
          <c:tx>
            <c:strRef>
              <c:f>'Kaavio, kadut'!$B$14</c:f>
              <c:strCache>
                <c:ptCount val="1"/>
                <c:pt idx="0">
                  <c:v>MUUT INVESTOINNIT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i-FI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kadut'!$K$9:$V$9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kadut'!$K$14:$V$14</c:f>
              <c:numCache>
                <c:formatCode>#\ ##0.0</c:formatCode>
                <c:ptCount val="12"/>
                <c:pt idx="0">
                  <c:v>1.147</c:v>
                </c:pt>
                <c:pt idx="1">
                  <c:v>3.1739999999999999</c:v>
                </c:pt>
                <c:pt idx="2">
                  <c:v>3.2530640000000002</c:v>
                </c:pt>
                <c:pt idx="3">
                  <c:v>4</c:v>
                </c:pt>
                <c:pt idx="4">
                  <c:v>7.3</c:v>
                </c:pt>
                <c:pt idx="5">
                  <c:v>6.2</c:v>
                </c:pt>
                <c:pt idx="6">
                  <c:v>6.4</c:v>
                </c:pt>
                <c:pt idx="7">
                  <c:v>29.95</c:v>
                </c:pt>
                <c:pt idx="8">
                  <c:v>29.7</c:v>
                </c:pt>
                <c:pt idx="9">
                  <c:v>26</c:v>
                </c:pt>
                <c:pt idx="10">
                  <c:v>26</c:v>
                </c:pt>
                <c:pt idx="11">
                  <c:v>26.1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E0-4DB6-9C4D-88BC461BF364}"/>
            </c:ext>
          </c:extLst>
        </c:ser>
        <c:ser>
          <c:idx val="3"/>
          <c:order val="3"/>
          <c:tx>
            <c:strRef>
              <c:f>'Kaavio, kadut'!$B$15:$F$15</c:f>
              <c:strCache>
                <c:ptCount val="5"/>
                <c:pt idx="0">
                  <c:v>PROJEKTIALUEET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i-FI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kadut'!$K$9:$V$9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kadut'!$K$15:$V$15</c:f>
              <c:numCache>
                <c:formatCode>#\ ##0.0</c:formatCode>
                <c:ptCount val="12"/>
                <c:pt idx="0">
                  <c:v>79.195999999999998</c:v>
                </c:pt>
                <c:pt idx="1">
                  <c:v>81.905000000000001</c:v>
                </c:pt>
                <c:pt idx="2">
                  <c:v>71.084733999999983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E0-4DB6-9C4D-88BC461BF364}"/>
            </c:ext>
          </c:extLst>
        </c:ser>
        <c:ser>
          <c:idx val="4"/>
          <c:order val="4"/>
          <c:tx>
            <c:strRef>
              <c:f>'Kaavio, kadut'!$B$24</c:f>
              <c:strCache>
                <c:ptCount val="1"/>
                <c:pt idx="0">
                  <c:v>VÄYLÄVIRASTO</c:v>
                </c:pt>
              </c:strCache>
            </c:strRef>
          </c:tx>
          <c:spPr>
            <a:solidFill>
              <a:srgbClr val="92D05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i-FI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kadut'!$K$9:$V$9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kadut'!$K$24:$V$24</c:f>
              <c:numCache>
                <c:formatCode>#\ ##0.0</c:formatCode>
                <c:ptCount val="12"/>
                <c:pt idx="0">
                  <c:v>1.65</c:v>
                </c:pt>
                <c:pt idx="1">
                  <c:v>0.91900000000000004</c:v>
                </c:pt>
                <c:pt idx="2">
                  <c:v>0.87262400000000007</c:v>
                </c:pt>
                <c:pt idx="3">
                  <c:v>2.09</c:v>
                </c:pt>
                <c:pt idx="4">
                  <c:v>0.9</c:v>
                </c:pt>
                <c:pt idx="5">
                  <c:v>0.6</c:v>
                </c:pt>
                <c:pt idx="6">
                  <c:v>1.1000000000000001</c:v>
                </c:pt>
                <c:pt idx="7">
                  <c:v>7.8</c:v>
                </c:pt>
                <c:pt idx="8">
                  <c:v>21.7</c:v>
                </c:pt>
                <c:pt idx="9">
                  <c:v>12.9</c:v>
                </c:pt>
                <c:pt idx="10">
                  <c:v>8.5</c:v>
                </c:pt>
                <c:pt idx="11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E0-4DB6-9C4D-88BC461BF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671"/>
        <c:axId val="52299732"/>
      </c:barChart>
      <c:catAx>
        <c:axId val="19367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900" b="1" strike="noStrike" spc="-1">
                <a:solidFill>
                  <a:srgbClr val="595959"/>
                </a:solidFill>
                <a:latin typeface="Calibri"/>
              </a:defRPr>
            </a:pPr>
            <a:endParaRPr lang="fi-FI"/>
          </a:p>
        </c:txPr>
        <c:crossAx val="52299732"/>
        <c:crosses val="autoZero"/>
        <c:auto val="1"/>
        <c:lblAlgn val="ctr"/>
        <c:lblOffset val="100"/>
        <c:noMultiLvlLbl val="0"/>
      </c:catAx>
      <c:valAx>
        <c:axId val="52299732"/>
        <c:scaling>
          <c:orientation val="minMax"/>
          <c:max val="2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\ ##0.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1900" b="1" strike="noStrike" spc="-1">
                <a:solidFill>
                  <a:srgbClr val="595959"/>
                </a:solidFill>
                <a:latin typeface="Calibri"/>
              </a:defRPr>
            </a:pPr>
            <a:endParaRPr lang="fi-FI"/>
          </a:p>
        </c:txPr>
        <c:crossAx val="193671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5.1361625835314499E-2"/>
          <c:y val="0.83435897962885097"/>
          <c:w val="0.90266423786578898"/>
          <c:h val="8.3222830115318502E-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1900" b="1" strike="noStrike" spc="-1">
              <a:solidFill>
                <a:srgbClr val="595959"/>
              </a:solidFill>
              <a:latin typeface="Calibri"/>
            </a:defRPr>
          </a:pPr>
          <a:endParaRPr lang="fi-FI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c:style val="2"/>
  <c:chart>
    <c:title>
      <c:tx>
        <c:rich>
          <a:bodyPr rot="0"/>
          <a:lstStyle/>
          <a:p>
            <a:pPr>
              <a:defRPr lang="fi-FI" sz="2400" b="1" u="sng" strike="noStrike" spc="-1">
                <a:solidFill>
                  <a:srgbClr val="595959"/>
                </a:solidFill>
                <a:uFillTx/>
                <a:latin typeface="Calibri"/>
              </a:defRPr>
            </a:pPr>
            <a:r>
              <a:rPr lang="fi-FI" sz="2400" b="1" u="sng" strike="noStrike" spc="-1">
                <a:solidFill>
                  <a:srgbClr val="595959"/>
                </a:solidFill>
                <a:uFillTx/>
                <a:latin typeface="Calibri"/>
              </a:rPr>
              <a:t>KATU- JA LIIKENNEVÄYLÄINVESTOINNIT 2018-2029 /
SITOVAT ALAKOHDAT
TA 2020 lisäksi ylitysoikeutta 4,0 M€</a:t>
            </a:r>
          </a:p>
        </c:rich>
      </c:tx>
      <c:layout>
        <c:manualLayout>
          <c:xMode val="edge"/>
          <c:yMode val="edge"/>
          <c:x val="0.12663198193776401"/>
          <c:y val="1.09022862256936E-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900984915415101E-2"/>
          <c:y val="0.20596371328614399"/>
          <c:w val="0.90880534013939296"/>
          <c:h val="0.559555772516476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'Sitovat alakohdat, kadut'!$B$12</c:f>
              <c:strCache>
                <c:ptCount val="1"/>
                <c:pt idx="0">
                  <c:v>UUDISRAKENTAMINEN+PERUSPARANTAMINEN+MUUT INVESTOINNIT / Kylkn käyttöön</c:v>
                </c:pt>
              </c:strCache>
            </c:strRef>
          </c:tx>
          <c:spPr>
            <a:solidFill>
              <a:srgbClr val="0070C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i-FI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'Sitovat alakohdat, kadut'!$K$9:$V$9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</c:numCache>
            </c:numRef>
          </c:cat>
          <c:val>
            <c:numRef>
              <c:f>'Sitovat alakohdat, kadut'!$K$12:$V$12</c:f>
              <c:numCache>
                <c:formatCode>#\ ##0.0</c:formatCode>
                <c:ptCount val="12"/>
                <c:pt idx="0">
                  <c:v>0</c:v>
                </c:pt>
                <c:pt idx="1">
                  <c:v>75.894999999999996</c:v>
                </c:pt>
                <c:pt idx="2">
                  <c:v>101.255509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1-4A6B-9C33-6AC9E9DA3E74}"/>
            </c:ext>
          </c:extLst>
        </c:ser>
        <c:ser>
          <c:idx val="1"/>
          <c:order val="1"/>
          <c:tx>
            <c:strRef>
              <c:f>'Sitovat alakohdat, kadut'!$B$16</c:f>
              <c:strCache>
                <c:ptCount val="1"/>
                <c:pt idx="0">
                  <c:v>PROJEKTIALUEET / Khn käyttöön</c:v>
                </c:pt>
              </c:strCache>
            </c:strRef>
          </c:tx>
          <c:spPr>
            <a:solidFill>
              <a:srgbClr val="FF000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i-FI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'Sitovat alakohdat, kadut'!$K$9:$V$9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</c:numCache>
            </c:numRef>
          </c:cat>
          <c:val>
            <c:numRef>
              <c:f>'Sitovat alakohdat, kadut'!$K$16:$V$16</c:f>
              <c:numCache>
                <c:formatCode>#\ ##0.0</c:formatCode>
                <c:ptCount val="12"/>
                <c:pt idx="0">
                  <c:v>79.195999999999998</c:v>
                </c:pt>
                <c:pt idx="1">
                  <c:v>81.905000000000001</c:v>
                </c:pt>
                <c:pt idx="2">
                  <c:v>71.084733999999983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1-4A6B-9C33-6AC9E9DA3E74}"/>
            </c:ext>
          </c:extLst>
        </c:ser>
        <c:ser>
          <c:idx val="2"/>
          <c:order val="2"/>
          <c:tx>
            <c:strRef>
              <c:f>'Sitovat alakohdat, kadut'!$B$25</c:f>
              <c:strCache>
                <c:ptCount val="1"/>
                <c:pt idx="0">
                  <c:v>VÄYLÄVIRASTO / Khn käyttöön</c:v>
                </c:pt>
              </c:strCache>
            </c:strRef>
          </c:tx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i-FI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'Sitovat alakohdat, kadut'!$K$9:$V$9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</c:numCache>
            </c:numRef>
          </c:cat>
          <c:val>
            <c:numRef>
              <c:f>'Sitovat alakohdat, kadut'!$K$25:$V$25</c:f>
              <c:numCache>
                <c:formatCode>#\ ##0.0</c:formatCode>
                <c:ptCount val="12"/>
                <c:pt idx="0">
                  <c:v>1.65</c:v>
                </c:pt>
                <c:pt idx="1">
                  <c:v>0.91900000000000004</c:v>
                </c:pt>
                <c:pt idx="2">
                  <c:v>0.87262400000000007</c:v>
                </c:pt>
                <c:pt idx="3">
                  <c:v>2.09</c:v>
                </c:pt>
                <c:pt idx="4">
                  <c:v>0.9</c:v>
                </c:pt>
                <c:pt idx="5">
                  <c:v>0.6</c:v>
                </c:pt>
                <c:pt idx="6">
                  <c:v>1.1000000000000001</c:v>
                </c:pt>
                <c:pt idx="7">
                  <c:v>7.8</c:v>
                </c:pt>
                <c:pt idx="8">
                  <c:v>21.7</c:v>
                </c:pt>
                <c:pt idx="9">
                  <c:v>12.9</c:v>
                </c:pt>
                <c:pt idx="10">
                  <c:v>8.5</c:v>
                </c:pt>
                <c:pt idx="11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61-4A6B-9C33-6AC9E9DA3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705573"/>
        <c:axId val="48504828"/>
      </c:barChart>
      <c:catAx>
        <c:axId val="8970557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800" b="1" strike="noStrike" spc="-1">
                <a:solidFill>
                  <a:srgbClr val="595959"/>
                </a:solidFill>
                <a:latin typeface="Calibri"/>
              </a:defRPr>
            </a:pPr>
            <a:endParaRPr lang="fi-FI"/>
          </a:p>
        </c:txPr>
        <c:crossAx val="48504828"/>
        <c:crosses val="autoZero"/>
        <c:auto val="1"/>
        <c:lblAlgn val="ctr"/>
        <c:lblOffset val="100"/>
        <c:noMultiLvlLbl val="0"/>
      </c:catAx>
      <c:valAx>
        <c:axId val="48504828"/>
        <c:scaling>
          <c:orientation val="minMax"/>
          <c:max val="2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\ ##0.0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1600" b="1" strike="noStrike" spc="-1">
                <a:solidFill>
                  <a:srgbClr val="595959"/>
                </a:solidFill>
                <a:latin typeface="Calibri"/>
              </a:defRPr>
            </a:pPr>
            <a:endParaRPr lang="fi-FI"/>
          </a:p>
        </c:txPr>
        <c:crossAx val="8970557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1.30422534711496E-2"/>
          <c:y val="0.84289973891940995"/>
          <c:w val="0.95316153410492099"/>
          <c:h val="0.145095144356955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1779" b="1" strike="noStrike" spc="-1">
              <a:solidFill>
                <a:srgbClr val="595959"/>
              </a:solidFill>
              <a:latin typeface="Calibri"/>
            </a:defRPr>
          </a:pPr>
          <a:endParaRPr lang="fi-FI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c:style val="2"/>
  <c:chart>
    <c:title>
      <c:tx>
        <c:rich>
          <a:bodyPr rot="0"/>
          <a:lstStyle/>
          <a:p>
            <a:pPr>
              <a:defRPr lang="en-US" sz="2400" b="1" u="sng" strike="noStrike" spc="-1">
                <a:solidFill>
                  <a:srgbClr val="000000"/>
                </a:solidFill>
                <a:uFillTx/>
                <a:latin typeface="Calibri"/>
              </a:defRPr>
            </a:pPr>
            <a:r>
              <a:rPr lang="en-US" sz="2400" b="1" u="sng" strike="noStrike" spc="-1">
                <a:solidFill>
                  <a:srgbClr val="000000"/>
                </a:solidFill>
                <a:uFillTx/>
                <a:latin typeface="Calibri"/>
              </a:rPr>
              <a:t>PUISTO- JA LIIKUNTA-ALUEINVESTOINNIT 2018-2029
TA 2019 lisäksi ylitysoikeutta 1,9 M€</a:t>
            </a:r>
          </a:p>
        </c:rich>
      </c:tx>
      <c:layout>
        <c:manualLayout>
          <c:xMode val="edge"/>
          <c:yMode val="edge"/>
          <c:x val="0.20849879509893801"/>
          <c:y val="5.1477020388937499E-3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26385636221701"/>
          <c:y val="0.15150393647803001"/>
          <c:w val="0.86162305264229699"/>
          <c:h val="0.63942534149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'Sitovat alakohdat, puistot'!$B$13</c:f>
              <c:strCache>
                <c:ptCount val="1"/>
                <c:pt idx="0">
                  <c:v>UUDET PUISTOT JA PUISTOJEN PERUSKORJAUS/Kylkn käyttöön</c:v>
                </c:pt>
              </c:strCache>
            </c:strRef>
          </c:tx>
          <c:spPr>
            <a:solidFill>
              <a:srgbClr val="FF000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i-FI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'Sitovat alakohdat, puistot'!$K$9:$V$9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'Sitovat alakohdat, puistot'!$K$13:$V$13</c:f>
              <c:numCache>
                <c:formatCode>#\ ##0.0</c:formatCode>
                <c:ptCount val="12"/>
                <c:pt idx="0">
                  <c:v>6.5170000000000003</c:v>
                </c:pt>
                <c:pt idx="1">
                  <c:v>0.192</c:v>
                </c:pt>
                <c:pt idx="2">
                  <c:v>18.888017000000001</c:v>
                </c:pt>
                <c:pt idx="3">
                  <c:v>14.4</c:v>
                </c:pt>
                <c:pt idx="4">
                  <c:v>6.2</c:v>
                </c:pt>
                <c:pt idx="5">
                  <c:v>13</c:v>
                </c:pt>
                <c:pt idx="6">
                  <c:v>13</c:v>
                </c:pt>
                <c:pt idx="7">
                  <c:v>12.4</c:v>
                </c:pt>
                <c:pt idx="8">
                  <c:v>9.8000000000000007</c:v>
                </c:pt>
                <c:pt idx="9">
                  <c:v>16.8</c:v>
                </c:pt>
                <c:pt idx="10">
                  <c:v>39.6</c:v>
                </c:pt>
                <c:pt idx="11">
                  <c:v>41.2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7-4DDF-AC32-D503C508A9A7}"/>
            </c:ext>
          </c:extLst>
        </c:ser>
        <c:ser>
          <c:idx val="1"/>
          <c:order val="1"/>
          <c:tx>
            <c:strRef>
              <c:f>'Sitovat alakohdat, puistot'!$B$14</c:f>
              <c:strCache>
                <c:ptCount val="1"/>
                <c:pt idx="0">
                  <c:v>LIIKUNTAPAIKAT JA ULKOILUALUEET/Kylkn käyttöön</c:v>
                </c:pt>
              </c:strCache>
            </c:strRef>
          </c:tx>
          <c:spPr>
            <a:solidFill>
              <a:srgbClr val="0070C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i-FI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'Sitovat alakohdat, puistot'!$K$9:$V$9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'Sitovat alakohdat, puistot'!$K$14:$V$14</c:f>
              <c:numCache>
                <c:formatCode>#\ ##0.0</c:formatCode>
                <c:ptCount val="12"/>
                <c:pt idx="0">
                  <c:v>7.024</c:v>
                </c:pt>
                <c:pt idx="1">
                  <c:v>11.428000000000001</c:v>
                </c:pt>
                <c:pt idx="2">
                  <c:v>9.6592700000000011</c:v>
                </c:pt>
                <c:pt idx="3">
                  <c:v>17.5</c:v>
                </c:pt>
                <c:pt idx="4">
                  <c:v>14.6</c:v>
                </c:pt>
                <c:pt idx="5">
                  <c:v>9.8000000000000007</c:v>
                </c:pt>
                <c:pt idx="6">
                  <c:v>8.8000000000000007</c:v>
                </c:pt>
                <c:pt idx="7">
                  <c:v>9</c:v>
                </c:pt>
                <c:pt idx="8">
                  <c:v>9.3000000000000007</c:v>
                </c:pt>
                <c:pt idx="9">
                  <c:v>7.6</c:v>
                </c:pt>
                <c:pt idx="10">
                  <c:v>5</c:v>
                </c:pt>
                <c:pt idx="11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7-4DDF-AC32-D503C508A9A7}"/>
            </c:ext>
          </c:extLst>
        </c:ser>
        <c:ser>
          <c:idx val="2"/>
          <c:order val="2"/>
          <c:tx>
            <c:strRef>
              <c:f>'Sitovat alakohdat, puistot'!$B$15</c:f>
              <c:strCache>
                <c:ptCount val="1"/>
                <c:pt idx="0">
                  <c:v>PROJEKTIALUEIDEN PUISTOT JA LIIKUNTA-ALUEET/Khn käyttöön</c:v>
                </c:pt>
              </c:strCache>
            </c:strRef>
          </c:tx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i-FI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'Sitovat alakohdat, puistot'!$K$9:$V$9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'Sitovat alakohdat, puistot'!$K$15:$V$15</c:f>
              <c:numCache>
                <c:formatCode>#\ ##0.0</c:formatCode>
                <c:ptCount val="12"/>
                <c:pt idx="0">
                  <c:v>9.6950000000000003</c:v>
                </c:pt>
                <c:pt idx="1">
                  <c:v>11.458</c:v>
                </c:pt>
                <c:pt idx="2">
                  <c:v>8.8566890000000011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77-4DDF-AC32-D503C508A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450015"/>
        <c:axId val="63714978"/>
      </c:barChart>
      <c:catAx>
        <c:axId val="45001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endParaRPr lang="fi-FI"/>
          </a:p>
        </c:txPr>
        <c:crossAx val="63714978"/>
        <c:crosses val="autoZero"/>
        <c:auto val="1"/>
        <c:lblAlgn val="ctr"/>
        <c:lblOffset val="100"/>
        <c:noMultiLvlLbl val="0"/>
      </c:catAx>
      <c:valAx>
        <c:axId val="6371497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4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latin typeface="Calibri"/>
                  </a:rPr>
                  <a:t>Milj. euroa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\ ##0.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1600" b="1" strike="noStrike" spc="-1">
                <a:solidFill>
                  <a:srgbClr val="000000"/>
                </a:solidFill>
                <a:latin typeface="Calibri"/>
              </a:defRPr>
            </a:pPr>
            <a:endParaRPr lang="fi-FI"/>
          </a:p>
        </c:txPr>
        <c:crossAx val="450015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18777810168707501"/>
          <c:y val="0.846784525685087"/>
          <c:w val="0.63677903908092703"/>
          <c:h val="0.13016821015088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1800" b="1" strike="noStrike" spc="-1">
              <a:solidFill>
                <a:srgbClr val="000000"/>
              </a:solidFill>
              <a:latin typeface="Calibri"/>
            </a:defRPr>
          </a:pPr>
          <a:endParaRPr lang="fi-FI"/>
        </a:p>
      </c:txPr>
    </c:legend>
    <c:plotVisOnly val="1"/>
    <c:dispBlanksAs val="gap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c:style val="2"/>
  <c:chart>
    <c:title>
      <c:tx>
        <c:rich>
          <a:bodyPr rot="0"/>
          <a:lstStyle/>
          <a:p>
            <a:pPr>
              <a:defRPr lang="fi-FI" sz="24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lang="fi-FI" sz="2400" b="1" strike="noStrike" spc="-1">
                <a:solidFill>
                  <a:srgbClr val="000000"/>
                </a:solidFill>
                <a:latin typeface="Arial"/>
                <a:ea typeface="Arial"/>
              </a:rPr>
              <a:t>KATU-, LIIKENNEVÄYLÄ-,PUISTO- JA LIIKUNTA-ALUEINVESTOINNIT 2018 - 2029
        			TA  2019 lisäksi ylitysoikeutta 20,48M€
</a:t>
            </a:r>
          </a:p>
        </c:rich>
      </c:tx>
      <c:layout>
        <c:manualLayout>
          <c:xMode val="edge"/>
          <c:yMode val="edge"/>
          <c:x val="0.112298166808304"/>
          <c:y val="2.9792396872472399E-2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5777588928"/>
          <c:y val="0.19466163386357499"/>
          <c:w val="0.73130387276921205"/>
          <c:h val="0.619708816392559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'Kaavio, yht.'!$B$13</c:f>
              <c:strCache>
                <c:ptCount val="1"/>
                <c:pt idx="0">
                  <c:v>KADUT JA LIIKENNEVÄYLÄT </c:v>
                </c:pt>
              </c:strCache>
            </c:strRef>
          </c:tx>
          <c:spPr>
            <a:solidFill>
              <a:srgbClr val="4F81BD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625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fi-FI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yht.'!$H$9:$S$9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yht.'!$H$13:$S$13</c:f>
              <c:numCache>
                <c:formatCode>#\ ##0.0</c:formatCode>
                <c:ptCount val="12"/>
                <c:pt idx="0">
                  <c:v>0</c:v>
                </c:pt>
                <c:pt idx="1">
                  <c:v>158.71899999999999</c:v>
                </c:pt>
                <c:pt idx="2">
                  <c:v>173.21286699999999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5-4370-8D39-3E20C2622B86}"/>
            </c:ext>
          </c:extLst>
        </c:ser>
        <c:ser>
          <c:idx val="1"/>
          <c:order val="1"/>
          <c:tx>
            <c:strRef>
              <c:f>'Kaavio, yht.'!$B$14</c:f>
              <c:strCache>
                <c:ptCount val="1"/>
                <c:pt idx="0">
                  <c:v>PUISTOT JA LIIKUNTA-ALUEET</c:v>
                </c:pt>
              </c:strCache>
            </c:strRef>
          </c:tx>
          <c:spPr>
            <a:solidFill>
              <a:srgbClr val="99CC00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625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fi-FI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yht.'!$H$9:$S$9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yht.'!$H$14:$S$14</c:f>
              <c:numCache>
                <c:formatCode>#\ ##0.0</c:formatCode>
                <c:ptCount val="12"/>
                <c:pt idx="0">
                  <c:v>23.235591509999999</c:v>
                </c:pt>
                <c:pt idx="1">
                  <c:v>23.077999999999999</c:v>
                </c:pt>
                <c:pt idx="2">
                  <c:v>37.403515239999997</c:v>
                </c:pt>
                <c:pt idx="3">
                  <c:v>32.700000000000003</c:v>
                </c:pt>
                <c:pt idx="4">
                  <c:v>20.8</c:v>
                </c:pt>
                <c:pt idx="5">
                  <c:v>22.8</c:v>
                </c:pt>
                <c:pt idx="6">
                  <c:v>21.8</c:v>
                </c:pt>
                <c:pt idx="7">
                  <c:v>21.4</c:v>
                </c:pt>
                <c:pt idx="8">
                  <c:v>19.100000000000001</c:v>
                </c:pt>
                <c:pt idx="9">
                  <c:v>24.4</c:v>
                </c:pt>
                <c:pt idx="10">
                  <c:v>44.6</c:v>
                </c:pt>
                <c:pt idx="11">
                  <c:v>49.3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C5-4370-8D39-3E20C2622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202960"/>
        <c:axId val="65633074"/>
      </c:barChart>
      <c:catAx>
        <c:axId val="8620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6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fi-FI"/>
          </a:p>
        </c:txPr>
        <c:crossAx val="65633074"/>
        <c:crosses val="autoZero"/>
        <c:auto val="1"/>
        <c:lblAlgn val="ctr"/>
        <c:lblOffset val="100"/>
        <c:noMultiLvlLbl val="0"/>
      </c:catAx>
      <c:valAx>
        <c:axId val="65633074"/>
        <c:scaling>
          <c:orientation val="minMax"/>
          <c:max val="240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fi-FI" sz="1600" b="1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lang="fi-FI" sz="1600" b="1" strike="noStrike" spc="-1">
                    <a:solidFill>
                      <a:srgbClr val="000000"/>
                    </a:solidFill>
                    <a:latin typeface="Arial"/>
                    <a:ea typeface="Arial"/>
                  </a:rPr>
                  <a:t>M€</a:t>
                </a:r>
              </a:p>
            </c:rich>
          </c:tx>
          <c:layout>
            <c:manualLayout>
              <c:xMode val="edge"/>
              <c:yMode val="edge"/>
              <c:x val="0.12410464975112299"/>
              <c:y val="0.14078367933854599"/>
            </c:manualLayout>
          </c:layout>
          <c:overlay val="0"/>
          <c:spPr>
            <a:noFill/>
            <a:ln w="25560">
              <a:noFill/>
            </a:ln>
          </c:spPr>
        </c:title>
        <c:numFmt formatCode="#\ ##0.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6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fi-FI"/>
          </a:p>
        </c:txPr>
        <c:crossAx val="86202960"/>
        <c:crosses val="autoZero"/>
        <c:crossBetween val="between"/>
        <c:majorUnit val="20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16636655887997301"/>
          <c:y val="0.89322491800281101"/>
          <c:w val="0.74027218565136199"/>
          <c:h val="8.71460838637E-2"/>
        </c:manualLayout>
      </c:layout>
      <c:overlay val="0"/>
      <c:spPr>
        <a:solidFill>
          <a:srgbClr val="FFFFFF"/>
        </a:solidFill>
        <a:ln w="25560">
          <a:noFill/>
        </a:ln>
      </c:spPr>
      <c:txPr>
        <a:bodyPr/>
        <a:lstStyle/>
        <a:p>
          <a:pPr>
            <a:defRPr sz="1900" b="0" strike="noStrike" spc="-1">
              <a:solidFill>
                <a:srgbClr val="000000"/>
              </a:solidFill>
              <a:latin typeface="Arial"/>
              <a:ea typeface="Arial"/>
            </a:defRPr>
          </a:pPr>
          <a:endParaRPr lang="fi-FI"/>
        </a:p>
      </c:txPr>
    </c:legend>
    <c:plotVisOnly val="1"/>
    <c:dispBlanksAs val="gap"/>
    <c:showDLblsOverMax val="1"/>
  </c:chart>
  <c:spPr>
    <a:solidFill>
      <a:srgbClr val="FFFFFF"/>
    </a:solidFill>
    <a:ln w="324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c:style val="2"/>
  <c:chart>
    <c:title>
      <c:tx>
        <c:rich>
          <a:bodyPr rot="0"/>
          <a:lstStyle/>
          <a:p>
            <a:pPr>
              <a:defRPr lang="en-US" sz="22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2200" b="1" strike="noStrike" spc="-1">
                <a:solidFill>
                  <a:srgbClr val="000000"/>
                </a:solidFill>
                <a:latin typeface="Calibri"/>
              </a:rPr>
              <a:t>8 01 02 ja 8 01 03 ESIRAKENTAMINEN
8 03 KADUT JA LIIKENNEVÄYLÄT
8 04 PUISTOT JA LIIKUNTA-ALUEET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960542701710704E-2"/>
          <c:y val="0.19509263895843801"/>
          <c:w val="0.89598217211771702"/>
          <c:h val="0.611016524787181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'Kaavio, yht.'!$B$12</c:f>
              <c:strCache>
                <c:ptCount val="1"/>
                <c:pt idx="0">
                  <c:v>ESIRAKENTAMINEN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i-FI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yht.'!$H$9:$S$9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yht.'!$H$12:$S$12</c:f>
              <c:numCache>
                <c:formatCode>General</c:formatCode>
                <c:ptCount val="12"/>
                <c:pt idx="0">
                  <c:v>64.5</c:v>
                </c:pt>
                <c:pt idx="1">
                  <c:v>85.6</c:v>
                </c:pt>
                <c:pt idx="2">
                  <c:v>107.6</c:v>
                </c:pt>
                <c:pt idx="3">
                  <c:v>92.6</c:v>
                </c:pt>
                <c:pt idx="4">
                  <c:v>79.599999999999994</c:v>
                </c:pt>
                <c:pt idx="5">
                  <c:v>69.5</c:v>
                </c:pt>
                <c:pt idx="6">
                  <c:v>62</c:v>
                </c:pt>
                <c:pt idx="7">
                  <c:v>64.900000000000006</c:v>
                </c:pt>
                <c:pt idx="8">
                  <c:v>76.400000000000006</c:v>
                </c:pt>
                <c:pt idx="9">
                  <c:v>63.1</c:v>
                </c:pt>
                <c:pt idx="10">
                  <c:v>63.2</c:v>
                </c:pt>
                <c:pt idx="11">
                  <c:v>63.4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5-4269-B292-6EE8BFD8C6E7}"/>
            </c:ext>
          </c:extLst>
        </c:ser>
        <c:ser>
          <c:idx val="1"/>
          <c:order val="1"/>
          <c:tx>
            <c:strRef>
              <c:f>'Kaavio, yht.'!$B$13</c:f>
              <c:strCache>
                <c:ptCount val="1"/>
                <c:pt idx="0">
                  <c:v>KADUT JA LIIKENNEVÄYLÄT 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i-FI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yht.'!$H$9:$S$9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yht.'!$H$13:$S$13</c:f>
              <c:numCache>
                <c:formatCode>#\ ##0.0</c:formatCode>
                <c:ptCount val="12"/>
                <c:pt idx="0">
                  <c:v>0</c:v>
                </c:pt>
                <c:pt idx="1">
                  <c:v>158.71899999999999</c:v>
                </c:pt>
                <c:pt idx="2">
                  <c:v>173.21286699999999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35-4269-B292-6EE8BFD8C6E7}"/>
            </c:ext>
          </c:extLst>
        </c:ser>
        <c:ser>
          <c:idx val="2"/>
          <c:order val="2"/>
          <c:tx>
            <c:strRef>
              <c:f>'Kaavio, yht.'!$B$14</c:f>
              <c:strCache>
                <c:ptCount val="1"/>
                <c:pt idx="0">
                  <c:v>PUISTOT JA LIIKUNTA-ALUEET</c:v>
                </c:pt>
              </c:strCache>
            </c:strRef>
          </c:tx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i-FI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yht.'!$H$9:$S$9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yht.'!$H$14:$S$14</c:f>
              <c:numCache>
                <c:formatCode>#\ ##0.0</c:formatCode>
                <c:ptCount val="12"/>
                <c:pt idx="0">
                  <c:v>23.235591509999999</c:v>
                </c:pt>
                <c:pt idx="1">
                  <c:v>23.077999999999999</c:v>
                </c:pt>
                <c:pt idx="2">
                  <c:v>37.403515239999997</c:v>
                </c:pt>
                <c:pt idx="3">
                  <c:v>32.700000000000003</c:v>
                </c:pt>
                <c:pt idx="4">
                  <c:v>20.8</c:v>
                </c:pt>
                <c:pt idx="5">
                  <c:v>22.8</c:v>
                </c:pt>
                <c:pt idx="6">
                  <c:v>21.8</c:v>
                </c:pt>
                <c:pt idx="7">
                  <c:v>21.4</c:v>
                </c:pt>
                <c:pt idx="8">
                  <c:v>19.100000000000001</c:v>
                </c:pt>
                <c:pt idx="9">
                  <c:v>24.4</c:v>
                </c:pt>
                <c:pt idx="10">
                  <c:v>44.6</c:v>
                </c:pt>
                <c:pt idx="11">
                  <c:v>49.3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35-4269-B292-6EE8BFD8C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074211"/>
        <c:axId val="46339625"/>
      </c:barChart>
      <c:catAx>
        <c:axId val="8707421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800" b="1" strike="noStrike" spc="-1">
                <a:solidFill>
                  <a:srgbClr val="595959"/>
                </a:solidFill>
                <a:latin typeface="Calibri"/>
              </a:defRPr>
            </a:pPr>
            <a:endParaRPr lang="fi-FI"/>
          </a:p>
        </c:txPr>
        <c:crossAx val="46339625"/>
        <c:crosses val="autoZero"/>
        <c:auto val="1"/>
        <c:lblAlgn val="ctr"/>
        <c:lblOffset val="100"/>
        <c:noMultiLvlLbl val="0"/>
      </c:catAx>
      <c:valAx>
        <c:axId val="463396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1800" b="1" strike="noStrike" spc="-1">
                <a:solidFill>
                  <a:srgbClr val="595959"/>
                </a:solidFill>
                <a:latin typeface="Calibri"/>
              </a:defRPr>
            </a:pPr>
            <a:endParaRPr lang="fi-FI"/>
          </a:p>
        </c:txPr>
        <c:crossAx val="87074211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5.4129004605333403E-2"/>
          <c:y val="0.90967746976114705"/>
          <c:w val="0.83759212688128704"/>
          <c:h val="4.4741102326203597E-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1900" b="1" strike="noStrike" spc="-1">
              <a:solidFill>
                <a:srgbClr val="595959"/>
              </a:solidFill>
              <a:latin typeface="Calibri"/>
            </a:defRPr>
          </a:pPr>
          <a:endParaRPr lang="fi-FI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0</xdr:colOff>
      <xdr:row>554</xdr:row>
      <xdr:rowOff>152280</xdr:rowOff>
    </xdr:from>
    <xdr:to>
      <xdr:col>32</xdr:col>
      <xdr:colOff>337320</xdr:colOff>
      <xdr:row>582</xdr:row>
      <xdr:rowOff>187560</xdr:rowOff>
    </xdr:to>
    <xdr:graphicFrame macro="">
      <xdr:nvGraphicFramePr>
        <xdr:cNvPr id="2" name="Kaavio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100080</xdr:colOff>
      <xdr:row>19</xdr:row>
      <xdr:rowOff>66600</xdr:rowOff>
    </xdr:from>
    <xdr:to>
      <xdr:col>30</xdr:col>
      <xdr:colOff>187920</xdr:colOff>
      <xdr:row>61</xdr:row>
      <xdr:rowOff>76680</xdr:rowOff>
    </xdr:to>
    <xdr:graphicFrame macro="">
      <xdr:nvGraphicFramePr>
        <xdr:cNvPr id="36" name="Chart 3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988200</xdr:colOff>
      <xdr:row>18</xdr:row>
      <xdr:rowOff>119160</xdr:rowOff>
    </xdr:from>
    <xdr:to>
      <xdr:col>11</xdr:col>
      <xdr:colOff>354600</xdr:colOff>
      <xdr:row>56</xdr:row>
      <xdr:rowOff>69120</xdr:rowOff>
    </xdr:to>
    <xdr:graphicFrame macro="">
      <xdr:nvGraphicFramePr>
        <xdr:cNvPr id="44" name="Kaavio 2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0.17971</cdr:x>
      <cdr:y>0.30938</cdr:y>
    </cdr:from>
    <cdr:to>
      <cdr:x>0.21179</cdr:x>
      <cdr:y>0.41251</cdr:y>
    </cdr:to>
    <cdr:sp macro="" textlink="">
      <cdr:nvSpPr>
        <cdr:cNvPr id="37" name="Tekstiruutu 1"/>
        <cdr:cNvSpPr/>
      </cdr:nvSpPr>
      <cdr:spPr>
        <a:xfrm xmlns:a="http://schemas.openxmlformats.org/drawingml/2006/main">
          <a:off x="2131560" y="2478600"/>
          <a:ext cx="380520" cy="826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800" b="1" strike="noStrike" spc="-1">
              <a:latin typeface="Arial"/>
            </a:rPr>
            <a:t>TP</a:t>
          </a:r>
          <a:endParaRPr sz="18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0.27276</cdr:x>
      <cdr:y>0.52197</cdr:y>
    </cdr:from>
    <cdr:to>
      <cdr:x>0.31562</cdr:x>
      <cdr:y>0.57064</cdr:y>
    </cdr:to>
    <cdr:sp macro="" textlink="">
      <cdr:nvSpPr>
        <cdr:cNvPr id="38" name="Tekstiruutu 2"/>
        <cdr:cNvSpPr/>
      </cdr:nvSpPr>
      <cdr:spPr>
        <a:xfrm xmlns:a="http://schemas.openxmlformats.org/drawingml/2006/main">
          <a:off x="3235320" y="4181760"/>
          <a:ext cx="508320" cy="3898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</cdr:sp>
  </cdr:relSizeAnchor>
  <cdr:relSizeAnchor xmlns:cdr="http://schemas.openxmlformats.org/drawingml/2006/chartDrawing">
    <cdr:from>
      <cdr:x>0.23695</cdr:x>
      <cdr:y>0.3114</cdr:y>
    </cdr:from>
    <cdr:to>
      <cdr:x>0.27118</cdr:x>
      <cdr:y>0.36191</cdr:y>
    </cdr:to>
    <cdr:sp macro="" textlink="">
      <cdr:nvSpPr>
        <cdr:cNvPr id="39" name="Tekstiruutu 3"/>
        <cdr:cNvSpPr/>
      </cdr:nvSpPr>
      <cdr:spPr>
        <a:xfrm xmlns:a="http://schemas.openxmlformats.org/drawingml/2006/main">
          <a:off x="2810520" y="2494800"/>
          <a:ext cx="406080" cy="4046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800" b="1" strike="noStrike" spc="-1">
              <a:latin typeface="Arial"/>
            </a:rPr>
            <a:t>TA</a:t>
          </a:r>
          <a:endParaRPr sz="18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0.32897</cdr:x>
      <cdr:y>0.4113</cdr:y>
    </cdr:from>
    <cdr:to>
      <cdr:x>0.39766</cdr:x>
      <cdr:y>0.5155</cdr:y>
    </cdr:to>
    <cdr:sp macro="" textlink="">
      <cdr:nvSpPr>
        <cdr:cNvPr id="40" name="Tekstiruutu 4"/>
        <cdr:cNvSpPr/>
      </cdr:nvSpPr>
      <cdr:spPr>
        <a:xfrm xmlns:a="http://schemas.openxmlformats.org/drawingml/2006/main">
          <a:off x="3902040" y="3295080"/>
          <a:ext cx="814680" cy="8348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</cdr:sp>
  </cdr:relSizeAnchor>
  <cdr:relSizeAnchor xmlns:cdr="http://schemas.openxmlformats.org/drawingml/2006/chartDrawing">
    <cdr:from>
      <cdr:x>0.32897</cdr:x>
      <cdr:y>0.39858</cdr:y>
    </cdr:from>
    <cdr:to>
      <cdr:x>0.39766</cdr:x>
      <cdr:y>0.50279</cdr:y>
    </cdr:to>
    <cdr:sp macro="" textlink="">
      <cdr:nvSpPr>
        <cdr:cNvPr id="41" name="Tekstiruutu 5"/>
        <cdr:cNvSpPr/>
      </cdr:nvSpPr>
      <cdr:spPr>
        <a:xfrm xmlns:a="http://schemas.openxmlformats.org/drawingml/2006/main">
          <a:off x="3902040" y="3193200"/>
          <a:ext cx="814680" cy="8348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</cdr:sp>
  </cdr:relSizeAnchor>
  <cdr:relSizeAnchor xmlns:cdr="http://schemas.openxmlformats.org/drawingml/2006/chartDrawing">
    <cdr:from>
      <cdr:x>0.35887</cdr:x>
      <cdr:y>0.44756</cdr:y>
    </cdr:from>
    <cdr:to>
      <cdr:x>0.42755</cdr:x>
      <cdr:y>0.55177</cdr:y>
    </cdr:to>
    <cdr:sp macro="" textlink="">
      <cdr:nvSpPr>
        <cdr:cNvPr id="42" name="Tekstiruutu 6"/>
        <cdr:cNvSpPr/>
      </cdr:nvSpPr>
      <cdr:spPr>
        <a:xfrm xmlns:a="http://schemas.openxmlformats.org/drawingml/2006/main">
          <a:off x="4256640" y="3585600"/>
          <a:ext cx="814680" cy="8348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</cdr:sp>
  </cdr:relSizeAnchor>
  <cdr:relSizeAnchor xmlns:cdr="http://schemas.openxmlformats.org/drawingml/2006/chartDrawing">
    <cdr:from>
      <cdr:x>0.28879</cdr:x>
      <cdr:y>0.29118</cdr:y>
    </cdr:from>
    <cdr:to>
      <cdr:x>0.35186</cdr:x>
      <cdr:y>0.34632</cdr:y>
    </cdr:to>
    <cdr:sp macro="" textlink="">
      <cdr:nvSpPr>
        <cdr:cNvPr id="43" name="Tekstiruutu 7"/>
        <cdr:cNvSpPr/>
      </cdr:nvSpPr>
      <cdr:spPr>
        <a:xfrm xmlns:a="http://schemas.openxmlformats.org/drawingml/2006/main">
          <a:off x="3425400" y="2332800"/>
          <a:ext cx="748080" cy="4417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800" b="1" strike="noStrike" spc="-1">
              <a:latin typeface="Arial"/>
            </a:rPr>
            <a:t>TAE</a:t>
          </a:r>
          <a:endParaRPr sz="1800" b="0" strike="noStrike" spc="-1">
            <a:latin typeface="Times New Roman"/>
          </a:endParaRPr>
        </a:p>
        <a:p xmlns:a="http://schemas.openxmlformats.org/drawingml/2006/main">
          <a:pPr>
            <a:lnSpc>
              <a:spcPct val="100000"/>
            </a:lnSpc>
          </a:pPr>
          <a:endParaRPr sz="1800" b="0" strike="noStrike" spc="-1">
            <a:latin typeface="Times New Roman"/>
          </a:endParaRPr>
        </a:p>
        <a:p xmlns:a="http://schemas.openxmlformats.org/drawingml/2006/main">
          <a:pPr>
            <a:lnSpc>
              <a:spcPct val="100000"/>
            </a:lnSpc>
          </a:pPr>
          <a:endParaRPr sz="1800" b="0" strike="noStrike" spc="-1">
            <a:latin typeface="Times New Roman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0.00515</cdr:x>
      <cdr:y>0.12694</cdr:y>
    </cdr:from>
    <cdr:to>
      <cdr:x>0.07701</cdr:x>
      <cdr:y>0.16284</cdr:y>
    </cdr:to>
    <cdr:sp macro="" textlink="">
      <cdr:nvSpPr>
        <cdr:cNvPr id="45" name="Tekstiruutu 1"/>
        <cdr:cNvSpPr/>
      </cdr:nvSpPr>
      <cdr:spPr>
        <a:xfrm xmlns:a="http://schemas.openxmlformats.org/drawingml/2006/main">
          <a:off x="56520" y="912600"/>
          <a:ext cx="789480" cy="2581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400" b="1" strike="noStrike" spc="-1">
              <a:latin typeface="Times New Roman"/>
            </a:rPr>
            <a:t>M€</a:t>
          </a:r>
          <a:endParaRPr sz="14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0.1013</cdr:x>
      <cdr:y>0.28923</cdr:y>
    </cdr:from>
    <cdr:to>
      <cdr:x>0.13692</cdr:x>
      <cdr:y>0.3691</cdr:y>
    </cdr:to>
    <cdr:sp macro="" textlink="">
      <cdr:nvSpPr>
        <cdr:cNvPr id="46" name="Tekstiruutu 2"/>
        <cdr:cNvSpPr/>
      </cdr:nvSpPr>
      <cdr:spPr>
        <a:xfrm xmlns:a="http://schemas.openxmlformats.org/drawingml/2006/main">
          <a:off x="1112760" y="2079360"/>
          <a:ext cx="391320" cy="574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endParaRPr sz="1400" b="0" strike="noStrike" spc="-1">
            <a:latin typeface="Times New Roman"/>
          </a:endParaRPr>
        </a:p>
        <a:p xmlns:a="http://schemas.openxmlformats.org/drawingml/2006/main">
          <a:pPr>
            <a:lnSpc>
              <a:spcPct val="100000"/>
            </a:lnSpc>
          </a:pPr>
          <a:r>
            <a:rPr lang="fi-FI" sz="1600" b="1" strike="noStrike" spc="-1">
              <a:latin typeface="Times New Roman"/>
            </a:rPr>
            <a:t>TP</a:t>
          </a:r>
          <a:endParaRPr sz="16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0.18198</cdr:x>
      <cdr:y>0.27171</cdr:y>
    </cdr:from>
    <cdr:to>
      <cdr:x>0.31359</cdr:x>
      <cdr:y>0.42609</cdr:y>
    </cdr:to>
    <cdr:sp macro="" textlink="">
      <cdr:nvSpPr>
        <cdr:cNvPr id="47" name="Tekstiruutu 3"/>
        <cdr:cNvSpPr/>
      </cdr:nvSpPr>
      <cdr:spPr>
        <a:xfrm xmlns:a="http://schemas.openxmlformats.org/drawingml/2006/main">
          <a:off x="1999080" y="1953360"/>
          <a:ext cx="1445760" cy="11098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</cdr:sp>
  </cdr:relSizeAnchor>
  <cdr:relSizeAnchor xmlns:cdr="http://schemas.openxmlformats.org/drawingml/2006/chartDrawing">
    <cdr:from>
      <cdr:x>0.17854</cdr:x>
      <cdr:y>0.27376</cdr:y>
    </cdr:from>
    <cdr:to>
      <cdr:x>0.31015</cdr:x>
      <cdr:y>0.42819</cdr:y>
    </cdr:to>
    <cdr:sp macro="" textlink="">
      <cdr:nvSpPr>
        <cdr:cNvPr id="48" name="Tekstiruutu 4"/>
        <cdr:cNvSpPr/>
      </cdr:nvSpPr>
      <cdr:spPr>
        <a:xfrm xmlns:a="http://schemas.openxmlformats.org/drawingml/2006/main">
          <a:off x="1961280" y="1968120"/>
          <a:ext cx="1445760" cy="11102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</cdr:sp>
  </cdr:relSizeAnchor>
  <cdr:relSizeAnchor xmlns:cdr="http://schemas.openxmlformats.org/drawingml/2006/chartDrawing">
    <cdr:from>
      <cdr:x>0.17861</cdr:x>
      <cdr:y>0.27762</cdr:y>
    </cdr:from>
    <cdr:to>
      <cdr:x>0.21836</cdr:x>
      <cdr:y>0.32419</cdr:y>
    </cdr:to>
    <cdr:sp macro="" textlink="">
      <cdr:nvSpPr>
        <cdr:cNvPr id="49" name="Tekstiruutu 5"/>
        <cdr:cNvSpPr/>
      </cdr:nvSpPr>
      <cdr:spPr>
        <a:xfrm xmlns:a="http://schemas.openxmlformats.org/drawingml/2006/main">
          <a:off x="1962000" y="1995840"/>
          <a:ext cx="436680" cy="3348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600" b="1" strike="noStrike" spc="-1">
              <a:latin typeface="Times New Roman"/>
            </a:rPr>
            <a:t>TP</a:t>
          </a:r>
          <a:endParaRPr sz="16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0.24766</cdr:x>
      <cdr:y>0.23515</cdr:y>
    </cdr:from>
    <cdr:to>
      <cdr:x>0.29973</cdr:x>
      <cdr:y>0.2693</cdr:y>
    </cdr:to>
    <cdr:sp macro="" textlink="">
      <cdr:nvSpPr>
        <cdr:cNvPr id="50" name="Tekstiruutu 6"/>
        <cdr:cNvSpPr/>
      </cdr:nvSpPr>
      <cdr:spPr>
        <a:xfrm xmlns:a="http://schemas.openxmlformats.org/drawingml/2006/main">
          <a:off x="2720520" y="1690560"/>
          <a:ext cx="572040" cy="2455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600" b="1" strike="noStrike" spc="-1">
              <a:latin typeface="Times New Roman"/>
            </a:rPr>
            <a:t>TA</a:t>
          </a:r>
          <a:endParaRPr sz="1600" b="0" strike="noStrike" spc="-1">
            <a:latin typeface="Times New Roman"/>
          </a:endParaRPr>
        </a:p>
        <a:p xmlns:a="http://schemas.openxmlformats.org/drawingml/2006/main">
          <a:pPr>
            <a:lnSpc>
              <a:spcPct val="100000"/>
            </a:lnSpc>
          </a:pPr>
          <a:endParaRPr sz="16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0.31874</cdr:x>
      <cdr:y>0.2306</cdr:y>
    </cdr:from>
    <cdr:to>
      <cdr:x>0.36803</cdr:x>
      <cdr:y>0.28032</cdr:y>
    </cdr:to>
    <cdr:sp macro="" textlink="">
      <cdr:nvSpPr>
        <cdr:cNvPr id="51" name="Tekstiruutu 7"/>
        <cdr:cNvSpPr/>
      </cdr:nvSpPr>
      <cdr:spPr>
        <a:xfrm xmlns:a="http://schemas.openxmlformats.org/drawingml/2006/main">
          <a:off x="3501360" y="1657800"/>
          <a:ext cx="541440" cy="3574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400" b="1" strike="noStrike" spc="-1">
              <a:latin typeface="Arial"/>
            </a:rPr>
            <a:t>TAE</a:t>
          </a:r>
          <a:endParaRPr sz="1400" b="0" strike="noStrike" spc="-1">
            <a:latin typeface="Times New Roman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79200</xdr:colOff>
      <xdr:row>18</xdr:row>
      <xdr:rowOff>120600</xdr:rowOff>
    </xdr:from>
    <xdr:to>
      <xdr:col>15</xdr:col>
      <xdr:colOff>543240</xdr:colOff>
      <xdr:row>51</xdr:row>
      <xdr:rowOff>16560</xdr:rowOff>
    </xdr:to>
    <xdr:graphicFrame macro="">
      <xdr:nvGraphicFramePr>
        <xdr:cNvPr id="52" name="Kaavio 2">
          <a:extLst>
            <a:ext uri="{FF2B5EF4-FFF2-40B4-BE49-F238E27FC236}">
              <a16:creationId xmlns:a16="http://schemas.microsoft.com/office/drawing/2014/main" id="{00000000-0008-0000-0700-00003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0.00357</cdr:x>
      <cdr:y>0.06156</cdr:y>
    </cdr:from>
    <cdr:to>
      <cdr:x>0.07649</cdr:x>
      <cdr:y>0.14723</cdr:y>
    </cdr:to>
    <cdr:sp macro="" textlink="">
      <cdr:nvSpPr>
        <cdr:cNvPr id="53" name="Tekstiruutu 1"/>
        <cdr:cNvSpPr/>
      </cdr:nvSpPr>
      <cdr:spPr>
        <a:xfrm xmlns:a="http://schemas.openxmlformats.org/drawingml/2006/main">
          <a:off x="21240" y="322560"/>
          <a:ext cx="433800" cy="4489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200" b="1" strike="noStrike" spc="-1">
              <a:latin typeface="Times New Roman"/>
            </a:rPr>
            <a:t>M€</a:t>
          </a:r>
          <a:endParaRPr sz="12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0.09682</cdr:x>
      <cdr:y>0.38818</cdr:y>
    </cdr:from>
    <cdr:to>
      <cdr:x>0.15539</cdr:x>
      <cdr:y>0.44603</cdr:y>
    </cdr:to>
    <cdr:sp macro="" textlink="">
      <cdr:nvSpPr>
        <cdr:cNvPr id="54" name="Tekstiruutu 2"/>
        <cdr:cNvSpPr/>
      </cdr:nvSpPr>
      <cdr:spPr>
        <a:xfrm xmlns:a="http://schemas.openxmlformats.org/drawingml/2006/main">
          <a:off x="576000" y="2034000"/>
          <a:ext cx="348480" cy="3031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200" b="1" strike="noStrike" spc="-1">
              <a:latin typeface="Times New Roman"/>
            </a:rPr>
            <a:t>TP</a:t>
          </a:r>
          <a:endParaRPr sz="12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0.16961</cdr:x>
      <cdr:y>0.26197</cdr:y>
    </cdr:from>
    <cdr:to>
      <cdr:x>0.23085</cdr:x>
      <cdr:y>0.32202</cdr:y>
    </cdr:to>
    <cdr:sp macro="" textlink="">
      <cdr:nvSpPr>
        <cdr:cNvPr id="55" name="Tekstiruutu 3"/>
        <cdr:cNvSpPr/>
      </cdr:nvSpPr>
      <cdr:spPr>
        <a:xfrm xmlns:a="http://schemas.openxmlformats.org/drawingml/2006/main">
          <a:off x="1009080" y="1372680"/>
          <a:ext cx="364320" cy="3146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200" b="1" strike="noStrike" spc="-1">
              <a:latin typeface="Times New Roman"/>
            </a:rPr>
            <a:t>TA</a:t>
          </a:r>
          <a:endParaRPr sz="12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0.23387</cdr:x>
      <cdr:y>0.14497</cdr:y>
    </cdr:from>
    <cdr:to>
      <cdr:x>0.3086</cdr:x>
      <cdr:y>0.22453</cdr:y>
    </cdr:to>
    <cdr:sp macro="" textlink="">
      <cdr:nvSpPr>
        <cdr:cNvPr id="56" name="Tekstiruutu 4"/>
        <cdr:cNvSpPr/>
      </cdr:nvSpPr>
      <cdr:spPr>
        <a:xfrm xmlns:a="http://schemas.openxmlformats.org/drawingml/2006/main">
          <a:off x="1391400" y="759600"/>
          <a:ext cx="444600" cy="4168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200" b="1" strike="noStrike" spc="-1">
              <a:latin typeface="Times New Roman"/>
            </a:rPr>
            <a:t>TAE</a:t>
          </a:r>
          <a:endParaRPr sz="1200" b="0" strike="noStrike" spc="-1">
            <a:latin typeface="Times New Roman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450360</xdr:colOff>
      <xdr:row>40</xdr:row>
      <xdr:rowOff>51840</xdr:rowOff>
    </xdr:from>
    <xdr:to>
      <xdr:col>18</xdr:col>
      <xdr:colOff>494280</xdr:colOff>
      <xdr:row>66</xdr:row>
      <xdr:rowOff>136440</xdr:rowOff>
    </xdr:to>
    <xdr:graphicFrame macro="">
      <xdr:nvGraphicFramePr>
        <xdr:cNvPr id="57" name="Kaavio 5">
          <a:extLst>
            <a:ext uri="{FF2B5EF4-FFF2-40B4-BE49-F238E27FC236}">
              <a16:creationId xmlns:a16="http://schemas.microsoft.com/office/drawing/2014/main" id="{00000000-0008-0000-0900-00003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158400</xdr:colOff>
      <xdr:row>47</xdr:row>
      <xdr:rowOff>149760</xdr:rowOff>
    </xdr:from>
    <xdr:to>
      <xdr:col>9</xdr:col>
      <xdr:colOff>493560</xdr:colOff>
      <xdr:row>49</xdr:row>
      <xdr:rowOff>68040</xdr:rowOff>
    </xdr:to>
    <xdr:sp macro="" textlink="">
      <xdr:nvSpPr>
        <xdr:cNvPr id="58" name="Tekstiruutu 1">
          <a:extLst>
            <a:ext uri="{FF2B5EF4-FFF2-40B4-BE49-F238E27FC236}">
              <a16:creationId xmlns:a16="http://schemas.microsoft.com/office/drawing/2014/main" id="{00000000-0008-0000-0900-00003A000000}"/>
            </a:ext>
          </a:extLst>
        </xdr:cNvPr>
        <xdr:cNvSpPr/>
      </xdr:nvSpPr>
      <xdr:spPr>
        <a:xfrm>
          <a:off x="4601520" y="8998560"/>
          <a:ext cx="335160" cy="2419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wrap="none" lIns="90000" tIns="45000" rIns="90000" bIns="45000" anchor="t">
          <a:spAutoFit/>
        </a:bodyPr>
        <a:lstStyle/>
        <a:p>
          <a:pPr>
            <a:lnSpc>
              <a:spcPct val="100000"/>
            </a:lnSpc>
          </a:pPr>
          <a:r>
            <a:rPr lang="fi-FI" sz="1200" b="1" strike="noStrike" spc="-1">
              <a:solidFill>
                <a:srgbClr val="000000"/>
              </a:solidFill>
              <a:latin typeface="Calibri"/>
            </a:rPr>
            <a:t>TA</a:t>
          </a:r>
          <a:endParaRPr lang="en-US" sz="1200" b="0" strike="noStrike" spc="-1">
            <a:latin typeface="Times New Roman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1517040</xdr:colOff>
      <xdr:row>23</xdr:row>
      <xdr:rowOff>126000</xdr:rowOff>
    </xdr:from>
    <xdr:to>
      <xdr:col>26</xdr:col>
      <xdr:colOff>212760</xdr:colOff>
      <xdr:row>82</xdr:row>
      <xdr:rowOff>13680</xdr:rowOff>
    </xdr:to>
    <xdr:graphicFrame macro="">
      <xdr:nvGraphicFramePr>
        <xdr:cNvPr id="59" name="Chart 1">
          <a:extLst>
            <a:ext uri="{FF2B5EF4-FFF2-40B4-BE49-F238E27FC236}">
              <a16:creationId xmlns:a16="http://schemas.microsoft.com/office/drawing/2014/main" id="{00000000-0008-0000-0A00-00003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276120</xdr:colOff>
      <xdr:row>99</xdr:row>
      <xdr:rowOff>123840</xdr:rowOff>
    </xdr:from>
    <xdr:to>
      <xdr:col>14</xdr:col>
      <xdr:colOff>406800</xdr:colOff>
      <xdr:row>148</xdr:row>
      <xdr:rowOff>25920</xdr:rowOff>
    </xdr:to>
    <xdr:graphicFrame macro="">
      <xdr:nvGraphicFramePr>
        <xdr:cNvPr id="64" name="Chart 2">
          <a:extLst>
            <a:ext uri="{FF2B5EF4-FFF2-40B4-BE49-F238E27FC236}">
              <a16:creationId xmlns:a16="http://schemas.microsoft.com/office/drawing/2014/main" id="{00000000-0008-0000-0A00-00004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0.24443</cdr:x>
      <cdr:y>0.37766</cdr:y>
    </cdr:from>
    <cdr:to>
      <cdr:x>0.30884</cdr:x>
      <cdr:y>0.47626</cdr:y>
    </cdr:to>
    <cdr:sp macro="" textlink="">
      <cdr:nvSpPr>
        <cdr:cNvPr id="60" name="Tekstiruutu 1"/>
        <cdr:cNvSpPr/>
      </cdr:nvSpPr>
      <cdr:spPr>
        <a:xfrm xmlns:a="http://schemas.openxmlformats.org/drawingml/2006/main">
          <a:off x="3494880" y="3565800"/>
          <a:ext cx="920880" cy="9309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</cdr:sp>
  </cdr:relSizeAnchor>
  <cdr:relSizeAnchor xmlns:cdr="http://schemas.openxmlformats.org/drawingml/2006/chartDrawing">
    <cdr:from>
      <cdr:x>0.23544</cdr:x>
      <cdr:y>0.25927</cdr:y>
    </cdr:from>
    <cdr:to>
      <cdr:x>0.26553</cdr:x>
      <cdr:y>0.29504</cdr:y>
    </cdr:to>
    <cdr:sp macro="" textlink="">
      <cdr:nvSpPr>
        <cdr:cNvPr id="61" name="Tekstiruutu 2"/>
        <cdr:cNvSpPr/>
      </cdr:nvSpPr>
      <cdr:spPr>
        <a:xfrm xmlns:a="http://schemas.openxmlformats.org/drawingml/2006/main">
          <a:off x="3366360" y="2448000"/>
          <a:ext cx="430200" cy="3376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800" b="1" strike="noStrike" spc="-1">
              <a:latin typeface="Arial"/>
            </a:rPr>
            <a:t>TP</a:t>
          </a:r>
          <a:endParaRPr sz="18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0.29922</cdr:x>
      <cdr:y>0.33305</cdr:y>
    </cdr:from>
    <cdr:to>
      <cdr:x>0.33044</cdr:x>
      <cdr:y>0.37225</cdr:y>
    </cdr:to>
    <cdr:sp macro="" textlink="">
      <cdr:nvSpPr>
        <cdr:cNvPr id="62" name="Tekstiruutu 3"/>
        <cdr:cNvSpPr/>
      </cdr:nvSpPr>
      <cdr:spPr>
        <a:xfrm xmlns:a="http://schemas.openxmlformats.org/drawingml/2006/main">
          <a:off x="4278240" y="3144600"/>
          <a:ext cx="446400" cy="3700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800" b="1" strike="noStrike" spc="-1">
              <a:latin typeface="Arial"/>
            </a:rPr>
            <a:t>TA</a:t>
          </a:r>
          <a:endParaRPr sz="18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0.35864</cdr:x>
      <cdr:y>0.37252</cdr:y>
    </cdr:from>
    <cdr:to>
      <cdr:x>0.39099</cdr:x>
      <cdr:y>0.41343</cdr:y>
    </cdr:to>
    <cdr:sp macro="" textlink="">
      <cdr:nvSpPr>
        <cdr:cNvPr id="63" name="Tekstiruutu 4"/>
        <cdr:cNvSpPr/>
      </cdr:nvSpPr>
      <cdr:spPr>
        <a:xfrm xmlns:a="http://schemas.openxmlformats.org/drawingml/2006/main">
          <a:off x="5127840" y="3517200"/>
          <a:ext cx="462600" cy="386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800" b="1" strike="noStrike" spc="-1">
              <a:latin typeface="Arial"/>
            </a:rPr>
            <a:t>TA</a:t>
          </a:r>
          <a:endParaRPr sz="1800" b="0" strike="noStrike" spc="-1">
            <a:latin typeface="Times New Roman"/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0</xdr:colOff>
      <xdr:row>261</xdr:row>
      <xdr:rowOff>0</xdr:rowOff>
    </xdr:from>
    <xdr:to>
      <xdr:col>32</xdr:col>
      <xdr:colOff>337320</xdr:colOff>
      <xdr:row>302</xdr:row>
      <xdr:rowOff>187920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285840</xdr:colOff>
      <xdr:row>12</xdr:row>
      <xdr:rowOff>7200</xdr:rowOff>
    </xdr:from>
    <xdr:to>
      <xdr:col>48</xdr:col>
      <xdr:colOff>242640</xdr:colOff>
      <xdr:row>170</xdr:row>
      <xdr:rowOff>45000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412920</xdr:colOff>
      <xdr:row>46</xdr:row>
      <xdr:rowOff>111240</xdr:rowOff>
    </xdr:from>
    <xdr:to>
      <xdr:col>0</xdr:col>
      <xdr:colOff>457920</xdr:colOff>
      <xdr:row>49</xdr:row>
      <xdr:rowOff>140400</xdr:rowOff>
    </xdr:to>
    <xdr:graphicFrame macro="">
      <xdr:nvGraphicFramePr>
        <xdr:cNvPr id="11" name="Kaavio 2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1145520</xdr:colOff>
      <xdr:row>26</xdr:row>
      <xdr:rowOff>125280</xdr:rowOff>
    </xdr:from>
    <xdr:to>
      <xdr:col>20</xdr:col>
      <xdr:colOff>308520</xdr:colOff>
      <xdr:row>145</xdr:row>
      <xdr:rowOff>146520</xdr:rowOff>
    </xdr:to>
    <xdr:graphicFrame macro="">
      <xdr:nvGraphicFramePr>
        <xdr:cNvPr id="12" name="Kaavio 5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2399760</xdr:colOff>
      <xdr:row>40</xdr:row>
      <xdr:rowOff>141840</xdr:rowOff>
    </xdr:from>
    <xdr:to>
      <xdr:col>1</xdr:col>
      <xdr:colOff>2745000</xdr:colOff>
      <xdr:row>43</xdr:row>
      <xdr:rowOff>37800</xdr:rowOff>
    </xdr:to>
    <xdr:sp macro="" textlink="">
      <xdr:nvSpPr>
        <xdr:cNvPr id="24" name="Tekstiruutu 6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3618360" y="7638120"/>
          <a:ext cx="345240" cy="3816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wrap="none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fi-FI" sz="1900" b="1" strike="noStrike" spc="-1">
              <a:solidFill>
                <a:srgbClr val="000000"/>
              </a:solidFill>
              <a:latin typeface="Calibri"/>
            </a:rPr>
            <a:t>TP</a:t>
          </a:r>
          <a:endParaRPr lang="en-US" sz="1900" b="0" strike="noStrike" spc="-1">
            <a:latin typeface="Times New Roman"/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0.07138</cdr:x>
      <cdr:y>0.26292</cdr:y>
    </cdr:from>
    <cdr:to>
      <cdr:x>0.10568</cdr:x>
      <cdr:y>0.31551</cdr:y>
    </cdr:to>
    <cdr:sp macro="" textlink="">
      <cdr:nvSpPr>
        <cdr:cNvPr id="3" name="Tekstiruutu 1"/>
        <cdr:cNvSpPr/>
      </cdr:nvSpPr>
      <cdr:spPr>
        <a:xfrm xmlns:a="http://schemas.openxmlformats.org/drawingml/2006/main">
          <a:off x="931320" y="3268080"/>
          <a:ext cx="447480" cy="6537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800" b="1" strike="noStrike" spc="-1">
              <a:latin typeface="Arial"/>
            </a:rPr>
            <a:t>TP</a:t>
          </a:r>
          <a:endParaRPr sz="18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0.13942</cdr:x>
      <cdr:y>0.20708</cdr:y>
    </cdr:from>
    <cdr:to>
      <cdr:x>0.17816</cdr:x>
      <cdr:y>0.25967</cdr:y>
    </cdr:to>
    <cdr:sp macro="" textlink="">
      <cdr:nvSpPr>
        <cdr:cNvPr id="4" name="Tekstiruutu 2"/>
        <cdr:cNvSpPr/>
      </cdr:nvSpPr>
      <cdr:spPr>
        <a:xfrm xmlns:a="http://schemas.openxmlformats.org/drawingml/2006/main">
          <a:off x="1819080" y="2574000"/>
          <a:ext cx="505440" cy="6537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800" b="1" strike="noStrike" spc="-1">
              <a:latin typeface="Arial"/>
            </a:rPr>
            <a:t>TP</a:t>
          </a:r>
          <a:endParaRPr sz="1800" b="0" strike="noStrike" spc="-1">
            <a:latin typeface="Times New Roman"/>
          </a:endParaRPr>
        </a:p>
        <a:p xmlns:a="http://schemas.openxmlformats.org/drawingml/2006/main">
          <a:pPr>
            <a:lnSpc>
              <a:spcPct val="100000"/>
            </a:lnSpc>
          </a:pPr>
          <a:endParaRPr sz="1800" b="0" strike="noStrike" spc="-1">
            <a:latin typeface="Times New Roman"/>
          </a:endParaRPr>
        </a:p>
        <a:p xmlns:a="http://schemas.openxmlformats.org/drawingml/2006/main">
          <a:pPr>
            <a:lnSpc>
              <a:spcPct val="100000"/>
            </a:lnSpc>
          </a:pPr>
          <a:endParaRPr sz="18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0.28953</cdr:x>
      <cdr:y>0.32316</cdr:y>
    </cdr:from>
    <cdr:to>
      <cdr:x>0.36259</cdr:x>
      <cdr:y>0.36307</cdr:y>
    </cdr:to>
    <cdr:sp macro="" textlink="">
      <cdr:nvSpPr>
        <cdr:cNvPr id="5" name="Tekstiruutu 3"/>
        <cdr:cNvSpPr/>
      </cdr:nvSpPr>
      <cdr:spPr>
        <a:xfrm xmlns:a="http://schemas.openxmlformats.org/drawingml/2006/main">
          <a:off x="3777480" y="4016880"/>
          <a:ext cx="953280" cy="4960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</cdr:sp>
  </cdr:relSizeAnchor>
  <cdr:relSizeAnchor xmlns:cdr="http://schemas.openxmlformats.org/drawingml/2006/chartDrawing">
    <cdr:from>
      <cdr:x>0.29333</cdr:x>
      <cdr:y>0.30176</cdr:y>
    </cdr:from>
    <cdr:to>
      <cdr:x>0.3664</cdr:x>
      <cdr:y>0.40428</cdr:y>
    </cdr:to>
    <cdr:sp macro="" textlink="">
      <cdr:nvSpPr>
        <cdr:cNvPr id="6" name="Tekstiruutu 4"/>
        <cdr:cNvSpPr/>
      </cdr:nvSpPr>
      <cdr:spPr>
        <a:xfrm xmlns:a="http://schemas.openxmlformats.org/drawingml/2006/main">
          <a:off x="3827160" y="3750840"/>
          <a:ext cx="953280" cy="1274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</cdr:sp>
  </cdr:relSizeAnchor>
  <cdr:relSizeAnchor xmlns:cdr="http://schemas.openxmlformats.org/drawingml/2006/chartDrawing">
    <cdr:from>
      <cdr:x>0.29524</cdr:x>
      <cdr:y>0.25628</cdr:y>
    </cdr:from>
    <cdr:to>
      <cdr:x>0.33511</cdr:x>
      <cdr:y>0.30558</cdr:y>
    </cdr:to>
    <cdr:sp macro="" textlink="">
      <cdr:nvSpPr>
        <cdr:cNvPr id="7" name="Tekstiruutu 5"/>
        <cdr:cNvSpPr/>
      </cdr:nvSpPr>
      <cdr:spPr>
        <a:xfrm xmlns:a="http://schemas.openxmlformats.org/drawingml/2006/main">
          <a:off x="3852000" y="3185640"/>
          <a:ext cx="520200" cy="6127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</cdr:sp>
  </cdr:relSizeAnchor>
  <cdr:relSizeAnchor xmlns:cdr="http://schemas.openxmlformats.org/drawingml/2006/chartDrawing">
    <cdr:from>
      <cdr:x>0.29717</cdr:x>
      <cdr:y>0.29506</cdr:y>
    </cdr:from>
    <cdr:to>
      <cdr:x>0.34085</cdr:x>
      <cdr:y>0.34033</cdr:y>
    </cdr:to>
    <cdr:sp macro="" textlink="">
      <cdr:nvSpPr>
        <cdr:cNvPr id="8" name="Tekstiruutu 6"/>
        <cdr:cNvSpPr/>
      </cdr:nvSpPr>
      <cdr:spPr>
        <a:xfrm xmlns:a="http://schemas.openxmlformats.org/drawingml/2006/main">
          <a:off x="3877200" y="3667680"/>
          <a:ext cx="569880" cy="5626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</cdr:sp>
  </cdr:relSizeAnchor>
  <cdr:relSizeAnchor xmlns:cdr="http://schemas.openxmlformats.org/drawingml/2006/chartDrawing">
    <cdr:from>
      <cdr:x>0.20217</cdr:x>
      <cdr:y>0.24343</cdr:y>
    </cdr:from>
    <cdr:to>
      <cdr:x>0.24681</cdr:x>
      <cdr:y>0.29139</cdr:y>
    </cdr:to>
    <cdr:sp macro="" textlink="">
      <cdr:nvSpPr>
        <cdr:cNvPr id="9" name="Tekstiruutu 7"/>
        <cdr:cNvSpPr/>
      </cdr:nvSpPr>
      <cdr:spPr>
        <a:xfrm xmlns:a="http://schemas.openxmlformats.org/drawingml/2006/main">
          <a:off x="2637720" y="3025800"/>
          <a:ext cx="582480" cy="5961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800" b="1" strike="noStrike" spc="-1">
              <a:latin typeface="Arial"/>
            </a:rPr>
            <a:t>TA</a:t>
          </a:r>
          <a:endParaRPr sz="1800" b="0" strike="noStrike" spc="-1">
            <a:latin typeface="Times New Roman"/>
          </a:endParaRPr>
        </a:p>
        <a:p xmlns:a="http://schemas.openxmlformats.org/drawingml/2006/main">
          <a:pPr>
            <a:lnSpc>
              <a:spcPct val="100000"/>
            </a:lnSpc>
          </a:pPr>
          <a:endParaRPr sz="1800" b="0" strike="noStrike" spc="-1">
            <a:latin typeface="Times New Roman"/>
          </a:endParaRPr>
        </a:p>
        <a:p xmlns:a="http://schemas.openxmlformats.org/drawingml/2006/main">
          <a:pPr>
            <a:lnSpc>
              <a:spcPct val="100000"/>
            </a:lnSpc>
          </a:pPr>
          <a:endParaRPr sz="18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0.26795</cdr:x>
      <cdr:y>0.19822</cdr:y>
    </cdr:from>
    <cdr:to>
      <cdr:x>0.30462</cdr:x>
      <cdr:y>0.22674</cdr:y>
    </cdr:to>
    <cdr:sp macro="" textlink="">
      <cdr:nvSpPr>
        <cdr:cNvPr id="10" name="Tekstiruutu 8"/>
        <cdr:cNvSpPr/>
      </cdr:nvSpPr>
      <cdr:spPr>
        <a:xfrm xmlns:a="http://schemas.openxmlformats.org/drawingml/2006/main">
          <a:off x="3495960" y="2463840"/>
          <a:ext cx="478440" cy="354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800" b="1" strike="noStrike" spc="-1">
              <a:latin typeface="Arial"/>
            </a:rPr>
            <a:t>TAE</a:t>
          </a:r>
          <a:endParaRPr sz="1800" b="0" strike="noStrike" spc="-1">
            <a:latin typeface="Times New Roman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0.05367</cdr:x>
      <cdr:y>0.09036</cdr:y>
    </cdr:from>
    <cdr:to>
      <cdr:x>0.1771</cdr:x>
      <cdr:y>0.2733</cdr:y>
    </cdr:to>
    <cdr:sp macro="" textlink="">
      <cdr:nvSpPr>
        <cdr:cNvPr id="13" name="Tekstiruutu 1"/>
        <cdr:cNvSpPr/>
      </cdr:nvSpPr>
      <cdr:spPr>
        <a:xfrm xmlns:a="http://schemas.openxmlformats.org/drawingml/2006/main">
          <a:off x="666720" y="738720"/>
          <a:ext cx="1533240" cy="14954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</cdr:sp>
  </cdr:relSizeAnchor>
  <cdr:relSizeAnchor xmlns:cdr="http://schemas.openxmlformats.org/drawingml/2006/chartDrawing">
    <cdr:from>
      <cdr:x>0.04935</cdr:x>
      <cdr:y>0.47186</cdr:y>
    </cdr:from>
    <cdr:to>
      <cdr:x>0.05558</cdr:x>
      <cdr:y>0.48071</cdr:y>
    </cdr:to>
    <cdr:sp macro="" textlink="">
      <cdr:nvSpPr>
        <cdr:cNvPr id="14" name="Tekstiruutu 2"/>
        <cdr:cNvSpPr/>
      </cdr:nvSpPr>
      <cdr:spPr>
        <a:xfrm xmlns:a="http://schemas.openxmlformats.org/drawingml/2006/main">
          <a:off x="613080" y="3857400"/>
          <a:ext cx="77400" cy="72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</cdr:sp>
  </cdr:relSizeAnchor>
  <cdr:relSizeAnchor xmlns:cdr="http://schemas.openxmlformats.org/drawingml/2006/chartDrawing">
    <cdr:from>
      <cdr:x>0.21086</cdr:x>
      <cdr:y>0.40365</cdr:y>
    </cdr:from>
    <cdr:to>
      <cdr:x>0.31815</cdr:x>
      <cdr:y>0.54021</cdr:y>
    </cdr:to>
    <cdr:sp macro="" textlink="">
      <cdr:nvSpPr>
        <cdr:cNvPr id="15" name="Tekstiruutu 3"/>
        <cdr:cNvSpPr/>
      </cdr:nvSpPr>
      <cdr:spPr>
        <a:xfrm xmlns:a="http://schemas.openxmlformats.org/drawingml/2006/main">
          <a:off x="2619360" y="3299760"/>
          <a:ext cx="1332720" cy="1116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</cdr:sp>
  </cdr:relSizeAnchor>
  <cdr:relSizeAnchor xmlns:cdr="http://schemas.openxmlformats.org/drawingml/2006/chartDrawing">
    <cdr:from>
      <cdr:x>0.19965</cdr:x>
      <cdr:y>0.39176</cdr:y>
    </cdr:from>
    <cdr:to>
      <cdr:x>0.30693</cdr:x>
      <cdr:y>0.52832</cdr:y>
    </cdr:to>
    <cdr:sp macro="" textlink="">
      <cdr:nvSpPr>
        <cdr:cNvPr id="16" name="Tekstiruutu 4"/>
        <cdr:cNvSpPr/>
      </cdr:nvSpPr>
      <cdr:spPr>
        <a:xfrm xmlns:a="http://schemas.openxmlformats.org/drawingml/2006/main">
          <a:off x="2480040" y="3202560"/>
          <a:ext cx="1332720" cy="1116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</cdr:sp>
  </cdr:relSizeAnchor>
  <cdr:relSizeAnchor xmlns:cdr="http://schemas.openxmlformats.org/drawingml/2006/chartDrawing">
    <cdr:from>
      <cdr:x>0.17553</cdr:x>
      <cdr:y>0.22596</cdr:y>
    </cdr:from>
    <cdr:to>
      <cdr:x>0.21446</cdr:x>
      <cdr:y>0.26154</cdr:y>
    </cdr:to>
    <cdr:sp macro="" textlink="">
      <cdr:nvSpPr>
        <cdr:cNvPr id="17" name="Tekstiruutu 5"/>
        <cdr:cNvSpPr/>
      </cdr:nvSpPr>
      <cdr:spPr>
        <a:xfrm xmlns:a="http://schemas.openxmlformats.org/drawingml/2006/main">
          <a:off x="2180520" y="1847160"/>
          <a:ext cx="483480" cy="2908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900" b="1" strike="noStrike" spc="-1">
              <a:latin typeface="Times New Roman"/>
            </a:rPr>
            <a:t>TP</a:t>
          </a:r>
          <a:endParaRPr sz="19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0.23448</cdr:x>
      <cdr:y>0.23723</cdr:y>
    </cdr:from>
    <cdr:to>
      <cdr:x>0.29467</cdr:x>
      <cdr:y>0.28858</cdr:y>
    </cdr:to>
    <cdr:sp macro="" textlink="">
      <cdr:nvSpPr>
        <cdr:cNvPr id="18" name="Tekstiruutu 6"/>
        <cdr:cNvSpPr/>
      </cdr:nvSpPr>
      <cdr:spPr>
        <a:xfrm xmlns:a="http://schemas.openxmlformats.org/drawingml/2006/main">
          <a:off x="2912760" y="1939320"/>
          <a:ext cx="747720" cy="4197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2000" b="1" strike="noStrike" spc="-1">
              <a:latin typeface="Times New Roman"/>
            </a:rPr>
            <a:t>  </a:t>
          </a:r>
          <a:r>
            <a:rPr lang="fi-FI" sz="1900" b="1" strike="noStrike" spc="-1">
              <a:latin typeface="Times New Roman"/>
            </a:rPr>
            <a:t>TA</a:t>
          </a:r>
          <a:endParaRPr sz="1900" b="0" strike="noStrike" spc="-1">
            <a:latin typeface="Times New Roman"/>
          </a:endParaRPr>
        </a:p>
        <a:p xmlns:a="http://schemas.openxmlformats.org/drawingml/2006/main">
          <a:pPr>
            <a:lnSpc>
              <a:spcPct val="100000"/>
            </a:lnSpc>
          </a:pPr>
          <a:endParaRPr sz="1600" b="0" strike="noStrike" spc="-1">
            <a:latin typeface="Times New Roman"/>
          </a:endParaRPr>
        </a:p>
        <a:p xmlns:a="http://schemas.openxmlformats.org/drawingml/2006/main">
          <a:pPr>
            <a:lnSpc>
              <a:spcPct val="100000"/>
            </a:lnSpc>
          </a:pPr>
          <a:endParaRPr sz="16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0.01608</cdr:x>
      <cdr:y>0.1134</cdr:y>
    </cdr:from>
    <cdr:to>
      <cdr:x>0.07068</cdr:x>
      <cdr:y>0.16752</cdr:y>
    </cdr:to>
    <cdr:sp macro="" textlink="">
      <cdr:nvSpPr>
        <cdr:cNvPr id="19" name="Tekstiruutu 7"/>
        <cdr:cNvSpPr/>
      </cdr:nvSpPr>
      <cdr:spPr>
        <a:xfrm xmlns:a="http://schemas.openxmlformats.org/drawingml/2006/main">
          <a:off x="199800" y="927000"/>
          <a:ext cx="678240" cy="4424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600" b="1" strike="noStrike" spc="-1">
              <a:latin typeface="Times New Roman"/>
            </a:rPr>
            <a:t>M€</a:t>
          </a:r>
          <a:endParaRPr sz="16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0.19373</cdr:x>
      <cdr:y>0.30425</cdr:y>
    </cdr:from>
    <cdr:to>
      <cdr:x>0.2907</cdr:x>
      <cdr:y>0.40109</cdr:y>
    </cdr:to>
    <cdr:sp macro="" textlink="">
      <cdr:nvSpPr>
        <cdr:cNvPr id="20" name="Tekstiruutu 8"/>
        <cdr:cNvSpPr/>
      </cdr:nvSpPr>
      <cdr:spPr>
        <a:xfrm xmlns:a="http://schemas.openxmlformats.org/drawingml/2006/main">
          <a:off x="2406600" y="2487240"/>
          <a:ext cx="1204560" cy="7916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</cdr:sp>
  </cdr:relSizeAnchor>
  <cdr:relSizeAnchor xmlns:cdr="http://schemas.openxmlformats.org/drawingml/2006/chartDrawing">
    <cdr:from>
      <cdr:x>0.31487</cdr:x>
      <cdr:y>0.18857</cdr:y>
    </cdr:from>
    <cdr:to>
      <cdr:x>0.36591</cdr:x>
      <cdr:y>0.2319</cdr:y>
    </cdr:to>
    <cdr:sp macro="" textlink="">
      <cdr:nvSpPr>
        <cdr:cNvPr id="21" name="Tekstiruutu 9"/>
        <cdr:cNvSpPr/>
      </cdr:nvSpPr>
      <cdr:spPr>
        <a:xfrm xmlns:a="http://schemas.openxmlformats.org/drawingml/2006/main">
          <a:off x="3911400" y="1541520"/>
          <a:ext cx="633960" cy="3542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</cdr:sp>
  </cdr:relSizeAnchor>
  <cdr:relSizeAnchor xmlns:cdr="http://schemas.openxmlformats.org/drawingml/2006/chartDrawing">
    <cdr:from>
      <cdr:x>0.30699</cdr:x>
      <cdr:y>0.18659</cdr:y>
    </cdr:from>
    <cdr:to>
      <cdr:x>0.35802</cdr:x>
      <cdr:y>0.24577</cdr:y>
    </cdr:to>
    <cdr:sp macro="" textlink="">
      <cdr:nvSpPr>
        <cdr:cNvPr id="22" name="Tekstiruutu 10"/>
        <cdr:cNvSpPr/>
      </cdr:nvSpPr>
      <cdr:spPr>
        <a:xfrm xmlns:a="http://schemas.openxmlformats.org/drawingml/2006/main">
          <a:off x="3813480" y="1525320"/>
          <a:ext cx="633960" cy="4838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</cdr:sp>
  </cdr:relSizeAnchor>
  <cdr:relSizeAnchor xmlns:cdr="http://schemas.openxmlformats.org/drawingml/2006/chartDrawing">
    <cdr:from>
      <cdr:x>0.3096</cdr:x>
      <cdr:y>0.21041</cdr:y>
    </cdr:from>
    <cdr:to>
      <cdr:x>0.35405</cdr:x>
      <cdr:y>0.25766</cdr:y>
    </cdr:to>
    <cdr:sp macro="" textlink="">
      <cdr:nvSpPr>
        <cdr:cNvPr id="23" name="Tekstiruutu 11"/>
        <cdr:cNvSpPr/>
      </cdr:nvSpPr>
      <cdr:spPr>
        <a:xfrm xmlns:a="http://schemas.openxmlformats.org/drawingml/2006/main">
          <a:off x="3845880" y="1720080"/>
          <a:ext cx="552240" cy="386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900" b="1" strike="noStrike" spc="-1">
              <a:latin typeface="Times New Roman"/>
            </a:rPr>
            <a:t>TAE</a:t>
          </a:r>
          <a:endParaRPr sz="1900" b="0" strike="noStrike" spc="-1">
            <a:latin typeface="Times New Roman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1193760</xdr:colOff>
      <xdr:row>27</xdr:row>
      <xdr:rowOff>99720</xdr:rowOff>
    </xdr:from>
    <xdr:to>
      <xdr:col>23</xdr:col>
      <xdr:colOff>1455</xdr:colOff>
      <xdr:row>82</xdr:row>
      <xdr:rowOff>42840</xdr:rowOff>
    </xdr:to>
    <xdr:graphicFrame macro="">
      <xdr:nvGraphicFramePr>
        <xdr:cNvPr id="25" name="Kaavio 12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0.03527</cdr:x>
      <cdr:y>0.08502</cdr:y>
    </cdr:from>
    <cdr:to>
      <cdr:x>0.13062</cdr:x>
      <cdr:y>0.20373</cdr:y>
    </cdr:to>
    <cdr:sp macro="" textlink="">
      <cdr:nvSpPr>
        <cdr:cNvPr id="26" name="Tekstiruutu 1"/>
        <cdr:cNvSpPr/>
      </cdr:nvSpPr>
      <cdr:spPr>
        <a:xfrm xmlns:a="http://schemas.openxmlformats.org/drawingml/2006/main">
          <a:off x="388080" y="752400"/>
          <a:ext cx="1049040" cy="10504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</cdr:sp>
  </cdr:relSizeAnchor>
  <cdr:relSizeAnchor xmlns:cdr="http://schemas.openxmlformats.org/drawingml/2006/chartDrawing">
    <cdr:from>
      <cdr:x>0.00605</cdr:x>
      <cdr:y>0.12839</cdr:y>
    </cdr:from>
    <cdr:to>
      <cdr:x>0.05998</cdr:x>
      <cdr:y>0.18127</cdr:y>
    </cdr:to>
    <cdr:pic>
      <cdr:nvPicPr>
        <cdr:cNvPr id="27" name="chart">
          <a:extLst xmlns:a="http://schemas.openxmlformats.org/drawingml/2006/main">
            <a:ext uri="{FF2B5EF4-FFF2-40B4-BE49-F238E27FC236}">
              <a16:creationId xmlns:a16="http://schemas.microsoft.com/office/drawing/2014/main" id="{ACBF71AA-9BA8-DCE4-E84C-21F222027706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/>
      </cdr:blipFill>
      <cdr:spPr>
        <a:xfrm xmlns:a="http://schemas.openxmlformats.org/drawingml/2006/main">
          <a:off x="66600" y="1136160"/>
          <a:ext cx="593280" cy="468000"/>
        </a:xfrm>
        <a:prstGeom xmlns:a="http://schemas.openxmlformats.org/drawingml/2006/main" prst="rect">
          <a:avLst/>
        </a:prstGeom>
        <a:ln xmlns:a="http://schemas.openxmlformats.org/drawingml/2006/main" w="0">
          <a:noFill/>
        </a:ln>
      </cdr:spPr>
    </cdr:pic>
  </cdr:relSizeAnchor>
  <cdr:relSizeAnchor xmlns:cdr="http://schemas.openxmlformats.org/drawingml/2006/chartDrawing">
    <cdr:from>
      <cdr:x>0.08858</cdr:x>
      <cdr:y>0.31999</cdr:y>
    </cdr:from>
    <cdr:to>
      <cdr:x>0.12801</cdr:x>
      <cdr:y>0.3577</cdr:y>
    </cdr:to>
    <cdr:sp macro="" textlink="">
      <cdr:nvSpPr>
        <cdr:cNvPr id="28" name="Tekstiruutu 4"/>
        <cdr:cNvSpPr/>
      </cdr:nvSpPr>
      <cdr:spPr>
        <a:xfrm xmlns:a="http://schemas.openxmlformats.org/drawingml/2006/main">
          <a:off x="974520" y="2831760"/>
          <a:ext cx="433800" cy="3337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600" b="1" strike="noStrike" spc="-1">
              <a:latin typeface="Arial"/>
            </a:rPr>
            <a:t>TP</a:t>
          </a:r>
          <a:endParaRPr sz="16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0.15199</cdr:x>
      <cdr:y>0.27947</cdr:y>
    </cdr:from>
    <cdr:to>
      <cdr:x>0.20736</cdr:x>
      <cdr:y>0.32544</cdr:y>
    </cdr:to>
    <cdr:sp macro="" textlink="">
      <cdr:nvSpPr>
        <cdr:cNvPr id="29" name="Tekstiruutu 5"/>
        <cdr:cNvSpPr/>
      </cdr:nvSpPr>
      <cdr:spPr>
        <a:xfrm xmlns:a="http://schemas.openxmlformats.org/drawingml/2006/main">
          <a:off x="1672200" y="2473200"/>
          <a:ext cx="609120" cy="4068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600" b="1" strike="noStrike" spc="-1">
              <a:latin typeface="Arial"/>
            </a:rPr>
            <a:t> TP</a:t>
          </a:r>
          <a:endParaRPr sz="1600" b="0" strike="noStrike" spc="-1">
            <a:latin typeface="Times New Roman"/>
          </a:endParaRPr>
        </a:p>
        <a:p xmlns:a="http://schemas.openxmlformats.org/drawingml/2006/main">
          <a:pPr>
            <a:lnSpc>
              <a:spcPct val="100000"/>
            </a:lnSpc>
          </a:pPr>
          <a:endParaRPr sz="16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0.2315</cdr:x>
      <cdr:y>0.28423</cdr:y>
    </cdr:from>
    <cdr:to>
      <cdr:x>0.27794</cdr:x>
      <cdr:y>0.32788</cdr:y>
    </cdr:to>
    <cdr:sp macro="" textlink="">
      <cdr:nvSpPr>
        <cdr:cNvPr id="30" name="Tekstiruutu 6"/>
        <cdr:cNvSpPr/>
      </cdr:nvSpPr>
      <cdr:spPr>
        <a:xfrm xmlns:a="http://schemas.openxmlformats.org/drawingml/2006/main">
          <a:off x="2547000" y="2515320"/>
          <a:ext cx="510840" cy="386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600" b="1" strike="noStrike" spc="-1">
              <a:latin typeface="Arial"/>
            </a:rPr>
            <a:t>TA</a:t>
          </a:r>
          <a:endParaRPr sz="1600" b="0" strike="noStrike" spc="-1">
            <a:latin typeface="Times New Roman"/>
          </a:endParaRPr>
        </a:p>
        <a:p xmlns:a="http://schemas.openxmlformats.org/drawingml/2006/main">
          <a:pPr>
            <a:lnSpc>
              <a:spcPct val="100000"/>
            </a:lnSpc>
          </a:pPr>
          <a:endParaRPr sz="1600" b="0" strike="noStrike" spc="-1">
            <a:latin typeface="Times New Roman"/>
          </a:endParaRPr>
        </a:p>
        <a:p xmlns:a="http://schemas.openxmlformats.org/drawingml/2006/main">
          <a:pPr>
            <a:lnSpc>
              <a:spcPct val="100000"/>
            </a:lnSpc>
          </a:pPr>
          <a:endParaRPr sz="16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0.30241</cdr:x>
      <cdr:y>0.25388</cdr:y>
    </cdr:from>
    <cdr:to>
      <cdr:x>0.35359</cdr:x>
      <cdr:y>0.29017</cdr:y>
    </cdr:to>
    <cdr:sp macro="" textlink="">
      <cdr:nvSpPr>
        <cdr:cNvPr id="31" name="Tekstiruutu 2"/>
        <cdr:cNvSpPr/>
      </cdr:nvSpPr>
      <cdr:spPr>
        <a:xfrm xmlns:a="http://schemas.openxmlformats.org/drawingml/2006/main">
          <a:off x="3327120" y="2246760"/>
          <a:ext cx="563040" cy="3211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900" b="1" strike="noStrike" spc="-1">
              <a:latin typeface="Times New Roman"/>
            </a:rPr>
            <a:t>TAE</a:t>
          </a:r>
          <a:endParaRPr sz="1900" b="0" strike="noStrike" spc="-1">
            <a:latin typeface="Times New Roman"/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2099880</xdr:colOff>
      <xdr:row>24</xdr:row>
      <xdr:rowOff>92880</xdr:rowOff>
    </xdr:from>
    <xdr:to>
      <xdr:col>21</xdr:col>
      <xdr:colOff>126720</xdr:colOff>
      <xdr:row>90</xdr:row>
      <xdr:rowOff>105120</xdr:rowOff>
    </xdr:to>
    <xdr:graphicFrame macro="">
      <xdr:nvGraphicFramePr>
        <xdr:cNvPr id="32" name="Kaavio 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0.11781</cdr:x>
      <cdr:y>0.26193</cdr:y>
    </cdr:from>
    <cdr:to>
      <cdr:x>0.16655</cdr:x>
      <cdr:y>0.29927</cdr:y>
    </cdr:to>
    <cdr:sp macro="" textlink="">
      <cdr:nvSpPr>
        <cdr:cNvPr id="33" name="Tekstiruutu 1"/>
        <cdr:cNvSpPr/>
      </cdr:nvSpPr>
      <cdr:spPr>
        <a:xfrm xmlns:a="http://schemas.openxmlformats.org/drawingml/2006/main">
          <a:off x="1249560" y="2802600"/>
          <a:ext cx="516960" cy="399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600" b="1" strike="noStrike" spc="-1">
              <a:latin typeface="Arial"/>
            </a:rPr>
            <a:t>TP</a:t>
          </a:r>
          <a:endParaRPr sz="16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0.18467</cdr:x>
      <cdr:y>0.2485</cdr:y>
    </cdr:from>
    <cdr:to>
      <cdr:x>0.23691</cdr:x>
      <cdr:y>0.29053</cdr:y>
    </cdr:to>
    <cdr:sp macro="" textlink="">
      <cdr:nvSpPr>
        <cdr:cNvPr id="34" name="Tekstiruutu 2"/>
        <cdr:cNvSpPr/>
      </cdr:nvSpPr>
      <cdr:spPr>
        <a:xfrm xmlns:a="http://schemas.openxmlformats.org/drawingml/2006/main">
          <a:off x="1958760" y="2658960"/>
          <a:ext cx="554040" cy="4496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600" b="1" strike="noStrike" spc="-1">
              <a:latin typeface="Arial"/>
            </a:rPr>
            <a:t>TA</a:t>
          </a:r>
          <a:endParaRPr sz="16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0.24237</cdr:x>
      <cdr:y>0.14989</cdr:y>
    </cdr:from>
    <cdr:to>
      <cdr:x>0.29383</cdr:x>
      <cdr:y>0.24379</cdr:y>
    </cdr:to>
    <cdr:sp macro="" textlink="">
      <cdr:nvSpPr>
        <cdr:cNvPr id="35" name="Tekstiruutu 3"/>
        <cdr:cNvSpPr/>
      </cdr:nvSpPr>
      <cdr:spPr>
        <a:xfrm xmlns:a="http://schemas.openxmlformats.org/drawingml/2006/main">
          <a:off x="2570760" y="1603800"/>
          <a:ext cx="545760" cy="10047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800" b="1" strike="noStrike" spc="-1">
              <a:latin typeface="Times New Roman"/>
            </a:rPr>
            <a:t>  </a:t>
          </a:r>
          <a:r>
            <a:rPr lang="fi-FI" sz="1600" b="1" strike="noStrike" spc="-1">
              <a:latin typeface="Arial"/>
            </a:rPr>
            <a:t>TAE</a:t>
          </a:r>
          <a:endParaRPr sz="1600" b="0" strike="noStrike" spc="-1">
            <a:latin typeface="Times New Roman"/>
          </a:endParaRPr>
        </a:p>
        <a:p xmlns:a="http://schemas.openxmlformats.org/drawingml/2006/main">
          <a:pPr>
            <a:lnSpc>
              <a:spcPct val="100000"/>
            </a:lnSpc>
          </a:pPr>
          <a:endParaRPr sz="1800" b="0" strike="noStrike" spc="-1">
            <a:latin typeface="Times New Roman"/>
          </a:endParaRPr>
        </a:p>
        <a:p xmlns:a="http://schemas.openxmlformats.org/drawingml/2006/main">
          <a:pPr>
            <a:lnSpc>
              <a:spcPct val="100000"/>
            </a:lnSpc>
          </a:pPr>
          <a:endParaRPr sz="1600" b="0" strike="noStrike" spc="-1">
            <a:latin typeface="Times New Roman"/>
          </a:endParaRPr>
        </a:p>
        <a:p xmlns:a="http://schemas.openxmlformats.org/drawingml/2006/main">
          <a:pPr>
            <a:lnSpc>
              <a:spcPct val="100000"/>
            </a:lnSpc>
          </a:pPr>
          <a:endParaRPr sz="1100" b="0" strike="noStrike" spc="-1">
            <a:latin typeface="Times New Roman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ank&#228;ytt&#246;/Katu-ja_Puistoinvestoinnit/Talousarvioehdotus/TAE22/TAE22_202111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E202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643"/>
  <sheetViews>
    <sheetView zoomScale="55" zoomScaleNormal="55" workbookViewId="0">
      <pane ySplit="9" topLeftCell="A40" activePane="bottomLeft" state="frozen"/>
      <selection pane="bottomLeft" activeCell="AI64" sqref="AI64"/>
    </sheetView>
  </sheetViews>
  <sheetFormatPr defaultColWidth="8.44140625" defaultRowHeight="13.2" x14ac:dyDescent="0.25"/>
  <cols>
    <col min="1" max="1" width="15.33203125" customWidth="1"/>
    <col min="2" max="2" width="82.109375" customWidth="1"/>
    <col min="3" max="3" width="13.33203125" hidden="1" customWidth="1"/>
    <col min="4" max="4" width="11.33203125" hidden="1" customWidth="1"/>
    <col min="5" max="5" width="9.6640625" style="1" hidden="1" customWidth="1"/>
    <col min="6" max="6" width="9.6640625" hidden="1" customWidth="1"/>
    <col min="7" max="8" width="12.33203125" hidden="1" customWidth="1"/>
    <col min="9" max="9" width="12.33203125" style="2" hidden="1" customWidth="1"/>
    <col min="10" max="10" width="9.6640625" hidden="1" customWidth="1"/>
    <col min="11" max="11" width="11" style="3" hidden="1" customWidth="1"/>
    <col min="12" max="12" width="10.33203125" style="3" hidden="1" customWidth="1"/>
    <col min="13" max="14" width="9.6640625" style="4" hidden="1" customWidth="1"/>
    <col min="15" max="15" width="9.6640625" style="3" hidden="1" customWidth="1"/>
    <col min="16" max="16" width="12.6640625" style="5" hidden="1" customWidth="1"/>
    <col min="17" max="17" width="9.6640625" style="5" hidden="1" customWidth="1"/>
    <col min="18" max="18" width="10" style="5" hidden="1" customWidth="1"/>
    <col min="19" max="22" width="10.44140625" style="5" hidden="1" customWidth="1"/>
    <col min="23" max="23" width="11.88671875" style="5" hidden="1" customWidth="1"/>
    <col min="24" max="25" width="10.44140625" style="5" hidden="1" customWidth="1"/>
    <col min="26" max="32" width="8.6640625" hidden="1" customWidth="1"/>
    <col min="33" max="33" width="18" customWidth="1"/>
    <col min="34" max="34" width="21.33203125" customWidth="1"/>
    <col min="35" max="42" width="8.6640625" customWidth="1"/>
  </cols>
  <sheetData>
    <row r="1" spans="1:25" ht="15.75" customHeight="1" x14ac:dyDescent="0.3">
      <c r="A1" s="6" t="s">
        <v>0</v>
      </c>
      <c r="B1" s="6"/>
      <c r="C1" s="6"/>
      <c r="D1" s="6"/>
      <c r="E1" s="7"/>
      <c r="F1" s="6"/>
      <c r="G1" s="6"/>
      <c r="H1" s="6"/>
      <c r="I1" s="8"/>
      <c r="J1" s="8"/>
      <c r="L1" s="9"/>
      <c r="M1" s="10"/>
      <c r="N1" s="10"/>
      <c r="O1" s="9"/>
      <c r="P1" s="11"/>
    </row>
    <row r="2" spans="1:25" ht="15.75" customHeight="1" x14ac:dyDescent="0.3">
      <c r="A2" s="6" t="s">
        <v>1</v>
      </c>
      <c r="B2" s="6"/>
      <c r="C2" s="6"/>
      <c r="D2" s="6"/>
      <c r="E2" s="7"/>
      <c r="F2" s="6"/>
      <c r="G2" s="6"/>
      <c r="H2" s="6"/>
      <c r="I2" s="6"/>
      <c r="J2" s="6"/>
      <c r="T2" s="11"/>
      <c r="W2" s="12">
        <v>44884</v>
      </c>
    </row>
    <row r="3" spans="1:25" ht="15.75" customHeight="1" x14ac:dyDescent="0.3">
      <c r="A3" s="6" t="s">
        <v>2</v>
      </c>
      <c r="B3" s="6"/>
      <c r="C3" s="13" t="s">
        <v>3</v>
      </c>
      <c r="D3" s="14"/>
      <c r="E3" s="7"/>
      <c r="F3" s="7"/>
      <c r="G3" s="6"/>
      <c r="H3" s="2"/>
      <c r="I3" s="15"/>
      <c r="J3" s="15"/>
      <c r="L3" s="16"/>
      <c r="M3" s="12"/>
      <c r="N3" s="12"/>
      <c r="O3" s="17"/>
      <c r="P3" s="11"/>
      <c r="Q3" s="16"/>
      <c r="R3" s="18"/>
      <c r="S3" s="16"/>
      <c r="W3" s="12"/>
    </row>
    <row r="4" spans="1:25" ht="15.75" customHeight="1" x14ac:dyDescent="0.25">
      <c r="A4" s="19" t="s">
        <v>4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1"/>
      <c r="S4" s="21"/>
      <c r="T4" s="21"/>
      <c r="U4" s="21"/>
      <c r="W4" s="12"/>
    </row>
    <row r="5" spans="1:25" ht="15.75" customHeight="1" x14ac:dyDescent="0.3">
      <c r="A5" s="19" t="s">
        <v>5</v>
      </c>
      <c r="B5" s="6"/>
      <c r="C5" s="22"/>
      <c r="D5" s="22"/>
      <c r="E5" s="23"/>
      <c r="F5" s="7" t="s">
        <v>3</v>
      </c>
      <c r="G5" s="22" t="s">
        <v>3</v>
      </c>
      <c r="H5" s="22" t="s">
        <v>3</v>
      </c>
      <c r="I5" s="22"/>
      <c r="J5" s="22"/>
      <c r="W5" s="4"/>
    </row>
    <row r="6" spans="1:25" ht="15" customHeight="1" x14ac:dyDescent="0.3">
      <c r="A6" s="24" t="s">
        <v>6</v>
      </c>
      <c r="B6" s="25"/>
      <c r="C6" s="26" t="s">
        <v>7</v>
      </c>
      <c r="D6" s="27" t="s">
        <v>7</v>
      </c>
      <c r="E6" s="28" t="s">
        <v>7</v>
      </c>
      <c r="F6" s="28" t="s">
        <v>7</v>
      </c>
      <c r="G6" s="28" t="s">
        <v>7</v>
      </c>
      <c r="H6" s="28" t="s">
        <v>7</v>
      </c>
      <c r="I6" s="28" t="s">
        <v>7</v>
      </c>
      <c r="J6" s="29" t="s">
        <v>7</v>
      </c>
      <c r="K6" s="29" t="s">
        <v>7</v>
      </c>
      <c r="L6" s="29" t="s">
        <v>7</v>
      </c>
      <c r="M6" s="30" t="s">
        <v>7</v>
      </c>
      <c r="N6" s="31" t="s">
        <v>7</v>
      </c>
      <c r="O6" s="30" t="s">
        <v>8</v>
      </c>
      <c r="P6" s="32" t="s">
        <v>9</v>
      </c>
      <c r="Q6" s="892" t="s">
        <v>10</v>
      </c>
      <c r="R6" s="892"/>
      <c r="S6" s="893" t="s">
        <v>11</v>
      </c>
      <c r="T6" s="893"/>
      <c r="U6" s="893"/>
      <c r="V6" s="893"/>
      <c r="W6" s="893"/>
      <c r="X6" s="893"/>
      <c r="Y6" s="893"/>
    </row>
    <row r="7" spans="1:25" ht="15" customHeight="1" x14ac:dyDescent="0.3">
      <c r="A7" s="33" t="s">
        <v>12</v>
      </c>
      <c r="B7" s="34" t="s">
        <v>13</v>
      </c>
      <c r="C7" s="35">
        <v>2010</v>
      </c>
      <c r="D7" s="36">
        <v>2011</v>
      </c>
      <c r="E7" s="35">
        <v>2012</v>
      </c>
      <c r="F7" s="35">
        <v>2013</v>
      </c>
      <c r="G7" s="35">
        <v>2014</v>
      </c>
      <c r="H7" s="35">
        <v>2015</v>
      </c>
      <c r="I7" s="35">
        <v>2016</v>
      </c>
      <c r="J7" s="37">
        <v>2017</v>
      </c>
      <c r="K7" s="37">
        <v>2018</v>
      </c>
      <c r="L7" s="37">
        <v>2019</v>
      </c>
      <c r="M7" s="38">
        <v>2020</v>
      </c>
      <c r="N7" s="39">
        <v>2021</v>
      </c>
      <c r="O7" s="38">
        <v>2022</v>
      </c>
      <c r="P7" s="40">
        <v>2023</v>
      </c>
      <c r="Q7" s="38">
        <v>2024</v>
      </c>
      <c r="R7" s="38">
        <v>2025</v>
      </c>
      <c r="S7" s="39">
        <v>2026</v>
      </c>
      <c r="T7" s="39">
        <v>2027</v>
      </c>
      <c r="U7" s="39">
        <v>2028</v>
      </c>
      <c r="V7" s="39">
        <v>2029</v>
      </c>
      <c r="W7" s="41">
        <v>2030</v>
      </c>
      <c r="X7" s="38">
        <v>2031</v>
      </c>
      <c r="Y7" s="38">
        <v>2032</v>
      </c>
    </row>
    <row r="8" spans="1:25" ht="15" customHeight="1" x14ac:dyDescent="0.3">
      <c r="A8" s="33"/>
      <c r="B8" s="34"/>
      <c r="C8" s="35"/>
      <c r="D8" s="36"/>
      <c r="E8" s="35"/>
      <c r="F8" s="35"/>
      <c r="G8" s="35"/>
      <c r="H8" s="35"/>
      <c r="I8" s="35"/>
      <c r="J8" s="37"/>
      <c r="K8" s="37"/>
      <c r="L8" s="37"/>
      <c r="M8" s="38"/>
      <c r="N8" s="39"/>
      <c r="O8" s="38" t="s">
        <v>14</v>
      </c>
      <c r="P8" s="40"/>
      <c r="Q8" s="38"/>
      <c r="R8" s="38"/>
      <c r="S8" s="39"/>
      <c r="T8" s="39"/>
      <c r="U8" s="39"/>
      <c r="V8" s="39"/>
      <c r="W8" s="41"/>
      <c r="X8" s="38"/>
      <c r="Y8" s="38"/>
    </row>
    <row r="9" spans="1:25" ht="15" customHeight="1" x14ac:dyDescent="0.25">
      <c r="A9" s="42"/>
      <c r="B9" s="43"/>
      <c r="C9" s="44" t="s">
        <v>15</v>
      </c>
      <c r="D9" s="45" t="s">
        <v>15</v>
      </c>
      <c r="E9" s="44" t="s">
        <v>15</v>
      </c>
      <c r="F9" s="44" t="s">
        <v>15</v>
      </c>
      <c r="G9" s="44" t="s">
        <v>15</v>
      </c>
      <c r="H9" s="44" t="s">
        <v>15</v>
      </c>
      <c r="I9" s="44" t="s">
        <v>15</v>
      </c>
      <c r="J9" s="46" t="s">
        <v>15</v>
      </c>
      <c r="K9" s="46" t="s">
        <v>15</v>
      </c>
      <c r="L9" s="46" t="s">
        <v>15</v>
      </c>
      <c r="M9" s="47" t="s">
        <v>15</v>
      </c>
      <c r="N9" s="47" t="s">
        <v>15</v>
      </c>
      <c r="O9" s="47" t="s">
        <v>15</v>
      </c>
      <c r="P9" s="48" t="s">
        <v>15</v>
      </c>
      <c r="Q9" s="47" t="s">
        <v>15</v>
      </c>
      <c r="R9" s="47" t="s">
        <v>15</v>
      </c>
      <c r="S9" s="49">
        <v>1000</v>
      </c>
      <c r="T9" s="49">
        <v>1000</v>
      </c>
      <c r="U9" s="49">
        <v>1000</v>
      </c>
      <c r="V9" s="49">
        <v>1000</v>
      </c>
      <c r="W9" s="50">
        <v>1000</v>
      </c>
      <c r="X9" s="49">
        <v>1000</v>
      </c>
      <c r="Y9" s="49">
        <v>1000</v>
      </c>
    </row>
    <row r="10" spans="1:25" ht="15" x14ac:dyDescent="0.25">
      <c r="A10" s="51"/>
      <c r="B10" s="52"/>
      <c r="C10" s="53"/>
      <c r="D10" s="54"/>
      <c r="E10" s="53"/>
      <c r="F10" s="53"/>
      <c r="G10" s="53"/>
      <c r="H10" s="53"/>
      <c r="I10" s="53"/>
      <c r="J10" s="53"/>
      <c r="K10" s="55"/>
      <c r="L10" s="55"/>
      <c r="M10" s="56"/>
      <c r="N10" s="57"/>
      <c r="O10" s="58"/>
      <c r="P10" s="59"/>
      <c r="Q10" s="58"/>
      <c r="R10" s="58"/>
      <c r="S10" s="60"/>
      <c r="T10" s="60"/>
      <c r="U10" s="60"/>
      <c r="V10" s="60"/>
      <c r="W10" s="61"/>
      <c r="X10" s="60"/>
      <c r="Y10" s="60"/>
    </row>
    <row r="11" spans="1:25" ht="15.6" x14ac:dyDescent="0.3">
      <c r="A11" s="62" t="s">
        <v>3</v>
      </c>
      <c r="B11" s="52"/>
      <c r="C11" s="53"/>
      <c r="D11" s="54"/>
      <c r="E11" s="53"/>
      <c r="F11" s="53"/>
      <c r="G11" s="53"/>
      <c r="H11" s="53"/>
      <c r="I11" s="53"/>
      <c r="J11" s="53"/>
      <c r="K11" s="55"/>
      <c r="L11" s="55"/>
      <c r="M11" s="56"/>
      <c r="N11" s="57"/>
      <c r="O11" s="58"/>
      <c r="P11" s="59"/>
      <c r="Q11" s="58"/>
      <c r="R11" s="58"/>
      <c r="S11" s="60"/>
      <c r="T11" s="60"/>
      <c r="U11" s="60"/>
      <c r="V11" s="60"/>
      <c r="W11" s="61"/>
      <c r="X11" s="60"/>
      <c r="Y11" s="60"/>
    </row>
    <row r="12" spans="1:25" ht="15.6" x14ac:dyDescent="0.3">
      <c r="A12" s="63" t="s">
        <v>16</v>
      </c>
      <c r="B12" s="64" t="s">
        <v>17</v>
      </c>
      <c r="C12" s="53">
        <f t="shared" ref="C12:K12" si="0">C22+C42</f>
        <v>42460</v>
      </c>
      <c r="D12" s="54">
        <f t="shared" si="0"/>
        <v>53901</v>
      </c>
      <c r="E12" s="53">
        <f t="shared" si="0"/>
        <v>50899</v>
      </c>
      <c r="F12" s="53">
        <f t="shared" si="0"/>
        <v>33043</v>
      </c>
      <c r="G12" s="53">
        <f t="shared" si="0"/>
        <v>28308</v>
      </c>
      <c r="H12" s="53">
        <f t="shared" si="0"/>
        <v>46281</v>
      </c>
      <c r="I12" s="53">
        <f t="shared" si="0"/>
        <v>73343</v>
      </c>
      <c r="J12" s="53">
        <f t="shared" si="0"/>
        <v>66704</v>
      </c>
      <c r="K12" s="65">
        <f t="shared" si="0"/>
        <v>64458</v>
      </c>
      <c r="L12" s="65">
        <f>L22+L42+L17</f>
        <v>105749</v>
      </c>
      <c r="M12" s="66">
        <f>M22+M42+M17</f>
        <v>135180.41499999998</v>
      </c>
      <c r="N12" s="67">
        <f>N22+N42+N17</f>
        <v>112026.40974000002</v>
      </c>
      <c r="O12" s="66">
        <f>O22+O42+O17</f>
        <v>42786</v>
      </c>
      <c r="P12" s="68">
        <f t="shared" ref="P12:Y12" si="1">P17+P42</f>
        <v>32200</v>
      </c>
      <c r="Q12" s="66">
        <f t="shared" si="1"/>
        <v>28900</v>
      </c>
      <c r="R12" s="66">
        <f t="shared" si="1"/>
        <v>35400</v>
      </c>
      <c r="S12" s="66">
        <f t="shared" si="1"/>
        <v>42600</v>
      </c>
      <c r="T12" s="66">
        <f t="shared" si="1"/>
        <v>45300</v>
      </c>
      <c r="U12" s="66">
        <f t="shared" si="1"/>
        <v>43900</v>
      </c>
      <c r="V12" s="66">
        <f t="shared" si="1"/>
        <v>52400</v>
      </c>
      <c r="W12" s="65">
        <f t="shared" si="1"/>
        <v>51500</v>
      </c>
      <c r="X12" s="66">
        <f t="shared" si="1"/>
        <v>46900</v>
      </c>
      <c r="Y12" s="66">
        <f t="shared" si="1"/>
        <v>46800</v>
      </c>
    </row>
    <row r="13" spans="1:25" ht="15.6" x14ac:dyDescent="0.3">
      <c r="A13" s="69"/>
      <c r="B13" s="70" t="s">
        <v>18</v>
      </c>
      <c r="C13" s="53"/>
      <c r="D13" s="54"/>
      <c r="E13" s="71"/>
      <c r="F13" s="53"/>
      <c r="G13" s="53"/>
      <c r="H13" s="53"/>
      <c r="I13" s="53"/>
      <c r="J13" s="53"/>
      <c r="K13" s="65"/>
      <c r="L13" s="65"/>
      <c r="M13" s="66"/>
      <c r="N13" s="67"/>
      <c r="O13" s="72">
        <f>O18+O43</f>
        <v>9386</v>
      </c>
      <c r="P13" s="68"/>
      <c r="Q13" s="66"/>
      <c r="R13" s="66"/>
      <c r="S13" s="66"/>
      <c r="T13" s="66"/>
      <c r="U13" s="66"/>
      <c r="V13" s="66"/>
      <c r="W13" s="65"/>
      <c r="X13" s="66"/>
      <c r="Y13" s="66"/>
    </row>
    <row r="14" spans="1:25" ht="15" customHeight="1" x14ac:dyDescent="0.3">
      <c r="A14" s="33"/>
      <c r="B14" s="73" t="s">
        <v>19</v>
      </c>
      <c r="C14" s="74"/>
      <c r="D14" s="74"/>
      <c r="E14" s="2"/>
      <c r="F14" s="75"/>
      <c r="G14" s="75"/>
      <c r="H14" s="75"/>
      <c r="I14" s="75"/>
      <c r="J14" s="75"/>
      <c r="K14" s="76"/>
      <c r="L14" s="77"/>
      <c r="M14" s="78"/>
      <c r="N14" s="78"/>
      <c r="O14" s="79"/>
      <c r="P14" s="80">
        <f t="shared" ref="P14:X14" si="2">P19+P44</f>
        <v>32200</v>
      </c>
      <c r="Q14" s="81">
        <f t="shared" si="2"/>
        <v>28900</v>
      </c>
      <c r="R14" s="81">
        <f t="shared" si="2"/>
        <v>35400</v>
      </c>
      <c r="S14" s="81">
        <f t="shared" si="2"/>
        <v>37600</v>
      </c>
      <c r="T14" s="81">
        <f t="shared" si="2"/>
        <v>40300</v>
      </c>
      <c r="U14" s="81">
        <f t="shared" si="2"/>
        <v>41900</v>
      </c>
      <c r="V14" s="81">
        <f t="shared" si="2"/>
        <v>50400</v>
      </c>
      <c r="W14" s="82">
        <f t="shared" si="2"/>
        <v>50500</v>
      </c>
      <c r="X14" s="81">
        <f t="shared" si="2"/>
        <v>46900</v>
      </c>
      <c r="Y14" s="81"/>
    </row>
    <row r="15" spans="1:25" ht="15" customHeight="1" x14ac:dyDescent="0.3">
      <c r="A15" s="33"/>
      <c r="B15" s="73" t="s">
        <v>20</v>
      </c>
      <c r="C15" s="74"/>
      <c r="D15" s="74"/>
      <c r="E15" s="2"/>
      <c r="F15" s="75"/>
      <c r="G15" s="75"/>
      <c r="H15" s="75"/>
      <c r="I15" s="75"/>
      <c r="J15" s="75"/>
      <c r="K15" s="76"/>
      <c r="L15" s="77"/>
      <c r="M15" s="78"/>
      <c r="N15" s="78"/>
      <c r="O15" s="79"/>
      <c r="P15" s="80">
        <f t="shared" ref="P15:X15" si="3">P20+P45</f>
        <v>0</v>
      </c>
      <c r="Q15" s="81">
        <f t="shared" si="3"/>
        <v>0</v>
      </c>
      <c r="R15" s="81">
        <f t="shared" si="3"/>
        <v>0</v>
      </c>
      <c r="S15" s="81">
        <f t="shared" si="3"/>
        <v>5000</v>
      </c>
      <c r="T15" s="81">
        <f t="shared" si="3"/>
        <v>5000</v>
      </c>
      <c r="U15" s="81">
        <f t="shared" si="3"/>
        <v>2000</v>
      </c>
      <c r="V15" s="81">
        <f t="shared" si="3"/>
        <v>2000</v>
      </c>
      <c r="W15" s="82">
        <f t="shared" si="3"/>
        <v>1000</v>
      </c>
      <c r="X15" s="81">
        <f t="shared" si="3"/>
        <v>0</v>
      </c>
      <c r="Y15" s="81"/>
    </row>
    <row r="16" spans="1:25" ht="15.6" x14ac:dyDescent="0.3">
      <c r="A16" s="51"/>
      <c r="B16" s="83"/>
      <c r="C16" s="53"/>
      <c r="D16" s="54"/>
      <c r="E16" s="53"/>
      <c r="F16" s="53"/>
      <c r="G16" s="53"/>
      <c r="H16" s="53"/>
      <c r="I16" s="53"/>
      <c r="J16" s="53"/>
      <c r="K16" s="55"/>
      <c r="L16" s="84"/>
      <c r="M16" s="85" t="s">
        <v>3</v>
      </c>
      <c r="N16" s="86"/>
      <c r="O16" s="85" t="s">
        <v>3</v>
      </c>
      <c r="P16" s="87" t="s">
        <v>3</v>
      </c>
      <c r="Q16" s="88" t="s">
        <v>3</v>
      </c>
      <c r="R16" s="88" t="s">
        <v>3</v>
      </c>
      <c r="S16" s="88" t="s">
        <v>3</v>
      </c>
      <c r="T16" s="88" t="s">
        <v>3</v>
      </c>
      <c r="U16" s="88" t="s">
        <v>3</v>
      </c>
      <c r="V16" s="88" t="s">
        <v>3</v>
      </c>
      <c r="W16" s="89" t="s">
        <v>3</v>
      </c>
      <c r="X16" s="88" t="s">
        <v>3</v>
      </c>
      <c r="Y16" s="88"/>
    </row>
    <row r="17" spans="1:25" ht="31.2" x14ac:dyDescent="0.3">
      <c r="A17" s="90" t="s">
        <v>21</v>
      </c>
      <c r="B17" s="91" t="s">
        <v>22</v>
      </c>
      <c r="C17" s="53"/>
      <c r="D17" s="54"/>
      <c r="E17" s="53"/>
      <c r="F17" s="53"/>
      <c r="G17" s="53"/>
      <c r="H17" s="53"/>
      <c r="I17" s="53"/>
      <c r="J17" s="53"/>
      <c r="K17" s="55"/>
      <c r="L17" s="65">
        <v>20109</v>
      </c>
      <c r="M17" s="66">
        <v>10215</v>
      </c>
      <c r="N17" s="67">
        <f>7989745.77/1000</f>
        <v>7989.7457699999995</v>
      </c>
      <c r="O17" s="66">
        <f>13500+O18</f>
        <v>22886</v>
      </c>
      <c r="P17" s="68">
        <v>13500</v>
      </c>
      <c r="Q17" s="66">
        <v>13500</v>
      </c>
      <c r="R17" s="66">
        <v>17500</v>
      </c>
      <c r="S17" s="66">
        <v>15500</v>
      </c>
      <c r="T17" s="66">
        <v>15500</v>
      </c>
      <c r="U17" s="66">
        <v>15500</v>
      </c>
      <c r="V17" s="66">
        <v>16500</v>
      </c>
      <c r="W17" s="65">
        <v>16500</v>
      </c>
      <c r="X17" s="66">
        <v>16500</v>
      </c>
      <c r="Y17" s="66">
        <v>16500</v>
      </c>
    </row>
    <row r="18" spans="1:25" ht="15.6" x14ac:dyDescent="0.3">
      <c r="A18" s="90"/>
      <c r="B18" s="70" t="s">
        <v>23</v>
      </c>
      <c r="C18" s="53"/>
      <c r="D18" s="54"/>
      <c r="E18" s="71"/>
      <c r="F18" s="53"/>
      <c r="G18" s="53"/>
      <c r="H18" s="53"/>
      <c r="I18" s="53"/>
      <c r="J18" s="53"/>
      <c r="K18" s="55"/>
      <c r="L18" s="65"/>
      <c r="M18" s="66"/>
      <c r="N18" s="67"/>
      <c r="O18" s="72">
        <v>9386</v>
      </c>
      <c r="P18" s="68"/>
      <c r="Q18" s="66"/>
      <c r="R18" s="66"/>
      <c r="S18" s="66"/>
      <c r="T18" s="66"/>
      <c r="U18" s="66"/>
      <c r="V18" s="66"/>
      <c r="W18" s="65"/>
      <c r="X18" s="66"/>
      <c r="Y18" s="66"/>
    </row>
    <row r="19" spans="1:25" ht="15" customHeight="1" x14ac:dyDescent="0.3">
      <c r="A19" s="33"/>
      <c r="B19" s="73" t="s">
        <v>19</v>
      </c>
      <c r="C19" s="74"/>
      <c r="D19" s="74"/>
      <c r="E19" s="2"/>
      <c r="F19" s="75"/>
      <c r="G19" s="75"/>
      <c r="H19" s="75"/>
      <c r="I19" s="75"/>
      <c r="J19" s="75"/>
      <c r="K19" s="76"/>
      <c r="L19" s="77"/>
      <c r="M19" s="78"/>
      <c r="N19" s="78"/>
      <c r="O19" s="79"/>
      <c r="P19" s="80">
        <v>13500</v>
      </c>
      <c r="Q19" s="81">
        <v>13500</v>
      </c>
      <c r="R19" s="81">
        <v>17500</v>
      </c>
      <c r="S19" s="81">
        <v>15500</v>
      </c>
      <c r="T19" s="81">
        <v>15500</v>
      </c>
      <c r="U19" s="81">
        <v>15500</v>
      </c>
      <c r="V19" s="81">
        <v>16500</v>
      </c>
      <c r="W19" s="82">
        <v>16500</v>
      </c>
      <c r="X19" s="81">
        <v>16500</v>
      </c>
      <c r="Y19" s="81">
        <v>16500</v>
      </c>
    </row>
    <row r="20" spans="1:25" ht="15" customHeight="1" x14ac:dyDescent="0.3">
      <c r="A20" s="33"/>
      <c r="B20" s="73" t="s">
        <v>20</v>
      </c>
      <c r="C20" s="74"/>
      <c r="D20" s="74"/>
      <c r="E20" s="2"/>
      <c r="F20" s="75"/>
      <c r="G20" s="75"/>
      <c r="H20" s="75"/>
      <c r="I20" s="75"/>
      <c r="J20" s="75"/>
      <c r="K20" s="76"/>
      <c r="L20" s="77"/>
      <c r="M20" s="78"/>
      <c r="N20" s="78"/>
      <c r="O20" s="79"/>
      <c r="P20" s="80">
        <f t="shared" ref="P20:X20" si="4">P17-P19</f>
        <v>0</v>
      </c>
      <c r="Q20" s="81">
        <f t="shared" si="4"/>
        <v>0</v>
      </c>
      <c r="R20" s="81">
        <f t="shared" si="4"/>
        <v>0</v>
      </c>
      <c r="S20" s="81">
        <f t="shared" si="4"/>
        <v>0</v>
      </c>
      <c r="T20" s="81">
        <f t="shared" si="4"/>
        <v>0</v>
      </c>
      <c r="U20" s="81">
        <f t="shared" si="4"/>
        <v>0</v>
      </c>
      <c r="V20" s="81">
        <f t="shared" si="4"/>
        <v>0</v>
      </c>
      <c r="W20" s="82">
        <f t="shared" si="4"/>
        <v>0</v>
      </c>
      <c r="X20" s="81">
        <f t="shared" si="4"/>
        <v>0</v>
      </c>
      <c r="Y20" s="81"/>
    </row>
    <row r="21" spans="1:25" ht="15" x14ac:dyDescent="0.25">
      <c r="A21" s="51"/>
      <c r="B21" s="92"/>
      <c r="C21" s="53"/>
      <c r="D21" s="54"/>
      <c r="E21" s="53"/>
      <c r="F21" s="71"/>
      <c r="G21" s="53"/>
      <c r="H21" s="53"/>
      <c r="I21" s="53"/>
      <c r="J21" s="53"/>
      <c r="K21" s="55"/>
      <c r="L21" s="55"/>
      <c r="M21" s="58"/>
      <c r="N21" s="93"/>
      <c r="O21" s="58"/>
      <c r="P21" s="59"/>
      <c r="Q21" s="93"/>
      <c r="R21" s="93"/>
      <c r="S21" s="93"/>
      <c r="T21" s="60"/>
      <c r="U21" s="60"/>
      <c r="V21" s="60"/>
      <c r="W21" s="61"/>
      <c r="X21" s="60"/>
      <c r="Y21" s="60"/>
    </row>
    <row r="22" spans="1:25" ht="15.6" x14ac:dyDescent="0.3">
      <c r="A22" s="90" t="s">
        <v>24</v>
      </c>
      <c r="B22" s="34" t="s">
        <v>25</v>
      </c>
      <c r="C22" s="94">
        <f t="shared" ref="C22:L22" si="5">SUM(C26+C28+C30+C32+C34+C36+C38)</f>
        <v>27097</v>
      </c>
      <c r="D22" s="94">
        <f t="shared" si="5"/>
        <v>38476</v>
      </c>
      <c r="E22" s="94">
        <f t="shared" si="5"/>
        <v>36243</v>
      </c>
      <c r="F22" s="94">
        <f t="shared" si="5"/>
        <v>21087</v>
      </c>
      <c r="G22" s="94">
        <f t="shared" si="5"/>
        <v>16210</v>
      </c>
      <c r="H22" s="94">
        <f t="shared" si="5"/>
        <v>33797</v>
      </c>
      <c r="I22" s="94">
        <f t="shared" si="5"/>
        <v>54107</v>
      </c>
      <c r="J22" s="94">
        <f t="shared" si="5"/>
        <v>52707</v>
      </c>
      <c r="K22" s="94">
        <f t="shared" si="5"/>
        <v>44021</v>
      </c>
      <c r="L22" s="94">
        <f t="shared" si="5"/>
        <v>55557</v>
      </c>
      <c r="M22" s="95">
        <f>SUM(M26+M28+M30+M32+M34+M36+M38+M40)</f>
        <v>96405.285999999993</v>
      </c>
      <c r="N22" s="96">
        <f>SUM(N26+N28+N30+N32+N34+N36+N38+N40)</f>
        <v>68244.746540000022</v>
      </c>
      <c r="O22" s="95">
        <f t="shared" ref="O22:X22" si="6">SUM(O28:O40)</f>
        <v>0</v>
      </c>
      <c r="P22" s="97">
        <f t="shared" si="6"/>
        <v>0</v>
      </c>
      <c r="Q22" s="95">
        <f t="shared" si="6"/>
        <v>0</v>
      </c>
      <c r="R22" s="95">
        <f t="shared" si="6"/>
        <v>0</v>
      </c>
      <c r="S22" s="95">
        <f t="shared" si="6"/>
        <v>0</v>
      </c>
      <c r="T22" s="95">
        <f t="shared" si="6"/>
        <v>0</v>
      </c>
      <c r="U22" s="95">
        <f t="shared" si="6"/>
        <v>0</v>
      </c>
      <c r="V22" s="95">
        <f t="shared" si="6"/>
        <v>0</v>
      </c>
      <c r="W22" s="94">
        <f t="shared" si="6"/>
        <v>0</v>
      </c>
      <c r="X22" s="95">
        <f t="shared" si="6"/>
        <v>0</v>
      </c>
      <c r="Y22" s="95"/>
    </row>
    <row r="23" spans="1:25" ht="15.6" x14ac:dyDescent="0.3">
      <c r="A23" s="35"/>
      <c r="B23" s="70" t="s">
        <v>26</v>
      </c>
      <c r="C23" s="53"/>
      <c r="D23" s="54"/>
      <c r="E23" s="53"/>
      <c r="F23" s="53"/>
      <c r="G23" s="53"/>
      <c r="H23" s="53"/>
      <c r="I23" s="53"/>
      <c r="J23" s="53"/>
      <c r="K23" s="65"/>
      <c r="L23" s="98" t="s">
        <v>3</v>
      </c>
      <c r="M23" s="85" t="s">
        <v>3</v>
      </c>
      <c r="N23" s="86"/>
      <c r="O23" s="85">
        <f t="shared" ref="O23:X23" si="7">SUM(O26:O40)</f>
        <v>0</v>
      </c>
      <c r="P23" s="87">
        <f t="shared" si="7"/>
        <v>0</v>
      </c>
      <c r="Q23" s="88">
        <f t="shared" si="7"/>
        <v>0</v>
      </c>
      <c r="R23" s="88">
        <f t="shared" si="7"/>
        <v>0</v>
      </c>
      <c r="S23" s="88">
        <f t="shared" si="7"/>
        <v>0</v>
      </c>
      <c r="T23" s="88">
        <f t="shared" si="7"/>
        <v>0</v>
      </c>
      <c r="U23" s="88">
        <f t="shared" si="7"/>
        <v>0</v>
      </c>
      <c r="V23" s="88">
        <f t="shared" si="7"/>
        <v>0</v>
      </c>
      <c r="W23" s="88">
        <f t="shared" si="7"/>
        <v>0</v>
      </c>
      <c r="X23" s="88">
        <f t="shared" si="7"/>
        <v>0</v>
      </c>
      <c r="Y23" s="88"/>
    </row>
    <row r="24" spans="1:25" ht="15.6" x14ac:dyDescent="0.3">
      <c r="A24" s="35"/>
      <c r="B24" s="99"/>
      <c r="C24" s="53"/>
      <c r="D24" s="54"/>
      <c r="E24" s="53"/>
      <c r="F24" s="53"/>
      <c r="G24" s="53"/>
      <c r="H24" s="53"/>
      <c r="I24" s="53"/>
      <c r="J24" s="53"/>
      <c r="K24" s="65"/>
      <c r="L24" s="98"/>
      <c r="M24" s="85"/>
      <c r="N24" s="86"/>
      <c r="O24" s="85"/>
      <c r="P24" s="87"/>
      <c r="Q24" s="88"/>
      <c r="R24" s="88"/>
      <c r="S24" s="88"/>
      <c r="T24" s="88"/>
      <c r="U24" s="88"/>
      <c r="V24" s="88"/>
      <c r="W24" s="89"/>
      <c r="X24" s="88"/>
      <c r="Y24" s="88"/>
    </row>
    <row r="25" spans="1:25" ht="15.6" x14ac:dyDescent="0.3">
      <c r="A25" s="35"/>
      <c r="B25" s="100"/>
      <c r="C25" s="53"/>
      <c r="D25" s="54"/>
      <c r="E25" s="53"/>
      <c r="F25" s="53"/>
      <c r="G25" s="53"/>
      <c r="H25" s="53"/>
      <c r="I25" s="53"/>
      <c r="J25" s="53"/>
      <c r="K25" s="65"/>
      <c r="L25" s="98"/>
      <c r="M25" s="85"/>
      <c r="N25" s="86"/>
      <c r="O25" s="85"/>
      <c r="P25" s="87"/>
      <c r="Q25" s="88"/>
      <c r="R25" s="88"/>
      <c r="S25" s="88"/>
      <c r="T25" s="88"/>
      <c r="U25" s="88"/>
      <c r="V25" s="88"/>
      <c r="W25" s="89"/>
      <c r="X25" s="88"/>
      <c r="Y25" s="88"/>
    </row>
    <row r="26" spans="1:25" ht="15.6" x14ac:dyDescent="0.3">
      <c r="A26" s="35" t="s">
        <v>27</v>
      </c>
      <c r="B26" s="34" t="s">
        <v>28</v>
      </c>
      <c r="C26" s="101">
        <v>12</v>
      </c>
      <c r="D26" s="101">
        <v>2987</v>
      </c>
      <c r="E26" s="101">
        <v>3900</v>
      </c>
      <c r="F26" s="101">
        <v>2632</v>
      </c>
      <c r="G26" s="35">
        <v>950</v>
      </c>
      <c r="H26" s="35">
        <v>676</v>
      </c>
      <c r="I26" s="35">
        <v>2058</v>
      </c>
      <c r="J26" s="35">
        <v>119</v>
      </c>
      <c r="K26" s="65">
        <v>424</v>
      </c>
      <c r="L26" s="65">
        <v>153</v>
      </c>
      <c r="M26" s="66">
        <f>4209/1000</f>
        <v>4.2089999999999996</v>
      </c>
      <c r="N26" s="67"/>
      <c r="O26" s="66"/>
      <c r="P26" s="68"/>
      <c r="Q26" s="66"/>
      <c r="R26" s="66"/>
      <c r="S26" s="66"/>
      <c r="T26" s="66"/>
      <c r="U26" s="66"/>
      <c r="V26" s="66"/>
      <c r="W26" s="65"/>
      <c r="X26" s="66"/>
      <c r="Y26" s="66"/>
    </row>
    <row r="27" spans="1:25" ht="15.6" x14ac:dyDescent="0.3">
      <c r="A27" s="35"/>
      <c r="B27" s="70"/>
      <c r="C27" s="101"/>
      <c r="D27" s="101"/>
      <c r="E27" s="101"/>
      <c r="F27" s="101"/>
      <c r="G27" s="102"/>
      <c r="H27" s="102"/>
      <c r="I27" s="102"/>
      <c r="J27" s="102"/>
      <c r="K27" s="65"/>
      <c r="L27" s="98" t="s">
        <v>3</v>
      </c>
      <c r="M27" s="66"/>
      <c r="N27" s="67"/>
      <c r="O27" s="66"/>
      <c r="P27" s="68"/>
      <c r="Q27" s="66"/>
      <c r="R27" s="66"/>
      <c r="S27" s="66"/>
      <c r="T27" s="66"/>
      <c r="U27" s="66"/>
      <c r="V27" s="66"/>
      <c r="W27" s="65"/>
      <c r="X27" s="66"/>
      <c r="Y27" s="66"/>
    </row>
    <row r="28" spans="1:25" ht="15.6" x14ac:dyDescent="0.3">
      <c r="A28" s="35" t="s">
        <v>29</v>
      </c>
      <c r="B28" s="34" t="s">
        <v>30</v>
      </c>
      <c r="C28" s="101">
        <v>13160</v>
      </c>
      <c r="D28" s="101">
        <v>18215</v>
      </c>
      <c r="E28" s="101">
        <v>12921</v>
      </c>
      <c r="F28" s="101">
        <v>10948</v>
      </c>
      <c r="G28" s="102">
        <v>5876</v>
      </c>
      <c r="H28" s="102">
        <v>9018</v>
      </c>
      <c r="I28" s="102">
        <v>22120</v>
      </c>
      <c r="J28" s="102">
        <v>18499</v>
      </c>
      <c r="K28" s="65">
        <v>17759</v>
      </c>
      <c r="L28" s="65">
        <v>16234</v>
      </c>
      <c r="M28" s="66">
        <f>24567518/1000</f>
        <v>24567.518</v>
      </c>
      <c r="N28" s="67">
        <f>11518131.75/1000</f>
        <v>11518.13175</v>
      </c>
      <c r="O28" s="66"/>
      <c r="P28" s="68"/>
      <c r="Q28" s="66"/>
      <c r="R28" s="66"/>
      <c r="S28" s="66"/>
      <c r="T28" s="66"/>
      <c r="U28" s="66"/>
      <c r="V28" s="66"/>
      <c r="W28" s="65"/>
      <c r="X28" s="66"/>
      <c r="Y28" s="66"/>
    </row>
    <row r="29" spans="1:25" ht="15.6" x14ac:dyDescent="0.3">
      <c r="A29" s="35"/>
      <c r="B29" s="70"/>
      <c r="C29" s="101"/>
      <c r="D29" s="101"/>
      <c r="E29" s="101"/>
      <c r="F29" s="101"/>
      <c r="G29" s="102"/>
      <c r="H29" s="102"/>
      <c r="I29" s="102"/>
      <c r="J29" s="102"/>
      <c r="K29" s="65"/>
      <c r="L29" s="98" t="s">
        <v>3</v>
      </c>
      <c r="M29" s="66"/>
      <c r="N29" s="67"/>
      <c r="O29" s="66"/>
      <c r="P29" s="68"/>
      <c r="Q29" s="66"/>
      <c r="R29" s="66"/>
      <c r="S29" s="66"/>
      <c r="T29" s="66"/>
      <c r="U29" s="66"/>
      <c r="V29" s="66"/>
      <c r="W29" s="65"/>
      <c r="X29" s="66"/>
      <c r="Y29" s="66"/>
    </row>
    <row r="30" spans="1:25" ht="15.6" x14ac:dyDescent="0.3">
      <c r="A30" s="35" t="s">
        <v>31</v>
      </c>
      <c r="B30" s="34" t="s">
        <v>32</v>
      </c>
      <c r="C30" s="101">
        <v>12398</v>
      </c>
      <c r="D30" s="101">
        <v>15795</v>
      </c>
      <c r="E30" s="101">
        <v>16748</v>
      </c>
      <c r="F30" s="101">
        <v>5271</v>
      </c>
      <c r="G30" s="102">
        <v>3840</v>
      </c>
      <c r="H30" s="102">
        <v>13910</v>
      </c>
      <c r="I30" s="102">
        <v>14037</v>
      </c>
      <c r="J30" s="102">
        <v>30439</v>
      </c>
      <c r="K30" s="65">
        <v>20282</v>
      </c>
      <c r="L30" s="65">
        <v>26404</v>
      </c>
      <c r="M30" s="66">
        <f>63084921/1000</f>
        <v>63084.921000000002</v>
      </c>
      <c r="N30" s="67">
        <f>44869587.07/1000</f>
        <v>44869.587070000001</v>
      </c>
      <c r="O30" s="66"/>
      <c r="P30" s="68"/>
      <c r="Q30" s="66"/>
      <c r="R30" s="66"/>
      <c r="S30" s="66"/>
      <c r="T30" s="66"/>
      <c r="U30" s="66"/>
      <c r="V30" s="66"/>
      <c r="W30" s="65"/>
      <c r="X30" s="66"/>
      <c r="Y30" s="66"/>
    </row>
    <row r="31" spans="1:25" ht="15.6" x14ac:dyDescent="0.3">
      <c r="A31" s="35"/>
      <c r="B31" s="70"/>
      <c r="C31" s="101"/>
      <c r="D31" s="101"/>
      <c r="E31" s="101"/>
      <c r="F31" s="101"/>
      <c r="G31" s="102"/>
      <c r="H31" s="102"/>
      <c r="I31" s="102"/>
      <c r="J31" s="102"/>
      <c r="K31" s="65"/>
      <c r="L31" s="98" t="s">
        <v>3</v>
      </c>
      <c r="M31" s="66"/>
      <c r="N31" s="67"/>
      <c r="O31" s="66"/>
      <c r="P31" s="68"/>
      <c r="Q31" s="66"/>
      <c r="R31" s="66"/>
      <c r="S31" s="66"/>
      <c r="T31" s="66"/>
      <c r="U31" s="66"/>
      <c r="V31" s="66"/>
      <c r="W31" s="65"/>
      <c r="X31" s="66"/>
      <c r="Y31" s="66"/>
    </row>
    <row r="32" spans="1:25" ht="15.6" x14ac:dyDescent="0.3">
      <c r="A32" s="35" t="s">
        <v>33</v>
      </c>
      <c r="B32" s="34" t="s">
        <v>34</v>
      </c>
      <c r="C32" s="101">
        <v>0</v>
      </c>
      <c r="D32" s="101">
        <v>112</v>
      </c>
      <c r="E32" s="101">
        <v>1812</v>
      </c>
      <c r="F32" s="101">
        <v>1685</v>
      </c>
      <c r="G32" s="102">
        <v>1836</v>
      </c>
      <c r="H32" s="102">
        <v>1908</v>
      </c>
      <c r="I32" s="102">
        <v>2651</v>
      </c>
      <c r="J32" s="102">
        <v>1122</v>
      </c>
      <c r="K32" s="65">
        <v>1928</v>
      </c>
      <c r="L32" s="65">
        <v>10930</v>
      </c>
      <c r="M32" s="66">
        <f>2265106/1000</f>
        <v>2265.1060000000002</v>
      </c>
      <c r="N32" s="67">
        <f>4261387.88/1000</f>
        <v>4261.3878800000002</v>
      </c>
      <c r="O32" s="66"/>
      <c r="P32" s="68"/>
      <c r="Q32" s="66"/>
      <c r="R32" s="66"/>
      <c r="S32" s="66"/>
      <c r="T32" s="66"/>
      <c r="U32" s="66"/>
      <c r="V32" s="66"/>
      <c r="W32" s="65"/>
      <c r="X32" s="66"/>
      <c r="Y32" s="66"/>
    </row>
    <row r="33" spans="1:37" ht="15.6" x14ac:dyDescent="0.3">
      <c r="A33" s="35"/>
      <c r="B33" s="70"/>
      <c r="C33" s="101"/>
      <c r="D33" s="101"/>
      <c r="E33" s="101"/>
      <c r="F33" s="101"/>
      <c r="G33" s="102"/>
      <c r="H33" s="102"/>
      <c r="I33" s="102"/>
      <c r="J33" s="102"/>
      <c r="K33" s="65"/>
      <c r="L33" s="98" t="s">
        <v>3</v>
      </c>
      <c r="M33" s="66"/>
      <c r="N33" s="67"/>
      <c r="O33" s="66"/>
      <c r="P33" s="68"/>
      <c r="Q33" s="66"/>
      <c r="R33" s="66"/>
      <c r="S33" s="66"/>
      <c r="T33" s="66"/>
      <c r="U33" s="66"/>
      <c r="V33" s="66"/>
      <c r="W33" s="65"/>
      <c r="X33" s="66"/>
      <c r="Y33" s="66"/>
    </row>
    <row r="34" spans="1:37" ht="15.6" x14ac:dyDescent="0.3">
      <c r="A34" s="35" t="s">
        <v>35</v>
      </c>
      <c r="B34" s="34" t="s">
        <v>36</v>
      </c>
      <c r="C34" s="101">
        <v>0</v>
      </c>
      <c r="D34" s="101">
        <v>0</v>
      </c>
      <c r="E34" s="101">
        <v>0</v>
      </c>
      <c r="F34" s="101">
        <v>534</v>
      </c>
      <c r="G34" s="102">
        <v>2189</v>
      </c>
      <c r="H34" s="102">
        <v>1049</v>
      </c>
      <c r="I34" s="102">
        <v>4107</v>
      </c>
      <c r="J34" s="102">
        <v>593</v>
      </c>
      <c r="K34" s="65">
        <v>263</v>
      </c>
      <c r="L34" s="65">
        <v>228</v>
      </c>
      <c r="M34" s="66">
        <f>3221760/1000</f>
        <v>3221.76</v>
      </c>
      <c r="N34" s="67">
        <f>1412467.98/1000</f>
        <v>1412.4679799999999</v>
      </c>
      <c r="O34" s="66"/>
      <c r="P34" s="68"/>
      <c r="Q34" s="66"/>
      <c r="R34" s="66"/>
      <c r="S34" s="66"/>
      <c r="T34" s="66"/>
      <c r="U34" s="66"/>
      <c r="V34" s="66"/>
      <c r="W34" s="65"/>
      <c r="X34" s="66"/>
      <c r="Y34" s="66"/>
    </row>
    <row r="35" spans="1:37" ht="15.6" x14ac:dyDescent="0.3">
      <c r="A35" s="35" t="s">
        <v>3</v>
      </c>
      <c r="B35" s="70"/>
      <c r="C35" s="101"/>
      <c r="D35" s="101"/>
      <c r="E35" s="101"/>
      <c r="F35" s="101"/>
      <c r="G35" s="102"/>
      <c r="H35" s="102"/>
      <c r="I35" s="102"/>
      <c r="J35" s="102"/>
      <c r="K35" s="65"/>
      <c r="L35" s="98" t="s">
        <v>3</v>
      </c>
      <c r="M35" s="66"/>
      <c r="N35" s="67"/>
      <c r="O35" s="66"/>
      <c r="P35" s="68"/>
      <c r="Q35" s="66"/>
      <c r="R35" s="66"/>
      <c r="S35" s="66"/>
      <c r="T35" s="66"/>
      <c r="U35" s="66"/>
      <c r="V35" s="66"/>
      <c r="W35" s="65"/>
      <c r="X35" s="66"/>
      <c r="Y35" s="66"/>
    </row>
    <row r="36" spans="1:37" ht="15.6" x14ac:dyDescent="0.3">
      <c r="A36" s="35" t="s">
        <v>37</v>
      </c>
      <c r="B36" s="34" t="s">
        <v>38</v>
      </c>
      <c r="C36" s="101">
        <v>0</v>
      </c>
      <c r="D36" s="101">
        <v>0</v>
      </c>
      <c r="E36" s="101">
        <v>22</v>
      </c>
      <c r="F36" s="101">
        <v>17</v>
      </c>
      <c r="G36" s="102">
        <v>1519</v>
      </c>
      <c r="H36" s="102">
        <v>7236</v>
      </c>
      <c r="I36" s="102">
        <v>9134</v>
      </c>
      <c r="J36" s="102">
        <v>1935</v>
      </c>
      <c r="K36" s="65">
        <v>3025</v>
      </c>
      <c r="L36" s="65">
        <v>1257</v>
      </c>
      <c r="M36" s="66">
        <f>2598077/1000</f>
        <v>2598.0770000000002</v>
      </c>
      <c r="N36" s="67">
        <f>5091820.86/1000</f>
        <v>5091.8208600000007</v>
      </c>
      <c r="O36" s="66"/>
      <c r="P36" s="68"/>
      <c r="Q36" s="66"/>
      <c r="R36" s="66"/>
      <c r="S36" s="66"/>
      <c r="T36" s="66"/>
      <c r="U36" s="66"/>
      <c r="V36" s="66"/>
      <c r="W36" s="65"/>
      <c r="X36" s="66"/>
      <c r="Y36" s="66"/>
    </row>
    <row r="37" spans="1:37" ht="15.6" x14ac:dyDescent="0.3">
      <c r="A37" s="35"/>
      <c r="B37" s="70"/>
      <c r="C37" s="101"/>
      <c r="D37" s="101"/>
      <c r="E37" s="101"/>
      <c r="F37" s="101"/>
      <c r="G37" s="102"/>
      <c r="H37" s="102"/>
      <c r="I37" s="102"/>
      <c r="J37" s="102"/>
      <c r="K37" s="65"/>
      <c r="L37" s="98" t="s">
        <v>3</v>
      </c>
      <c r="M37" s="66"/>
      <c r="N37" s="67"/>
      <c r="O37" s="66"/>
      <c r="P37" s="68"/>
      <c r="Q37" s="66"/>
      <c r="R37" s="66"/>
      <c r="S37" s="66"/>
      <c r="T37" s="66"/>
      <c r="U37" s="66"/>
      <c r="V37" s="66"/>
      <c r="W37" s="65"/>
      <c r="X37" s="66"/>
      <c r="Y37" s="66"/>
    </row>
    <row r="38" spans="1:37" ht="15.6" x14ac:dyDescent="0.3">
      <c r="A38" s="35" t="s">
        <v>39</v>
      </c>
      <c r="B38" s="34" t="s">
        <v>40</v>
      </c>
      <c r="C38" s="101">
        <f>877+650</f>
        <v>1527</v>
      </c>
      <c r="D38" s="101">
        <f>462+905</f>
        <v>1367</v>
      </c>
      <c r="E38" s="101">
        <f>15+825</f>
        <v>840</v>
      </c>
      <c r="F38" s="101">
        <v>0</v>
      </c>
      <c r="G38" s="102">
        <v>0</v>
      </c>
      <c r="H38" s="102">
        <v>0</v>
      </c>
      <c r="I38" s="102">
        <v>0</v>
      </c>
      <c r="J38" s="102">
        <v>0</v>
      </c>
      <c r="K38" s="65">
        <v>340</v>
      </c>
      <c r="L38" s="65">
        <v>351</v>
      </c>
      <c r="M38" s="66">
        <f>166973/1000</f>
        <v>166.97300000000001</v>
      </c>
      <c r="N38" s="67">
        <f>462879.65/1000</f>
        <v>462.87965000000003</v>
      </c>
      <c r="O38" s="66"/>
      <c r="P38" s="68"/>
      <c r="Q38" s="66"/>
      <c r="R38" s="66"/>
      <c r="S38" s="66"/>
      <c r="T38" s="66"/>
      <c r="U38" s="66"/>
      <c r="V38" s="66"/>
      <c r="W38" s="65"/>
      <c r="X38" s="66"/>
      <c r="Y38" s="66"/>
    </row>
    <row r="39" spans="1:37" ht="15.6" x14ac:dyDescent="0.3">
      <c r="A39" s="35"/>
      <c r="B39" s="70"/>
      <c r="C39" s="101"/>
      <c r="D39" s="101"/>
      <c r="E39" s="101"/>
      <c r="F39" s="101"/>
      <c r="G39" s="102"/>
      <c r="H39" s="102"/>
      <c r="I39" s="102"/>
      <c r="J39" s="102"/>
      <c r="K39" s="65"/>
      <c r="L39" s="98" t="s">
        <v>3</v>
      </c>
      <c r="M39" s="66"/>
      <c r="N39" s="67"/>
      <c r="O39" s="66"/>
      <c r="P39" s="68"/>
      <c r="Q39" s="66"/>
      <c r="R39" s="66"/>
      <c r="S39" s="66"/>
      <c r="T39" s="66"/>
      <c r="U39" s="66"/>
      <c r="V39" s="66"/>
      <c r="W39" s="65"/>
      <c r="X39" s="66"/>
      <c r="Y39" s="66"/>
    </row>
    <row r="40" spans="1:37" ht="15.6" x14ac:dyDescent="0.3">
      <c r="A40" s="35" t="s">
        <v>41</v>
      </c>
      <c r="B40" s="103" t="s">
        <v>42</v>
      </c>
      <c r="C40" s="101"/>
      <c r="D40" s="101"/>
      <c r="E40" s="101"/>
      <c r="F40" s="101"/>
      <c r="G40" s="102"/>
      <c r="H40" s="102"/>
      <c r="I40" s="102"/>
      <c r="J40" s="102"/>
      <c r="K40" s="65"/>
      <c r="L40" s="98"/>
      <c r="M40" s="66">
        <f>496722/1000</f>
        <v>496.72199999999998</v>
      </c>
      <c r="N40" s="67">
        <f>628471.35/1000</f>
        <v>628.47135000000003</v>
      </c>
      <c r="O40" s="66"/>
      <c r="P40" s="68"/>
      <c r="Q40" s="66"/>
      <c r="R40" s="66"/>
      <c r="S40" s="66"/>
      <c r="T40" s="66"/>
      <c r="U40" s="66"/>
      <c r="V40" s="66"/>
      <c r="W40" s="65"/>
      <c r="X40" s="66"/>
      <c r="Y40" s="66"/>
    </row>
    <row r="41" spans="1:37" ht="15.6" x14ac:dyDescent="0.3">
      <c r="A41" s="35"/>
      <c r="B41" s="34"/>
      <c r="C41" s="102"/>
      <c r="D41" s="104"/>
      <c r="E41" s="102"/>
      <c r="F41" s="102"/>
      <c r="G41" s="102"/>
      <c r="H41" s="102"/>
      <c r="I41" s="102"/>
      <c r="J41" s="102"/>
      <c r="K41" s="65"/>
      <c r="L41" s="65"/>
      <c r="M41" s="105"/>
      <c r="N41" s="106"/>
      <c r="O41" s="66"/>
      <c r="P41" s="68"/>
      <c r="Q41" s="66"/>
      <c r="R41" s="66"/>
      <c r="S41" s="66"/>
      <c r="T41" s="66"/>
      <c r="U41" s="66"/>
      <c r="V41" s="66"/>
      <c r="W41" s="65"/>
      <c r="X41" s="66"/>
      <c r="Y41" s="66"/>
    </row>
    <row r="42" spans="1:37" ht="15.6" x14ac:dyDescent="0.3">
      <c r="A42" s="107"/>
      <c r="B42" s="108" t="s">
        <v>43</v>
      </c>
      <c r="C42" s="94">
        <f t="shared" ref="C42:M42" si="8">C47+C49</f>
        <v>15363</v>
      </c>
      <c r="D42" s="94">
        <f t="shared" si="8"/>
        <v>15425</v>
      </c>
      <c r="E42" s="94">
        <f t="shared" si="8"/>
        <v>14656</v>
      </c>
      <c r="F42" s="94">
        <f t="shared" si="8"/>
        <v>11956</v>
      </c>
      <c r="G42" s="94">
        <f t="shared" si="8"/>
        <v>12098</v>
      </c>
      <c r="H42" s="94">
        <f t="shared" si="8"/>
        <v>12484</v>
      </c>
      <c r="I42" s="94">
        <f t="shared" si="8"/>
        <v>19236</v>
      </c>
      <c r="J42" s="94">
        <f t="shared" si="8"/>
        <v>13997</v>
      </c>
      <c r="K42" s="94">
        <f t="shared" si="8"/>
        <v>20437</v>
      </c>
      <c r="L42" s="94">
        <f t="shared" si="8"/>
        <v>30083</v>
      </c>
      <c r="M42" s="95">
        <f t="shared" si="8"/>
        <v>28560.129000000001</v>
      </c>
      <c r="N42" s="96">
        <f>N47</f>
        <v>35791.917430000001</v>
      </c>
      <c r="O42" s="95">
        <f>O47+O49</f>
        <v>19900</v>
      </c>
      <c r="P42" s="97">
        <f t="shared" ref="P42:Y42" si="9">P47</f>
        <v>18700</v>
      </c>
      <c r="Q42" s="95">
        <f t="shared" si="9"/>
        <v>15400</v>
      </c>
      <c r="R42" s="109">
        <f t="shared" si="9"/>
        <v>17900</v>
      </c>
      <c r="S42" s="109">
        <f t="shared" si="9"/>
        <v>27100</v>
      </c>
      <c r="T42" s="109">
        <f t="shared" si="9"/>
        <v>29800</v>
      </c>
      <c r="U42" s="109">
        <f t="shared" si="9"/>
        <v>28400</v>
      </c>
      <c r="V42" s="109">
        <f t="shared" si="9"/>
        <v>35900</v>
      </c>
      <c r="W42" s="110">
        <f t="shared" si="9"/>
        <v>35000</v>
      </c>
      <c r="X42" s="109">
        <f t="shared" si="9"/>
        <v>30400</v>
      </c>
      <c r="Y42" s="109">
        <f t="shared" si="9"/>
        <v>30300</v>
      </c>
      <c r="AI42" s="111"/>
      <c r="AJ42" s="112" t="s">
        <v>44</v>
      </c>
      <c r="AK42" s="2" t="s">
        <v>45</v>
      </c>
    </row>
    <row r="43" spans="1:37" ht="15.6" x14ac:dyDescent="0.3">
      <c r="A43" s="90"/>
      <c r="B43" s="70" t="s">
        <v>23</v>
      </c>
      <c r="C43" s="53"/>
      <c r="D43" s="54"/>
      <c r="E43" s="71"/>
      <c r="F43" s="53"/>
      <c r="G43" s="53"/>
      <c r="H43" s="53"/>
      <c r="I43" s="53"/>
      <c r="J43" s="53"/>
      <c r="K43" s="55"/>
      <c r="L43" s="65"/>
      <c r="M43" s="66"/>
      <c r="N43" s="67"/>
      <c r="O43" s="72"/>
      <c r="P43" s="68"/>
      <c r="Q43" s="66"/>
      <c r="R43" s="66"/>
      <c r="S43" s="66"/>
      <c r="T43" s="66"/>
      <c r="U43" s="66"/>
      <c r="V43" s="66"/>
      <c r="W43" s="65"/>
      <c r="X43" s="66"/>
      <c r="Y43" s="66"/>
    </row>
    <row r="44" spans="1:37" ht="15" customHeight="1" x14ac:dyDescent="0.3">
      <c r="A44" s="33"/>
      <c r="B44" s="73" t="s">
        <v>19</v>
      </c>
      <c r="C44" s="74"/>
      <c r="D44" s="74"/>
      <c r="E44" s="2"/>
      <c r="F44" s="75"/>
      <c r="G44" s="75"/>
      <c r="H44" s="75"/>
      <c r="I44" s="75"/>
      <c r="J44" s="75"/>
      <c r="K44" s="76"/>
      <c r="L44" s="77" t="s">
        <v>3</v>
      </c>
      <c r="M44" s="78" t="s">
        <v>3</v>
      </c>
      <c r="N44" s="78"/>
      <c r="O44" s="79" t="s">
        <v>3</v>
      </c>
      <c r="P44" s="80">
        <v>18700</v>
      </c>
      <c r="Q44" s="81">
        <v>15400</v>
      </c>
      <c r="R44" s="81">
        <v>17900</v>
      </c>
      <c r="S44" s="81">
        <v>22100</v>
      </c>
      <c r="T44" s="81">
        <v>24800</v>
      </c>
      <c r="U44" s="81">
        <v>26400</v>
      </c>
      <c r="V44" s="81">
        <v>33900</v>
      </c>
      <c r="W44" s="82">
        <v>34000</v>
      </c>
      <c r="X44" s="81">
        <v>30400</v>
      </c>
      <c r="Y44" s="81">
        <v>30300</v>
      </c>
    </row>
    <row r="45" spans="1:37" ht="15" customHeight="1" x14ac:dyDescent="0.3">
      <c r="A45" s="33"/>
      <c r="B45" s="73" t="s">
        <v>20</v>
      </c>
      <c r="C45" s="74"/>
      <c r="D45" s="74"/>
      <c r="E45" s="2"/>
      <c r="F45" s="75"/>
      <c r="G45" s="75"/>
      <c r="H45" s="75"/>
      <c r="I45" s="75"/>
      <c r="J45" s="75"/>
      <c r="K45" s="76"/>
      <c r="L45" s="77"/>
      <c r="M45" s="78"/>
      <c r="N45" s="78"/>
      <c r="O45" s="79"/>
      <c r="P45" s="80">
        <f t="shared" ref="P45:Y45" si="10">P42-P44</f>
        <v>0</v>
      </c>
      <c r="Q45" s="81">
        <f t="shared" si="10"/>
        <v>0</v>
      </c>
      <c r="R45" s="81">
        <f t="shared" si="10"/>
        <v>0</v>
      </c>
      <c r="S45" s="81">
        <f t="shared" si="10"/>
        <v>5000</v>
      </c>
      <c r="T45" s="81">
        <f t="shared" si="10"/>
        <v>5000</v>
      </c>
      <c r="U45" s="81">
        <f t="shared" si="10"/>
        <v>2000</v>
      </c>
      <c r="V45" s="81">
        <f t="shared" si="10"/>
        <v>2000</v>
      </c>
      <c r="W45" s="82">
        <f t="shared" si="10"/>
        <v>1000</v>
      </c>
      <c r="X45" s="81">
        <f t="shared" si="10"/>
        <v>0</v>
      </c>
      <c r="Y45" s="81">
        <f t="shared" si="10"/>
        <v>0</v>
      </c>
    </row>
    <row r="46" spans="1:37" ht="15.6" x14ac:dyDescent="0.3">
      <c r="A46" s="35"/>
      <c r="B46" s="70"/>
      <c r="C46" s="102"/>
      <c r="D46" s="104"/>
      <c r="E46" s="102"/>
      <c r="F46" s="102"/>
      <c r="G46" s="102"/>
      <c r="H46" s="102"/>
      <c r="I46" s="102"/>
      <c r="J46" s="102"/>
      <c r="K46" s="65"/>
      <c r="L46" s="84"/>
      <c r="M46" s="85"/>
      <c r="N46" s="86"/>
      <c r="O46" s="85"/>
      <c r="P46" s="113"/>
      <c r="Q46" s="86"/>
      <c r="R46" s="86"/>
      <c r="S46" s="86"/>
      <c r="T46" s="86"/>
      <c r="U46" s="86"/>
      <c r="V46" s="86"/>
      <c r="W46" s="114"/>
      <c r="X46" s="115"/>
      <c r="Y46" s="85"/>
    </row>
    <row r="47" spans="1:37" ht="15.6" x14ac:dyDescent="0.3">
      <c r="A47" s="35"/>
      <c r="B47" s="116" t="s">
        <v>46</v>
      </c>
      <c r="C47" s="101">
        <f>7804+6285+1274</f>
        <v>15363</v>
      </c>
      <c r="D47" s="101">
        <f>8855+5074+1496</f>
        <v>15425</v>
      </c>
      <c r="E47" s="101">
        <f>3741+9223+1208</f>
        <v>14172</v>
      </c>
      <c r="F47" s="101">
        <f>3420+4997+1328</f>
        <v>9745</v>
      </c>
      <c r="G47" s="102">
        <v>9155</v>
      </c>
      <c r="H47" s="102">
        <v>11112</v>
      </c>
      <c r="I47" s="102">
        <v>18272</v>
      </c>
      <c r="J47" s="102">
        <v>13411</v>
      </c>
      <c r="K47" s="65">
        <v>20437</v>
      </c>
      <c r="L47" s="65">
        <v>26674</v>
      </c>
      <c r="M47" s="66">
        <f>28560129/1000</f>
        <v>28560.129000000001</v>
      </c>
      <c r="N47" s="67">
        <f>35791917.43/1000</f>
        <v>35791.917430000001</v>
      </c>
      <c r="O47" s="66">
        <v>19900</v>
      </c>
      <c r="P47" s="68">
        <v>18700</v>
      </c>
      <c r="Q47" s="66">
        <v>15400</v>
      </c>
      <c r="R47" s="117">
        <f>17900</f>
        <v>17900</v>
      </c>
      <c r="S47" s="117">
        <f>22100+3000+2000</f>
        <v>27100</v>
      </c>
      <c r="T47" s="105">
        <f>24800+5000</f>
        <v>29800</v>
      </c>
      <c r="U47" s="105">
        <f>26400+2000</f>
        <v>28400</v>
      </c>
      <c r="V47" s="105">
        <f>33900+2000</f>
        <v>35900</v>
      </c>
      <c r="W47" s="118">
        <f>34000+1000</f>
        <v>35000</v>
      </c>
      <c r="X47" s="118">
        <f>30400</f>
        <v>30400</v>
      </c>
      <c r="Y47" s="105">
        <v>30300</v>
      </c>
      <c r="AI47" s="119"/>
      <c r="AJ47" s="112" t="s">
        <v>44</v>
      </c>
      <c r="AK47" s="2" t="s">
        <v>47</v>
      </c>
    </row>
    <row r="48" spans="1:37" s="2" customFormat="1" ht="15.6" x14ac:dyDescent="0.3">
      <c r="A48" s="53"/>
      <c r="B48" s="70"/>
      <c r="C48" s="120"/>
      <c r="D48" s="121"/>
      <c r="E48" s="120"/>
      <c r="F48" s="120"/>
      <c r="G48" s="120"/>
      <c r="H48" s="120"/>
      <c r="I48" s="120"/>
      <c r="J48" s="120"/>
      <c r="K48" s="122"/>
      <c r="L48" s="98"/>
      <c r="M48" s="123"/>
      <c r="N48" s="124"/>
      <c r="O48" s="125"/>
      <c r="P48" s="126"/>
      <c r="Q48" s="125"/>
      <c r="R48" s="125"/>
      <c r="S48" s="125"/>
      <c r="T48" s="125"/>
      <c r="U48" s="125"/>
      <c r="V48" s="125">
        <v>3000</v>
      </c>
      <c r="W48" s="122">
        <v>3000</v>
      </c>
      <c r="X48" s="125">
        <v>2000</v>
      </c>
      <c r="Y48" s="125">
        <v>1900</v>
      </c>
    </row>
    <row r="49" spans="1:37" ht="15.6" x14ac:dyDescent="0.3">
      <c r="A49" s="35"/>
      <c r="B49" s="116" t="s">
        <v>48</v>
      </c>
      <c r="C49" s="102">
        <v>0</v>
      </c>
      <c r="D49" s="104">
        <v>0</v>
      </c>
      <c r="E49" s="102">
        <v>484</v>
      </c>
      <c r="F49" s="102">
        <v>2211</v>
      </c>
      <c r="G49" s="102">
        <v>2943</v>
      </c>
      <c r="H49" s="102">
        <v>1372</v>
      </c>
      <c r="I49" s="102">
        <v>964</v>
      </c>
      <c r="J49" s="102">
        <v>586</v>
      </c>
      <c r="K49" s="65">
        <v>0</v>
      </c>
      <c r="L49" s="65">
        <v>3409</v>
      </c>
      <c r="M49" s="105"/>
      <c r="N49" s="106"/>
      <c r="O49" s="66"/>
      <c r="P49" s="68"/>
      <c r="Q49" s="66"/>
      <c r="R49" s="66"/>
      <c r="S49" s="66"/>
      <c r="T49" s="66"/>
      <c r="U49" s="66"/>
      <c r="V49" s="66"/>
      <c r="W49" s="65"/>
      <c r="X49" s="66"/>
      <c r="Y49" s="66"/>
      <c r="AI49" s="127"/>
      <c r="AJ49" s="112" t="s">
        <v>44</v>
      </c>
      <c r="AK49" s="2" t="s">
        <v>49</v>
      </c>
    </row>
    <row r="50" spans="1:37" ht="15.6" x14ac:dyDescent="0.3">
      <c r="A50" s="51"/>
      <c r="B50" s="70"/>
      <c r="C50" s="53"/>
      <c r="D50" s="54"/>
      <c r="E50" s="53"/>
      <c r="F50" s="53"/>
      <c r="G50" s="53"/>
      <c r="H50" s="53"/>
      <c r="I50" s="53"/>
      <c r="J50" s="128" t="s">
        <v>3</v>
      </c>
      <c r="K50" s="129" t="s">
        <v>3</v>
      </c>
      <c r="L50" s="130" t="s">
        <v>3</v>
      </c>
      <c r="M50" s="131" t="s">
        <v>3</v>
      </c>
      <c r="N50" s="132"/>
      <c r="O50" s="133" t="s">
        <v>3</v>
      </c>
      <c r="P50" s="134" t="s">
        <v>3</v>
      </c>
      <c r="Q50" s="135" t="s">
        <v>3</v>
      </c>
      <c r="R50" s="135" t="s">
        <v>3</v>
      </c>
      <c r="S50" s="135" t="s">
        <v>3</v>
      </c>
      <c r="T50" s="135" t="s">
        <v>3</v>
      </c>
      <c r="U50" s="135" t="s">
        <v>3</v>
      </c>
      <c r="V50" s="135" t="s">
        <v>3</v>
      </c>
      <c r="W50" s="136" t="s">
        <v>3</v>
      </c>
      <c r="X50" s="135" t="s">
        <v>3</v>
      </c>
      <c r="Y50" s="135"/>
    </row>
    <row r="51" spans="1:37" ht="15.6" x14ac:dyDescent="0.3">
      <c r="A51" s="137" t="s">
        <v>50</v>
      </c>
      <c r="B51" s="70"/>
      <c r="C51" s="53"/>
      <c r="D51" s="54"/>
      <c r="E51" s="53"/>
      <c r="F51" s="53"/>
      <c r="G51" s="53"/>
      <c r="H51" s="53"/>
      <c r="I51" s="53"/>
      <c r="J51" s="128"/>
      <c r="K51" s="129"/>
      <c r="L51" s="129"/>
      <c r="M51" s="131"/>
      <c r="N51" s="132"/>
      <c r="O51" s="133">
        <f t="shared" ref="O51:X51" si="11">O17+O42</f>
        <v>42786</v>
      </c>
      <c r="P51" s="134">
        <f t="shared" si="11"/>
        <v>32200</v>
      </c>
      <c r="Q51" s="135">
        <f t="shared" si="11"/>
        <v>28900</v>
      </c>
      <c r="R51" s="135">
        <f t="shared" si="11"/>
        <v>35400</v>
      </c>
      <c r="S51" s="135">
        <f t="shared" si="11"/>
        <v>42600</v>
      </c>
      <c r="T51" s="135">
        <f t="shared" si="11"/>
        <v>45300</v>
      </c>
      <c r="U51" s="135">
        <f t="shared" si="11"/>
        <v>43900</v>
      </c>
      <c r="V51" s="135">
        <f t="shared" si="11"/>
        <v>52400</v>
      </c>
      <c r="W51" s="135">
        <f t="shared" si="11"/>
        <v>51500</v>
      </c>
      <c r="X51" s="138">
        <f t="shared" si="11"/>
        <v>46900</v>
      </c>
      <c r="Y51" s="138"/>
    </row>
    <row r="52" spans="1:37" ht="15.6" x14ac:dyDescent="0.3">
      <c r="A52" s="139" t="s">
        <v>51</v>
      </c>
      <c r="B52" s="140"/>
      <c r="C52" s="71"/>
      <c r="D52" s="141"/>
      <c r="E52" s="71"/>
      <c r="F52" s="71"/>
      <c r="G52" s="71"/>
      <c r="H52" s="71"/>
      <c r="I52" s="71"/>
      <c r="J52" s="142"/>
      <c r="K52" s="143"/>
      <c r="L52" s="129"/>
      <c r="M52" s="131"/>
      <c r="N52" s="132"/>
      <c r="O52" s="133">
        <f>91000-56000</f>
        <v>35000</v>
      </c>
      <c r="P52" s="134">
        <f>72000-37000</f>
        <v>35000</v>
      </c>
      <c r="Q52" s="135">
        <f>74000-39000</f>
        <v>35000</v>
      </c>
      <c r="R52" s="135">
        <f>80000-42000</f>
        <v>38000</v>
      </c>
      <c r="S52" s="135">
        <f>90000-52000</f>
        <v>38000</v>
      </c>
      <c r="T52" s="135">
        <f>92000-54000</f>
        <v>38000</v>
      </c>
      <c r="U52" s="135">
        <f>87900-55400</f>
        <v>32500</v>
      </c>
      <c r="V52" s="135">
        <f>78000-45500</f>
        <v>32500</v>
      </c>
      <c r="W52" s="135">
        <f>84500-45000</f>
        <v>39500</v>
      </c>
      <c r="X52" s="138">
        <f>84500-45000</f>
        <v>39500</v>
      </c>
      <c r="Y52" s="138"/>
    </row>
    <row r="53" spans="1:37" ht="15.6" x14ac:dyDescent="0.3">
      <c r="A53" s="139" t="s">
        <v>52</v>
      </c>
      <c r="B53" s="140"/>
      <c r="C53" s="71"/>
      <c r="D53" s="141"/>
      <c r="E53" s="71"/>
      <c r="F53" s="71"/>
      <c r="G53" s="71"/>
      <c r="H53" s="71"/>
      <c r="I53" s="71"/>
      <c r="J53" s="142"/>
      <c r="K53" s="143"/>
      <c r="L53" s="129"/>
      <c r="M53" s="131"/>
      <c r="N53" s="132"/>
      <c r="O53" s="133">
        <f t="shared" ref="O53:X53" si="12">O52-O51</f>
        <v>-7786</v>
      </c>
      <c r="P53" s="134">
        <f t="shared" si="12"/>
        <v>2800</v>
      </c>
      <c r="Q53" s="144">
        <f t="shared" si="12"/>
        <v>6100</v>
      </c>
      <c r="R53" s="144">
        <f t="shared" si="12"/>
        <v>2600</v>
      </c>
      <c r="S53" s="144">
        <f t="shared" si="12"/>
        <v>-4600</v>
      </c>
      <c r="T53" s="144">
        <f t="shared" si="12"/>
        <v>-7300</v>
      </c>
      <c r="U53" s="144">
        <f t="shared" si="12"/>
        <v>-11400</v>
      </c>
      <c r="V53" s="144">
        <f t="shared" si="12"/>
        <v>-19900</v>
      </c>
      <c r="W53" s="144">
        <f t="shared" si="12"/>
        <v>-12000</v>
      </c>
      <c r="X53" s="138">
        <f t="shared" si="12"/>
        <v>-7400</v>
      </c>
      <c r="Y53" s="138"/>
    </row>
    <row r="54" spans="1:37" ht="15.6" x14ac:dyDescent="0.3">
      <c r="A54" s="145"/>
      <c r="B54" s="146"/>
      <c r="C54" s="147"/>
      <c r="D54" s="148"/>
      <c r="E54" s="147"/>
      <c r="F54" s="147"/>
      <c r="G54" s="147"/>
      <c r="H54" s="147"/>
      <c r="I54" s="147"/>
      <c r="J54" s="149"/>
      <c r="K54" s="150"/>
      <c r="L54" s="151"/>
      <c r="M54" s="152" t="s">
        <v>3</v>
      </c>
      <c r="N54" s="153"/>
      <c r="O54" s="154" t="s">
        <v>3</v>
      </c>
      <c r="P54" s="155"/>
      <c r="Q54" s="156"/>
      <c r="R54" s="156"/>
      <c r="S54" s="156"/>
      <c r="T54" s="156"/>
      <c r="U54" s="156"/>
      <c r="V54" s="156"/>
      <c r="W54" s="156"/>
      <c r="X54" s="157"/>
      <c r="Y54" s="157"/>
    </row>
    <row r="55" spans="1:37" ht="15.6" x14ac:dyDescent="0.3">
      <c r="A55" s="51"/>
      <c r="B55" s="158"/>
      <c r="C55" s="53"/>
      <c r="D55" s="54"/>
      <c r="E55" s="159" t="s">
        <v>3</v>
      </c>
      <c r="F55" s="159" t="s">
        <v>3</v>
      </c>
      <c r="G55" s="160" t="s">
        <v>3</v>
      </c>
      <c r="H55" s="160" t="s">
        <v>3</v>
      </c>
      <c r="I55" s="161" t="s">
        <v>3</v>
      </c>
      <c r="J55" s="162"/>
      <c r="K55" s="163"/>
      <c r="L55" s="163"/>
      <c r="M55" s="164" t="s">
        <v>3</v>
      </c>
      <c r="N55" s="165"/>
      <c r="O55" s="166" t="s">
        <v>3</v>
      </c>
      <c r="P55" s="167" t="s">
        <v>3</v>
      </c>
      <c r="Q55" s="168" t="s">
        <v>3</v>
      </c>
      <c r="R55" s="169" t="s">
        <v>3</v>
      </c>
      <c r="S55" s="170" t="s">
        <v>3</v>
      </c>
      <c r="T55" s="170" t="s">
        <v>3</v>
      </c>
      <c r="U55" s="170" t="s">
        <v>3</v>
      </c>
      <c r="V55" s="170" t="s">
        <v>53</v>
      </c>
      <c r="W55" s="171" t="s">
        <v>3</v>
      </c>
      <c r="X55" s="169" t="s">
        <v>3</v>
      </c>
      <c r="Y55" s="169"/>
      <c r="AI55" s="172"/>
      <c r="AJ55" s="112" t="s">
        <v>54</v>
      </c>
      <c r="AK55" s="2" t="s">
        <v>55</v>
      </c>
    </row>
    <row r="56" spans="1:37" ht="15.6" x14ac:dyDescent="0.3">
      <c r="A56" s="63" t="s">
        <v>56</v>
      </c>
      <c r="B56" s="64" t="s">
        <v>57</v>
      </c>
      <c r="C56" s="173" t="e">
        <f t="shared" ref="C56:H56" si="13">C61+C198+C286</f>
        <v>#REF!</v>
      </c>
      <c r="D56" s="173" t="e">
        <f t="shared" si="13"/>
        <v>#REF!</v>
      </c>
      <c r="E56" s="173">
        <f t="shared" si="13"/>
        <v>60493</v>
      </c>
      <c r="F56" s="173">
        <f t="shared" si="13"/>
        <v>70252</v>
      </c>
      <c r="G56" s="173" t="e">
        <f t="shared" si="13"/>
        <v>#REF!</v>
      </c>
      <c r="H56" s="173">
        <f t="shared" si="13"/>
        <v>91442</v>
      </c>
      <c r="I56" s="173">
        <f>SUM(I61+I198+I286)</f>
        <v>109205</v>
      </c>
      <c r="J56" s="173">
        <f t="shared" ref="J56:Y56" si="14">J61+J198+J286</f>
        <v>136754</v>
      </c>
      <c r="K56" s="94" t="e">
        <f t="shared" si="14"/>
        <v>#REF!</v>
      </c>
      <c r="L56" s="94">
        <f t="shared" si="14"/>
        <v>158719</v>
      </c>
      <c r="M56" s="95">
        <f t="shared" si="14"/>
        <v>173212.867</v>
      </c>
      <c r="N56" s="96">
        <f t="shared" si="14"/>
        <v>159004.88825000002</v>
      </c>
      <c r="O56" s="95" t="e">
        <f t="shared" si="14"/>
        <v>#REF!</v>
      </c>
      <c r="P56" s="97" t="e">
        <f t="shared" si="14"/>
        <v>#REF!</v>
      </c>
      <c r="Q56" s="94" t="e">
        <f t="shared" si="14"/>
        <v>#REF!</v>
      </c>
      <c r="R56" s="94" t="e">
        <f t="shared" si="14"/>
        <v>#REF!</v>
      </c>
      <c r="S56" s="94" t="e">
        <f t="shared" si="14"/>
        <v>#REF!</v>
      </c>
      <c r="T56" s="94" t="e">
        <f t="shared" si="14"/>
        <v>#REF!</v>
      </c>
      <c r="U56" s="94" t="e">
        <f t="shared" si="14"/>
        <v>#REF!</v>
      </c>
      <c r="V56" s="94" t="e">
        <f t="shared" si="14"/>
        <v>#REF!</v>
      </c>
      <c r="W56" s="94" t="e">
        <f t="shared" si="14"/>
        <v>#REF!</v>
      </c>
      <c r="X56" s="95" t="e">
        <f t="shared" si="14"/>
        <v>#REF!</v>
      </c>
      <c r="Y56" s="95">
        <f t="shared" si="14"/>
        <v>127600</v>
      </c>
    </row>
    <row r="57" spans="1:37" ht="15" x14ac:dyDescent="0.25">
      <c r="A57" s="51"/>
      <c r="B57" s="93" t="s">
        <v>58</v>
      </c>
      <c r="C57" s="174" t="s">
        <v>3</v>
      </c>
      <c r="D57" s="175" t="e">
        <f>+(D56-C56)/C56</f>
        <v>#REF!</v>
      </c>
      <c r="E57" s="175" t="e">
        <f>+(E56-D56)/D56</f>
        <v>#REF!</v>
      </c>
      <c r="F57" s="175">
        <f>+(F56-E56)/E56</f>
        <v>0.1613244507628982</v>
      </c>
      <c r="G57" s="176" t="e">
        <f>+(G56-F56)/F56</f>
        <v>#REF!</v>
      </c>
      <c r="H57" s="177" t="e">
        <f>+(H56-G56)/G56</f>
        <v>#REF!</v>
      </c>
      <c r="I57" s="177">
        <f>(I56-H56)/H56</f>
        <v>0.19425428140241902</v>
      </c>
      <c r="J57" s="177">
        <f>+(J56-I56)/I56</f>
        <v>0.25226866901698641</v>
      </c>
      <c r="K57" s="178" t="e">
        <f>+(K56-J56)/J56</f>
        <v>#REF!</v>
      </c>
      <c r="L57" s="178" t="e">
        <f>+(L56-K56)/K56</f>
        <v>#REF!</v>
      </c>
      <c r="M57" s="179">
        <f>+(M56-L56)/L56</f>
        <v>9.1317781740056322E-2</v>
      </c>
      <c r="N57" s="180"/>
      <c r="O57" s="179" t="e">
        <f>+(O56-M56)/M56</f>
        <v>#REF!</v>
      </c>
      <c r="P57" s="181" t="e">
        <f t="shared" ref="P57:Y57" si="15">+(P56-O56)/O56</f>
        <v>#REF!</v>
      </c>
      <c r="Q57" s="179" t="e">
        <f t="shared" si="15"/>
        <v>#REF!</v>
      </c>
      <c r="R57" s="179" t="e">
        <f t="shared" si="15"/>
        <v>#REF!</v>
      </c>
      <c r="S57" s="179" t="e">
        <f t="shared" si="15"/>
        <v>#REF!</v>
      </c>
      <c r="T57" s="179" t="e">
        <f t="shared" si="15"/>
        <v>#REF!</v>
      </c>
      <c r="U57" s="179" t="e">
        <f t="shared" si="15"/>
        <v>#REF!</v>
      </c>
      <c r="V57" s="179" t="e">
        <f t="shared" si="15"/>
        <v>#REF!</v>
      </c>
      <c r="W57" s="178" t="e">
        <f t="shared" si="15"/>
        <v>#REF!</v>
      </c>
      <c r="X57" s="179" t="e">
        <f t="shared" si="15"/>
        <v>#REF!</v>
      </c>
      <c r="Y57" s="179" t="e">
        <f t="shared" si="15"/>
        <v>#REF!</v>
      </c>
    </row>
    <row r="58" spans="1:37" ht="15" customHeight="1" x14ac:dyDescent="0.3">
      <c r="A58" s="33"/>
      <c r="B58" s="182" t="s">
        <v>59</v>
      </c>
      <c r="C58" s="74" t="s">
        <v>3</v>
      </c>
      <c r="D58" s="74" t="s">
        <v>3</v>
      </c>
      <c r="E58" s="2" t="s">
        <v>3</v>
      </c>
      <c r="F58" s="75" t="s">
        <v>3</v>
      </c>
      <c r="G58" s="75" t="s">
        <v>3</v>
      </c>
      <c r="H58" s="75" t="s">
        <v>3</v>
      </c>
      <c r="I58" s="75" t="s">
        <v>3</v>
      </c>
      <c r="J58" s="75" t="s">
        <v>3</v>
      </c>
      <c r="K58" s="76" t="s">
        <v>3</v>
      </c>
      <c r="L58" s="77" t="s">
        <v>3</v>
      </c>
      <c r="M58" s="78" t="s">
        <v>3</v>
      </c>
      <c r="N58" s="78"/>
      <c r="O58" s="79"/>
      <c r="P58" s="183">
        <v>81700</v>
      </c>
      <c r="Q58" s="184">
        <v>108400</v>
      </c>
      <c r="R58" s="184">
        <v>132200</v>
      </c>
      <c r="S58" s="184">
        <v>111150</v>
      </c>
      <c r="T58" s="184">
        <v>103900</v>
      </c>
      <c r="U58" s="184">
        <v>107000</v>
      </c>
      <c r="V58" s="184">
        <v>105300</v>
      </c>
      <c r="W58" s="185">
        <v>103400</v>
      </c>
      <c r="X58" s="184">
        <v>114800</v>
      </c>
      <c r="Y58" s="184"/>
    </row>
    <row r="59" spans="1:37" ht="15" customHeight="1" x14ac:dyDescent="0.3">
      <c r="A59" s="33"/>
      <c r="B59" s="73" t="s">
        <v>20</v>
      </c>
      <c r="C59" s="74"/>
      <c r="D59" s="74"/>
      <c r="E59" s="2"/>
      <c r="F59" s="75"/>
      <c r="G59" s="75"/>
      <c r="H59" s="75"/>
      <c r="I59" s="75"/>
      <c r="J59" s="75"/>
      <c r="K59" s="76"/>
      <c r="L59" s="77"/>
      <c r="M59" s="78"/>
      <c r="N59" s="78"/>
      <c r="O59" s="79"/>
      <c r="P59" s="80" t="e">
        <f t="shared" ref="P59:X59" si="16">P56-P58</f>
        <v>#REF!</v>
      </c>
      <c r="Q59" s="81" t="e">
        <f t="shared" si="16"/>
        <v>#REF!</v>
      </c>
      <c r="R59" s="81" t="e">
        <f t="shared" si="16"/>
        <v>#REF!</v>
      </c>
      <c r="S59" s="81" t="e">
        <f t="shared" si="16"/>
        <v>#REF!</v>
      </c>
      <c r="T59" s="81" t="e">
        <f t="shared" si="16"/>
        <v>#REF!</v>
      </c>
      <c r="U59" s="81" t="e">
        <f t="shared" si="16"/>
        <v>#REF!</v>
      </c>
      <c r="V59" s="81" t="e">
        <f t="shared" si="16"/>
        <v>#REF!</v>
      </c>
      <c r="W59" s="82" t="e">
        <f t="shared" si="16"/>
        <v>#REF!</v>
      </c>
      <c r="X59" s="81" t="e">
        <f t="shared" si="16"/>
        <v>#REF!</v>
      </c>
      <c r="Y59" s="81"/>
    </row>
    <row r="60" spans="1:37" ht="15.6" x14ac:dyDescent="0.3">
      <c r="A60" s="51"/>
      <c r="B60" s="186" t="s">
        <v>3</v>
      </c>
      <c r="C60" s="187"/>
      <c r="D60" s="187"/>
      <c r="E60" s="65"/>
      <c r="F60" s="188"/>
      <c r="G60" s="189"/>
      <c r="H60" s="190"/>
      <c r="I60" s="191"/>
      <c r="J60" s="192" t="s">
        <v>3</v>
      </c>
      <c r="K60" s="65" t="s">
        <v>3</v>
      </c>
      <c r="L60" s="163" t="s">
        <v>3</v>
      </c>
      <c r="M60" s="166" t="s">
        <v>3</v>
      </c>
      <c r="N60" s="193"/>
      <c r="O60" s="166" t="s">
        <v>3</v>
      </c>
      <c r="P60" s="194" t="s">
        <v>3</v>
      </c>
      <c r="Q60" s="195" t="s">
        <v>3</v>
      </c>
      <c r="R60" s="195" t="s">
        <v>3</v>
      </c>
      <c r="S60" s="195" t="s">
        <v>3</v>
      </c>
      <c r="T60" s="195" t="s">
        <v>3</v>
      </c>
      <c r="U60" s="195" t="s">
        <v>3</v>
      </c>
      <c r="V60" s="169" t="s">
        <v>3</v>
      </c>
      <c r="W60" s="195" t="s">
        <v>3</v>
      </c>
      <c r="X60" s="169" t="s">
        <v>3</v>
      </c>
      <c r="Y60" s="169"/>
    </row>
    <row r="61" spans="1:37" s="197" customFormat="1" ht="31.2" x14ac:dyDescent="0.3">
      <c r="A61" s="90" t="s">
        <v>60</v>
      </c>
      <c r="B61" s="196" t="s">
        <v>61</v>
      </c>
      <c r="C61" s="65" t="e">
        <f t="shared" ref="C61:Y61" si="17">SUM(C65+C93+C182)</f>
        <v>#REF!</v>
      </c>
      <c r="D61" s="65" t="e">
        <f t="shared" si="17"/>
        <v>#REF!</v>
      </c>
      <c r="E61" s="65">
        <f t="shared" si="17"/>
        <v>38928</v>
      </c>
      <c r="F61" s="65">
        <f t="shared" si="17"/>
        <v>46258</v>
      </c>
      <c r="G61" s="65" t="e">
        <f t="shared" si="17"/>
        <v>#REF!</v>
      </c>
      <c r="H61" s="65">
        <f t="shared" si="17"/>
        <v>46941</v>
      </c>
      <c r="I61" s="65">
        <f t="shared" si="17"/>
        <v>48020</v>
      </c>
      <c r="J61" s="65">
        <f t="shared" si="17"/>
        <v>54814</v>
      </c>
      <c r="K61" s="65" t="e">
        <f t="shared" si="17"/>
        <v>#REF!</v>
      </c>
      <c r="L61" s="65">
        <f t="shared" si="17"/>
        <v>75895</v>
      </c>
      <c r="M61" s="66">
        <f t="shared" si="17"/>
        <v>101255.50900000001</v>
      </c>
      <c r="N61" s="67">
        <f t="shared" si="17"/>
        <v>80698.719770000011</v>
      </c>
      <c r="O61" s="66" t="e">
        <f t="shared" si="17"/>
        <v>#REF!</v>
      </c>
      <c r="P61" s="68" t="e">
        <f t="shared" si="17"/>
        <v>#REF!</v>
      </c>
      <c r="Q61" s="65" t="e">
        <f t="shared" si="17"/>
        <v>#REF!</v>
      </c>
      <c r="R61" s="65" t="e">
        <f t="shared" si="17"/>
        <v>#REF!</v>
      </c>
      <c r="S61" s="65" t="e">
        <f t="shared" si="17"/>
        <v>#REF!</v>
      </c>
      <c r="T61" s="65" t="e">
        <f t="shared" si="17"/>
        <v>#REF!</v>
      </c>
      <c r="U61" s="66" t="e">
        <f t="shared" si="17"/>
        <v>#REF!</v>
      </c>
      <c r="V61" s="66" t="e">
        <f t="shared" si="17"/>
        <v>#REF!</v>
      </c>
      <c r="W61" s="65" t="e">
        <f t="shared" si="17"/>
        <v>#REF!</v>
      </c>
      <c r="X61" s="66" t="e">
        <f t="shared" si="17"/>
        <v>#REF!</v>
      </c>
      <c r="Y61" s="66">
        <f t="shared" si="17"/>
        <v>127100</v>
      </c>
    </row>
    <row r="62" spans="1:37" ht="15" customHeight="1" x14ac:dyDescent="0.3">
      <c r="A62" s="33"/>
      <c r="B62" s="73" t="s">
        <v>62</v>
      </c>
      <c r="C62" s="74"/>
      <c r="D62" s="74"/>
      <c r="E62" s="2"/>
      <c r="F62" s="75"/>
      <c r="G62" s="75"/>
      <c r="H62" s="75"/>
      <c r="I62" s="75"/>
      <c r="J62" s="75"/>
      <c r="K62" s="76"/>
      <c r="L62" s="77"/>
      <c r="M62" s="78"/>
      <c r="N62" s="78"/>
      <c r="O62" s="79"/>
      <c r="P62" s="80">
        <v>72900</v>
      </c>
      <c r="Q62" s="81">
        <v>86700</v>
      </c>
      <c r="R62" s="81">
        <v>110400</v>
      </c>
      <c r="S62" s="81">
        <v>100000</v>
      </c>
      <c r="T62" s="81">
        <v>85200</v>
      </c>
      <c r="U62" s="81">
        <v>94700</v>
      </c>
      <c r="V62" s="81">
        <v>111900</v>
      </c>
      <c r="W62" s="82">
        <v>113800</v>
      </c>
      <c r="X62" s="81">
        <v>119300</v>
      </c>
      <c r="Y62" s="81">
        <v>117000</v>
      </c>
    </row>
    <row r="63" spans="1:37" ht="15" customHeight="1" x14ac:dyDescent="0.3">
      <c r="A63" s="33"/>
      <c r="B63" s="73" t="s">
        <v>20</v>
      </c>
      <c r="C63" s="74"/>
      <c r="D63" s="74"/>
      <c r="E63" s="2"/>
      <c r="F63" s="75"/>
      <c r="G63" s="75"/>
      <c r="H63" s="75"/>
      <c r="I63" s="75"/>
      <c r="J63" s="75"/>
      <c r="K63" s="76"/>
      <c r="L63" s="77"/>
      <c r="M63" s="78"/>
      <c r="N63" s="78"/>
      <c r="O63" s="79"/>
      <c r="P63" s="80" t="e">
        <f t="shared" ref="P63:X63" si="18">P61-P62</f>
        <v>#REF!</v>
      </c>
      <c r="Q63" s="81" t="e">
        <f t="shared" si="18"/>
        <v>#REF!</v>
      </c>
      <c r="R63" s="81" t="e">
        <f t="shared" si="18"/>
        <v>#REF!</v>
      </c>
      <c r="S63" s="81" t="e">
        <f t="shared" si="18"/>
        <v>#REF!</v>
      </c>
      <c r="T63" s="81" t="e">
        <f t="shared" si="18"/>
        <v>#REF!</v>
      </c>
      <c r="U63" s="81" t="e">
        <f t="shared" si="18"/>
        <v>#REF!</v>
      </c>
      <c r="V63" s="81" t="e">
        <f t="shared" si="18"/>
        <v>#REF!</v>
      </c>
      <c r="W63" s="82" t="e">
        <f t="shared" si="18"/>
        <v>#REF!</v>
      </c>
      <c r="X63" s="81" t="e">
        <f t="shared" si="18"/>
        <v>#REF!</v>
      </c>
      <c r="Y63" s="81"/>
    </row>
    <row r="64" spans="1:37" ht="15.6" x14ac:dyDescent="0.3">
      <c r="A64" s="90"/>
      <c r="B64" s="70"/>
      <c r="C64" s="65"/>
      <c r="D64" s="122"/>
      <c r="E64" s="122"/>
      <c r="F64" s="122"/>
      <c r="G64" s="122"/>
      <c r="H64" s="122"/>
      <c r="I64" s="163"/>
      <c r="J64" s="198" t="s">
        <v>3</v>
      </c>
      <c r="K64" s="163" t="s">
        <v>3</v>
      </c>
      <c r="L64" s="98" t="s">
        <v>53</v>
      </c>
      <c r="M64" s="85" t="s">
        <v>3</v>
      </c>
      <c r="N64" s="86"/>
      <c r="O64" s="85" t="s">
        <v>3</v>
      </c>
      <c r="P64" s="199"/>
      <c r="Q64" s="164"/>
      <c r="R64" s="164"/>
      <c r="S64" s="164"/>
      <c r="T64" s="164"/>
      <c r="U64" s="164"/>
      <c r="V64" s="164"/>
      <c r="W64" s="200"/>
      <c r="X64" s="164"/>
      <c r="Y64" s="164"/>
      <c r="AI64" s="201"/>
      <c r="AJ64" s="202" t="s">
        <v>54</v>
      </c>
      <c r="AK64" s="2" t="s">
        <v>63</v>
      </c>
    </row>
    <row r="65" spans="1:35" ht="15.6" x14ac:dyDescent="0.3">
      <c r="A65" s="203"/>
      <c r="B65" s="108" t="s">
        <v>64</v>
      </c>
      <c r="C65" s="173">
        <f t="shared" ref="C65:V65" si="19">SUM(C69:C76)+C80</f>
        <v>25450.591220000002</v>
      </c>
      <c r="D65" s="173">
        <f t="shared" si="19"/>
        <v>27704.363000000001</v>
      </c>
      <c r="E65" s="173">
        <f t="shared" si="19"/>
        <v>21496</v>
      </c>
      <c r="F65" s="173">
        <f t="shared" si="19"/>
        <v>21895</v>
      </c>
      <c r="G65" s="173">
        <f t="shared" si="19"/>
        <v>16563</v>
      </c>
      <c r="H65" s="173">
        <f t="shared" si="19"/>
        <v>14758</v>
      </c>
      <c r="I65" s="173">
        <f t="shared" si="19"/>
        <v>14579</v>
      </c>
      <c r="J65" s="173">
        <f t="shared" si="19"/>
        <v>16263</v>
      </c>
      <c r="K65" s="94">
        <f t="shared" si="19"/>
        <v>16090</v>
      </c>
      <c r="L65" s="94">
        <f t="shared" si="19"/>
        <v>22765</v>
      </c>
      <c r="M65" s="95">
        <f t="shared" si="19"/>
        <v>31799.675999999999</v>
      </c>
      <c r="N65" s="96">
        <f t="shared" si="19"/>
        <v>27027.329320000001</v>
      </c>
      <c r="O65" s="95">
        <f t="shared" si="19"/>
        <v>20100</v>
      </c>
      <c r="P65" s="97">
        <f t="shared" si="19"/>
        <v>16300</v>
      </c>
      <c r="Q65" s="94">
        <f t="shared" si="19"/>
        <v>20600</v>
      </c>
      <c r="R65" s="94">
        <f t="shared" si="19"/>
        <v>25400</v>
      </c>
      <c r="S65" s="94">
        <f t="shared" si="19"/>
        <v>21200</v>
      </c>
      <c r="T65" s="94">
        <f t="shared" si="19"/>
        <v>24500</v>
      </c>
      <c r="U65" s="95">
        <f t="shared" si="19"/>
        <v>34800</v>
      </c>
      <c r="V65" s="95">
        <f t="shared" si="19"/>
        <v>48100</v>
      </c>
      <c r="W65" s="94">
        <f>SUM(W69:W77)+W80</f>
        <v>45900</v>
      </c>
      <c r="X65" s="95">
        <f>SUM(X69:X77)+X80</f>
        <v>49300</v>
      </c>
      <c r="Y65" s="95">
        <f>SUM(Y69:Y77)+Y80</f>
        <v>40500</v>
      </c>
    </row>
    <row r="66" spans="1:35" ht="15" customHeight="1" x14ac:dyDescent="0.3">
      <c r="A66" s="33"/>
      <c r="B66" s="73" t="s">
        <v>19</v>
      </c>
      <c r="C66" s="74"/>
      <c r="D66" s="74"/>
      <c r="E66" s="2"/>
      <c r="F66" s="75"/>
      <c r="G66" s="75"/>
      <c r="H66" s="75"/>
      <c r="I66" s="75"/>
      <c r="J66" s="75"/>
      <c r="K66" s="76"/>
      <c r="L66" s="77"/>
      <c r="M66" s="78"/>
      <c r="N66" s="78"/>
      <c r="O66" s="79"/>
      <c r="P66" s="80">
        <v>16800</v>
      </c>
      <c r="Q66" s="81">
        <v>20100</v>
      </c>
      <c r="R66" s="81">
        <v>25400</v>
      </c>
      <c r="S66" s="81">
        <v>21300</v>
      </c>
      <c r="T66" s="81">
        <v>19400</v>
      </c>
      <c r="U66" s="81">
        <v>29800</v>
      </c>
      <c r="V66" s="81">
        <v>43100</v>
      </c>
      <c r="W66" s="82">
        <v>40900</v>
      </c>
      <c r="X66" s="81">
        <v>44300</v>
      </c>
      <c r="Y66" s="81">
        <v>40500</v>
      </c>
    </row>
    <row r="67" spans="1:35" ht="15" customHeight="1" x14ac:dyDescent="0.3">
      <c r="A67" s="33"/>
      <c r="B67" s="73" t="s">
        <v>20</v>
      </c>
      <c r="C67" s="74"/>
      <c r="D67" s="74"/>
      <c r="E67" s="2"/>
      <c r="F67" s="75"/>
      <c r="G67" s="75"/>
      <c r="H67" s="75"/>
      <c r="I67" s="75"/>
      <c r="J67" s="75"/>
      <c r="K67" s="76"/>
      <c r="L67" s="77"/>
      <c r="M67" s="78"/>
      <c r="N67" s="78"/>
      <c r="O67" s="79"/>
      <c r="P67" s="80">
        <f t="shared" ref="P67:X67" si="20">P65-P66</f>
        <v>-500</v>
      </c>
      <c r="Q67" s="81">
        <f t="shared" si="20"/>
        <v>500</v>
      </c>
      <c r="R67" s="81">
        <f t="shared" si="20"/>
        <v>0</v>
      </c>
      <c r="S67" s="81">
        <f t="shared" si="20"/>
        <v>-100</v>
      </c>
      <c r="T67" s="81">
        <f t="shared" si="20"/>
        <v>5100</v>
      </c>
      <c r="U67" s="81">
        <f t="shared" si="20"/>
        <v>5000</v>
      </c>
      <c r="V67" s="81">
        <f t="shared" si="20"/>
        <v>5000</v>
      </c>
      <c r="W67" s="82">
        <f t="shared" si="20"/>
        <v>5000</v>
      </c>
      <c r="X67" s="81">
        <f t="shared" si="20"/>
        <v>5000</v>
      </c>
      <c r="Y67" s="81"/>
    </row>
    <row r="68" spans="1:35" ht="13.5" customHeight="1" x14ac:dyDescent="0.3">
      <c r="A68" s="51"/>
      <c r="B68" s="70"/>
      <c r="C68" s="115"/>
      <c r="D68" s="115"/>
      <c r="E68" s="115"/>
      <c r="F68" s="204"/>
      <c r="G68" s="89"/>
      <c r="H68" s="205"/>
      <c r="I68" s="206"/>
      <c r="J68" s="207"/>
      <c r="K68" s="163"/>
      <c r="L68" s="98"/>
      <c r="M68" s="166"/>
      <c r="N68" s="193"/>
      <c r="O68" s="166"/>
      <c r="P68" s="199"/>
      <c r="Q68" s="164"/>
      <c r="R68" s="164"/>
      <c r="S68" s="164"/>
      <c r="T68" s="164"/>
      <c r="U68" s="164"/>
      <c r="V68" s="164"/>
      <c r="W68" s="200"/>
      <c r="X68" s="164"/>
      <c r="Y68" s="164"/>
    </row>
    <row r="69" spans="1:35" s="2" customFormat="1" ht="15.6" x14ac:dyDescent="0.3">
      <c r="A69" s="35">
        <v>1</v>
      </c>
      <c r="B69" s="116" t="s">
        <v>65</v>
      </c>
      <c r="C69" s="208">
        <v>3973.2676700000002</v>
      </c>
      <c r="D69" s="208">
        <v>3074.3339999999998</v>
      </c>
      <c r="E69" s="208">
        <v>1552</v>
      </c>
      <c r="F69" s="208">
        <v>706</v>
      </c>
      <c r="G69" s="208">
        <v>461</v>
      </c>
      <c r="H69" s="208">
        <v>632</v>
      </c>
      <c r="I69" s="208">
        <v>222</v>
      </c>
      <c r="J69" s="208">
        <v>674</v>
      </c>
      <c r="K69" s="65">
        <v>185</v>
      </c>
      <c r="L69" s="65">
        <v>1063</v>
      </c>
      <c r="M69" s="66">
        <f>1117697/1000</f>
        <v>1117.6969999999999</v>
      </c>
      <c r="N69" s="67">
        <f>723498.77/1000</f>
        <v>723.49877000000004</v>
      </c>
      <c r="O69" s="66">
        <v>2200</v>
      </c>
      <c r="P69" s="68">
        <f>2600-400</f>
        <v>2200</v>
      </c>
      <c r="Q69" s="66">
        <f>3200-500</f>
        <v>2700</v>
      </c>
      <c r="R69" s="66">
        <f>3000+300</f>
        <v>3300</v>
      </c>
      <c r="S69" s="66">
        <f>3500-1000</f>
        <v>2500</v>
      </c>
      <c r="T69" s="66">
        <v>1500</v>
      </c>
      <c r="U69" s="66">
        <v>3200</v>
      </c>
      <c r="V69" s="66">
        <v>6200</v>
      </c>
      <c r="W69" s="65">
        <v>4200</v>
      </c>
      <c r="X69" s="66">
        <v>4200</v>
      </c>
      <c r="Y69" s="66">
        <v>4200</v>
      </c>
      <c r="AH69" s="209" t="s">
        <v>66</v>
      </c>
    </row>
    <row r="70" spans="1:35" s="2" customFormat="1" ht="15.6" x14ac:dyDescent="0.3">
      <c r="A70" s="35">
        <v>2</v>
      </c>
      <c r="B70" s="116" t="s">
        <v>67</v>
      </c>
      <c r="C70" s="208">
        <v>3190.9440100000002</v>
      </c>
      <c r="D70" s="208">
        <v>2460.8409999999999</v>
      </c>
      <c r="E70" s="208">
        <v>3893</v>
      </c>
      <c r="F70" s="208">
        <v>3719</v>
      </c>
      <c r="G70" s="208">
        <v>1490</v>
      </c>
      <c r="H70" s="208">
        <v>1225</v>
      </c>
      <c r="I70" s="208">
        <v>781</v>
      </c>
      <c r="J70" s="208">
        <v>1159</v>
      </c>
      <c r="K70" s="65">
        <v>421</v>
      </c>
      <c r="L70" s="65">
        <v>1642</v>
      </c>
      <c r="M70" s="66">
        <f>5584953/1000</f>
        <v>5584.9530000000004</v>
      </c>
      <c r="N70" s="67">
        <f>4018036.6/1000</f>
        <v>4018.0365999999999</v>
      </c>
      <c r="O70" s="66">
        <v>3600</v>
      </c>
      <c r="P70" s="68">
        <f>2900-900</f>
        <v>2000</v>
      </c>
      <c r="Q70" s="66">
        <f>3000+500</f>
        <v>3500</v>
      </c>
      <c r="R70" s="66">
        <f>3200-1500</f>
        <v>1700</v>
      </c>
      <c r="S70" s="66">
        <f>3300-1100</f>
        <v>2200</v>
      </c>
      <c r="T70" s="66">
        <f>3400+1300-1000-500</f>
        <v>3200</v>
      </c>
      <c r="U70" s="66">
        <f>2300+300</f>
        <v>2600</v>
      </c>
      <c r="V70" s="66">
        <f>2100+1000+500</f>
        <v>3600</v>
      </c>
      <c r="W70" s="65">
        <v>2100</v>
      </c>
      <c r="X70" s="66">
        <v>2300</v>
      </c>
      <c r="Y70" s="66">
        <v>2300</v>
      </c>
      <c r="AH70" s="209" t="s">
        <v>66</v>
      </c>
    </row>
    <row r="71" spans="1:35" s="2" customFormat="1" ht="15.6" x14ac:dyDescent="0.3">
      <c r="A71" s="35">
        <v>3</v>
      </c>
      <c r="B71" s="116" t="s">
        <v>68</v>
      </c>
      <c r="C71" s="208">
        <v>1935</v>
      </c>
      <c r="D71" s="208">
        <v>2533.0189999999998</v>
      </c>
      <c r="E71" s="208">
        <v>1382</v>
      </c>
      <c r="F71" s="208">
        <v>974</v>
      </c>
      <c r="G71" s="208">
        <v>1029</v>
      </c>
      <c r="H71" s="208">
        <v>395</v>
      </c>
      <c r="I71" s="208">
        <v>475</v>
      </c>
      <c r="J71" s="208">
        <v>1034</v>
      </c>
      <c r="K71" s="65">
        <v>225</v>
      </c>
      <c r="L71" s="65">
        <v>1833</v>
      </c>
      <c r="M71" s="66">
        <f>7312851/1000</f>
        <v>7312.8509999999997</v>
      </c>
      <c r="N71" s="67">
        <f>13074170.16/1000</f>
        <v>13074.17016</v>
      </c>
      <c r="O71" s="66">
        <v>1600</v>
      </c>
      <c r="P71" s="68">
        <f>2400-300</f>
        <v>2100</v>
      </c>
      <c r="Q71" s="66">
        <f>1800-800</f>
        <v>1000</v>
      </c>
      <c r="R71" s="66">
        <f>1500-1000</f>
        <v>500</v>
      </c>
      <c r="S71" s="66">
        <v>1000</v>
      </c>
      <c r="T71" s="66">
        <v>2800</v>
      </c>
      <c r="U71" s="66">
        <v>3000</v>
      </c>
      <c r="V71" s="66">
        <v>3000</v>
      </c>
      <c r="W71" s="65">
        <v>3000</v>
      </c>
      <c r="X71" s="66">
        <v>3000</v>
      </c>
      <c r="Y71" s="66">
        <v>3000</v>
      </c>
      <c r="AH71" s="209" t="s">
        <v>66</v>
      </c>
      <c r="AI71"/>
    </row>
    <row r="72" spans="1:35" s="2" customFormat="1" ht="15.6" x14ac:dyDescent="0.3">
      <c r="A72" s="35">
        <v>4</v>
      </c>
      <c r="B72" s="116" t="s">
        <v>69</v>
      </c>
      <c r="C72" s="208">
        <v>808.60706000000005</v>
      </c>
      <c r="D72" s="208">
        <v>1597.5450000000001</v>
      </c>
      <c r="E72" s="208">
        <v>1942</v>
      </c>
      <c r="F72" s="208">
        <v>2220</v>
      </c>
      <c r="G72" s="208">
        <v>983</v>
      </c>
      <c r="H72" s="208">
        <v>1595</v>
      </c>
      <c r="I72" s="208">
        <v>2294</v>
      </c>
      <c r="J72" s="208">
        <v>201</v>
      </c>
      <c r="K72" s="65">
        <v>535</v>
      </c>
      <c r="L72" s="65">
        <v>687</v>
      </c>
      <c r="M72" s="66">
        <f>1401029/1000</f>
        <v>1401.029</v>
      </c>
      <c r="N72" s="67">
        <f>378270.25/1000</f>
        <v>378.27024999999998</v>
      </c>
      <c r="O72" s="66">
        <v>2300</v>
      </c>
      <c r="P72" s="68">
        <v>2400</v>
      </c>
      <c r="Q72" s="66">
        <v>2200</v>
      </c>
      <c r="R72" s="66">
        <v>2000</v>
      </c>
      <c r="S72" s="105">
        <f>1700+2000</f>
        <v>3700</v>
      </c>
      <c r="T72" s="105">
        <f>2000+3000</f>
        <v>5000</v>
      </c>
      <c r="U72" s="105">
        <f>2000+5000</f>
        <v>7000</v>
      </c>
      <c r="V72" s="105">
        <f>2300+5000</f>
        <v>7300</v>
      </c>
      <c r="W72" s="118">
        <f>2400+5000</f>
        <v>7400</v>
      </c>
      <c r="X72" s="105">
        <f>3700+5000</f>
        <v>8700</v>
      </c>
      <c r="Y72" s="66">
        <f>3700</f>
        <v>3700</v>
      </c>
      <c r="AH72" s="209" t="s">
        <v>66</v>
      </c>
    </row>
    <row r="73" spans="1:35" s="2" customFormat="1" ht="15.6" x14ac:dyDescent="0.3">
      <c r="A73" s="35">
        <v>5</v>
      </c>
      <c r="B73" s="116" t="s">
        <v>70</v>
      </c>
      <c r="C73" s="208">
        <v>7882.45334</v>
      </c>
      <c r="D73" s="208">
        <v>8745.4240000000009</v>
      </c>
      <c r="E73" s="208">
        <v>5032</v>
      </c>
      <c r="F73" s="208">
        <v>6068</v>
      </c>
      <c r="G73" s="208">
        <v>6073</v>
      </c>
      <c r="H73" s="208">
        <v>3761</v>
      </c>
      <c r="I73" s="208">
        <v>3039</v>
      </c>
      <c r="J73" s="208">
        <v>5233</v>
      </c>
      <c r="K73" s="65">
        <v>5528</v>
      </c>
      <c r="L73" s="65">
        <v>7784</v>
      </c>
      <c r="M73" s="66">
        <f>7229700/1000</f>
        <v>7229.7</v>
      </c>
      <c r="N73" s="67">
        <f>3101243.98/1000</f>
        <v>3101.2439800000002</v>
      </c>
      <c r="O73" s="66">
        <v>2900</v>
      </c>
      <c r="P73" s="68">
        <v>3600</v>
      </c>
      <c r="Q73" s="66">
        <v>5200</v>
      </c>
      <c r="R73" s="66">
        <v>6000</v>
      </c>
      <c r="S73" s="66">
        <v>4600</v>
      </c>
      <c r="T73" s="66">
        <v>4000</v>
      </c>
      <c r="U73" s="66">
        <v>4000</v>
      </c>
      <c r="V73" s="66">
        <v>7200</v>
      </c>
      <c r="W73" s="65">
        <v>7200</v>
      </c>
      <c r="X73" s="66">
        <v>8700</v>
      </c>
      <c r="Y73" s="66">
        <v>8000</v>
      </c>
      <c r="AH73" s="209" t="s">
        <v>66</v>
      </c>
    </row>
    <row r="74" spans="1:35" s="2" customFormat="1" ht="15.6" x14ac:dyDescent="0.3">
      <c r="A74" s="35">
        <v>6</v>
      </c>
      <c r="B74" s="116" t="s">
        <v>71</v>
      </c>
      <c r="C74" s="208">
        <v>459.31914</v>
      </c>
      <c r="D74" s="208">
        <v>1179.8320000000001</v>
      </c>
      <c r="E74" s="208">
        <v>1146</v>
      </c>
      <c r="F74" s="208">
        <v>1573</v>
      </c>
      <c r="G74" s="208">
        <v>330</v>
      </c>
      <c r="H74" s="208">
        <v>1116</v>
      </c>
      <c r="I74" s="208">
        <v>1073</v>
      </c>
      <c r="J74" s="208">
        <v>1551</v>
      </c>
      <c r="K74" s="65">
        <v>1019</v>
      </c>
      <c r="L74" s="65">
        <v>2253</v>
      </c>
      <c r="M74" s="66">
        <v>3778</v>
      </c>
      <c r="N74" s="67">
        <f>1905728.26/1000</f>
        <v>1905.7282600000001</v>
      </c>
      <c r="O74" s="66">
        <v>3000</v>
      </c>
      <c r="P74" s="68">
        <v>1000</v>
      </c>
      <c r="Q74" s="66">
        <v>600</v>
      </c>
      <c r="R74" s="66">
        <v>2000</v>
      </c>
      <c r="S74" s="66">
        <v>2000</v>
      </c>
      <c r="T74" s="66">
        <v>2000</v>
      </c>
      <c r="U74" s="66">
        <v>2000</v>
      </c>
      <c r="V74" s="66">
        <v>2000</v>
      </c>
      <c r="W74" s="65">
        <v>2000</v>
      </c>
      <c r="X74" s="66">
        <v>2000</v>
      </c>
      <c r="Y74" s="66">
        <v>2000</v>
      </c>
      <c r="AH74" s="209" t="s">
        <v>66</v>
      </c>
    </row>
    <row r="75" spans="1:35" s="2" customFormat="1" ht="15.6" x14ac:dyDescent="0.3">
      <c r="A75" s="35">
        <v>7</v>
      </c>
      <c r="B75" s="116" t="s">
        <v>72</v>
      </c>
      <c r="C75" s="208">
        <v>7022</v>
      </c>
      <c r="D75" s="208">
        <v>8033.7719999999999</v>
      </c>
      <c r="E75" s="208">
        <v>6227</v>
      </c>
      <c r="F75" s="208">
        <v>5648</v>
      </c>
      <c r="G75" s="208">
        <v>5145</v>
      </c>
      <c r="H75" s="208">
        <v>5556</v>
      </c>
      <c r="I75" s="208">
        <v>5732</v>
      </c>
      <c r="J75" s="208">
        <v>4697</v>
      </c>
      <c r="K75" s="65">
        <v>4478</v>
      </c>
      <c r="L75" s="65">
        <v>6869</v>
      </c>
      <c r="M75" s="66">
        <f>4866716/1000</f>
        <v>4866.7160000000003</v>
      </c>
      <c r="N75" s="67">
        <f>3492696.12/1000</f>
        <v>3492.6961200000001</v>
      </c>
      <c r="O75" s="66">
        <v>4200</v>
      </c>
      <c r="P75" s="210">
        <f>5700-2300-500</f>
        <v>2900</v>
      </c>
      <c r="Q75" s="105">
        <f>4000+500</f>
        <v>4500</v>
      </c>
      <c r="R75" s="66">
        <f>5200+2600</f>
        <v>7800</v>
      </c>
      <c r="S75" s="105">
        <f>7000-2100</f>
        <v>4900</v>
      </c>
      <c r="T75" s="105">
        <f>3600+2100</f>
        <v>5700</v>
      </c>
      <c r="U75" s="66">
        <f>3500+8000</f>
        <v>11500</v>
      </c>
      <c r="V75" s="66">
        <f>6800+8000</f>
        <v>14800</v>
      </c>
      <c r="W75" s="65">
        <f>6800+8000</f>
        <v>14800</v>
      </c>
      <c r="X75" s="66">
        <f>6800+8000</f>
        <v>14800</v>
      </c>
      <c r="Y75" s="66">
        <v>14800</v>
      </c>
      <c r="AH75" s="209" t="s">
        <v>66</v>
      </c>
    </row>
    <row r="76" spans="1:35" s="2" customFormat="1" ht="15.6" x14ac:dyDescent="0.3">
      <c r="A76" s="35">
        <v>8</v>
      </c>
      <c r="B76" s="116" t="s">
        <v>73</v>
      </c>
      <c r="C76" s="208">
        <v>171</v>
      </c>
      <c r="D76" s="208">
        <v>79.596000000000004</v>
      </c>
      <c r="E76" s="208">
        <v>27</v>
      </c>
      <c r="F76" s="208">
        <v>13</v>
      </c>
      <c r="G76" s="208">
        <v>29</v>
      </c>
      <c r="H76" s="208">
        <v>47</v>
      </c>
      <c r="I76" s="208">
        <v>141</v>
      </c>
      <c r="J76" s="208">
        <v>334</v>
      </c>
      <c r="K76" s="65">
        <v>9</v>
      </c>
      <c r="L76" s="65">
        <v>35</v>
      </c>
      <c r="M76" s="66">
        <f>3988/1000</f>
        <v>3.988</v>
      </c>
      <c r="N76" s="67">
        <f>48628.32/1000</f>
        <v>48.628320000000002</v>
      </c>
      <c r="O76" s="66">
        <v>300</v>
      </c>
      <c r="P76" s="68">
        <v>100</v>
      </c>
      <c r="Q76" s="66">
        <v>100</v>
      </c>
      <c r="R76" s="66">
        <v>100</v>
      </c>
      <c r="S76" s="66">
        <v>300</v>
      </c>
      <c r="T76" s="66">
        <v>300</v>
      </c>
      <c r="U76" s="66">
        <v>500</v>
      </c>
      <c r="V76" s="66">
        <v>500</v>
      </c>
      <c r="W76" s="65">
        <v>500</v>
      </c>
      <c r="X76" s="66">
        <v>600</v>
      </c>
      <c r="Y76" s="66">
        <v>500</v>
      </c>
      <c r="AH76" s="209" t="s">
        <v>66</v>
      </c>
    </row>
    <row r="77" spans="1:35" s="2" customFormat="1" ht="15.6" x14ac:dyDescent="0.3">
      <c r="A77" s="33"/>
      <c r="B77" s="116" t="s">
        <v>3</v>
      </c>
      <c r="C77" s="208"/>
      <c r="D77" s="208"/>
      <c r="E77" s="208"/>
      <c r="F77" s="208"/>
      <c r="G77" s="208"/>
      <c r="H77" s="208"/>
      <c r="I77" s="208"/>
      <c r="J77" s="208"/>
      <c r="K77" s="65"/>
      <c r="L77" s="65"/>
      <c r="M77" s="105"/>
      <c r="N77" s="106"/>
      <c r="O77" s="66"/>
      <c r="P77" s="68"/>
      <c r="Q77" s="66"/>
      <c r="R77" s="66"/>
      <c r="S77" s="66"/>
      <c r="T77" s="66"/>
      <c r="U77" s="66"/>
      <c r="V77" s="66"/>
      <c r="W77" s="65" t="s">
        <v>3</v>
      </c>
      <c r="X77" s="66" t="s">
        <v>3</v>
      </c>
      <c r="Y77" s="66"/>
      <c r="AH77" s="209" t="s">
        <v>66</v>
      </c>
    </row>
    <row r="78" spans="1:35" ht="15.6" x14ac:dyDescent="0.3">
      <c r="A78" s="211"/>
      <c r="B78" s="212" t="s">
        <v>74</v>
      </c>
      <c r="C78" s="213">
        <f t="shared" ref="C78:Y78" si="21">SUM(C69:C76)</f>
        <v>25442.591220000002</v>
      </c>
      <c r="D78" s="213">
        <f t="shared" si="21"/>
        <v>27704.363000000001</v>
      </c>
      <c r="E78" s="213">
        <f t="shared" si="21"/>
        <v>21201</v>
      </c>
      <c r="F78" s="213">
        <f t="shared" si="21"/>
        <v>20921</v>
      </c>
      <c r="G78" s="213">
        <f t="shared" si="21"/>
        <v>15540</v>
      </c>
      <c r="H78" s="213">
        <f t="shared" si="21"/>
        <v>14327</v>
      </c>
      <c r="I78" s="213">
        <f t="shared" si="21"/>
        <v>13757</v>
      </c>
      <c r="J78" s="213">
        <f t="shared" si="21"/>
        <v>14883</v>
      </c>
      <c r="K78" s="214">
        <f t="shared" si="21"/>
        <v>12400</v>
      </c>
      <c r="L78" s="214">
        <f t="shared" si="21"/>
        <v>22166</v>
      </c>
      <c r="M78" s="215">
        <f t="shared" si="21"/>
        <v>31294.934000000001</v>
      </c>
      <c r="N78" s="216">
        <f t="shared" si="21"/>
        <v>26742.27246</v>
      </c>
      <c r="O78" s="215">
        <f t="shared" si="21"/>
        <v>20100</v>
      </c>
      <c r="P78" s="217">
        <f t="shared" si="21"/>
        <v>16300</v>
      </c>
      <c r="Q78" s="215">
        <f t="shared" si="21"/>
        <v>19800</v>
      </c>
      <c r="R78" s="215">
        <f t="shared" si="21"/>
        <v>23400</v>
      </c>
      <c r="S78" s="215">
        <f t="shared" si="21"/>
        <v>21200</v>
      </c>
      <c r="T78" s="215">
        <f t="shared" si="21"/>
        <v>24500</v>
      </c>
      <c r="U78" s="215">
        <f t="shared" si="21"/>
        <v>33800</v>
      </c>
      <c r="V78" s="215">
        <f t="shared" si="21"/>
        <v>44600</v>
      </c>
      <c r="W78" s="214">
        <f t="shared" si="21"/>
        <v>41200</v>
      </c>
      <c r="X78" s="215">
        <f t="shared" si="21"/>
        <v>44300</v>
      </c>
      <c r="Y78" s="215">
        <f t="shared" si="21"/>
        <v>38500</v>
      </c>
      <c r="AH78" s="209" t="s">
        <v>66</v>
      </c>
    </row>
    <row r="79" spans="1:35" ht="15.6" x14ac:dyDescent="0.3">
      <c r="A79" s="218"/>
      <c r="B79" s="219"/>
      <c r="C79" s="220"/>
      <c r="D79" s="220"/>
      <c r="E79" s="220"/>
      <c r="F79" s="220"/>
      <c r="G79" s="220"/>
      <c r="H79" s="220"/>
      <c r="I79" s="221" t="s">
        <v>3</v>
      </c>
      <c r="J79" s="222" t="s">
        <v>3</v>
      </c>
      <c r="K79" s="163" t="s">
        <v>3</v>
      </c>
      <c r="L79" s="163" t="s">
        <v>3</v>
      </c>
      <c r="M79" s="164" t="s">
        <v>3</v>
      </c>
      <c r="N79" s="165"/>
      <c r="O79" s="166" t="s">
        <v>3</v>
      </c>
      <c r="P79" s="199" t="s">
        <v>3</v>
      </c>
      <c r="Q79" s="164" t="s">
        <v>3</v>
      </c>
      <c r="R79" s="164" t="s">
        <v>3</v>
      </c>
      <c r="S79" s="164" t="s">
        <v>3</v>
      </c>
      <c r="T79" s="164" t="s">
        <v>3</v>
      </c>
      <c r="U79" s="164" t="s">
        <v>3</v>
      </c>
      <c r="V79" s="164" t="s">
        <v>3</v>
      </c>
      <c r="W79" s="200" t="s">
        <v>3</v>
      </c>
      <c r="X79" s="164" t="s">
        <v>3</v>
      </c>
      <c r="Y79" s="164"/>
      <c r="AH79" s="209" t="s">
        <v>66</v>
      </c>
    </row>
    <row r="80" spans="1:35" ht="15.6" x14ac:dyDescent="0.3">
      <c r="A80" s="223"/>
      <c r="B80" s="116" t="s">
        <v>75</v>
      </c>
      <c r="C80" s="208">
        <f t="shared" ref="C80:I80" si="22">SUM(C82:C91)</f>
        <v>8</v>
      </c>
      <c r="D80" s="208">
        <f t="shared" si="22"/>
        <v>0</v>
      </c>
      <c r="E80" s="208">
        <f t="shared" si="22"/>
        <v>295</v>
      </c>
      <c r="F80" s="208">
        <f t="shared" si="22"/>
        <v>974</v>
      </c>
      <c r="G80" s="208">
        <f t="shared" si="22"/>
        <v>1023</v>
      </c>
      <c r="H80" s="208">
        <f t="shared" si="22"/>
        <v>431</v>
      </c>
      <c r="I80" s="208">
        <f t="shared" si="22"/>
        <v>822</v>
      </c>
      <c r="J80" s="208">
        <v>1380</v>
      </c>
      <c r="K80" s="65">
        <v>3690</v>
      </c>
      <c r="L80" s="65">
        <v>599</v>
      </c>
      <c r="M80" s="66">
        <f>504742/1000</f>
        <v>504.74200000000002</v>
      </c>
      <c r="N80" s="67">
        <f>285056.86/1000</f>
        <v>285.05685999999997</v>
      </c>
      <c r="O80" s="66">
        <f t="shared" ref="O80:W80" si="23">SUM(O82:O91)</f>
        <v>0</v>
      </c>
      <c r="P80" s="68">
        <f t="shared" si="23"/>
        <v>0</v>
      </c>
      <c r="Q80" s="66">
        <f t="shared" si="23"/>
        <v>800</v>
      </c>
      <c r="R80" s="66">
        <f t="shared" si="23"/>
        <v>2000</v>
      </c>
      <c r="S80" s="66">
        <f t="shared" si="23"/>
        <v>0</v>
      </c>
      <c r="T80" s="66">
        <f t="shared" si="23"/>
        <v>0</v>
      </c>
      <c r="U80" s="66">
        <f t="shared" si="23"/>
        <v>1000</v>
      </c>
      <c r="V80" s="66">
        <f t="shared" si="23"/>
        <v>3500</v>
      </c>
      <c r="W80" s="65">
        <f t="shared" si="23"/>
        <v>4700</v>
      </c>
      <c r="X80" s="66">
        <f>SUM(X81:X91)</f>
        <v>5000</v>
      </c>
      <c r="Y80" s="66">
        <f>SUM(Y81:Y91)</f>
        <v>2000</v>
      </c>
      <c r="AG80" s="224" t="s">
        <v>76</v>
      </c>
      <c r="AH80" s="209" t="s">
        <v>66</v>
      </c>
    </row>
    <row r="81" spans="1:25" ht="15.6" x14ac:dyDescent="0.3">
      <c r="A81" s="223"/>
      <c r="B81" s="70"/>
      <c r="C81" s="208"/>
      <c r="D81" s="208"/>
      <c r="E81" s="208"/>
      <c r="F81" s="208"/>
      <c r="G81" s="208"/>
      <c r="H81" s="208"/>
      <c r="I81" s="225" t="s">
        <v>3</v>
      </c>
      <c r="J81" s="208"/>
      <c r="K81" s="65"/>
      <c r="L81" s="65"/>
      <c r="M81" s="105"/>
      <c r="N81" s="106"/>
      <c r="O81" s="66"/>
      <c r="P81" s="68"/>
      <c r="Q81" s="66"/>
      <c r="R81" s="66"/>
      <c r="S81" s="67"/>
      <c r="T81" s="67"/>
      <c r="U81" s="67"/>
      <c r="V81" s="67"/>
      <c r="W81" s="226"/>
      <c r="X81" s="66"/>
      <c r="Y81" s="66"/>
    </row>
    <row r="82" spans="1:25" ht="15" x14ac:dyDescent="0.25">
      <c r="A82" s="223"/>
      <c r="B82" s="92" t="s">
        <v>77</v>
      </c>
      <c r="C82" s="227">
        <v>0</v>
      </c>
      <c r="D82" s="227">
        <v>0</v>
      </c>
      <c r="E82" s="227">
        <v>295</v>
      </c>
      <c r="F82" s="227">
        <v>974</v>
      </c>
      <c r="G82" s="227">
        <v>989</v>
      </c>
      <c r="H82" s="227">
        <v>0</v>
      </c>
      <c r="I82" s="227">
        <v>0</v>
      </c>
      <c r="J82" s="227">
        <v>0</v>
      </c>
      <c r="K82" s="122" t="s">
        <v>3</v>
      </c>
      <c r="L82" s="55"/>
      <c r="M82" s="56"/>
      <c r="N82" s="57"/>
      <c r="O82" s="58" t="s">
        <v>3</v>
      </c>
      <c r="P82" s="59" t="s">
        <v>3</v>
      </c>
      <c r="Q82" s="58"/>
      <c r="R82" s="58"/>
      <c r="S82" s="93"/>
      <c r="T82" s="93"/>
      <c r="U82" s="93"/>
      <c r="V82" s="93"/>
      <c r="W82" s="228"/>
      <c r="X82" s="58"/>
      <c r="Y82" s="58"/>
    </row>
    <row r="83" spans="1:25" ht="15" x14ac:dyDescent="0.25">
      <c r="A83" s="223"/>
      <c r="B83" s="92" t="s">
        <v>78</v>
      </c>
      <c r="C83" s="227">
        <v>0</v>
      </c>
      <c r="D83" s="227">
        <v>0</v>
      </c>
      <c r="E83" s="227">
        <v>0</v>
      </c>
      <c r="F83" s="227">
        <v>0</v>
      </c>
      <c r="G83" s="227">
        <v>34</v>
      </c>
      <c r="H83" s="227">
        <v>116</v>
      </c>
      <c r="I83" s="227">
        <v>806</v>
      </c>
      <c r="J83" s="227">
        <v>0</v>
      </c>
      <c r="K83" s="122" t="s">
        <v>3</v>
      </c>
      <c r="L83" s="55"/>
      <c r="M83" s="56"/>
      <c r="N83" s="57"/>
      <c r="O83" s="58"/>
      <c r="P83" s="59"/>
      <c r="Q83" s="58"/>
      <c r="R83" s="58"/>
      <c r="S83" s="93"/>
      <c r="T83" s="93"/>
      <c r="U83" s="93"/>
      <c r="V83" s="93"/>
      <c r="W83" s="228"/>
      <c r="X83" s="58"/>
      <c r="Y83" s="58"/>
    </row>
    <row r="84" spans="1:25" ht="15" x14ac:dyDescent="0.25">
      <c r="A84" s="223"/>
      <c r="B84" s="92" t="s">
        <v>79</v>
      </c>
      <c r="C84" s="227"/>
      <c r="D84" s="227"/>
      <c r="E84" s="227"/>
      <c r="F84" s="227"/>
      <c r="G84" s="227">
        <v>0</v>
      </c>
      <c r="H84" s="227" t="s">
        <v>3</v>
      </c>
      <c r="I84" s="227">
        <v>0</v>
      </c>
      <c r="J84" s="227">
        <v>0</v>
      </c>
      <c r="K84" s="122" t="s">
        <v>3</v>
      </c>
      <c r="L84" s="55">
        <v>1000</v>
      </c>
      <c r="M84" s="56"/>
      <c r="N84" s="57"/>
      <c r="O84" s="58"/>
      <c r="P84" s="59"/>
      <c r="Q84" s="58">
        <v>800</v>
      </c>
      <c r="R84" s="58">
        <v>1900</v>
      </c>
      <c r="S84" s="93"/>
      <c r="T84" s="93"/>
      <c r="U84" s="93"/>
      <c r="V84" s="93"/>
      <c r="W84" s="228"/>
      <c r="X84" s="58"/>
      <c r="Y84" s="58"/>
    </row>
    <row r="85" spans="1:25" ht="15" x14ac:dyDescent="0.25">
      <c r="A85" s="223"/>
      <c r="B85" s="92" t="s">
        <v>80</v>
      </c>
      <c r="C85" s="227"/>
      <c r="D85" s="227"/>
      <c r="E85" s="227"/>
      <c r="F85" s="227"/>
      <c r="G85" s="227"/>
      <c r="H85" s="227">
        <v>286</v>
      </c>
      <c r="I85" s="227"/>
      <c r="J85" s="227"/>
      <c r="K85" s="122"/>
      <c r="L85" s="55"/>
      <c r="M85" s="56"/>
      <c r="N85" s="57"/>
      <c r="O85" s="58" t="s">
        <v>3</v>
      </c>
      <c r="P85" s="59"/>
      <c r="Q85" s="58"/>
      <c r="R85" s="58"/>
      <c r="S85" s="93"/>
      <c r="T85" s="58"/>
      <c r="U85" s="93">
        <v>200</v>
      </c>
      <c r="V85" s="93">
        <v>1200</v>
      </c>
      <c r="W85" s="228" t="s">
        <v>3</v>
      </c>
      <c r="X85" s="58" t="s">
        <v>3</v>
      </c>
      <c r="Y85" s="58"/>
    </row>
    <row r="86" spans="1:25" ht="15" x14ac:dyDescent="0.25">
      <c r="A86" s="223"/>
      <c r="B86" s="92" t="s">
        <v>81</v>
      </c>
      <c r="C86" s="227">
        <v>0</v>
      </c>
      <c r="D86" s="227">
        <v>0</v>
      </c>
      <c r="E86" s="227">
        <v>0</v>
      </c>
      <c r="F86" s="227">
        <v>0</v>
      </c>
      <c r="G86" s="227">
        <v>0</v>
      </c>
      <c r="H86" s="227">
        <v>0</v>
      </c>
      <c r="I86" s="227">
        <v>0</v>
      </c>
      <c r="J86" s="227">
        <v>0</v>
      </c>
      <c r="K86" s="122" t="s">
        <v>3</v>
      </c>
      <c r="L86" s="55"/>
      <c r="M86" s="56"/>
      <c r="N86" s="57"/>
      <c r="O86" s="58"/>
      <c r="P86" s="59" t="s">
        <v>3</v>
      </c>
      <c r="Q86" s="58"/>
      <c r="R86" s="58"/>
      <c r="S86" s="93"/>
      <c r="T86" s="58"/>
      <c r="U86" s="93"/>
      <c r="V86" s="93"/>
      <c r="W86" s="228">
        <v>2000</v>
      </c>
      <c r="X86" s="58">
        <v>2000</v>
      </c>
      <c r="Y86" s="229"/>
    </row>
    <row r="87" spans="1:25" ht="15" x14ac:dyDescent="0.25">
      <c r="A87" s="223"/>
      <c r="B87" s="92" t="s">
        <v>82</v>
      </c>
      <c r="C87" s="227">
        <v>0</v>
      </c>
      <c r="D87" s="227">
        <v>0</v>
      </c>
      <c r="E87" s="227">
        <v>0</v>
      </c>
      <c r="F87" s="227">
        <v>0</v>
      </c>
      <c r="G87" s="227">
        <v>0</v>
      </c>
      <c r="H87" s="227">
        <v>0</v>
      </c>
      <c r="I87" s="227">
        <v>0</v>
      </c>
      <c r="J87" s="227">
        <v>0</v>
      </c>
      <c r="K87" s="122">
        <v>0</v>
      </c>
      <c r="L87" s="55"/>
      <c r="M87" s="56"/>
      <c r="N87" s="57"/>
      <c r="O87" s="58"/>
      <c r="P87" s="59"/>
      <c r="Q87" s="58"/>
      <c r="R87" s="58"/>
      <c r="S87" s="93"/>
      <c r="T87" s="58"/>
      <c r="U87" s="93">
        <v>800</v>
      </c>
      <c r="V87" s="93">
        <v>600</v>
      </c>
      <c r="W87" s="228"/>
      <c r="X87" s="58"/>
      <c r="Y87" s="229"/>
    </row>
    <row r="88" spans="1:25" ht="15" x14ac:dyDescent="0.25">
      <c r="A88" s="223"/>
      <c r="B88" s="92" t="s">
        <v>83</v>
      </c>
      <c r="C88" s="227">
        <v>8</v>
      </c>
      <c r="D88" s="227"/>
      <c r="E88" s="227"/>
      <c r="F88" s="227"/>
      <c r="G88" s="227"/>
      <c r="H88" s="227">
        <v>29</v>
      </c>
      <c r="I88" s="227">
        <v>16</v>
      </c>
      <c r="J88" s="230">
        <v>1000</v>
      </c>
      <c r="K88" s="122">
        <v>3000</v>
      </c>
      <c r="L88" s="122" t="s">
        <v>3</v>
      </c>
      <c r="M88" s="56" t="s">
        <v>3</v>
      </c>
      <c r="N88" s="57"/>
      <c r="O88" s="58" t="s">
        <v>3</v>
      </c>
      <c r="P88" s="59"/>
      <c r="Q88" s="58"/>
      <c r="R88" s="58" t="s">
        <v>3</v>
      </c>
      <c r="S88" s="93"/>
      <c r="T88" s="93"/>
      <c r="U88" s="93"/>
      <c r="V88" s="93"/>
      <c r="W88" s="228">
        <v>2200</v>
      </c>
      <c r="X88" s="58">
        <v>2500</v>
      </c>
      <c r="Y88" s="229"/>
    </row>
    <row r="89" spans="1:25" ht="15" x14ac:dyDescent="0.25">
      <c r="A89" s="223"/>
      <c r="B89" s="92" t="s">
        <v>84</v>
      </c>
      <c r="C89" s="227"/>
      <c r="D89" s="227"/>
      <c r="E89" s="227"/>
      <c r="F89" s="227"/>
      <c r="G89" s="227">
        <v>0</v>
      </c>
      <c r="H89" s="227">
        <v>0</v>
      </c>
      <c r="I89" s="227">
        <v>0</v>
      </c>
      <c r="J89" s="227">
        <v>0</v>
      </c>
      <c r="K89" s="122" t="s">
        <v>3</v>
      </c>
      <c r="L89" s="55"/>
      <c r="M89" s="56" t="s">
        <v>3</v>
      </c>
      <c r="N89" s="57"/>
      <c r="O89" s="58"/>
      <c r="P89" s="59"/>
      <c r="Q89" s="58" t="s">
        <v>3</v>
      </c>
      <c r="R89" s="58">
        <v>100</v>
      </c>
      <c r="S89" s="93"/>
      <c r="T89" s="93"/>
      <c r="U89" s="93"/>
      <c r="V89" s="93">
        <v>1200</v>
      </c>
      <c r="W89" s="228"/>
      <c r="X89" s="58"/>
      <c r="Y89" s="58"/>
    </row>
    <row r="90" spans="1:25" ht="15" x14ac:dyDescent="0.25">
      <c r="A90" s="223"/>
      <c r="B90" s="92" t="s">
        <v>85</v>
      </c>
      <c r="C90" s="227"/>
      <c r="D90" s="227"/>
      <c r="E90" s="227"/>
      <c r="F90" s="227"/>
      <c r="G90" s="227">
        <v>0</v>
      </c>
      <c r="H90" s="227">
        <v>0</v>
      </c>
      <c r="I90" s="227">
        <v>0</v>
      </c>
      <c r="J90" s="227">
        <v>0</v>
      </c>
      <c r="K90" s="122" t="s">
        <v>3</v>
      </c>
      <c r="L90" s="55"/>
      <c r="M90" s="56" t="s">
        <v>3</v>
      </c>
      <c r="N90" s="57"/>
      <c r="O90" s="58" t="s">
        <v>3</v>
      </c>
      <c r="P90" s="59"/>
      <c r="Q90" s="58"/>
      <c r="R90" s="58" t="s">
        <v>3</v>
      </c>
      <c r="S90" s="93"/>
      <c r="T90" s="93"/>
      <c r="U90" s="93"/>
      <c r="V90" s="93">
        <v>500</v>
      </c>
      <c r="W90" s="228">
        <v>500</v>
      </c>
      <c r="X90" s="58">
        <v>500</v>
      </c>
      <c r="Y90" s="58"/>
    </row>
    <row r="91" spans="1:25" ht="15" x14ac:dyDescent="0.25">
      <c r="A91" s="223"/>
      <c r="B91" s="92" t="s">
        <v>86</v>
      </c>
      <c r="C91" s="227">
        <v>0</v>
      </c>
      <c r="D91" s="227">
        <v>0</v>
      </c>
      <c r="E91" s="227">
        <v>0</v>
      </c>
      <c r="F91" s="227">
        <v>0</v>
      </c>
      <c r="G91" s="227">
        <v>0</v>
      </c>
      <c r="H91" s="227"/>
      <c r="I91" s="227">
        <v>0</v>
      </c>
      <c r="J91" s="227">
        <v>0</v>
      </c>
      <c r="K91" s="122" t="s">
        <v>3</v>
      </c>
      <c r="L91" s="55"/>
      <c r="M91" s="123"/>
      <c r="N91" s="124"/>
      <c r="O91" s="125"/>
      <c r="P91" s="59"/>
      <c r="Q91" s="58" t="s">
        <v>3</v>
      </c>
      <c r="R91" s="58"/>
      <c r="S91" s="93"/>
      <c r="T91" s="93" t="s">
        <v>3</v>
      </c>
      <c r="U91" s="57" t="s">
        <v>3</v>
      </c>
      <c r="V91" s="57" t="s">
        <v>3</v>
      </c>
      <c r="W91" s="231" t="s">
        <v>3</v>
      </c>
      <c r="X91" s="56"/>
      <c r="Y91" s="58">
        <v>2000</v>
      </c>
    </row>
    <row r="92" spans="1:25" ht="15.6" x14ac:dyDescent="0.3">
      <c r="A92" s="42"/>
      <c r="B92" s="43" t="s">
        <v>3</v>
      </c>
      <c r="C92" s="232"/>
      <c r="D92" s="232"/>
      <c r="E92" s="232"/>
      <c r="F92" s="232"/>
      <c r="G92" s="232"/>
      <c r="H92" s="232" t="s">
        <v>3</v>
      </c>
      <c r="I92" s="232"/>
      <c r="J92" s="233" t="s">
        <v>3</v>
      </c>
      <c r="K92" s="234"/>
      <c r="L92" s="235"/>
      <c r="M92" s="236"/>
      <c r="N92" s="237"/>
      <c r="O92" s="238"/>
      <c r="P92" s="239"/>
      <c r="Q92" s="238"/>
      <c r="R92" s="238"/>
      <c r="S92" s="240"/>
      <c r="T92" s="240"/>
      <c r="U92" s="240"/>
      <c r="V92" s="240"/>
      <c r="W92" s="241"/>
      <c r="X92" s="238"/>
      <c r="Y92" s="238"/>
    </row>
    <row r="93" spans="1:25" s="2" customFormat="1" ht="15.6" x14ac:dyDescent="0.3">
      <c r="A93" s="242"/>
      <c r="B93" s="108" t="s">
        <v>87</v>
      </c>
      <c r="C93" s="208" t="e">
        <f>C97+C110+C136+C150+C160+#REF!</f>
        <v>#REF!</v>
      </c>
      <c r="D93" s="208" t="e">
        <f>D97+D110+D136+D150+D160+#REF!</f>
        <v>#REF!</v>
      </c>
      <c r="E93" s="208">
        <f>E97+E110+E136+E150+E160</f>
        <v>16488</v>
      </c>
      <c r="F93" s="208">
        <f>F97+F110+F136+F150+F160</f>
        <v>22586</v>
      </c>
      <c r="G93" s="208" t="e">
        <f t="shared" ref="G93:Y93" si="24">G97+G110+G136+G138+G150+G160</f>
        <v>#REF!</v>
      </c>
      <c r="H93" s="208">
        <f t="shared" si="24"/>
        <v>28099</v>
      </c>
      <c r="I93" s="208">
        <f t="shared" si="24"/>
        <v>30012</v>
      </c>
      <c r="J93" s="208">
        <f t="shared" si="24"/>
        <v>36481</v>
      </c>
      <c r="K93" s="65" t="e">
        <f t="shared" si="24"/>
        <v>#REF!</v>
      </c>
      <c r="L93" s="65">
        <f t="shared" si="24"/>
        <v>49956</v>
      </c>
      <c r="M93" s="66">
        <f t="shared" si="24"/>
        <v>66202.769</v>
      </c>
      <c r="N93" s="67">
        <f t="shared" si="24"/>
        <v>51230.463940000001</v>
      </c>
      <c r="O93" s="66" t="e">
        <f t="shared" si="24"/>
        <v>#REF!</v>
      </c>
      <c r="P93" s="68" t="e">
        <f t="shared" si="24"/>
        <v>#REF!</v>
      </c>
      <c r="Q93" s="65" t="e">
        <f t="shared" si="24"/>
        <v>#REF!</v>
      </c>
      <c r="R93" s="65" t="e">
        <f t="shared" si="24"/>
        <v>#REF!</v>
      </c>
      <c r="S93" s="65" t="e">
        <f t="shared" si="24"/>
        <v>#REF!</v>
      </c>
      <c r="T93" s="65" t="e">
        <f t="shared" si="24"/>
        <v>#REF!</v>
      </c>
      <c r="U93" s="65" t="e">
        <f t="shared" si="24"/>
        <v>#REF!</v>
      </c>
      <c r="V93" s="66" t="e">
        <f t="shared" si="24"/>
        <v>#REF!</v>
      </c>
      <c r="W93" s="65" t="e">
        <f t="shared" si="24"/>
        <v>#REF!</v>
      </c>
      <c r="X93" s="66" t="e">
        <f t="shared" si="24"/>
        <v>#REF!</v>
      </c>
      <c r="Y93" s="66">
        <f t="shared" si="24"/>
        <v>66500</v>
      </c>
    </row>
    <row r="94" spans="1:25" ht="15" customHeight="1" x14ac:dyDescent="0.3">
      <c r="A94" s="33"/>
      <c r="B94" s="73" t="s">
        <v>19</v>
      </c>
      <c r="C94" s="74" t="s">
        <v>3</v>
      </c>
      <c r="D94" s="74" t="s">
        <v>3</v>
      </c>
      <c r="E94" s="2" t="s">
        <v>3</v>
      </c>
      <c r="F94" s="75" t="s">
        <v>3</v>
      </c>
      <c r="G94" s="75" t="s">
        <v>3</v>
      </c>
      <c r="H94" s="75" t="s">
        <v>3</v>
      </c>
      <c r="I94" s="75" t="s">
        <v>3</v>
      </c>
      <c r="J94" s="75"/>
      <c r="K94" s="76" t="s">
        <v>3</v>
      </c>
      <c r="L94" s="77" t="s">
        <v>3</v>
      </c>
      <c r="M94" s="78" t="s">
        <v>3</v>
      </c>
      <c r="N94" s="78"/>
      <c r="O94" s="79" t="s">
        <v>3</v>
      </c>
      <c r="P94" s="80">
        <v>48800</v>
      </c>
      <c r="Q94" s="81">
        <v>60400</v>
      </c>
      <c r="R94" s="81">
        <v>78600</v>
      </c>
      <c r="S94" s="81">
        <v>73750</v>
      </c>
      <c r="T94" s="81">
        <v>61100</v>
      </c>
      <c r="U94" s="81">
        <v>58900</v>
      </c>
      <c r="V94" s="81">
        <v>62800</v>
      </c>
      <c r="W94" s="82">
        <v>66800</v>
      </c>
      <c r="X94" s="81">
        <v>64900</v>
      </c>
      <c r="Y94" s="81">
        <v>66500</v>
      </c>
    </row>
    <row r="95" spans="1:25" ht="15" customHeight="1" x14ac:dyDescent="0.3">
      <c r="A95" s="33"/>
      <c r="B95" s="73" t="s">
        <v>20</v>
      </c>
      <c r="C95" s="74"/>
      <c r="D95" s="74"/>
      <c r="E95" s="2"/>
      <c r="F95" s="75"/>
      <c r="G95" s="75"/>
      <c r="H95" s="75"/>
      <c r="I95" s="75"/>
      <c r="J95" s="75"/>
      <c r="K95" s="76"/>
      <c r="L95" s="77"/>
      <c r="M95" s="78"/>
      <c r="N95" s="78"/>
      <c r="O95" s="79"/>
      <c r="P95" s="80" t="e">
        <f t="shared" ref="P95:X95" si="25">P93-P94</f>
        <v>#REF!</v>
      </c>
      <c r="Q95" s="81" t="e">
        <f t="shared" si="25"/>
        <v>#REF!</v>
      </c>
      <c r="R95" s="81" t="e">
        <f t="shared" si="25"/>
        <v>#REF!</v>
      </c>
      <c r="S95" s="81" t="e">
        <f t="shared" si="25"/>
        <v>#REF!</v>
      </c>
      <c r="T95" s="81" t="e">
        <f t="shared" si="25"/>
        <v>#REF!</v>
      </c>
      <c r="U95" s="81" t="e">
        <f t="shared" si="25"/>
        <v>#REF!</v>
      </c>
      <c r="V95" s="81" t="e">
        <f t="shared" si="25"/>
        <v>#REF!</v>
      </c>
      <c r="W95" s="82" t="e">
        <f t="shared" si="25"/>
        <v>#REF!</v>
      </c>
      <c r="X95" s="81" t="e">
        <f t="shared" si="25"/>
        <v>#REF!</v>
      </c>
      <c r="Y95" s="81"/>
    </row>
    <row r="96" spans="1:25" ht="15.6" x14ac:dyDescent="0.3">
      <c r="A96" s="51"/>
      <c r="B96" s="73"/>
      <c r="C96" s="115"/>
      <c r="D96" s="115"/>
      <c r="E96" s="115"/>
      <c r="F96" s="243"/>
      <c r="G96" s="89"/>
      <c r="H96" s="205"/>
      <c r="I96" s="225"/>
      <c r="J96" s="244"/>
      <c r="K96" s="163"/>
      <c r="L96" s="98"/>
      <c r="M96" s="166"/>
      <c r="N96" s="193"/>
      <c r="O96" s="166"/>
      <c r="P96" s="199"/>
      <c r="Q96" s="164"/>
      <c r="R96" s="164"/>
      <c r="S96" s="164"/>
      <c r="T96" s="164"/>
      <c r="U96" s="164"/>
      <c r="V96" s="164"/>
      <c r="W96" s="200"/>
      <c r="X96" s="164"/>
      <c r="Y96" s="166"/>
    </row>
    <row r="97" spans="1:34" ht="15.6" x14ac:dyDescent="0.3">
      <c r="A97" s="33"/>
      <c r="B97" s="116" t="s">
        <v>88</v>
      </c>
      <c r="C97" s="208">
        <f t="shared" ref="C97:I97" si="26">SUM(C101:C108)</f>
        <v>8493.7849999999999</v>
      </c>
      <c r="D97" s="208">
        <f t="shared" si="26"/>
        <v>4586.8829999999998</v>
      </c>
      <c r="E97" s="208">
        <f t="shared" si="26"/>
        <v>1699</v>
      </c>
      <c r="F97" s="208">
        <f t="shared" si="26"/>
        <v>2587</v>
      </c>
      <c r="G97" s="208">
        <f t="shared" si="26"/>
        <v>4011</v>
      </c>
      <c r="H97" s="208">
        <f t="shared" si="26"/>
        <v>1794</v>
      </c>
      <c r="I97" s="208">
        <f t="shared" si="26"/>
        <v>2580</v>
      </c>
      <c r="J97" s="208">
        <v>7720</v>
      </c>
      <c r="K97" s="65" t="e">
        <f>K99+#REF!</f>
        <v>#REF!</v>
      </c>
      <c r="L97" s="65">
        <v>10542</v>
      </c>
      <c r="M97" s="66">
        <f>9639109/1000</f>
        <v>9639.1090000000004</v>
      </c>
      <c r="N97" s="67">
        <f>9293555.98/1000</f>
        <v>9293.555980000001</v>
      </c>
      <c r="O97" s="66" t="e">
        <f>SUM(O99+#REF!)</f>
        <v>#REF!</v>
      </c>
      <c r="P97" s="210" t="e">
        <f>SUM(P99+#REF!)</f>
        <v>#REF!</v>
      </c>
      <c r="Q97" s="66" t="e">
        <f>SUM(Q99+#REF!)</f>
        <v>#REF!</v>
      </c>
      <c r="R97" s="66" t="e">
        <f>SUM(R99+#REF!)</f>
        <v>#REF!</v>
      </c>
      <c r="S97" s="66" t="e">
        <f>SUM(S99+#REF!)</f>
        <v>#REF!</v>
      </c>
      <c r="T97" s="66" t="e">
        <f>SUM(T99+#REF!)</f>
        <v>#REF!</v>
      </c>
      <c r="U97" s="105" t="e">
        <f>SUM(U99+#REF!)</f>
        <v>#REF!</v>
      </c>
      <c r="V97" s="105" t="e">
        <f>SUM(V99+#REF!)</f>
        <v>#REF!</v>
      </c>
      <c r="W97" s="118" t="e">
        <f>SUM(W99+#REF!)</f>
        <v>#REF!</v>
      </c>
      <c r="X97" s="66" t="e">
        <f>SUM(X99+#REF!)</f>
        <v>#REF!</v>
      </c>
      <c r="Y97" s="66">
        <v>15000</v>
      </c>
    </row>
    <row r="98" spans="1:34" ht="15.6" x14ac:dyDescent="0.3">
      <c r="A98" s="33"/>
      <c r="B98" s="70"/>
      <c r="C98" s="208"/>
      <c r="D98" s="208"/>
      <c r="E98" s="208"/>
      <c r="F98" s="245"/>
      <c r="G98" s="208"/>
      <c r="H98" s="208"/>
      <c r="I98" s="225" t="s">
        <v>3</v>
      </c>
      <c r="J98" s="246" t="s">
        <v>3</v>
      </c>
      <c r="K98" s="163" t="s">
        <v>3</v>
      </c>
      <c r="L98" s="98" t="s">
        <v>3</v>
      </c>
      <c r="M98" s="164" t="s">
        <v>3</v>
      </c>
      <c r="N98" s="165"/>
      <c r="O98" s="166" t="s">
        <v>3</v>
      </c>
      <c r="P98" s="247" t="s">
        <v>3</v>
      </c>
      <c r="Q98" s="166" t="s">
        <v>3</v>
      </c>
      <c r="R98" s="166" t="s">
        <v>3</v>
      </c>
      <c r="S98" s="166" t="s">
        <v>3</v>
      </c>
      <c r="T98" s="166" t="s">
        <v>3</v>
      </c>
      <c r="U98" s="193" t="s">
        <v>3</v>
      </c>
      <c r="V98" s="193" t="s">
        <v>3</v>
      </c>
      <c r="W98" s="248"/>
      <c r="X98" s="166"/>
      <c r="Y98" s="166"/>
    </row>
    <row r="99" spans="1:34" ht="15.6" x14ac:dyDescent="0.3">
      <c r="A99" s="33"/>
      <c r="B99" s="249" t="s">
        <v>74</v>
      </c>
      <c r="C99" s="208"/>
      <c r="D99" s="208"/>
      <c r="E99" s="208"/>
      <c r="F99" s="245"/>
      <c r="G99" s="208"/>
      <c r="H99" s="208"/>
      <c r="I99" s="225"/>
      <c r="J99" s="221" t="e">
        <f>J97-#REF!</f>
        <v>#REF!</v>
      </c>
      <c r="K99" s="163">
        <v>4718</v>
      </c>
      <c r="L99" s="200" t="e">
        <f>L97-#REF!</f>
        <v>#REF!</v>
      </c>
      <c r="M99" s="166" t="e">
        <f>M97-#REF!</f>
        <v>#REF!</v>
      </c>
      <c r="N99" s="165"/>
      <c r="O99" s="166">
        <f t="shared" ref="O99:X99" si="27">SUM(O101:O108)</f>
        <v>3000</v>
      </c>
      <c r="P99" s="247">
        <f t="shared" si="27"/>
        <v>2700</v>
      </c>
      <c r="Q99" s="166">
        <f t="shared" si="27"/>
        <v>6100</v>
      </c>
      <c r="R99" s="166">
        <f t="shared" si="27"/>
        <v>7100</v>
      </c>
      <c r="S99" s="166">
        <f t="shared" si="27"/>
        <v>6500</v>
      </c>
      <c r="T99" s="166">
        <f t="shared" si="27"/>
        <v>4700</v>
      </c>
      <c r="U99" s="166">
        <f t="shared" si="27"/>
        <v>8200</v>
      </c>
      <c r="V99" s="166">
        <f t="shared" si="27"/>
        <v>18800</v>
      </c>
      <c r="W99" s="163">
        <f t="shared" si="27"/>
        <v>20400</v>
      </c>
      <c r="X99" s="166">
        <f t="shared" si="27"/>
        <v>7400</v>
      </c>
      <c r="Y99" s="166"/>
    </row>
    <row r="100" spans="1:34" ht="15.6" x14ac:dyDescent="0.3">
      <c r="A100" s="33"/>
      <c r="B100" s="250" t="s">
        <v>89</v>
      </c>
      <c r="C100" s="208"/>
      <c r="D100" s="208"/>
      <c r="E100" s="208"/>
      <c r="F100" s="245"/>
      <c r="G100" s="208"/>
      <c r="H100" s="208"/>
      <c r="I100" s="225"/>
      <c r="J100" s="221"/>
      <c r="K100" s="163"/>
      <c r="L100" s="200"/>
      <c r="M100" s="166"/>
      <c r="N100" s="165"/>
      <c r="O100" s="166"/>
      <c r="P100" s="247"/>
      <c r="Q100" s="166"/>
      <c r="R100" s="166"/>
      <c r="S100" s="193"/>
      <c r="T100" s="193"/>
      <c r="U100" s="193"/>
      <c r="V100" s="193"/>
      <c r="W100" s="248"/>
      <c r="X100" s="166"/>
      <c r="Y100" s="166"/>
    </row>
    <row r="101" spans="1:34" ht="15" customHeight="1" x14ac:dyDescent="0.3">
      <c r="A101" s="35">
        <v>1</v>
      </c>
      <c r="B101" s="251" t="s">
        <v>65</v>
      </c>
      <c r="C101" s="252">
        <v>5148.1729999999998</v>
      </c>
      <c r="D101" s="252">
        <v>3946.1990000000001</v>
      </c>
      <c r="E101" s="252">
        <v>807</v>
      </c>
      <c r="F101" s="252">
        <v>1504</v>
      </c>
      <c r="G101" s="252">
        <v>2658</v>
      </c>
      <c r="H101" s="252">
        <v>1066</v>
      </c>
      <c r="I101" s="252">
        <v>564</v>
      </c>
      <c r="J101" s="252">
        <v>1000</v>
      </c>
      <c r="K101" s="253" t="s">
        <v>3</v>
      </c>
      <c r="L101" s="254"/>
      <c r="M101" s="255"/>
      <c r="N101" s="256"/>
      <c r="O101" s="255">
        <v>1800</v>
      </c>
      <c r="P101" s="257">
        <v>1000</v>
      </c>
      <c r="Q101" s="255">
        <v>1300</v>
      </c>
      <c r="R101" s="255">
        <v>1700</v>
      </c>
      <c r="S101" s="258">
        <v>2000</v>
      </c>
      <c r="T101" s="258">
        <v>1000</v>
      </c>
      <c r="U101" s="258">
        <v>1200</v>
      </c>
      <c r="V101" s="258">
        <v>2000</v>
      </c>
      <c r="W101" s="259">
        <v>2000</v>
      </c>
      <c r="X101" s="255">
        <v>2500</v>
      </c>
      <c r="Y101" s="255"/>
      <c r="Z101" s="172"/>
      <c r="AA101" s="172"/>
      <c r="AB101" s="172"/>
      <c r="AC101" s="172"/>
      <c r="AD101" s="172"/>
      <c r="AE101" s="172"/>
      <c r="AF101" s="172"/>
      <c r="AG101" s="172" t="s">
        <v>76</v>
      </c>
      <c r="AH101" s="209" t="s">
        <v>66</v>
      </c>
    </row>
    <row r="102" spans="1:34" ht="15" customHeight="1" x14ac:dyDescent="0.3">
      <c r="A102" s="35">
        <v>2</v>
      </c>
      <c r="B102" s="251" t="s">
        <v>67</v>
      </c>
      <c r="C102" s="252">
        <v>619.52700000000004</v>
      </c>
      <c r="D102" s="252">
        <v>315.10599999999999</v>
      </c>
      <c r="E102" s="252">
        <v>180</v>
      </c>
      <c r="F102" s="252">
        <v>221</v>
      </c>
      <c r="G102" s="252">
        <v>495</v>
      </c>
      <c r="H102" s="252">
        <v>179</v>
      </c>
      <c r="I102" s="252">
        <v>814</v>
      </c>
      <c r="J102" s="252">
        <v>1210</v>
      </c>
      <c r="K102" s="253" t="s">
        <v>3</v>
      </c>
      <c r="L102" s="254"/>
      <c r="M102" s="255"/>
      <c r="N102" s="256"/>
      <c r="O102" s="255">
        <v>200</v>
      </c>
      <c r="P102" s="257">
        <v>100</v>
      </c>
      <c r="Q102" s="255">
        <v>700</v>
      </c>
      <c r="R102" s="255">
        <v>500</v>
      </c>
      <c r="S102" s="255">
        <v>600</v>
      </c>
      <c r="T102" s="255">
        <v>800</v>
      </c>
      <c r="U102" s="255">
        <v>1200</v>
      </c>
      <c r="V102" s="255">
        <v>1300</v>
      </c>
      <c r="W102" s="260">
        <v>1400</v>
      </c>
      <c r="X102" s="255">
        <v>1500</v>
      </c>
      <c r="Y102" s="255"/>
      <c r="Z102" s="172"/>
      <c r="AA102" s="172"/>
      <c r="AB102" s="172"/>
      <c r="AC102" s="172"/>
      <c r="AD102" s="172"/>
      <c r="AE102" s="172"/>
      <c r="AF102" s="172"/>
      <c r="AG102" s="172" t="s">
        <v>76</v>
      </c>
      <c r="AH102" s="209" t="s">
        <v>66</v>
      </c>
    </row>
    <row r="103" spans="1:34" ht="15" customHeight="1" x14ac:dyDescent="0.3">
      <c r="A103" s="35">
        <v>3</v>
      </c>
      <c r="B103" s="251" t="s">
        <v>68</v>
      </c>
      <c r="C103" s="252">
        <v>76.48</v>
      </c>
      <c r="D103" s="252">
        <v>97.004000000000005</v>
      </c>
      <c r="E103" s="252">
        <v>130</v>
      </c>
      <c r="F103" s="252">
        <v>210</v>
      </c>
      <c r="G103" s="252">
        <v>28</v>
      </c>
      <c r="H103" s="252">
        <v>51</v>
      </c>
      <c r="I103" s="252">
        <v>118</v>
      </c>
      <c r="J103" s="252">
        <v>780</v>
      </c>
      <c r="K103" s="253" t="s">
        <v>3</v>
      </c>
      <c r="L103" s="254"/>
      <c r="M103" s="255"/>
      <c r="N103" s="256"/>
      <c r="O103" s="255">
        <v>200</v>
      </c>
      <c r="P103" s="257">
        <v>400</v>
      </c>
      <c r="Q103" s="255">
        <v>900</v>
      </c>
      <c r="R103" s="255">
        <v>400</v>
      </c>
      <c r="S103" s="258">
        <v>400</v>
      </c>
      <c r="T103" s="258">
        <f>400</f>
        <v>400</v>
      </c>
      <c r="U103" s="256">
        <f>400+3000</f>
        <v>3400</v>
      </c>
      <c r="V103" s="256">
        <f>800+13000</f>
        <v>13800</v>
      </c>
      <c r="W103" s="261">
        <f>800+14000</f>
        <v>14800</v>
      </c>
      <c r="X103" s="255">
        <v>800</v>
      </c>
      <c r="Y103" s="255"/>
      <c r="Z103" s="172"/>
      <c r="AA103" s="172"/>
      <c r="AB103" s="172"/>
      <c r="AC103" s="172"/>
      <c r="AD103" s="172"/>
      <c r="AE103" s="172"/>
      <c r="AF103" s="172"/>
      <c r="AG103" s="172" t="s">
        <v>76</v>
      </c>
      <c r="AH103" s="209" t="s">
        <v>66</v>
      </c>
    </row>
    <row r="104" spans="1:34" ht="15" customHeight="1" x14ac:dyDescent="0.3">
      <c r="A104" s="35">
        <v>4</v>
      </c>
      <c r="B104" s="251" t="s">
        <v>69</v>
      </c>
      <c r="C104" s="252">
        <v>173.60400000000001</v>
      </c>
      <c r="D104" s="252">
        <v>81.593999999999994</v>
      </c>
      <c r="E104" s="252">
        <v>145</v>
      </c>
      <c r="F104" s="252">
        <v>96</v>
      </c>
      <c r="G104" s="252">
        <v>42</v>
      </c>
      <c r="H104" s="252">
        <v>111</v>
      </c>
      <c r="I104" s="252">
        <v>453</v>
      </c>
      <c r="J104" s="252">
        <v>200</v>
      </c>
      <c r="K104" s="253" t="s">
        <v>3</v>
      </c>
      <c r="L104" s="254"/>
      <c r="M104" s="255"/>
      <c r="N104" s="256"/>
      <c r="O104" s="255">
        <v>100</v>
      </c>
      <c r="P104" s="257">
        <v>400</v>
      </c>
      <c r="Q104" s="255">
        <v>600</v>
      </c>
      <c r="R104" s="255">
        <v>800</v>
      </c>
      <c r="S104" s="258">
        <v>600</v>
      </c>
      <c r="T104" s="258">
        <v>800</v>
      </c>
      <c r="U104" s="258">
        <v>800</v>
      </c>
      <c r="V104" s="258">
        <v>800</v>
      </c>
      <c r="W104" s="259">
        <v>800</v>
      </c>
      <c r="X104" s="255">
        <v>1100</v>
      </c>
      <c r="Y104" s="255"/>
      <c r="Z104" s="172"/>
      <c r="AA104" s="172"/>
      <c r="AB104" s="172"/>
      <c r="AC104" s="172"/>
      <c r="AD104" s="172"/>
      <c r="AE104" s="172"/>
      <c r="AF104" s="172"/>
      <c r="AG104" s="172" t="s">
        <v>76</v>
      </c>
      <c r="AH104" s="209" t="s">
        <v>66</v>
      </c>
    </row>
    <row r="105" spans="1:34" ht="15" customHeight="1" x14ac:dyDescent="0.3">
      <c r="A105" s="35">
        <v>5</v>
      </c>
      <c r="B105" s="251" t="s">
        <v>70</v>
      </c>
      <c r="C105" s="252">
        <f>240.569+2005.683</f>
        <v>2246.252</v>
      </c>
      <c r="D105" s="252">
        <v>93.552999999999997</v>
      </c>
      <c r="E105" s="252">
        <v>284</v>
      </c>
      <c r="F105" s="252">
        <v>207</v>
      </c>
      <c r="G105" s="252">
        <v>189</v>
      </c>
      <c r="H105" s="252">
        <v>57</v>
      </c>
      <c r="I105" s="252">
        <v>100</v>
      </c>
      <c r="J105" s="252">
        <v>420</v>
      </c>
      <c r="K105" s="253" t="s">
        <v>3</v>
      </c>
      <c r="L105" s="254"/>
      <c r="M105" s="255"/>
      <c r="N105" s="256"/>
      <c r="O105" s="255">
        <v>300</v>
      </c>
      <c r="P105" s="257">
        <v>500</v>
      </c>
      <c r="Q105" s="255">
        <v>300</v>
      </c>
      <c r="R105" s="255">
        <v>200</v>
      </c>
      <c r="S105" s="258">
        <v>900</v>
      </c>
      <c r="T105" s="258">
        <v>950</v>
      </c>
      <c r="U105" s="258">
        <v>800</v>
      </c>
      <c r="V105" s="258">
        <v>600</v>
      </c>
      <c r="W105" s="259">
        <v>600</v>
      </c>
      <c r="X105" s="255">
        <v>600</v>
      </c>
      <c r="Y105" s="255"/>
      <c r="Z105" s="172"/>
      <c r="AA105" s="172"/>
      <c r="AB105" s="172"/>
      <c r="AC105" s="172"/>
      <c r="AD105" s="172"/>
      <c r="AE105" s="172"/>
      <c r="AF105" s="172"/>
      <c r="AG105" s="172" t="s">
        <v>76</v>
      </c>
      <c r="AH105" s="209" t="s">
        <v>66</v>
      </c>
    </row>
    <row r="106" spans="1:34" ht="15" customHeight="1" x14ac:dyDescent="0.3">
      <c r="A106" s="35">
        <v>6</v>
      </c>
      <c r="B106" s="251" t="s">
        <v>71</v>
      </c>
      <c r="C106" s="252">
        <v>179.27699999999999</v>
      </c>
      <c r="D106" s="252">
        <v>16.093</v>
      </c>
      <c r="E106" s="252">
        <v>0</v>
      </c>
      <c r="F106" s="252">
        <v>38</v>
      </c>
      <c r="G106" s="252">
        <v>502</v>
      </c>
      <c r="H106" s="252">
        <v>46</v>
      </c>
      <c r="I106" s="252">
        <v>275</v>
      </c>
      <c r="J106" s="252">
        <v>200</v>
      </c>
      <c r="K106" s="253" t="s">
        <v>3</v>
      </c>
      <c r="L106" s="254"/>
      <c r="M106" s="255"/>
      <c r="N106" s="256"/>
      <c r="O106" s="255">
        <v>200</v>
      </c>
      <c r="P106" s="257">
        <v>100</v>
      </c>
      <c r="Q106" s="255">
        <v>2100</v>
      </c>
      <c r="R106" s="255">
        <v>1300</v>
      </c>
      <c r="S106" s="255">
        <v>400</v>
      </c>
      <c r="T106" s="255">
        <v>150</v>
      </c>
      <c r="U106" s="255">
        <v>200</v>
      </c>
      <c r="V106" s="255">
        <v>300</v>
      </c>
      <c r="W106" s="260">
        <v>200</v>
      </c>
      <c r="X106" s="255">
        <v>300</v>
      </c>
      <c r="Y106" s="255"/>
      <c r="Z106" s="172"/>
      <c r="AA106" s="172"/>
      <c r="AB106" s="172"/>
      <c r="AC106" s="172"/>
      <c r="AD106" s="172"/>
      <c r="AE106" s="172"/>
      <c r="AF106" s="172"/>
      <c r="AG106" s="172" t="s">
        <v>76</v>
      </c>
      <c r="AH106" s="209" t="s">
        <v>66</v>
      </c>
    </row>
    <row r="107" spans="1:34" ht="15" customHeight="1" x14ac:dyDescent="0.3">
      <c r="A107" s="35">
        <v>7</v>
      </c>
      <c r="B107" s="251" t="s">
        <v>72</v>
      </c>
      <c r="C107" s="252"/>
      <c r="D107" s="252"/>
      <c r="E107" s="252"/>
      <c r="F107" s="252"/>
      <c r="G107" s="252"/>
      <c r="H107" s="252"/>
      <c r="I107" s="252"/>
      <c r="J107" s="252"/>
      <c r="K107" s="253"/>
      <c r="L107" s="254"/>
      <c r="M107" s="255"/>
      <c r="N107" s="256"/>
      <c r="O107" s="255"/>
      <c r="P107" s="257"/>
      <c r="Q107" s="255"/>
      <c r="R107" s="255"/>
      <c r="S107" s="255"/>
      <c r="T107" s="255"/>
      <c r="U107" s="255"/>
      <c r="V107" s="255"/>
      <c r="W107" s="260"/>
      <c r="X107" s="255"/>
      <c r="Y107" s="255"/>
      <c r="Z107" s="172"/>
      <c r="AA107" s="172"/>
      <c r="AB107" s="172"/>
      <c r="AC107" s="172"/>
      <c r="AD107" s="172"/>
      <c r="AE107" s="172"/>
      <c r="AF107" s="172"/>
      <c r="AG107" s="172" t="s">
        <v>76</v>
      </c>
      <c r="AH107" s="209" t="s">
        <v>66</v>
      </c>
    </row>
    <row r="108" spans="1:34" ht="15" customHeight="1" x14ac:dyDescent="0.3">
      <c r="A108" s="35">
        <v>8</v>
      </c>
      <c r="B108" s="251" t="s">
        <v>90</v>
      </c>
      <c r="C108" s="252">
        <v>50.472000000000001</v>
      </c>
      <c r="D108" s="252">
        <v>37.334000000000003</v>
      </c>
      <c r="E108" s="252">
        <v>153</v>
      </c>
      <c r="F108" s="252">
        <v>311</v>
      </c>
      <c r="G108" s="252">
        <v>97</v>
      </c>
      <c r="H108" s="252">
        <v>284</v>
      </c>
      <c r="I108" s="252">
        <v>256</v>
      </c>
      <c r="J108" s="252">
        <v>390</v>
      </c>
      <c r="K108" s="253" t="s">
        <v>3</v>
      </c>
      <c r="L108" s="254"/>
      <c r="M108" s="255"/>
      <c r="N108" s="256"/>
      <c r="O108" s="255">
        <v>200</v>
      </c>
      <c r="P108" s="257">
        <v>200</v>
      </c>
      <c r="Q108" s="255">
        <v>200</v>
      </c>
      <c r="R108" s="255">
        <v>2200</v>
      </c>
      <c r="S108" s="255">
        <v>1600</v>
      </c>
      <c r="T108" s="255">
        <v>600</v>
      </c>
      <c r="U108" s="255">
        <v>600</v>
      </c>
      <c r="V108" s="255" t="s">
        <v>91</v>
      </c>
      <c r="W108" s="260">
        <v>600</v>
      </c>
      <c r="X108" s="255">
        <v>600</v>
      </c>
      <c r="Y108" s="255"/>
      <c r="Z108" s="172"/>
      <c r="AA108" s="172"/>
      <c r="AB108" s="172"/>
      <c r="AC108" s="172"/>
      <c r="AD108" s="172"/>
      <c r="AE108" s="172"/>
      <c r="AF108" s="172"/>
      <c r="AG108" s="172" t="s">
        <v>76</v>
      </c>
      <c r="AH108" s="209" t="s">
        <v>66</v>
      </c>
    </row>
    <row r="109" spans="1:34" ht="15.6" x14ac:dyDescent="0.3">
      <c r="A109" s="33"/>
      <c r="B109" s="93"/>
      <c r="C109" s="227"/>
      <c r="D109" s="227"/>
      <c r="E109" s="262"/>
      <c r="F109" s="263"/>
      <c r="G109" s="227"/>
      <c r="H109" s="222"/>
      <c r="I109" s="221"/>
      <c r="J109" s="222"/>
      <c r="K109" s="163"/>
      <c r="L109" s="163"/>
      <c r="M109" s="164"/>
      <c r="N109" s="165"/>
      <c r="O109" s="166"/>
      <c r="P109" s="247"/>
      <c r="Q109" s="166"/>
      <c r="R109" s="166"/>
      <c r="S109" s="193"/>
      <c r="T109" s="193"/>
      <c r="U109" s="193"/>
      <c r="V109" s="193"/>
      <c r="W109" s="248"/>
      <c r="X109" s="166"/>
      <c r="Y109" s="166"/>
    </row>
    <row r="110" spans="1:34" ht="15.6" x14ac:dyDescent="0.3">
      <c r="A110" s="33"/>
      <c r="B110" s="116" t="s">
        <v>92</v>
      </c>
      <c r="C110" s="208">
        <f t="shared" ref="C110:K110" si="28">SUM(C112+C113)</f>
        <v>5142</v>
      </c>
      <c r="D110" s="208">
        <f t="shared" si="28"/>
        <v>7891</v>
      </c>
      <c r="E110" s="264">
        <f t="shared" si="28"/>
        <v>3367</v>
      </c>
      <c r="F110" s="245">
        <f t="shared" si="28"/>
        <v>9850</v>
      </c>
      <c r="G110" s="208">
        <f t="shared" si="28"/>
        <v>5239</v>
      </c>
      <c r="H110" s="208">
        <f t="shared" si="28"/>
        <v>5270</v>
      </c>
      <c r="I110" s="208">
        <f t="shared" si="28"/>
        <v>7623</v>
      </c>
      <c r="J110" s="208">
        <f t="shared" si="28"/>
        <v>3331</v>
      </c>
      <c r="K110" s="65">
        <f t="shared" si="28"/>
        <v>8885</v>
      </c>
      <c r="L110" s="65">
        <v>10623</v>
      </c>
      <c r="M110" s="66">
        <f>15914662/1000</f>
        <v>15914.662</v>
      </c>
      <c r="N110" s="67">
        <f>4685121.35/1000</f>
        <v>4685.1213499999994</v>
      </c>
      <c r="O110" s="66">
        <v>4900</v>
      </c>
      <c r="P110" s="210">
        <f t="shared" ref="P110:Y110" si="29">SUM(P112:P113)</f>
        <v>8100</v>
      </c>
      <c r="Q110" s="66">
        <f t="shared" si="29"/>
        <v>15300</v>
      </c>
      <c r="R110" s="66">
        <f t="shared" si="29"/>
        <v>32000</v>
      </c>
      <c r="S110" s="67">
        <f t="shared" si="29"/>
        <v>27650</v>
      </c>
      <c r="T110" s="66">
        <f t="shared" si="29"/>
        <v>17900</v>
      </c>
      <c r="U110" s="66">
        <f t="shared" si="29"/>
        <v>13200</v>
      </c>
      <c r="V110" s="66">
        <f t="shared" si="29"/>
        <v>16000</v>
      </c>
      <c r="W110" s="65">
        <f t="shared" si="29"/>
        <v>18900</v>
      </c>
      <c r="X110" s="66">
        <f t="shared" si="29"/>
        <v>16000</v>
      </c>
      <c r="Y110" s="66">
        <f t="shared" si="29"/>
        <v>16000</v>
      </c>
    </row>
    <row r="111" spans="1:34" ht="15.6" x14ac:dyDescent="0.3">
      <c r="A111" s="33"/>
      <c r="B111" s="265" t="s">
        <v>93</v>
      </c>
      <c r="C111" s="208"/>
      <c r="D111" s="245"/>
      <c r="E111" s="264"/>
      <c r="F111" s="245"/>
      <c r="G111" s="208"/>
      <c r="H111" s="208"/>
      <c r="I111" s="225" t="s">
        <v>3</v>
      </c>
      <c r="J111" s="244" t="s">
        <v>3</v>
      </c>
      <c r="K111" s="163" t="s">
        <v>3</v>
      </c>
      <c r="L111" s="98" t="s">
        <v>3</v>
      </c>
      <c r="M111" s="166" t="s">
        <v>3</v>
      </c>
      <c r="N111" s="193"/>
      <c r="O111" s="166" t="s">
        <v>3</v>
      </c>
      <c r="P111" s="199">
        <v>6000</v>
      </c>
      <c r="Q111" s="164">
        <v>24100</v>
      </c>
      <c r="R111" s="164">
        <v>26100</v>
      </c>
      <c r="S111" s="165">
        <v>11700</v>
      </c>
      <c r="T111" s="165">
        <v>5100</v>
      </c>
      <c r="U111" s="165">
        <v>10100</v>
      </c>
      <c r="V111" s="165">
        <v>13000</v>
      </c>
      <c r="W111" s="266">
        <v>13100</v>
      </c>
      <c r="X111" s="164">
        <v>15000</v>
      </c>
      <c r="Y111" s="164"/>
    </row>
    <row r="112" spans="1:34" s="271" customFormat="1" ht="15.6" x14ac:dyDescent="0.3">
      <c r="A112" s="267"/>
      <c r="B112" s="268" t="s">
        <v>94</v>
      </c>
      <c r="C112" s="220">
        <v>5142</v>
      </c>
      <c r="D112" s="269">
        <v>7891</v>
      </c>
      <c r="E112" s="270">
        <v>3367</v>
      </c>
      <c r="F112" s="269">
        <v>9850</v>
      </c>
      <c r="G112" s="220">
        <v>5239</v>
      </c>
      <c r="H112" s="220">
        <v>5270</v>
      </c>
      <c r="I112" s="220">
        <v>7623</v>
      </c>
      <c r="J112" s="220">
        <v>3331</v>
      </c>
      <c r="K112" s="115">
        <v>8885</v>
      </c>
      <c r="L112" s="115"/>
      <c r="M112" s="85"/>
      <c r="N112" s="86"/>
      <c r="O112" s="85">
        <v>2000</v>
      </c>
      <c r="P112" s="87">
        <f>4400-1500-400+1000</f>
        <v>3500</v>
      </c>
      <c r="Q112" s="85">
        <f>9000-1500-200</f>
        <v>7300</v>
      </c>
      <c r="R112" s="85">
        <f>8500-2000</f>
        <v>6500</v>
      </c>
      <c r="S112" s="86">
        <f>12500-5000-3950</f>
        <v>3550</v>
      </c>
      <c r="T112" s="86">
        <f>15000-2200</f>
        <v>12800</v>
      </c>
      <c r="U112" s="86">
        <f>16000-1700-2200</f>
        <v>12100</v>
      </c>
      <c r="V112" s="86">
        <v>16000</v>
      </c>
      <c r="W112" s="114">
        <v>16000</v>
      </c>
      <c r="X112" s="85">
        <v>16000</v>
      </c>
      <c r="Y112" s="85">
        <v>16000</v>
      </c>
    </row>
    <row r="113" spans="1:34" ht="15.6" x14ac:dyDescent="0.3">
      <c r="A113" s="33"/>
      <c r="B113" s="250" t="s">
        <v>95</v>
      </c>
      <c r="C113" s="220"/>
      <c r="D113" s="220"/>
      <c r="E113" s="220"/>
      <c r="F113" s="220"/>
      <c r="G113" s="220"/>
      <c r="H113" s="220"/>
      <c r="I113" s="220"/>
      <c r="J113" s="220"/>
      <c r="K113" s="115"/>
      <c r="L113" s="115"/>
      <c r="M113" s="85"/>
      <c r="N113" s="86"/>
      <c r="O113" s="85">
        <f t="shared" ref="O113:X113" si="30">SUM(O114:O125)</f>
        <v>850</v>
      </c>
      <c r="P113" s="113">
        <f t="shared" si="30"/>
        <v>4600</v>
      </c>
      <c r="Q113" s="85">
        <f t="shared" si="30"/>
        <v>8000</v>
      </c>
      <c r="R113" s="85">
        <f t="shared" si="30"/>
        <v>25500</v>
      </c>
      <c r="S113" s="85">
        <f t="shared" si="30"/>
        <v>24100</v>
      </c>
      <c r="T113" s="85">
        <f t="shared" si="30"/>
        <v>5100</v>
      </c>
      <c r="U113" s="85">
        <f t="shared" si="30"/>
        <v>1100</v>
      </c>
      <c r="V113" s="85">
        <f t="shared" si="30"/>
        <v>0</v>
      </c>
      <c r="W113" s="115">
        <f t="shared" si="30"/>
        <v>2900</v>
      </c>
      <c r="X113" s="85">
        <f t="shared" si="30"/>
        <v>0</v>
      </c>
      <c r="Y113" s="85"/>
    </row>
    <row r="114" spans="1:34" s="2" customFormat="1" ht="15.6" x14ac:dyDescent="0.3">
      <c r="A114" s="33"/>
      <c r="B114" s="92" t="s">
        <v>96</v>
      </c>
      <c r="C114" s="227"/>
      <c r="D114" s="227"/>
      <c r="E114" s="227"/>
      <c r="F114" s="227"/>
      <c r="G114" s="227"/>
      <c r="H114" s="227"/>
      <c r="I114" s="227"/>
      <c r="J114" s="227"/>
      <c r="K114" s="122"/>
      <c r="L114" s="122"/>
      <c r="M114" s="125"/>
      <c r="N114" s="272"/>
      <c r="O114" s="125">
        <v>300</v>
      </c>
      <c r="P114" s="126">
        <v>1500</v>
      </c>
      <c r="Q114" s="125">
        <v>6500</v>
      </c>
      <c r="R114" s="125">
        <v>23400</v>
      </c>
      <c r="S114" s="272">
        <v>23400</v>
      </c>
      <c r="T114" s="272"/>
      <c r="U114" s="272"/>
      <c r="V114" s="272"/>
      <c r="W114" s="273"/>
      <c r="X114" s="125"/>
      <c r="Y114" s="125"/>
    </row>
    <row r="115" spans="1:34" ht="15.6" x14ac:dyDescent="0.3">
      <c r="A115" s="33"/>
      <c r="B115" s="92" t="s">
        <v>97</v>
      </c>
      <c r="C115" s="227"/>
      <c r="D115" s="227"/>
      <c r="E115" s="227"/>
      <c r="F115" s="227"/>
      <c r="G115" s="227"/>
      <c r="H115" s="227"/>
      <c r="I115" s="227"/>
      <c r="J115" s="227"/>
      <c r="K115" s="122"/>
      <c r="L115" s="122"/>
      <c r="M115" s="125"/>
      <c r="N115" s="272"/>
      <c r="O115" s="125">
        <v>500</v>
      </c>
      <c r="P115" s="126">
        <f>2400-700</f>
        <v>1700</v>
      </c>
      <c r="Q115" s="125"/>
      <c r="R115" s="125"/>
      <c r="S115" s="272"/>
      <c r="T115" s="272"/>
      <c r="U115" s="272"/>
      <c r="V115" s="272"/>
      <c r="W115" s="273"/>
      <c r="X115" s="125"/>
      <c r="Y115" s="125"/>
    </row>
    <row r="116" spans="1:34" ht="15.6" x14ac:dyDescent="0.3">
      <c r="A116" s="33"/>
      <c r="B116" s="92" t="s">
        <v>98</v>
      </c>
      <c r="C116" s="227"/>
      <c r="D116" s="227"/>
      <c r="E116" s="227"/>
      <c r="F116" s="227"/>
      <c r="G116" s="227"/>
      <c r="H116" s="227"/>
      <c r="I116" s="227"/>
      <c r="J116" s="227"/>
      <c r="K116" s="122"/>
      <c r="L116" s="122"/>
      <c r="M116" s="125"/>
      <c r="N116" s="272"/>
      <c r="O116" s="125"/>
      <c r="P116" s="126"/>
      <c r="Q116" s="125"/>
      <c r="R116" s="125"/>
      <c r="S116" s="272"/>
      <c r="T116" s="272"/>
      <c r="U116" s="272"/>
      <c r="V116" s="272"/>
      <c r="W116" s="273"/>
      <c r="X116" s="125"/>
      <c r="Y116" s="125"/>
    </row>
    <row r="117" spans="1:34" ht="15.6" x14ac:dyDescent="0.3">
      <c r="A117" s="33"/>
      <c r="B117" s="92" t="s">
        <v>99</v>
      </c>
      <c r="C117" s="227"/>
      <c r="D117" s="227"/>
      <c r="E117" s="227"/>
      <c r="F117" s="227"/>
      <c r="G117" s="227"/>
      <c r="H117" s="227"/>
      <c r="I117" s="227"/>
      <c r="J117" s="227"/>
      <c r="K117" s="122"/>
      <c r="L117" s="122"/>
      <c r="M117" s="125"/>
      <c r="N117" s="272"/>
      <c r="O117" s="125"/>
      <c r="P117" s="126">
        <v>1000</v>
      </c>
      <c r="Q117" s="125">
        <v>500</v>
      </c>
      <c r="R117" s="125"/>
      <c r="S117" s="272"/>
      <c r="T117" s="272"/>
      <c r="U117" s="272"/>
      <c r="V117" s="272"/>
      <c r="W117" s="273"/>
      <c r="X117" s="125"/>
      <c r="Y117" s="125"/>
    </row>
    <row r="118" spans="1:34" ht="15.6" x14ac:dyDescent="0.3">
      <c r="A118" s="33"/>
      <c r="B118" s="92" t="s">
        <v>100</v>
      </c>
      <c r="C118" s="227"/>
      <c r="D118" s="227"/>
      <c r="E118" s="227"/>
      <c r="F118" s="227"/>
      <c r="G118" s="227"/>
      <c r="H118" s="227"/>
      <c r="I118" s="227"/>
      <c r="J118" s="227"/>
      <c r="K118" s="122"/>
      <c r="L118" s="122"/>
      <c r="M118" s="125"/>
      <c r="N118" s="272"/>
      <c r="O118" s="125"/>
      <c r="P118" s="126"/>
      <c r="Q118" s="125"/>
      <c r="R118" s="125">
        <v>2100</v>
      </c>
      <c r="S118" s="272"/>
      <c r="T118" s="272"/>
      <c r="U118" s="272"/>
      <c r="V118" s="272"/>
      <c r="W118" s="273"/>
      <c r="X118" s="125"/>
      <c r="Y118" s="125"/>
    </row>
    <row r="119" spans="1:34" ht="15.6" x14ac:dyDescent="0.3">
      <c r="A119" s="33"/>
      <c r="B119" s="92" t="s">
        <v>101</v>
      </c>
      <c r="C119" s="227"/>
      <c r="D119" s="227"/>
      <c r="E119" s="227"/>
      <c r="F119" s="227"/>
      <c r="G119" s="227"/>
      <c r="H119" s="227"/>
      <c r="I119" s="227"/>
      <c r="J119" s="227"/>
      <c r="K119" s="122"/>
      <c r="L119" s="122"/>
      <c r="M119" s="125"/>
      <c r="N119" s="272"/>
      <c r="O119" s="125"/>
      <c r="P119" s="126"/>
      <c r="Q119" s="125"/>
      <c r="R119" s="125"/>
      <c r="S119" s="272"/>
      <c r="T119" s="272"/>
      <c r="U119" s="272">
        <v>1100</v>
      </c>
      <c r="V119" s="272"/>
      <c r="W119" s="273"/>
      <c r="X119" s="125"/>
      <c r="Y119" s="125"/>
    </row>
    <row r="120" spans="1:34" ht="15.6" x14ac:dyDescent="0.3">
      <c r="A120" s="33"/>
      <c r="B120" s="92" t="s">
        <v>102</v>
      </c>
      <c r="C120" s="227"/>
      <c r="D120" s="227"/>
      <c r="E120" s="227"/>
      <c r="F120" s="227"/>
      <c r="G120" s="227"/>
      <c r="H120" s="227"/>
      <c r="I120" s="227"/>
      <c r="J120" s="227"/>
      <c r="K120" s="122"/>
      <c r="L120" s="122"/>
      <c r="M120" s="125"/>
      <c r="N120" s="272"/>
      <c r="O120" s="125">
        <v>50</v>
      </c>
      <c r="P120" s="126">
        <v>400</v>
      </c>
      <c r="Q120" s="125"/>
      <c r="R120" s="125"/>
      <c r="S120" s="272"/>
      <c r="T120" s="272"/>
      <c r="U120" s="272"/>
      <c r="V120" s="272"/>
      <c r="W120" s="273"/>
      <c r="X120" s="125"/>
      <c r="Y120" s="125"/>
    </row>
    <row r="121" spans="1:34" ht="15.6" x14ac:dyDescent="0.3">
      <c r="A121" s="33"/>
      <c r="B121" s="92" t="s">
        <v>103</v>
      </c>
      <c r="C121" s="227"/>
      <c r="D121" s="227"/>
      <c r="E121" s="227"/>
      <c r="F121" s="227"/>
      <c r="G121" s="227"/>
      <c r="H121" s="227"/>
      <c r="I121" s="227"/>
      <c r="J121" s="227"/>
      <c r="K121" s="122"/>
      <c r="L121" s="122"/>
      <c r="M121" s="125"/>
      <c r="N121" s="272"/>
      <c r="O121" s="125"/>
      <c r="P121" s="126"/>
      <c r="Q121" s="125">
        <v>1000</v>
      </c>
      <c r="R121" s="125"/>
      <c r="S121" s="272"/>
      <c r="T121" s="272"/>
      <c r="U121" s="272"/>
      <c r="V121" s="272"/>
      <c r="W121" s="273"/>
      <c r="X121" s="125"/>
      <c r="Y121" s="125"/>
    </row>
    <row r="122" spans="1:34" ht="15.6" x14ac:dyDescent="0.3">
      <c r="A122" s="33"/>
      <c r="B122" s="92" t="s">
        <v>104</v>
      </c>
      <c r="C122" s="227"/>
      <c r="D122" s="227"/>
      <c r="E122" s="227"/>
      <c r="F122" s="227"/>
      <c r="G122" s="227"/>
      <c r="H122" s="227"/>
      <c r="I122" s="227"/>
      <c r="J122" s="227"/>
      <c r="K122" s="122"/>
      <c r="L122" s="122"/>
      <c r="M122" s="125"/>
      <c r="N122" s="272"/>
      <c r="O122" s="125"/>
      <c r="P122" s="126"/>
      <c r="Q122" s="125"/>
      <c r="R122" s="125"/>
      <c r="S122" s="272">
        <v>500</v>
      </c>
      <c r="T122" s="272">
        <v>4300</v>
      </c>
      <c r="U122" s="272"/>
      <c r="V122" s="272"/>
      <c r="W122" s="273"/>
      <c r="X122" s="125"/>
      <c r="Y122" s="125"/>
    </row>
    <row r="123" spans="1:34" ht="15.6" x14ac:dyDescent="0.3">
      <c r="A123" s="33"/>
      <c r="B123" s="92" t="s">
        <v>105</v>
      </c>
      <c r="C123" s="227"/>
      <c r="D123" s="227"/>
      <c r="E123" s="227"/>
      <c r="F123" s="227"/>
      <c r="G123" s="227"/>
      <c r="H123" s="227"/>
      <c r="I123" s="227"/>
      <c r="J123" s="227"/>
      <c r="K123" s="122"/>
      <c r="L123" s="122"/>
      <c r="M123" s="125"/>
      <c r="N123" s="272"/>
      <c r="O123" s="125"/>
      <c r="P123" s="126"/>
      <c r="Q123" s="125"/>
      <c r="R123" s="125"/>
      <c r="S123" s="272"/>
      <c r="T123" s="272">
        <v>800</v>
      </c>
      <c r="U123" s="272"/>
      <c r="V123" s="272"/>
      <c r="W123" s="273"/>
      <c r="X123" s="125"/>
      <c r="Y123" s="125"/>
    </row>
    <row r="124" spans="1:34" ht="15.6" x14ac:dyDescent="0.3">
      <c r="A124" s="33"/>
      <c r="B124" s="92" t="s">
        <v>106</v>
      </c>
      <c r="C124" s="227"/>
      <c r="D124" s="227"/>
      <c r="E124" s="227"/>
      <c r="F124" s="227"/>
      <c r="G124" s="227"/>
      <c r="H124" s="227"/>
      <c r="I124" s="227"/>
      <c r="J124" s="227"/>
      <c r="K124" s="122"/>
      <c r="L124" s="122"/>
      <c r="M124" s="125"/>
      <c r="N124" s="272"/>
      <c r="O124" s="125"/>
      <c r="P124" s="126"/>
      <c r="Q124" s="125"/>
      <c r="R124" s="125"/>
      <c r="S124" s="272">
        <v>200</v>
      </c>
      <c r="T124" s="272"/>
      <c r="U124" s="272"/>
      <c r="V124" s="272"/>
      <c r="W124" s="273"/>
      <c r="X124" s="125"/>
      <c r="Y124" s="125"/>
    </row>
    <row r="125" spans="1:34" ht="15.6" x14ac:dyDescent="0.3">
      <c r="A125" s="33"/>
      <c r="B125" s="92" t="s">
        <v>107</v>
      </c>
      <c r="C125" s="227"/>
      <c r="D125" s="227"/>
      <c r="E125" s="227"/>
      <c r="F125" s="227"/>
      <c r="G125" s="227"/>
      <c r="H125" s="227"/>
      <c r="I125" s="227"/>
      <c r="J125" s="227"/>
      <c r="K125" s="122"/>
      <c r="L125" s="122"/>
      <c r="M125" s="125"/>
      <c r="N125" s="272"/>
      <c r="O125" s="125"/>
      <c r="P125" s="126"/>
      <c r="Q125" s="125"/>
      <c r="R125" s="125"/>
      <c r="S125" s="272"/>
      <c r="T125" s="272"/>
      <c r="U125" s="272"/>
      <c r="V125" s="272"/>
      <c r="W125" s="273">
        <v>2900</v>
      </c>
      <c r="X125" s="125"/>
      <c r="Y125" s="125"/>
    </row>
    <row r="126" spans="1:34" ht="15.6" x14ac:dyDescent="0.3">
      <c r="A126" s="33"/>
      <c r="B126" s="92"/>
      <c r="C126" s="227"/>
      <c r="D126" s="227"/>
      <c r="E126" s="227"/>
      <c r="F126" s="227"/>
      <c r="G126" s="227"/>
      <c r="H126" s="227"/>
      <c r="I126" s="227"/>
      <c r="J126" s="227"/>
      <c r="K126" s="122"/>
      <c r="L126" s="122"/>
      <c r="M126" s="125"/>
      <c r="N126" s="272"/>
      <c r="O126" s="125"/>
      <c r="P126" s="126"/>
      <c r="Q126" s="125"/>
      <c r="R126" s="125"/>
      <c r="S126" s="272"/>
      <c r="T126" s="272"/>
      <c r="U126" s="272"/>
      <c r="V126" s="272"/>
      <c r="W126" s="273"/>
      <c r="X126" s="125"/>
      <c r="Y126" s="125"/>
    </row>
    <row r="127" spans="1:34" ht="15.6" x14ac:dyDescent="0.3">
      <c r="A127" s="35">
        <v>1</v>
      </c>
      <c r="B127" s="251" t="s">
        <v>65</v>
      </c>
      <c r="C127" s="252">
        <v>5148.1729999999998</v>
      </c>
      <c r="D127" s="252">
        <v>3946.1990000000001</v>
      </c>
      <c r="E127" s="252">
        <v>807</v>
      </c>
      <c r="F127" s="252">
        <v>1504</v>
      </c>
      <c r="G127" s="252">
        <v>2658</v>
      </c>
      <c r="H127" s="252">
        <v>1066</v>
      </c>
      <c r="I127" s="252">
        <v>564</v>
      </c>
      <c r="J127" s="252">
        <v>1000</v>
      </c>
      <c r="K127" s="253" t="s">
        <v>3</v>
      </c>
      <c r="L127" s="254"/>
      <c r="M127" s="255"/>
      <c r="N127" s="256"/>
      <c r="O127" s="255">
        <v>1800</v>
      </c>
      <c r="P127" s="257">
        <v>1000</v>
      </c>
      <c r="Q127" s="255">
        <v>1300</v>
      </c>
      <c r="R127" s="255">
        <v>1700</v>
      </c>
      <c r="S127" s="258">
        <v>2000</v>
      </c>
      <c r="T127" s="258">
        <v>1000</v>
      </c>
      <c r="U127" s="258">
        <v>1200</v>
      </c>
      <c r="V127" s="258">
        <v>2000</v>
      </c>
      <c r="W127" s="259">
        <v>2000</v>
      </c>
      <c r="X127" s="255">
        <v>2500</v>
      </c>
      <c r="Y127" s="255"/>
      <c r="Z127" s="172"/>
      <c r="AA127" s="172"/>
      <c r="AB127" s="172"/>
      <c r="AC127" s="172"/>
      <c r="AD127" s="172"/>
      <c r="AE127" s="172"/>
      <c r="AF127" s="172"/>
      <c r="AG127" s="172" t="s">
        <v>76</v>
      </c>
      <c r="AH127" s="209" t="s">
        <v>66</v>
      </c>
    </row>
    <row r="128" spans="1:34" ht="15.6" x14ac:dyDescent="0.3">
      <c r="A128" s="35">
        <v>2</v>
      </c>
      <c r="B128" s="251" t="s">
        <v>67</v>
      </c>
      <c r="C128" s="252">
        <v>619.52700000000004</v>
      </c>
      <c r="D128" s="252">
        <v>315.10599999999999</v>
      </c>
      <c r="E128" s="252">
        <v>180</v>
      </c>
      <c r="F128" s="252">
        <v>221</v>
      </c>
      <c r="G128" s="252">
        <v>495</v>
      </c>
      <c r="H128" s="252">
        <v>179</v>
      </c>
      <c r="I128" s="252">
        <v>814</v>
      </c>
      <c r="J128" s="252">
        <v>1210</v>
      </c>
      <c r="K128" s="253" t="s">
        <v>3</v>
      </c>
      <c r="L128" s="254"/>
      <c r="M128" s="255"/>
      <c r="N128" s="256"/>
      <c r="O128" s="255">
        <v>200</v>
      </c>
      <c r="P128" s="257">
        <v>100</v>
      </c>
      <c r="Q128" s="255">
        <v>700</v>
      </c>
      <c r="R128" s="255">
        <v>500</v>
      </c>
      <c r="S128" s="255">
        <v>600</v>
      </c>
      <c r="T128" s="255">
        <v>800</v>
      </c>
      <c r="U128" s="255">
        <v>1200</v>
      </c>
      <c r="V128" s="255">
        <v>1300</v>
      </c>
      <c r="W128" s="260">
        <v>1400</v>
      </c>
      <c r="X128" s="255">
        <v>1500</v>
      </c>
      <c r="Y128" s="255"/>
      <c r="Z128" s="172"/>
      <c r="AA128" s="172"/>
      <c r="AB128" s="172"/>
      <c r="AC128" s="172"/>
      <c r="AD128" s="172"/>
      <c r="AE128" s="172"/>
      <c r="AF128" s="172"/>
      <c r="AG128" s="172" t="s">
        <v>76</v>
      </c>
      <c r="AH128" s="209" t="s">
        <v>66</v>
      </c>
    </row>
    <row r="129" spans="1:34" ht="15.6" x14ac:dyDescent="0.3">
      <c r="A129" s="35">
        <v>3</v>
      </c>
      <c r="B129" s="251" t="s">
        <v>68</v>
      </c>
      <c r="C129" s="252">
        <v>76.48</v>
      </c>
      <c r="D129" s="252">
        <v>97.004000000000005</v>
      </c>
      <c r="E129" s="252">
        <v>130</v>
      </c>
      <c r="F129" s="252">
        <v>210</v>
      </c>
      <c r="G129" s="252">
        <v>28</v>
      </c>
      <c r="H129" s="252">
        <v>51</v>
      </c>
      <c r="I129" s="252">
        <v>118</v>
      </c>
      <c r="J129" s="252">
        <v>780</v>
      </c>
      <c r="K129" s="253" t="s">
        <v>3</v>
      </c>
      <c r="L129" s="254"/>
      <c r="M129" s="255"/>
      <c r="N129" s="256"/>
      <c r="O129" s="255">
        <v>200</v>
      </c>
      <c r="P129" s="257">
        <v>400</v>
      </c>
      <c r="Q129" s="255">
        <v>900</v>
      </c>
      <c r="R129" s="255">
        <v>400</v>
      </c>
      <c r="S129" s="258">
        <v>400</v>
      </c>
      <c r="T129" s="258">
        <f>400</f>
        <v>400</v>
      </c>
      <c r="U129" s="256">
        <f>400+3000</f>
        <v>3400</v>
      </c>
      <c r="V129" s="256">
        <f>800+13000</f>
        <v>13800</v>
      </c>
      <c r="W129" s="261">
        <f>800+14000</f>
        <v>14800</v>
      </c>
      <c r="X129" s="255">
        <v>800</v>
      </c>
      <c r="Y129" s="255"/>
      <c r="Z129" s="172"/>
      <c r="AA129" s="172"/>
      <c r="AB129" s="172"/>
      <c r="AC129" s="172"/>
      <c r="AD129" s="172"/>
      <c r="AE129" s="172"/>
      <c r="AF129" s="172"/>
      <c r="AG129" s="172" t="s">
        <v>76</v>
      </c>
      <c r="AH129" s="209" t="s">
        <v>66</v>
      </c>
    </row>
    <row r="130" spans="1:34" ht="15.6" x14ac:dyDescent="0.3">
      <c r="A130" s="35">
        <v>4</v>
      </c>
      <c r="B130" s="251" t="s">
        <v>69</v>
      </c>
      <c r="C130" s="252">
        <v>173.60400000000001</v>
      </c>
      <c r="D130" s="252">
        <v>81.593999999999994</v>
      </c>
      <c r="E130" s="252">
        <v>145</v>
      </c>
      <c r="F130" s="252">
        <v>96</v>
      </c>
      <c r="G130" s="252">
        <v>42</v>
      </c>
      <c r="H130" s="252">
        <v>111</v>
      </c>
      <c r="I130" s="252">
        <v>453</v>
      </c>
      <c r="J130" s="252">
        <v>200</v>
      </c>
      <c r="K130" s="253" t="s">
        <v>3</v>
      </c>
      <c r="L130" s="254"/>
      <c r="M130" s="255"/>
      <c r="N130" s="256"/>
      <c r="O130" s="255">
        <v>100</v>
      </c>
      <c r="P130" s="257">
        <v>400</v>
      </c>
      <c r="Q130" s="255">
        <v>600</v>
      </c>
      <c r="R130" s="255">
        <v>800</v>
      </c>
      <c r="S130" s="258">
        <v>600</v>
      </c>
      <c r="T130" s="258">
        <v>800</v>
      </c>
      <c r="U130" s="258">
        <v>800</v>
      </c>
      <c r="V130" s="258">
        <v>800</v>
      </c>
      <c r="W130" s="259">
        <v>800</v>
      </c>
      <c r="X130" s="255">
        <v>1100</v>
      </c>
      <c r="Y130" s="255"/>
      <c r="Z130" s="172"/>
      <c r="AA130" s="172"/>
      <c r="AB130" s="172"/>
      <c r="AC130" s="172"/>
      <c r="AD130" s="172"/>
      <c r="AE130" s="172"/>
      <c r="AF130" s="172"/>
      <c r="AG130" s="172" t="s">
        <v>76</v>
      </c>
      <c r="AH130" s="209" t="s">
        <v>66</v>
      </c>
    </row>
    <row r="131" spans="1:34" ht="15.6" x14ac:dyDescent="0.3">
      <c r="A131" s="35">
        <v>5</v>
      </c>
      <c r="B131" s="251" t="s">
        <v>70</v>
      </c>
      <c r="C131" s="252">
        <f>240.569+2005.683</f>
        <v>2246.252</v>
      </c>
      <c r="D131" s="252">
        <v>93.552999999999997</v>
      </c>
      <c r="E131" s="252">
        <v>284</v>
      </c>
      <c r="F131" s="252">
        <v>207</v>
      </c>
      <c r="G131" s="252">
        <v>189</v>
      </c>
      <c r="H131" s="252">
        <v>57</v>
      </c>
      <c r="I131" s="252">
        <v>100</v>
      </c>
      <c r="J131" s="252">
        <v>420</v>
      </c>
      <c r="K131" s="253" t="s">
        <v>3</v>
      </c>
      <c r="L131" s="254"/>
      <c r="M131" s="255"/>
      <c r="N131" s="256"/>
      <c r="O131" s="255">
        <v>300</v>
      </c>
      <c r="P131" s="257">
        <v>500</v>
      </c>
      <c r="Q131" s="255">
        <v>300</v>
      </c>
      <c r="R131" s="255">
        <v>200</v>
      </c>
      <c r="S131" s="258">
        <v>900</v>
      </c>
      <c r="T131" s="258">
        <v>950</v>
      </c>
      <c r="U131" s="258">
        <v>800</v>
      </c>
      <c r="V131" s="258">
        <v>600</v>
      </c>
      <c r="W131" s="259">
        <v>600</v>
      </c>
      <c r="X131" s="255">
        <v>600</v>
      </c>
      <c r="Y131" s="255"/>
      <c r="Z131" s="172"/>
      <c r="AA131" s="172"/>
      <c r="AB131" s="172"/>
      <c r="AC131" s="172"/>
      <c r="AD131" s="172"/>
      <c r="AE131" s="172"/>
      <c r="AF131" s="172"/>
      <c r="AG131" s="172" t="s">
        <v>76</v>
      </c>
      <c r="AH131" s="209" t="s">
        <v>66</v>
      </c>
    </row>
    <row r="132" spans="1:34" ht="15.6" x14ac:dyDescent="0.3">
      <c r="A132" s="35">
        <v>6</v>
      </c>
      <c r="B132" s="251" t="s">
        <v>71</v>
      </c>
      <c r="C132" s="252">
        <v>179.27699999999999</v>
      </c>
      <c r="D132" s="252">
        <v>16.093</v>
      </c>
      <c r="E132" s="252">
        <v>0</v>
      </c>
      <c r="F132" s="252">
        <v>38</v>
      </c>
      <c r="G132" s="252">
        <v>502</v>
      </c>
      <c r="H132" s="252">
        <v>46</v>
      </c>
      <c r="I132" s="252">
        <v>275</v>
      </c>
      <c r="J132" s="252">
        <v>200</v>
      </c>
      <c r="K132" s="253" t="s">
        <v>3</v>
      </c>
      <c r="L132" s="254"/>
      <c r="M132" s="255"/>
      <c r="N132" s="256"/>
      <c r="O132" s="255">
        <v>200</v>
      </c>
      <c r="P132" s="257">
        <v>100</v>
      </c>
      <c r="Q132" s="255">
        <v>2100</v>
      </c>
      <c r="R132" s="255">
        <v>1300</v>
      </c>
      <c r="S132" s="255">
        <v>400</v>
      </c>
      <c r="T132" s="255">
        <v>150</v>
      </c>
      <c r="U132" s="255">
        <v>200</v>
      </c>
      <c r="V132" s="255">
        <v>300</v>
      </c>
      <c r="W132" s="260">
        <v>200</v>
      </c>
      <c r="X132" s="255">
        <v>300</v>
      </c>
      <c r="Y132" s="255"/>
      <c r="Z132" s="172"/>
      <c r="AA132" s="172"/>
      <c r="AB132" s="172"/>
      <c r="AC132" s="172"/>
      <c r="AD132" s="172"/>
      <c r="AE132" s="172"/>
      <c r="AF132" s="172"/>
      <c r="AG132" s="172" t="s">
        <v>76</v>
      </c>
      <c r="AH132" s="209" t="s">
        <v>66</v>
      </c>
    </row>
    <row r="133" spans="1:34" ht="15.6" x14ac:dyDescent="0.3">
      <c r="A133" s="35">
        <v>7</v>
      </c>
      <c r="B133" s="251" t="s">
        <v>72</v>
      </c>
      <c r="C133" s="252"/>
      <c r="D133" s="252"/>
      <c r="E133" s="252"/>
      <c r="F133" s="252"/>
      <c r="G133" s="252"/>
      <c r="H133" s="252"/>
      <c r="I133" s="252"/>
      <c r="J133" s="252"/>
      <c r="K133" s="253"/>
      <c r="L133" s="254"/>
      <c r="M133" s="255"/>
      <c r="N133" s="256"/>
      <c r="O133" s="255"/>
      <c r="P133" s="257"/>
      <c r="Q133" s="255"/>
      <c r="R133" s="255"/>
      <c r="S133" s="255"/>
      <c r="T133" s="255"/>
      <c r="U133" s="255"/>
      <c r="V133" s="255"/>
      <c r="W133" s="260"/>
      <c r="X133" s="255"/>
      <c r="Y133" s="255"/>
      <c r="Z133" s="172"/>
      <c r="AA133" s="172"/>
      <c r="AB133" s="172"/>
      <c r="AC133" s="172"/>
      <c r="AD133" s="172"/>
      <c r="AE133" s="172"/>
      <c r="AF133" s="172"/>
      <c r="AG133" s="172" t="s">
        <v>76</v>
      </c>
      <c r="AH133" s="209" t="s">
        <v>66</v>
      </c>
    </row>
    <row r="134" spans="1:34" ht="15.6" x14ac:dyDescent="0.3">
      <c r="A134" s="35">
        <v>8</v>
      </c>
      <c r="B134" s="251" t="s">
        <v>90</v>
      </c>
      <c r="C134" s="252">
        <v>50.472000000000001</v>
      </c>
      <c r="D134" s="252">
        <v>37.334000000000003</v>
      </c>
      <c r="E134" s="252">
        <v>153</v>
      </c>
      <c r="F134" s="252">
        <v>311</v>
      </c>
      <c r="G134" s="252">
        <v>97</v>
      </c>
      <c r="H134" s="252">
        <v>284</v>
      </c>
      <c r="I134" s="252">
        <v>256</v>
      </c>
      <c r="J134" s="252">
        <v>390</v>
      </c>
      <c r="K134" s="253" t="s">
        <v>3</v>
      </c>
      <c r="L134" s="254"/>
      <c r="M134" s="255"/>
      <c r="N134" s="256"/>
      <c r="O134" s="255">
        <v>200</v>
      </c>
      <c r="P134" s="257">
        <v>200</v>
      </c>
      <c r="Q134" s="255">
        <v>200</v>
      </c>
      <c r="R134" s="255">
        <v>2200</v>
      </c>
      <c r="S134" s="255">
        <v>1600</v>
      </c>
      <c r="T134" s="255">
        <v>600</v>
      </c>
      <c r="U134" s="255">
        <v>600</v>
      </c>
      <c r="V134" s="255" t="s">
        <v>91</v>
      </c>
      <c r="W134" s="260">
        <v>600</v>
      </c>
      <c r="X134" s="255">
        <v>600</v>
      </c>
      <c r="Y134" s="255"/>
      <c r="Z134" s="172"/>
      <c r="AA134" s="172"/>
      <c r="AB134" s="172"/>
      <c r="AC134" s="172"/>
      <c r="AD134" s="172"/>
      <c r="AE134" s="172"/>
      <c r="AF134" s="172"/>
      <c r="AG134" s="172" t="s">
        <v>76</v>
      </c>
      <c r="AH134" s="209" t="s">
        <v>66</v>
      </c>
    </row>
    <row r="135" spans="1:34" ht="15.6" x14ac:dyDescent="0.3">
      <c r="A135" s="33"/>
      <c r="B135" s="92"/>
      <c r="C135" s="227"/>
      <c r="D135" s="227"/>
      <c r="E135" s="227"/>
      <c r="F135" s="227"/>
      <c r="G135" s="227"/>
      <c r="H135" s="227"/>
      <c r="I135" s="227"/>
      <c r="J135" s="227"/>
      <c r="K135" s="122"/>
      <c r="L135" s="122"/>
      <c r="M135" s="125"/>
      <c r="N135" s="272"/>
      <c r="O135" s="125"/>
      <c r="P135" s="126"/>
      <c r="Q135" s="125"/>
      <c r="R135" s="125"/>
      <c r="S135" s="272"/>
      <c r="T135" s="272"/>
      <c r="U135" s="272"/>
      <c r="V135" s="272"/>
      <c r="W135" s="273"/>
      <c r="X135" s="125"/>
      <c r="Y135" s="125"/>
    </row>
    <row r="136" spans="1:34" ht="15.6" x14ac:dyDescent="0.3">
      <c r="A136" s="33"/>
      <c r="B136" s="116" t="s">
        <v>108</v>
      </c>
      <c r="C136" s="208">
        <v>5233.5859899999996</v>
      </c>
      <c r="D136" s="208">
        <v>5285.9332599999998</v>
      </c>
      <c r="E136" s="208">
        <v>4585</v>
      </c>
      <c r="F136" s="208">
        <v>5158</v>
      </c>
      <c r="G136" s="208">
        <v>5123</v>
      </c>
      <c r="H136" s="208">
        <v>5006</v>
      </c>
      <c r="I136" s="208">
        <v>4875</v>
      </c>
      <c r="J136" s="208">
        <v>4185</v>
      </c>
      <c r="K136" s="65">
        <v>4218</v>
      </c>
      <c r="L136" s="65">
        <v>4226</v>
      </c>
      <c r="M136" s="274">
        <f>4361582/1000</f>
        <v>4361.5820000000003</v>
      </c>
      <c r="N136" s="275">
        <f>3762622.46/1000</f>
        <v>3762.62246</v>
      </c>
      <c r="O136" s="274">
        <v>4500</v>
      </c>
      <c r="P136" s="276">
        <v>5000</v>
      </c>
      <c r="Q136" s="274">
        <v>5000</v>
      </c>
      <c r="R136" s="274">
        <v>5000</v>
      </c>
      <c r="S136" s="275">
        <v>5000</v>
      </c>
      <c r="T136" s="275">
        <v>5000</v>
      </c>
      <c r="U136" s="275">
        <v>6000</v>
      </c>
      <c r="V136" s="275">
        <v>6000</v>
      </c>
      <c r="W136" s="277">
        <v>6500</v>
      </c>
      <c r="X136" s="274">
        <v>6500</v>
      </c>
      <c r="Y136" s="274">
        <v>6500</v>
      </c>
    </row>
    <row r="137" spans="1:34" ht="15.6" x14ac:dyDescent="0.3">
      <c r="A137" s="33"/>
      <c r="B137" s="52"/>
      <c r="C137" s="208"/>
      <c r="D137" s="208"/>
      <c r="E137" s="208"/>
      <c r="F137" s="208"/>
      <c r="G137" s="208"/>
      <c r="H137" s="208"/>
      <c r="I137" s="208"/>
      <c r="J137" s="208"/>
      <c r="K137" s="65"/>
      <c r="L137" s="65"/>
      <c r="M137" s="278" t="s">
        <v>3</v>
      </c>
      <c r="N137" s="279"/>
      <c r="O137" s="278"/>
      <c r="P137" s="280"/>
      <c r="Q137" s="278"/>
      <c r="R137" s="278"/>
      <c r="S137" s="279"/>
      <c r="T137" s="279"/>
      <c r="U137" s="279"/>
      <c r="V137" s="279"/>
      <c r="W137" s="281"/>
      <c r="X137" s="278"/>
      <c r="Y137" s="278"/>
    </row>
    <row r="138" spans="1:34" ht="15.6" x14ac:dyDescent="0.3">
      <c r="A138" s="51"/>
      <c r="B138" s="116" t="s">
        <v>109</v>
      </c>
      <c r="C138" s="208">
        <f t="shared" ref="C138:I138" si="31">SUM(C139:C140)</f>
        <v>0</v>
      </c>
      <c r="D138" s="208">
        <f t="shared" si="31"/>
        <v>0</v>
      </c>
      <c r="E138" s="208">
        <f t="shared" si="31"/>
        <v>632</v>
      </c>
      <c r="F138" s="208">
        <f t="shared" si="31"/>
        <v>2353</v>
      </c>
      <c r="G138" s="208">
        <f t="shared" si="31"/>
        <v>3582</v>
      </c>
      <c r="H138" s="208">
        <f t="shared" si="31"/>
        <v>6143</v>
      </c>
      <c r="I138" s="208">
        <f t="shared" si="31"/>
        <v>1618</v>
      </c>
      <c r="J138" s="208">
        <v>3729</v>
      </c>
      <c r="K138" s="65">
        <v>3986</v>
      </c>
      <c r="L138" s="65">
        <v>2526</v>
      </c>
      <c r="M138" s="66">
        <f>1144107/1000</f>
        <v>1144.107</v>
      </c>
      <c r="N138" s="67">
        <f>2854597.06/1000</f>
        <v>2854.5970600000001</v>
      </c>
      <c r="O138" s="66">
        <v>2500</v>
      </c>
      <c r="P138" s="68">
        <v>2000</v>
      </c>
      <c r="Q138" s="66">
        <f>2500-500</f>
        <v>2000</v>
      </c>
      <c r="R138" s="66">
        <f>2500-500</f>
        <v>2000</v>
      </c>
      <c r="S138" s="66">
        <v>2500</v>
      </c>
      <c r="T138" s="66">
        <v>2500</v>
      </c>
      <c r="U138" s="66">
        <v>3000</v>
      </c>
      <c r="V138" s="66">
        <v>3000</v>
      </c>
      <c r="W138" s="65">
        <v>3000</v>
      </c>
      <c r="X138" s="66">
        <v>3000</v>
      </c>
      <c r="Y138" s="66">
        <v>3000</v>
      </c>
    </row>
    <row r="139" spans="1:34" ht="15" x14ac:dyDescent="0.25">
      <c r="A139" s="51"/>
      <c r="B139" s="282" t="s">
        <v>110</v>
      </c>
      <c r="C139" s="227">
        <v>0</v>
      </c>
      <c r="D139" s="227">
        <v>0</v>
      </c>
      <c r="E139" s="227">
        <v>632</v>
      </c>
      <c r="F139" s="227">
        <v>2299</v>
      </c>
      <c r="G139" s="227">
        <v>3582</v>
      </c>
      <c r="H139" s="227">
        <v>6143</v>
      </c>
      <c r="I139" s="227">
        <v>1457</v>
      </c>
      <c r="J139" s="227" t="s">
        <v>3</v>
      </c>
      <c r="K139" s="122">
        <v>4000</v>
      </c>
      <c r="L139" s="122">
        <v>2000</v>
      </c>
      <c r="M139" s="125">
        <v>1000</v>
      </c>
      <c r="N139" s="272"/>
      <c r="O139" s="125">
        <v>3000</v>
      </c>
      <c r="P139" s="283">
        <v>3000</v>
      </c>
      <c r="Q139" s="125">
        <v>3500</v>
      </c>
      <c r="R139" s="125">
        <v>4000</v>
      </c>
      <c r="S139" s="125">
        <v>4000</v>
      </c>
      <c r="T139" s="125">
        <v>4000</v>
      </c>
      <c r="U139" s="125">
        <v>4000</v>
      </c>
      <c r="V139" s="125">
        <v>4000</v>
      </c>
      <c r="W139" s="122">
        <v>6000</v>
      </c>
      <c r="X139" s="125">
        <v>6000</v>
      </c>
      <c r="Y139" s="125"/>
    </row>
    <row r="140" spans="1:34" ht="15" x14ac:dyDescent="0.25">
      <c r="A140" s="51"/>
      <c r="B140" s="282" t="s">
        <v>111</v>
      </c>
      <c r="C140" s="227"/>
      <c r="D140" s="227"/>
      <c r="E140" s="227">
        <v>0</v>
      </c>
      <c r="F140" s="227">
        <v>54</v>
      </c>
      <c r="G140" s="227">
        <v>0</v>
      </c>
      <c r="H140" s="227">
        <v>0</v>
      </c>
      <c r="I140" s="227">
        <v>161</v>
      </c>
      <c r="J140" s="227" t="s">
        <v>3</v>
      </c>
      <c r="K140" s="122">
        <v>0</v>
      </c>
      <c r="L140" s="284"/>
      <c r="M140" s="285"/>
      <c r="N140" s="286"/>
      <c r="O140" s="285"/>
      <c r="P140" s="287"/>
      <c r="Q140" s="285"/>
      <c r="R140" s="285"/>
      <c r="S140" s="286"/>
      <c r="T140" s="286"/>
      <c r="U140" s="286"/>
      <c r="V140" s="286"/>
      <c r="W140" s="288"/>
      <c r="X140" s="285"/>
      <c r="Y140" s="285"/>
    </row>
    <row r="141" spans="1:34" ht="15.6" x14ac:dyDescent="0.3">
      <c r="A141" s="35">
        <v>1</v>
      </c>
      <c r="B141" s="251" t="s">
        <v>65</v>
      </c>
      <c r="C141" s="252">
        <v>5148.1729999999998</v>
      </c>
      <c r="D141" s="252">
        <v>3946.1990000000001</v>
      </c>
      <c r="E141" s="252">
        <v>807</v>
      </c>
      <c r="F141" s="252">
        <v>1504</v>
      </c>
      <c r="G141" s="252">
        <v>2658</v>
      </c>
      <c r="H141" s="252">
        <v>1066</v>
      </c>
      <c r="I141" s="252">
        <v>564</v>
      </c>
      <c r="J141" s="252">
        <v>1000</v>
      </c>
      <c r="K141" s="253" t="s">
        <v>3</v>
      </c>
      <c r="L141" s="254"/>
      <c r="M141" s="255"/>
      <c r="N141" s="256"/>
      <c r="O141" s="255">
        <v>1800</v>
      </c>
      <c r="P141" s="257">
        <v>1000</v>
      </c>
      <c r="Q141" s="255">
        <v>1300</v>
      </c>
      <c r="R141" s="255">
        <v>1700</v>
      </c>
      <c r="S141" s="258">
        <v>2000</v>
      </c>
      <c r="T141" s="258">
        <v>1000</v>
      </c>
      <c r="U141" s="258">
        <v>1200</v>
      </c>
      <c r="V141" s="258">
        <v>2000</v>
      </c>
      <c r="W141" s="259">
        <v>2000</v>
      </c>
      <c r="X141" s="255">
        <v>2500</v>
      </c>
      <c r="Y141" s="255"/>
      <c r="Z141" s="172"/>
      <c r="AA141" s="172"/>
      <c r="AB141" s="172"/>
      <c r="AC141" s="172"/>
      <c r="AD141" s="172"/>
      <c r="AE141" s="172"/>
      <c r="AF141" s="172"/>
      <c r="AG141" s="172" t="s">
        <v>76</v>
      </c>
      <c r="AH141" s="209" t="s">
        <v>66</v>
      </c>
    </row>
    <row r="142" spans="1:34" ht="15.6" x14ac:dyDescent="0.3">
      <c r="A142" s="35">
        <v>2</v>
      </c>
      <c r="B142" s="251" t="s">
        <v>67</v>
      </c>
      <c r="C142" s="252">
        <v>619.52700000000004</v>
      </c>
      <c r="D142" s="252">
        <v>315.10599999999999</v>
      </c>
      <c r="E142" s="252">
        <v>180</v>
      </c>
      <c r="F142" s="252">
        <v>221</v>
      </c>
      <c r="G142" s="252">
        <v>495</v>
      </c>
      <c r="H142" s="252">
        <v>179</v>
      </c>
      <c r="I142" s="252">
        <v>814</v>
      </c>
      <c r="J142" s="252">
        <v>1210</v>
      </c>
      <c r="K142" s="253" t="s">
        <v>3</v>
      </c>
      <c r="L142" s="254"/>
      <c r="M142" s="255"/>
      <c r="N142" s="256"/>
      <c r="O142" s="255">
        <v>200</v>
      </c>
      <c r="P142" s="257">
        <v>100</v>
      </c>
      <c r="Q142" s="255">
        <v>700</v>
      </c>
      <c r="R142" s="255">
        <v>500</v>
      </c>
      <c r="S142" s="255">
        <v>600</v>
      </c>
      <c r="T142" s="255">
        <v>800</v>
      </c>
      <c r="U142" s="255">
        <v>1200</v>
      </c>
      <c r="V142" s="255">
        <v>1300</v>
      </c>
      <c r="W142" s="260">
        <v>1400</v>
      </c>
      <c r="X142" s="255">
        <v>1500</v>
      </c>
      <c r="Y142" s="255"/>
      <c r="Z142" s="172"/>
      <c r="AA142" s="172"/>
      <c r="AB142" s="172"/>
      <c r="AC142" s="172"/>
      <c r="AD142" s="172"/>
      <c r="AE142" s="172"/>
      <c r="AF142" s="172"/>
      <c r="AG142" s="172" t="s">
        <v>76</v>
      </c>
      <c r="AH142" s="209" t="s">
        <v>66</v>
      </c>
    </row>
    <row r="143" spans="1:34" ht="15.6" x14ac:dyDescent="0.3">
      <c r="A143" s="35">
        <v>3</v>
      </c>
      <c r="B143" s="251" t="s">
        <v>68</v>
      </c>
      <c r="C143" s="252">
        <v>76.48</v>
      </c>
      <c r="D143" s="252">
        <v>97.004000000000005</v>
      </c>
      <c r="E143" s="252">
        <v>130</v>
      </c>
      <c r="F143" s="252">
        <v>210</v>
      </c>
      <c r="G143" s="252">
        <v>28</v>
      </c>
      <c r="H143" s="252">
        <v>51</v>
      </c>
      <c r="I143" s="252">
        <v>118</v>
      </c>
      <c r="J143" s="252">
        <v>780</v>
      </c>
      <c r="K143" s="253" t="s">
        <v>3</v>
      </c>
      <c r="L143" s="254"/>
      <c r="M143" s="255"/>
      <c r="N143" s="256"/>
      <c r="O143" s="255">
        <v>200</v>
      </c>
      <c r="P143" s="257">
        <v>400</v>
      </c>
      <c r="Q143" s="255">
        <v>900</v>
      </c>
      <c r="R143" s="255">
        <v>400</v>
      </c>
      <c r="S143" s="258">
        <v>400</v>
      </c>
      <c r="T143" s="258">
        <f>400</f>
        <v>400</v>
      </c>
      <c r="U143" s="256">
        <f>400+3000</f>
        <v>3400</v>
      </c>
      <c r="V143" s="256">
        <f>800+13000</f>
        <v>13800</v>
      </c>
      <c r="W143" s="261">
        <f>800+14000</f>
        <v>14800</v>
      </c>
      <c r="X143" s="255">
        <v>800</v>
      </c>
      <c r="Y143" s="255"/>
      <c r="Z143" s="172"/>
      <c r="AA143" s="172"/>
      <c r="AB143" s="172"/>
      <c r="AC143" s="172"/>
      <c r="AD143" s="172"/>
      <c r="AE143" s="172"/>
      <c r="AF143" s="172"/>
      <c r="AG143" s="172" t="s">
        <v>76</v>
      </c>
      <c r="AH143" s="209" t="s">
        <v>66</v>
      </c>
    </row>
    <row r="144" spans="1:34" ht="15.6" x14ac:dyDescent="0.3">
      <c r="A144" s="35">
        <v>4</v>
      </c>
      <c r="B144" s="251" t="s">
        <v>69</v>
      </c>
      <c r="C144" s="252">
        <v>173.60400000000001</v>
      </c>
      <c r="D144" s="252">
        <v>81.593999999999994</v>
      </c>
      <c r="E144" s="252">
        <v>145</v>
      </c>
      <c r="F144" s="252">
        <v>96</v>
      </c>
      <c r="G144" s="252">
        <v>42</v>
      </c>
      <c r="H144" s="252">
        <v>111</v>
      </c>
      <c r="I144" s="252">
        <v>453</v>
      </c>
      <c r="J144" s="252">
        <v>200</v>
      </c>
      <c r="K144" s="253" t="s">
        <v>3</v>
      </c>
      <c r="L144" s="254"/>
      <c r="M144" s="255"/>
      <c r="N144" s="256"/>
      <c r="O144" s="255">
        <v>100</v>
      </c>
      <c r="P144" s="257">
        <v>400</v>
      </c>
      <c r="Q144" s="255">
        <v>600</v>
      </c>
      <c r="R144" s="255">
        <v>800</v>
      </c>
      <c r="S144" s="258">
        <v>600</v>
      </c>
      <c r="T144" s="258">
        <v>800</v>
      </c>
      <c r="U144" s="258">
        <v>800</v>
      </c>
      <c r="V144" s="258">
        <v>800</v>
      </c>
      <c r="W144" s="259">
        <v>800</v>
      </c>
      <c r="X144" s="255">
        <v>1100</v>
      </c>
      <c r="Y144" s="255"/>
      <c r="Z144" s="172"/>
      <c r="AA144" s="172"/>
      <c r="AB144" s="172"/>
      <c r="AC144" s="172"/>
      <c r="AD144" s="172"/>
      <c r="AE144" s="172"/>
      <c r="AF144" s="172"/>
      <c r="AG144" s="172" t="s">
        <v>76</v>
      </c>
      <c r="AH144" s="209" t="s">
        <v>66</v>
      </c>
    </row>
    <row r="145" spans="1:34" ht="15.6" x14ac:dyDescent="0.3">
      <c r="A145" s="35">
        <v>5</v>
      </c>
      <c r="B145" s="251" t="s">
        <v>70</v>
      </c>
      <c r="C145" s="252">
        <f>240.569+2005.683</f>
        <v>2246.252</v>
      </c>
      <c r="D145" s="252">
        <v>93.552999999999997</v>
      </c>
      <c r="E145" s="252">
        <v>284</v>
      </c>
      <c r="F145" s="252">
        <v>207</v>
      </c>
      <c r="G145" s="252">
        <v>189</v>
      </c>
      <c r="H145" s="252">
        <v>57</v>
      </c>
      <c r="I145" s="252">
        <v>100</v>
      </c>
      <c r="J145" s="252">
        <v>420</v>
      </c>
      <c r="K145" s="253" t="s">
        <v>3</v>
      </c>
      <c r="L145" s="254"/>
      <c r="M145" s="255"/>
      <c r="N145" s="256"/>
      <c r="O145" s="255">
        <v>300</v>
      </c>
      <c r="P145" s="257">
        <v>500</v>
      </c>
      <c r="Q145" s="255">
        <v>300</v>
      </c>
      <c r="R145" s="255">
        <v>200</v>
      </c>
      <c r="S145" s="258">
        <v>900</v>
      </c>
      <c r="T145" s="258">
        <v>950</v>
      </c>
      <c r="U145" s="258">
        <v>800</v>
      </c>
      <c r="V145" s="258">
        <v>600</v>
      </c>
      <c r="W145" s="259">
        <v>600</v>
      </c>
      <c r="X145" s="255">
        <v>600</v>
      </c>
      <c r="Y145" s="255"/>
      <c r="Z145" s="172"/>
      <c r="AA145" s="172"/>
      <c r="AB145" s="172"/>
      <c r="AC145" s="172"/>
      <c r="AD145" s="172"/>
      <c r="AE145" s="172"/>
      <c r="AF145" s="172"/>
      <c r="AG145" s="172" t="s">
        <v>76</v>
      </c>
      <c r="AH145" s="209" t="s">
        <v>66</v>
      </c>
    </row>
    <row r="146" spans="1:34" ht="15.6" x14ac:dyDescent="0.3">
      <c r="A146" s="35">
        <v>6</v>
      </c>
      <c r="B146" s="251" t="s">
        <v>71</v>
      </c>
      <c r="C146" s="252">
        <v>179.27699999999999</v>
      </c>
      <c r="D146" s="252">
        <v>16.093</v>
      </c>
      <c r="E146" s="252">
        <v>0</v>
      </c>
      <c r="F146" s="252">
        <v>38</v>
      </c>
      <c r="G146" s="252">
        <v>502</v>
      </c>
      <c r="H146" s="252">
        <v>46</v>
      </c>
      <c r="I146" s="252">
        <v>275</v>
      </c>
      <c r="J146" s="252">
        <v>200</v>
      </c>
      <c r="K146" s="253" t="s">
        <v>3</v>
      </c>
      <c r="L146" s="254"/>
      <c r="M146" s="255"/>
      <c r="N146" s="256"/>
      <c r="O146" s="255">
        <v>200</v>
      </c>
      <c r="P146" s="257">
        <v>100</v>
      </c>
      <c r="Q146" s="255">
        <v>2100</v>
      </c>
      <c r="R146" s="255">
        <v>1300</v>
      </c>
      <c r="S146" s="255">
        <v>400</v>
      </c>
      <c r="T146" s="255">
        <v>150</v>
      </c>
      <c r="U146" s="255">
        <v>200</v>
      </c>
      <c r="V146" s="255">
        <v>300</v>
      </c>
      <c r="W146" s="260">
        <v>200</v>
      </c>
      <c r="X146" s="255">
        <v>300</v>
      </c>
      <c r="Y146" s="255"/>
      <c r="Z146" s="172"/>
      <c r="AA146" s="172"/>
      <c r="AB146" s="172"/>
      <c r="AC146" s="172"/>
      <c r="AD146" s="172"/>
      <c r="AE146" s="172"/>
      <c r="AF146" s="172"/>
      <c r="AG146" s="172" t="s">
        <v>76</v>
      </c>
      <c r="AH146" s="209" t="s">
        <v>66</v>
      </c>
    </row>
    <row r="147" spans="1:34" ht="15.6" x14ac:dyDescent="0.3">
      <c r="A147" s="35">
        <v>7</v>
      </c>
      <c r="B147" s="251" t="s">
        <v>72</v>
      </c>
      <c r="C147" s="252"/>
      <c r="D147" s="252"/>
      <c r="E147" s="252"/>
      <c r="F147" s="252"/>
      <c r="G147" s="252"/>
      <c r="H147" s="252"/>
      <c r="I147" s="252"/>
      <c r="J147" s="252"/>
      <c r="K147" s="253"/>
      <c r="L147" s="254"/>
      <c r="M147" s="255"/>
      <c r="N147" s="256"/>
      <c r="O147" s="255"/>
      <c r="P147" s="257"/>
      <c r="Q147" s="255"/>
      <c r="R147" s="255"/>
      <c r="S147" s="255"/>
      <c r="T147" s="255"/>
      <c r="U147" s="255"/>
      <c r="V147" s="255"/>
      <c r="W147" s="260"/>
      <c r="X147" s="255"/>
      <c r="Y147" s="255"/>
      <c r="Z147" s="172"/>
      <c r="AA147" s="172"/>
      <c r="AB147" s="172"/>
      <c r="AC147" s="172"/>
      <c r="AD147" s="172"/>
      <c r="AE147" s="172"/>
      <c r="AF147" s="172"/>
      <c r="AG147" s="172" t="s">
        <v>76</v>
      </c>
      <c r="AH147" s="209" t="s">
        <v>66</v>
      </c>
    </row>
    <row r="148" spans="1:34" ht="15.6" x14ac:dyDescent="0.3">
      <c r="A148" s="35">
        <v>8</v>
      </c>
      <c r="B148" s="251" t="s">
        <v>90</v>
      </c>
      <c r="C148" s="252">
        <v>50.472000000000001</v>
      </c>
      <c r="D148" s="252">
        <v>37.334000000000003</v>
      </c>
      <c r="E148" s="252">
        <v>153</v>
      </c>
      <c r="F148" s="252">
        <v>311</v>
      </c>
      <c r="G148" s="252">
        <v>97</v>
      </c>
      <c r="H148" s="252">
        <v>284</v>
      </c>
      <c r="I148" s="252">
        <v>256</v>
      </c>
      <c r="J148" s="252">
        <v>390</v>
      </c>
      <c r="K148" s="253" t="s">
        <v>3</v>
      </c>
      <c r="L148" s="254"/>
      <c r="M148" s="255"/>
      <c r="N148" s="256"/>
      <c r="O148" s="255">
        <v>200</v>
      </c>
      <c r="P148" s="257">
        <v>200</v>
      </c>
      <c r="Q148" s="255">
        <v>200</v>
      </c>
      <c r="R148" s="255">
        <v>2200</v>
      </c>
      <c r="S148" s="255">
        <v>1600</v>
      </c>
      <c r="T148" s="255">
        <v>600</v>
      </c>
      <c r="U148" s="255">
        <v>600</v>
      </c>
      <c r="V148" s="255" t="s">
        <v>91</v>
      </c>
      <c r="W148" s="260">
        <v>600</v>
      </c>
      <c r="X148" s="255">
        <v>600</v>
      </c>
      <c r="Y148" s="255"/>
      <c r="Z148" s="172"/>
      <c r="AA148" s="172"/>
      <c r="AB148" s="172"/>
      <c r="AC148" s="172"/>
      <c r="AD148" s="172"/>
      <c r="AE148" s="172"/>
      <c r="AF148" s="172"/>
      <c r="AG148" s="172" t="s">
        <v>76</v>
      </c>
      <c r="AH148" s="209" t="s">
        <v>66</v>
      </c>
    </row>
    <row r="149" spans="1:34" ht="15.6" x14ac:dyDescent="0.3">
      <c r="A149" s="33"/>
      <c r="B149" s="52"/>
      <c r="C149" s="208"/>
      <c r="D149" s="220"/>
      <c r="E149" s="208"/>
      <c r="F149" s="245"/>
      <c r="G149" s="208"/>
      <c r="H149" s="208"/>
      <c r="I149" s="208"/>
      <c r="J149" s="289" t="s">
        <v>3</v>
      </c>
      <c r="K149" s="163" t="s">
        <v>3</v>
      </c>
      <c r="L149" s="290" t="s">
        <v>3</v>
      </c>
      <c r="M149" s="291" t="s">
        <v>3</v>
      </c>
      <c r="N149" s="292"/>
      <c r="O149" s="291" t="s">
        <v>3</v>
      </c>
      <c r="P149" s="293" t="s">
        <v>3</v>
      </c>
      <c r="Q149" s="291" t="s">
        <v>3</v>
      </c>
      <c r="R149" s="291" t="s">
        <v>3</v>
      </c>
      <c r="S149" s="292" t="s">
        <v>3</v>
      </c>
      <c r="T149" s="292" t="s">
        <v>3</v>
      </c>
      <c r="U149" s="66"/>
      <c r="V149" s="292" t="s">
        <v>3</v>
      </c>
      <c r="W149" s="294" t="s">
        <v>3</v>
      </c>
      <c r="X149" s="291" t="s">
        <v>3</v>
      </c>
      <c r="Y149" s="291"/>
    </row>
    <row r="150" spans="1:34" ht="15.6" x14ac:dyDescent="0.3">
      <c r="A150" s="33"/>
      <c r="B150" s="116" t="s">
        <v>112</v>
      </c>
      <c r="C150" s="208">
        <f>SUM(C152:C158)</f>
        <v>8443.3130000000001</v>
      </c>
      <c r="D150" s="208">
        <f>SUM(D152:D158)</f>
        <v>4549.549</v>
      </c>
      <c r="E150" s="208">
        <f>SUM(E152:E158)</f>
        <v>1546</v>
      </c>
      <c r="F150" s="208">
        <f>SUM(F152:F158)</f>
        <v>2276</v>
      </c>
      <c r="G150" s="208">
        <f>SUM(G152:G158)</f>
        <v>3914</v>
      </c>
      <c r="H150" s="208">
        <v>2354</v>
      </c>
      <c r="I150" s="208">
        <f>SUM(I152:I158)</f>
        <v>2324</v>
      </c>
      <c r="J150" s="208">
        <v>3311</v>
      </c>
      <c r="K150" s="65">
        <v>3188</v>
      </c>
      <c r="L150" s="65">
        <v>8139</v>
      </c>
      <c r="M150" s="66">
        <f>10718579/1000</f>
        <v>10718.579</v>
      </c>
      <c r="N150" s="67">
        <f>5802808.69/1000</f>
        <v>5802.8086900000008</v>
      </c>
      <c r="O150" s="66">
        <v>4700</v>
      </c>
      <c r="P150" s="210">
        <f>6000+3000</f>
        <v>9000</v>
      </c>
      <c r="Q150" s="66">
        <v>6000</v>
      </c>
      <c r="R150" s="66">
        <v>6500</v>
      </c>
      <c r="S150" s="66">
        <v>5600</v>
      </c>
      <c r="T150" s="66">
        <v>4500</v>
      </c>
      <c r="U150" s="66">
        <v>6000</v>
      </c>
      <c r="V150" s="66">
        <v>6500</v>
      </c>
      <c r="W150" s="65">
        <v>6500</v>
      </c>
      <c r="X150" s="66">
        <v>6500</v>
      </c>
      <c r="Y150" s="66">
        <v>6500</v>
      </c>
    </row>
    <row r="151" spans="1:34" ht="15.6" x14ac:dyDescent="0.3">
      <c r="A151" s="33"/>
      <c r="B151" s="295" t="s">
        <v>113</v>
      </c>
      <c r="C151" s="208"/>
      <c r="D151" s="208"/>
      <c r="E151" s="208"/>
      <c r="F151" s="245"/>
      <c r="G151" s="208"/>
      <c r="H151" s="208"/>
      <c r="I151" s="208"/>
      <c r="J151" s="296" t="s">
        <v>3</v>
      </c>
      <c r="K151" s="163" t="s">
        <v>3</v>
      </c>
      <c r="L151" s="98" t="s">
        <v>3</v>
      </c>
      <c r="M151" s="166" t="s">
        <v>3</v>
      </c>
      <c r="N151" s="193"/>
      <c r="O151" s="166" t="s">
        <v>3</v>
      </c>
      <c r="P151" s="247" t="s">
        <v>3</v>
      </c>
      <c r="Q151" s="166" t="s">
        <v>3</v>
      </c>
      <c r="R151" s="166" t="s">
        <v>3</v>
      </c>
      <c r="S151" s="193" t="s">
        <v>3</v>
      </c>
      <c r="T151" s="193" t="s">
        <v>3</v>
      </c>
      <c r="U151" s="193" t="s">
        <v>3</v>
      </c>
      <c r="V151" s="193" t="s">
        <v>3</v>
      </c>
      <c r="W151" s="248" t="s">
        <v>3</v>
      </c>
      <c r="X151" s="166" t="s">
        <v>3</v>
      </c>
      <c r="Y151" s="166"/>
    </row>
    <row r="152" spans="1:34" ht="15.6" x14ac:dyDescent="0.3">
      <c r="A152" s="35">
        <v>1</v>
      </c>
      <c r="B152" s="251" t="s">
        <v>65</v>
      </c>
      <c r="C152" s="252">
        <v>5148.1729999999998</v>
      </c>
      <c r="D152" s="252">
        <v>3946.1990000000001</v>
      </c>
      <c r="E152" s="252">
        <v>807</v>
      </c>
      <c r="F152" s="252">
        <v>1504</v>
      </c>
      <c r="G152" s="252">
        <v>2658</v>
      </c>
      <c r="H152" s="252">
        <v>1066</v>
      </c>
      <c r="I152" s="252">
        <v>564</v>
      </c>
      <c r="J152" s="252">
        <v>1000</v>
      </c>
      <c r="K152" s="253" t="s">
        <v>3</v>
      </c>
      <c r="L152" s="254"/>
      <c r="M152" s="255"/>
      <c r="N152" s="256"/>
      <c r="O152" s="255">
        <v>1800</v>
      </c>
      <c r="P152" s="257">
        <v>1000</v>
      </c>
      <c r="Q152" s="255">
        <v>1300</v>
      </c>
      <c r="R152" s="255">
        <v>1700</v>
      </c>
      <c r="S152" s="258">
        <v>2000</v>
      </c>
      <c r="T152" s="258">
        <v>1000</v>
      </c>
      <c r="U152" s="258">
        <v>1200</v>
      </c>
      <c r="V152" s="258">
        <v>2000</v>
      </c>
      <c r="W152" s="259">
        <v>2000</v>
      </c>
      <c r="X152" s="255">
        <v>2500</v>
      </c>
      <c r="Y152" s="255"/>
      <c r="Z152" s="172"/>
      <c r="AA152" s="172"/>
      <c r="AB152" s="172"/>
      <c r="AC152" s="172"/>
      <c r="AD152" s="172"/>
      <c r="AE152" s="172"/>
      <c r="AF152" s="172"/>
      <c r="AG152" s="172" t="s">
        <v>76</v>
      </c>
      <c r="AH152" s="209" t="s">
        <v>66</v>
      </c>
    </row>
    <row r="153" spans="1:34" ht="15.6" x14ac:dyDescent="0.3">
      <c r="A153" s="35">
        <v>2</v>
      </c>
      <c r="B153" s="251" t="s">
        <v>67</v>
      </c>
      <c r="C153" s="252">
        <v>619.52700000000004</v>
      </c>
      <c r="D153" s="252">
        <v>315.10599999999999</v>
      </c>
      <c r="E153" s="252">
        <v>180</v>
      </c>
      <c r="F153" s="252">
        <v>221</v>
      </c>
      <c r="G153" s="252">
        <v>495</v>
      </c>
      <c r="H153" s="252">
        <v>179</v>
      </c>
      <c r="I153" s="252">
        <v>814</v>
      </c>
      <c r="J153" s="252">
        <v>1210</v>
      </c>
      <c r="K153" s="253" t="s">
        <v>3</v>
      </c>
      <c r="L153" s="254"/>
      <c r="M153" s="255"/>
      <c r="N153" s="256"/>
      <c r="O153" s="255">
        <v>200</v>
      </c>
      <c r="P153" s="257">
        <v>100</v>
      </c>
      <c r="Q153" s="255">
        <v>700</v>
      </c>
      <c r="R153" s="255">
        <v>500</v>
      </c>
      <c r="S153" s="255">
        <v>600</v>
      </c>
      <c r="T153" s="255">
        <v>800</v>
      </c>
      <c r="U153" s="255">
        <v>1200</v>
      </c>
      <c r="V153" s="255">
        <v>1300</v>
      </c>
      <c r="W153" s="260">
        <v>1400</v>
      </c>
      <c r="X153" s="255">
        <v>1500</v>
      </c>
      <c r="Y153" s="255"/>
      <c r="Z153" s="172"/>
      <c r="AA153" s="172"/>
      <c r="AB153" s="172"/>
      <c r="AC153" s="172"/>
      <c r="AD153" s="172"/>
      <c r="AE153" s="172"/>
      <c r="AF153" s="172"/>
      <c r="AG153" s="172" t="s">
        <v>76</v>
      </c>
      <c r="AH153" s="209" t="s">
        <v>66</v>
      </c>
    </row>
    <row r="154" spans="1:34" ht="15.6" x14ac:dyDescent="0.3">
      <c r="A154" s="35">
        <v>3</v>
      </c>
      <c r="B154" s="251" t="s">
        <v>68</v>
      </c>
      <c r="C154" s="252">
        <v>76.48</v>
      </c>
      <c r="D154" s="252">
        <v>97.004000000000005</v>
      </c>
      <c r="E154" s="252">
        <v>130</v>
      </c>
      <c r="F154" s="252">
        <v>210</v>
      </c>
      <c r="G154" s="252">
        <v>28</v>
      </c>
      <c r="H154" s="252">
        <v>51</v>
      </c>
      <c r="I154" s="252">
        <v>118</v>
      </c>
      <c r="J154" s="252">
        <v>780</v>
      </c>
      <c r="K154" s="253" t="s">
        <v>3</v>
      </c>
      <c r="L154" s="254"/>
      <c r="M154" s="255"/>
      <c r="N154" s="256"/>
      <c r="O154" s="255">
        <v>200</v>
      </c>
      <c r="P154" s="257">
        <v>400</v>
      </c>
      <c r="Q154" s="255">
        <v>900</v>
      </c>
      <c r="R154" s="255">
        <v>400</v>
      </c>
      <c r="S154" s="258">
        <v>400</v>
      </c>
      <c r="T154" s="258">
        <f>400</f>
        <v>400</v>
      </c>
      <c r="U154" s="256">
        <f>400+3000</f>
        <v>3400</v>
      </c>
      <c r="V154" s="256">
        <f>800+13000</f>
        <v>13800</v>
      </c>
      <c r="W154" s="261">
        <f>800+14000</f>
        <v>14800</v>
      </c>
      <c r="X154" s="255">
        <v>800</v>
      </c>
      <c r="Y154" s="255"/>
      <c r="Z154" s="172"/>
      <c r="AA154" s="172"/>
      <c r="AB154" s="172"/>
      <c r="AC154" s="172"/>
      <c r="AD154" s="172"/>
      <c r="AE154" s="172"/>
      <c r="AF154" s="172"/>
      <c r="AG154" s="172" t="s">
        <v>76</v>
      </c>
      <c r="AH154" s="209" t="s">
        <v>66</v>
      </c>
    </row>
    <row r="155" spans="1:34" ht="15.6" x14ac:dyDescent="0.3">
      <c r="A155" s="35">
        <v>4</v>
      </c>
      <c r="B155" s="251" t="s">
        <v>69</v>
      </c>
      <c r="C155" s="252">
        <v>173.60400000000001</v>
      </c>
      <c r="D155" s="252">
        <v>81.593999999999994</v>
      </c>
      <c r="E155" s="252">
        <v>145</v>
      </c>
      <c r="F155" s="252">
        <v>96</v>
      </c>
      <c r="G155" s="252">
        <v>42</v>
      </c>
      <c r="H155" s="252">
        <v>111</v>
      </c>
      <c r="I155" s="252">
        <v>453</v>
      </c>
      <c r="J155" s="252">
        <v>200</v>
      </c>
      <c r="K155" s="253" t="s">
        <v>3</v>
      </c>
      <c r="L155" s="254"/>
      <c r="M155" s="255"/>
      <c r="N155" s="256"/>
      <c r="O155" s="255">
        <v>100</v>
      </c>
      <c r="P155" s="257">
        <v>400</v>
      </c>
      <c r="Q155" s="255">
        <v>600</v>
      </c>
      <c r="R155" s="255">
        <v>800</v>
      </c>
      <c r="S155" s="258">
        <v>600</v>
      </c>
      <c r="T155" s="258">
        <v>800</v>
      </c>
      <c r="U155" s="258">
        <v>800</v>
      </c>
      <c r="V155" s="258">
        <v>800</v>
      </c>
      <c r="W155" s="259">
        <v>800</v>
      </c>
      <c r="X155" s="255">
        <v>1100</v>
      </c>
      <c r="Y155" s="255"/>
      <c r="Z155" s="172"/>
      <c r="AA155" s="172"/>
      <c r="AB155" s="172"/>
      <c r="AC155" s="172"/>
      <c r="AD155" s="172"/>
      <c r="AE155" s="172"/>
      <c r="AF155" s="172"/>
      <c r="AG155" s="172" t="s">
        <v>76</v>
      </c>
      <c r="AH155" s="209" t="s">
        <v>66</v>
      </c>
    </row>
    <row r="156" spans="1:34" ht="15.6" x14ac:dyDescent="0.3">
      <c r="A156" s="35">
        <v>5</v>
      </c>
      <c r="B156" s="251" t="s">
        <v>70</v>
      </c>
      <c r="C156" s="252">
        <f>240.569+2005.683</f>
        <v>2246.252</v>
      </c>
      <c r="D156" s="252">
        <v>93.552999999999997</v>
      </c>
      <c r="E156" s="252">
        <v>284</v>
      </c>
      <c r="F156" s="252">
        <v>207</v>
      </c>
      <c r="G156" s="252">
        <v>189</v>
      </c>
      <c r="H156" s="252">
        <v>57</v>
      </c>
      <c r="I156" s="252">
        <v>100</v>
      </c>
      <c r="J156" s="252">
        <v>420</v>
      </c>
      <c r="K156" s="253" t="s">
        <v>3</v>
      </c>
      <c r="L156" s="254"/>
      <c r="M156" s="255"/>
      <c r="N156" s="256"/>
      <c r="O156" s="255">
        <v>300</v>
      </c>
      <c r="P156" s="257">
        <v>500</v>
      </c>
      <c r="Q156" s="255">
        <v>300</v>
      </c>
      <c r="R156" s="255">
        <v>200</v>
      </c>
      <c r="S156" s="258">
        <v>900</v>
      </c>
      <c r="T156" s="258">
        <v>950</v>
      </c>
      <c r="U156" s="258">
        <v>800</v>
      </c>
      <c r="V156" s="258">
        <v>600</v>
      </c>
      <c r="W156" s="259">
        <v>600</v>
      </c>
      <c r="X156" s="255">
        <v>600</v>
      </c>
      <c r="Y156" s="255"/>
      <c r="Z156" s="172"/>
      <c r="AA156" s="172"/>
      <c r="AB156" s="172"/>
      <c r="AC156" s="172"/>
      <c r="AD156" s="172"/>
      <c r="AE156" s="172"/>
      <c r="AF156" s="172"/>
      <c r="AG156" s="172" t="s">
        <v>76</v>
      </c>
      <c r="AH156" s="209" t="s">
        <v>66</v>
      </c>
    </row>
    <row r="157" spans="1:34" ht="15.6" x14ac:dyDescent="0.3">
      <c r="A157" s="35">
        <v>6</v>
      </c>
      <c r="B157" s="251" t="s">
        <v>71</v>
      </c>
      <c r="C157" s="252">
        <v>179.27699999999999</v>
      </c>
      <c r="D157" s="252">
        <v>16.093</v>
      </c>
      <c r="E157" s="252">
        <v>0</v>
      </c>
      <c r="F157" s="252">
        <v>38</v>
      </c>
      <c r="G157" s="252">
        <v>502</v>
      </c>
      <c r="H157" s="252">
        <v>46</v>
      </c>
      <c r="I157" s="252">
        <v>275</v>
      </c>
      <c r="J157" s="252">
        <v>200</v>
      </c>
      <c r="K157" s="253" t="s">
        <v>3</v>
      </c>
      <c r="L157" s="254"/>
      <c r="M157" s="255"/>
      <c r="N157" s="256"/>
      <c r="O157" s="255">
        <v>200</v>
      </c>
      <c r="P157" s="257">
        <v>100</v>
      </c>
      <c r="Q157" s="255">
        <v>2100</v>
      </c>
      <c r="R157" s="255">
        <v>1300</v>
      </c>
      <c r="S157" s="255">
        <v>400</v>
      </c>
      <c r="T157" s="255">
        <v>150</v>
      </c>
      <c r="U157" s="255">
        <v>200</v>
      </c>
      <c r="V157" s="255">
        <v>300</v>
      </c>
      <c r="W157" s="260">
        <v>200</v>
      </c>
      <c r="X157" s="255">
        <v>300</v>
      </c>
      <c r="Y157" s="255"/>
      <c r="Z157" s="172"/>
      <c r="AA157" s="172"/>
      <c r="AB157" s="172"/>
      <c r="AC157" s="172"/>
      <c r="AD157" s="172"/>
      <c r="AE157" s="172"/>
      <c r="AF157" s="172"/>
      <c r="AG157" s="172" t="s">
        <v>76</v>
      </c>
      <c r="AH157" s="209" t="s">
        <v>66</v>
      </c>
    </row>
    <row r="158" spans="1:34" ht="15.6" x14ac:dyDescent="0.3">
      <c r="A158" s="35">
        <v>7</v>
      </c>
      <c r="B158" s="251" t="s">
        <v>72</v>
      </c>
      <c r="C158" s="252"/>
      <c r="D158" s="252"/>
      <c r="E158" s="252"/>
      <c r="F158" s="252"/>
      <c r="G158" s="252"/>
      <c r="H158" s="252"/>
      <c r="I158" s="252"/>
      <c r="J158" s="252"/>
      <c r="K158" s="253"/>
      <c r="L158" s="254"/>
      <c r="M158" s="255"/>
      <c r="N158" s="256"/>
      <c r="O158" s="255"/>
      <c r="P158" s="257"/>
      <c r="Q158" s="255"/>
      <c r="R158" s="255"/>
      <c r="S158" s="255"/>
      <c r="T158" s="255"/>
      <c r="U158" s="255"/>
      <c r="V158" s="255"/>
      <c r="W158" s="260"/>
      <c r="X158" s="255"/>
      <c r="Y158" s="255"/>
      <c r="Z158" s="172"/>
      <c r="AA158" s="172"/>
      <c r="AB158" s="172"/>
      <c r="AC158" s="172"/>
      <c r="AD158" s="172"/>
      <c r="AE158" s="172"/>
      <c r="AF158" s="172"/>
      <c r="AG158" s="172" t="s">
        <v>76</v>
      </c>
      <c r="AH158" s="209" t="s">
        <v>66</v>
      </c>
    </row>
    <row r="159" spans="1:34" ht="15.6" x14ac:dyDescent="0.3">
      <c r="A159" s="35">
        <v>8</v>
      </c>
      <c r="B159" s="251" t="s">
        <v>90</v>
      </c>
      <c r="C159" s="252">
        <v>50.472000000000001</v>
      </c>
      <c r="D159" s="252">
        <v>37.334000000000003</v>
      </c>
      <c r="E159" s="252">
        <v>153</v>
      </c>
      <c r="F159" s="252">
        <v>311</v>
      </c>
      <c r="G159" s="252">
        <v>97</v>
      </c>
      <c r="H159" s="252">
        <v>284</v>
      </c>
      <c r="I159" s="252">
        <v>256</v>
      </c>
      <c r="J159" s="252">
        <v>390</v>
      </c>
      <c r="K159" s="253" t="s">
        <v>3</v>
      </c>
      <c r="L159" s="254"/>
      <c r="M159" s="255"/>
      <c r="N159" s="256"/>
      <c r="O159" s="255">
        <v>200</v>
      </c>
      <c r="P159" s="257">
        <v>200</v>
      </c>
      <c r="Q159" s="255">
        <v>200</v>
      </c>
      <c r="R159" s="255">
        <v>2200</v>
      </c>
      <c r="S159" s="255">
        <v>1600</v>
      </c>
      <c r="T159" s="255">
        <v>600</v>
      </c>
      <c r="U159" s="255">
        <v>600</v>
      </c>
      <c r="V159" s="255" t="s">
        <v>91</v>
      </c>
      <c r="W159" s="260">
        <v>600</v>
      </c>
      <c r="X159" s="255">
        <v>600</v>
      </c>
      <c r="Y159" s="255"/>
      <c r="Z159" s="172"/>
      <c r="AA159" s="172"/>
      <c r="AB159" s="172"/>
      <c r="AC159" s="172"/>
      <c r="AD159" s="172"/>
      <c r="AE159" s="172"/>
      <c r="AF159" s="172"/>
      <c r="AG159" s="172" t="s">
        <v>76</v>
      </c>
      <c r="AH159" s="209" t="s">
        <v>66</v>
      </c>
    </row>
    <row r="160" spans="1:34" ht="15.6" x14ac:dyDescent="0.3">
      <c r="A160" s="33"/>
      <c r="B160" s="116" t="s">
        <v>114</v>
      </c>
      <c r="C160" s="208">
        <f>SUM(C162:C169)</f>
        <v>8493.7849999999999</v>
      </c>
      <c r="D160" s="208">
        <f>SUM(D162:D169)</f>
        <v>4586.8829999999998</v>
      </c>
      <c r="E160" s="208">
        <v>5291</v>
      </c>
      <c r="F160" s="208">
        <v>2715</v>
      </c>
      <c r="G160" s="208" t="e">
        <f>SUM(G162:G169)+#REF!</f>
        <v>#REF!</v>
      </c>
      <c r="H160" s="208">
        <v>7532</v>
      </c>
      <c r="I160" s="208">
        <v>10992</v>
      </c>
      <c r="J160" s="208">
        <v>14205</v>
      </c>
      <c r="K160" s="65">
        <v>12592</v>
      </c>
      <c r="L160" s="65">
        <v>13900</v>
      </c>
      <c r="M160" s="66">
        <f>24424730/1000</f>
        <v>24424.73</v>
      </c>
      <c r="N160" s="67">
        <f>24831758.4/1000</f>
        <v>24831.758399999999</v>
      </c>
      <c r="O160" s="66">
        <v>25500</v>
      </c>
      <c r="P160" s="210">
        <f>19000+4500</f>
        <v>23500</v>
      </c>
      <c r="Q160" s="66">
        <v>19000</v>
      </c>
      <c r="R160" s="66">
        <v>19000</v>
      </c>
      <c r="S160" s="66">
        <v>19500</v>
      </c>
      <c r="T160" s="66">
        <v>19500</v>
      </c>
      <c r="U160" s="66">
        <v>19500</v>
      </c>
      <c r="V160" s="66">
        <v>19500</v>
      </c>
      <c r="W160" s="65">
        <v>19500</v>
      </c>
      <c r="X160" s="66">
        <v>19500</v>
      </c>
      <c r="Y160" s="66">
        <v>19500</v>
      </c>
    </row>
    <row r="161" spans="1:34" ht="16.5" customHeight="1" x14ac:dyDescent="0.3">
      <c r="A161" s="33"/>
      <c r="B161" s="282"/>
    </row>
    <row r="162" spans="1:34" ht="16.5" customHeight="1" x14ac:dyDescent="0.3">
      <c r="A162" s="35">
        <v>1</v>
      </c>
      <c r="B162" s="251" t="s">
        <v>65</v>
      </c>
      <c r="C162" s="252">
        <v>5148.1729999999998</v>
      </c>
      <c r="D162" s="252">
        <v>3946.1990000000001</v>
      </c>
      <c r="E162" s="252">
        <v>807</v>
      </c>
      <c r="F162" s="252">
        <v>1504</v>
      </c>
      <c r="G162" s="252">
        <v>2658</v>
      </c>
      <c r="H162" s="252">
        <v>1066</v>
      </c>
      <c r="I162" s="252">
        <v>564</v>
      </c>
      <c r="J162" s="252">
        <v>1000</v>
      </c>
      <c r="K162" s="253" t="s">
        <v>3</v>
      </c>
      <c r="L162" s="254"/>
      <c r="M162" s="255"/>
      <c r="N162" s="256"/>
      <c r="O162" s="255">
        <v>1800</v>
      </c>
      <c r="P162" s="257">
        <v>1000</v>
      </c>
      <c r="Q162" s="255">
        <v>1300</v>
      </c>
      <c r="R162" s="255">
        <v>1700</v>
      </c>
      <c r="S162" s="258">
        <v>2000</v>
      </c>
      <c r="T162" s="258">
        <v>1000</v>
      </c>
      <c r="U162" s="258">
        <v>1200</v>
      </c>
      <c r="V162" s="258">
        <v>2000</v>
      </c>
      <c r="W162" s="259">
        <v>2000</v>
      </c>
      <c r="X162" s="255">
        <v>2500</v>
      </c>
      <c r="Y162" s="255"/>
      <c r="Z162" s="172"/>
      <c r="AA162" s="172"/>
      <c r="AB162" s="172"/>
      <c r="AC162" s="172"/>
      <c r="AD162" s="172"/>
      <c r="AE162" s="172"/>
      <c r="AF162" s="172"/>
      <c r="AG162" s="172" t="s">
        <v>76</v>
      </c>
      <c r="AH162" s="209" t="s">
        <v>66</v>
      </c>
    </row>
    <row r="163" spans="1:34" ht="15.6" x14ac:dyDescent="0.3">
      <c r="A163" s="35">
        <v>2</v>
      </c>
      <c r="B163" s="251" t="s">
        <v>67</v>
      </c>
      <c r="C163" s="252">
        <v>619.52700000000004</v>
      </c>
      <c r="D163" s="252">
        <v>315.10599999999999</v>
      </c>
      <c r="E163" s="252">
        <v>180</v>
      </c>
      <c r="F163" s="252">
        <v>221</v>
      </c>
      <c r="G163" s="252">
        <v>495</v>
      </c>
      <c r="H163" s="252">
        <v>179</v>
      </c>
      <c r="I163" s="252">
        <v>814</v>
      </c>
      <c r="J163" s="252">
        <v>1210</v>
      </c>
      <c r="K163" s="253" t="s">
        <v>3</v>
      </c>
      <c r="L163" s="254"/>
      <c r="M163" s="255"/>
      <c r="N163" s="256"/>
      <c r="O163" s="255">
        <v>200</v>
      </c>
      <c r="P163" s="257">
        <v>100</v>
      </c>
      <c r="Q163" s="255">
        <v>700</v>
      </c>
      <c r="R163" s="255">
        <v>500</v>
      </c>
      <c r="S163" s="255">
        <v>600</v>
      </c>
      <c r="T163" s="255">
        <v>800</v>
      </c>
      <c r="U163" s="255">
        <v>1200</v>
      </c>
      <c r="V163" s="255">
        <v>1300</v>
      </c>
      <c r="W163" s="260">
        <v>1400</v>
      </c>
      <c r="X163" s="255">
        <v>1500</v>
      </c>
      <c r="Y163" s="255"/>
      <c r="Z163" s="172"/>
      <c r="AA163" s="172"/>
      <c r="AB163" s="172"/>
      <c r="AC163" s="172"/>
      <c r="AD163" s="172"/>
      <c r="AE163" s="172"/>
      <c r="AF163" s="172"/>
      <c r="AG163" s="172" t="s">
        <v>76</v>
      </c>
      <c r="AH163" s="209" t="s">
        <v>66</v>
      </c>
    </row>
    <row r="164" spans="1:34" ht="15.6" x14ac:dyDescent="0.3">
      <c r="A164" s="35">
        <v>3</v>
      </c>
      <c r="B164" s="251" t="s">
        <v>68</v>
      </c>
      <c r="C164" s="252">
        <v>76.48</v>
      </c>
      <c r="D164" s="252">
        <v>97.004000000000005</v>
      </c>
      <c r="E164" s="252">
        <v>130</v>
      </c>
      <c r="F164" s="252">
        <v>210</v>
      </c>
      <c r="G164" s="252">
        <v>28</v>
      </c>
      <c r="H164" s="252">
        <v>51</v>
      </c>
      <c r="I164" s="252">
        <v>118</v>
      </c>
      <c r="J164" s="252">
        <v>780</v>
      </c>
      <c r="K164" s="253" t="s">
        <v>3</v>
      </c>
      <c r="L164" s="254"/>
      <c r="M164" s="255"/>
      <c r="N164" s="256"/>
      <c r="O164" s="255">
        <v>200</v>
      </c>
      <c r="P164" s="257">
        <v>400</v>
      </c>
      <c r="Q164" s="255">
        <v>900</v>
      </c>
      <c r="R164" s="255">
        <v>400</v>
      </c>
      <c r="S164" s="258">
        <v>400</v>
      </c>
      <c r="T164" s="258">
        <f>400</f>
        <v>400</v>
      </c>
      <c r="U164" s="256">
        <f>400+3000</f>
        <v>3400</v>
      </c>
      <c r="V164" s="256">
        <f>800+13000</f>
        <v>13800</v>
      </c>
      <c r="W164" s="261">
        <f>800+14000</f>
        <v>14800</v>
      </c>
      <c r="X164" s="255">
        <v>800</v>
      </c>
      <c r="Y164" s="255"/>
      <c r="Z164" s="172"/>
      <c r="AA164" s="172"/>
      <c r="AB164" s="172"/>
      <c r="AC164" s="172"/>
      <c r="AD164" s="172"/>
      <c r="AE164" s="172"/>
      <c r="AF164" s="172"/>
      <c r="AG164" s="172" t="s">
        <v>76</v>
      </c>
      <c r="AH164" s="209" t="s">
        <v>66</v>
      </c>
    </row>
    <row r="165" spans="1:34" ht="15.6" x14ac:dyDescent="0.3">
      <c r="A165" s="35">
        <v>4</v>
      </c>
      <c r="B165" s="251" t="s">
        <v>69</v>
      </c>
      <c r="C165" s="252">
        <v>173.60400000000001</v>
      </c>
      <c r="D165" s="252">
        <v>81.593999999999994</v>
      </c>
      <c r="E165" s="252">
        <v>145</v>
      </c>
      <c r="F165" s="252">
        <v>96</v>
      </c>
      <c r="G165" s="252">
        <v>42</v>
      </c>
      <c r="H165" s="252">
        <v>111</v>
      </c>
      <c r="I165" s="252">
        <v>453</v>
      </c>
      <c r="J165" s="252">
        <v>200</v>
      </c>
      <c r="K165" s="253" t="s">
        <v>3</v>
      </c>
      <c r="L165" s="254"/>
      <c r="M165" s="255"/>
      <c r="N165" s="256"/>
      <c r="O165" s="255">
        <v>100</v>
      </c>
      <c r="P165" s="257">
        <v>400</v>
      </c>
      <c r="Q165" s="255">
        <v>600</v>
      </c>
      <c r="R165" s="255">
        <v>800</v>
      </c>
      <c r="S165" s="258">
        <v>600</v>
      </c>
      <c r="T165" s="258">
        <v>800</v>
      </c>
      <c r="U165" s="258">
        <v>800</v>
      </c>
      <c r="V165" s="258">
        <v>800</v>
      </c>
      <c r="W165" s="259">
        <v>800</v>
      </c>
      <c r="X165" s="255">
        <v>1100</v>
      </c>
      <c r="Y165" s="255"/>
      <c r="Z165" s="172"/>
      <c r="AA165" s="172"/>
      <c r="AB165" s="172"/>
      <c r="AC165" s="172"/>
      <c r="AD165" s="172"/>
      <c r="AE165" s="172"/>
      <c r="AF165" s="172"/>
      <c r="AG165" s="172" t="s">
        <v>76</v>
      </c>
      <c r="AH165" s="209" t="s">
        <v>66</v>
      </c>
    </row>
    <row r="166" spans="1:34" ht="15.6" x14ac:dyDescent="0.3">
      <c r="A166" s="35">
        <v>5</v>
      </c>
      <c r="B166" s="251" t="s">
        <v>70</v>
      </c>
      <c r="C166" s="252">
        <f>240.569+2005.683</f>
        <v>2246.252</v>
      </c>
      <c r="D166" s="252">
        <v>93.552999999999997</v>
      </c>
      <c r="E166" s="252">
        <v>284</v>
      </c>
      <c r="F166" s="252">
        <v>207</v>
      </c>
      <c r="G166" s="252">
        <v>189</v>
      </c>
      <c r="H166" s="252">
        <v>57</v>
      </c>
      <c r="I166" s="252">
        <v>100</v>
      </c>
      <c r="J166" s="252">
        <v>420</v>
      </c>
      <c r="K166" s="253" t="s">
        <v>3</v>
      </c>
      <c r="L166" s="254"/>
      <c r="M166" s="255"/>
      <c r="N166" s="256"/>
      <c r="O166" s="255">
        <v>300</v>
      </c>
      <c r="P166" s="257">
        <v>500</v>
      </c>
      <c r="Q166" s="255">
        <v>300</v>
      </c>
      <c r="R166" s="255">
        <v>200</v>
      </c>
      <c r="S166" s="258">
        <v>900</v>
      </c>
      <c r="T166" s="258">
        <v>950</v>
      </c>
      <c r="U166" s="258">
        <v>800</v>
      </c>
      <c r="V166" s="258">
        <v>600</v>
      </c>
      <c r="W166" s="259">
        <v>600</v>
      </c>
      <c r="X166" s="255">
        <v>600</v>
      </c>
      <c r="Y166" s="255"/>
      <c r="Z166" s="172"/>
      <c r="AA166" s="172"/>
      <c r="AB166" s="172"/>
      <c r="AC166" s="172"/>
      <c r="AD166" s="172"/>
      <c r="AE166" s="172"/>
      <c r="AF166" s="172"/>
      <c r="AG166" s="172" t="s">
        <v>76</v>
      </c>
      <c r="AH166" s="209" t="s">
        <v>66</v>
      </c>
    </row>
    <row r="167" spans="1:34" ht="15.6" x14ac:dyDescent="0.3">
      <c r="A167" s="35">
        <v>6</v>
      </c>
      <c r="B167" s="251" t="s">
        <v>71</v>
      </c>
      <c r="C167" s="252">
        <v>179.27699999999999</v>
      </c>
      <c r="D167" s="252">
        <v>16.093</v>
      </c>
      <c r="E167" s="252">
        <v>0</v>
      </c>
      <c r="F167" s="252">
        <v>38</v>
      </c>
      <c r="G167" s="252">
        <v>502</v>
      </c>
      <c r="H167" s="252">
        <v>46</v>
      </c>
      <c r="I167" s="252">
        <v>275</v>
      </c>
      <c r="J167" s="252">
        <v>200</v>
      </c>
      <c r="K167" s="253" t="s">
        <v>3</v>
      </c>
      <c r="L167" s="254"/>
      <c r="M167" s="255"/>
      <c r="N167" s="256"/>
      <c r="O167" s="255">
        <v>200</v>
      </c>
      <c r="P167" s="257">
        <v>100</v>
      </c>
      <c r="Q167" s="255">
        <v>2100</v>
      </c>
      <c r="R167" s="255">
        <v>1300</v>
      </c>
      <c r="S167" s="255">
        <v>400</v>
      </c>
      <c r="T167" s="255">
        <v>150</v>
      </c>
      <c r="U167" s="255">
        <v>200</v>
      </c>
      <c r="V167" s="255">
        <v>300</v>
      </c>
      <c r="W167" s="260">
        <v>200</v>
      </c>
      <c r="X167" s="255">
        <v>300</v>
      </c>
      <c r="Y167" s="255"/>
      <c r="Z167" s="172"/>
      <c r="AA167" s="172"/>
      <c r="AB167" s="172"/>
      <c r="AC167" s="172"/>
      <c r="AD167" s="172"/>
      <c r="AE167" s="172"/>
      <c r="AF167" s="172"/>
      <c r="AG167" s="172" t="s">
        <v>76</v>
      </c>
      <c r="AH167" s="209" t="s">
        <v>66</v>
      </c>
    </row>
    <row r="168" spans="1:34" ht="15.6" x14ac:dyDescent="0.3">
      <c r="A168" s="35">
        <v>7</v>
      </c>
      <c r="B168" s="251" t="s">
        <v>72</v>
      </c>
      <c r="C168" s="252"/>
      <c r="D168" s="252"/>
      <c r="E168" s="252"/>
      <c r="F168" s="252"/>
      <c r="G168" s="252"/>
      <c r="H168" s="252"/>
      <c r="I168" s="252"/>
      <c r="J168" s="252"/>
      <c r="K168" s="253"/>
      <c r="L168" s="254"/>
      <c r="M168" s="255"/>
      <c r="N168" s="256"/>
      <c r="O168" s="255"/>
      <c r="P168" s="257"/>
      <c r="Q168" s="255"/>
      <c r="R168" s="255"/>
      <c r="S168" s="255"/>
      <c r="T168" s="255"/>
      <c r="U168" s="255"/>
      <c r="V168" s="255"/>
      <c r="W168" s="260"/>
      <c r="X168" s="255"/>
      <c r="Y168" s="255"/>
      <c r="Z168" s="172"/>
      <c r="AA168" s="172"/>
      <c r="AB168" s="172"/>
      <c r="AC168" s="172"/>
      <c r="AD168" s="172"/>
      <c r="AE168" s="172"/>
      <c r="AF168" s="172"/>
      <c r="AG168" s="172" t="s">
        <v>76</v>
      </c>
      <c r="AH168" s="209" t="s">
        <v>66</v>
      </c>
    </row>
    <row r="169" spans="1:34" ht="15.6" x14ac:dyDescent="0.3">
      <c r="A169" s="35">
        <v>8</v>
      </c>
      <c r="B169" s="251" t="s">
        <v>90</v>
      </c>
      <c r="C169" s="252">
        <v>50.472000000000001</v>
      </c>
      <c r="D169" s="252">
        <v>37.334000000000003</v>
      </c>
      <c r="E169" s="252">
        <v>153</v>
      </c>
      <c r="F169" s="252">
        <v>311</v>
      </c>
      <c r="G169" s="252">
        <v>97</v>
      </c>
      <c r="H169" s="252">
        <v>284</v>
      </c>
      <c r="I169" s="252">
        <v>256</v>
      </c>
      <c r="J169" s="252">
        <v>390</v>
      </c>
      <c r="K169" s="253" t="s">
        <v>3</v>
      </c>
      <c r="L169" s="254"/>
      <c r="M169" s="255"/>
      <c r="N169" s="256"/>
      <c r="O169" s="255">
        <v>200</v>
      </c>
      <c r="P169" s="257">
        <v>200</v>
      </c>
      <c r="Q169" s="255">
        <v>200</v>
      </c>
      <c r="R169" s="255">
        <v>2200</v>
      </c>
      <c r="S169" s="255">
        <v>1600</v>
      </c>
      <c r="T169" s="255">
        <v>600</v>
      </c>
      <c r="U169" s="255">
        <v>600</v>
      </c>
      <c r="V169" s="255" t="s">
        <v>91</v>
      </c>
      <c r="W169" s="260">
        <v>600</v>
      </c>
      <c r="X169" s="255">
        <v>600</v>
      </c>
      <c r="Y169" s="255"/>
      <c r="Z169" s="172"/>
      <c r="AA169" s="172"/>
      <c r="AB169" s="172"/>
      <c r="AC169" s="172"/>
      <c r="AD169" s="172"/>
      <c r="AE169" s="172"/>
      <c r="AF169" s="172"/>
      <c r="AG169" s="172" t="s">
        <v>76</v>
      </c>
      <c r="AH169" s="209" t="s">
        <v>66</v>
      </c>
    </row>
    <row r="170" spans="1:34" s="2" customFormat="1" ht="15.6" x14ac:dyDescent="0.3">
      <c r="A170" s="33"/>
      <c r="B170" s="92" t="s">
        <v>115</v>
      </c>
      <c r="C170" s="227">
        <v>333.71033999999997</v>
      </c>
      <c r="D170" s="227">
        <v>789</v>
      </c>
      <c r="E170" s="227">
        <v>1679</v>
      </c>
      <c r="F170" s="227">
        <v>403</v>
      </c>
      <c r="G170" s="227">
        <v>34</v>
      </c>
      <c r="H170" s="227">
        <v>0</v>
      </c>
      <c r="I170" s="227">
        <v>0</v>
      </c>
      <c r="J170" s="227">
        <v>0</v>
      </c>
      <c r="K170" s="122">
        <v>0</v>
      </c>
      <c r="L170" s="55"/>
      <c r="M170" s="56"/>
      <c r="N170" s="57"/>
      <c r="O170" s="58"/>
      <c r="P170" s="59"/>
      <c r="Q170" s="58"/>
      <c r="R170" s="58"/>
      <c r="S170" s="93"/>
      <c r="T170" s="93"/>
      <c r="U170" s="93"/>
      <c r="V170" s="93"/>
      <c r="W170" s="228"/>
      <c r="X170" s="58"/>
      <c r="Y170" s="58"/>
    </row>
    <row r="171" spans="1:34" s="2" customFormat="1" ht="15.6" x14ac:dyDescent="0.3">
      <c r="A171" s="33"/>
      <c r="B171" s="92" t="s">
        <v>116</v>
      </c>
      <c r="C171" s="227">
        <v>49.094119999999997</v>
      </c>
      <c r="D171" s="227">
        <v>30.254999999999999</v>
      </c>
      <c r="E171" s="227">
        <v>48</v>
      </c>
      <c r="F171" s="227">
        <v>167</v>
      </c>
      <c r="G171" s="227">
        <v>1680</v>
      </c>
      <c r="H171" s="227">
        <v>0</v>
      </c>
      <c r="I171" s="227">
        <v>0</v>
      </c>
      <c r="J171" s="227">
        <v>0</v>
      </c>
      <c r="K171" s="122">
        <v>0</v>
      </c>
      <c r="L171" s="55"/>
      <c r="M171" s="56"/>
      <c r="N171" s="57"/>
      <c r="O171" s="58"/>
      <c r="P171" s="59"/>
      <c r="Q171" s="58"/>
      <c r="R171" s="58"/>
      <c r="S171" s="93"/>
      <c r="T171" s="93"/>
      <c r="U171" s="93"/>
      <c r="V171" s="93"/>
      <c r="W171" s="228"/>
      <c r="X171" s="58"/>
      <c r="Y171" s="58"/>
    </row>
    <row r="172" spans="1:34" s="2" customFormat="1" ht="15.6" x14ac:dyDescent="0.3">
      <c r="A172" s="33"/>
      <c r="B172" s="92" t="s">
        <v>117</v>
      </c>
      <c r="C172" s="227">
        <v>2.1</v>
      </c>
      <c r="D172" s="227">
        <v>109.667</v>
      </c>
      <c r="E172" s="227">
        <v>22</v>
      </c>
      <c r="F172" s="227">
        <v>0</v>
      </c>
      <c r="G172" s="227">
        <v>191</v>
      </c>
      <c r="H172" s="227">
        <v>0</v>
      </c>
      <c r="I172" s="227">
        <v>0</v>
      </c>
      <c r="J172" s="227">
        <v>0</v>
      </c>
      <c r="K172" s="122">
        <v>0</v>
      </c>
      <c r="L172" s="55"/>
      <c r="M172" s="56"/>
      <c r="N172" s="57"/>
      <c r="O172" s="58"/>
      <c r="P172" s="59"/>
      <c r="Q172" s="58"/>
      <c r="R172" s="58"/>
      <c r="S172" s="93"/>
      <c r="T172" s="93"/>
      <c r="U172" s="93"/>
      <c r="V172" s="93"/>
      <c r="W172" s="228"/>
      <c r="X172" s="58"/>
      <c r="Y172" s="58"/>
    </row>
    <row r="173" spans="1:34" s="2" customFormat="1" ht="15.6" x14ac:dyDescent="0.3">
      <c r="A173" s="33"/>
      <c r="B173" s="92" t="s">
        <v>118</v>
      </c>
      <c r="C173" s="227">
        <v>479.53717999999998</v>
      </c>
      <c r="D173" s="227"/>
      <c r="E173" s="227">
        <v>0</v>
      </c>
      <c r="F173" s="227">
        <v>0</v>
      </c>
      <c r="G173" s="227">
        <v>0</v>
      </c>
      <c r="H173" s="227">
        <v>0</v>
      </c>
      <c r="I173" s="227">
        <v>0</v>
      </c>
      <c r="J173" s="227">
        <v>0</v>
      </c>
      <c r="K173" s="122">
        <v>0</v>
      </c>
      <c r="L173" s="55" t="s">
        <v>3</v>
      </c>
      <c r="M173" s="56"/>
      <c r="N173" s="57"/>
      <c r="O173" s="58"/>
      <c r="P173" s="59"/>
      <c r="Q173" s="58"/>
      <c r="R173" s="58"/>
      <c r="S173" s="93"/>
      <c r="T173" s="93"/>
      <c r="U173" s="93"/>
      <c r="V173" s="93"/>
      <c r="W173" s="228"/>
      <c r="X173" s="58"/>
      <c r="Y173" s="58"/>
    </row>
    <row r="174" spans="1:34" s="2" customFormat="1" ht="15.6" x14ac:dyDescent="0.3">
      <c r="A174" s="33"/>
      <c r="B174" s="92" t="s">
        <v>119</v>
      </c>
      <c r="C174" s="227">
        <v>0</v>
      </c>
      <c r="D174" s="227">
        <v>0</v>
      </c>
      <c r="E174" s="227">
        <v>0</v>
      </c>
      <c r="F174" s="227">
        <v>0</v>
      </c>
      <c r="G174" s="227">
        <v>0</v>
      </c>
      <c r="H174" s="227">
        <v>0</v>
      </c>
      <c r="I174" s="227">
        <v>0</v>
      </c>
      <c r="J174" s="227">
        <v>0</v>
      </c>
      <c r="K174" s="122">
        <v>0</v>
      </c>
      <c r="L174" s="55"/>
      <c r="M174" s="56"/>
      <c r="N174" s="57"/>
      <c r="O174" s="58"/>
      <c r="P174" s="59"/>
      <c r="Q174" s="58"/>
      <c r="R174" s="58"/>
      <c r="S174" s="93"/>
      <c r="T174" s="93"/>
      <c r="U174" s="93"/>
      <c r="V174" s="93"/>
      <c r="W174" s="228"/>
      <c r="X174" s="58"/>
      <c r="Y174" s="58"/>
    </row>
    <row r="175" spans="1:34" s="2" customFormat="1" ht="15.6" x14ac:dyDescent="0.3">
      <c r="A175" s="33"/>
      <c r="B175" s="92" t="s">
        <v>120</v>
      </c>
      <c r="C175" s="227"/>
      <c r="D175" s="227">
        <v>51.417999999999999</v>
      </c>
      <c r="E175" s="227">
        <v>219</v>
      </c>
      <c r="F175" s="227">
        <v>11</v>
      </c>
      <c r="G175" s="227">
        <v>1</v>
      </c>
      <c r="H175" s="227">
        <v>0</v>
      </c>
      <c r="I175" s="227">
        <v>0</v>
      </c>
      <c r="J175" s="227">
        <v>0</v>
      </c>
      <c r="K175" s="122">
        <v>0</v>
      </c>
      <c r="L175" s="55"/>
      <c r="M175" s="56"/>
      <c r="N175" s="57"/>
      <c r="O175" s="58"/>
      <c r="P175" s="59"/>
      <c r="Q175" s="58"/>
      <c r="R175" s="58"/>
      <c r="S175" s="93"/>
      <c r="T175" s="93"/>
      <c r="U175" s="93"/>
      <c r="V175" s="93"/>
      <c r="W175" s="228"/>
      <c r="X175" s="58"/>
      <c r="Y175" s="58"/>
    </row>
    <row r="176" spans="1:34" s="2" customFormat="1" ht="15.6" x14ac:dyDescent="0.3">
      <c r="A176" s="33"/>
      <c r="B176" s="92" t="s">
        <v>121</v>
      </c>
      <c r="C176" s="227"/>
      <c r="D176" s="227"/>
      <c r="E176" s="227">
        <v>62</v>
      </c>
      <c r="F176" s="227">
        <v>14</v>
      </c>
      <c r="G176" s="227">
        <v>0</v>
      </c>
      <c r="H176" s="227">
        <v>0</v>
      </c>
      <c r="I176" s="227">
        <v>0</v>
      </c>
      <c r="J176" s="227">
        <v>0</v>
      </c>
      <c r="K176" s="122">
        <v>0</v>
      </c>
      <c r="L176" s="55"/>
      <c r="M176" s="56"/>
      <c r="N176" s="57"/>
      <c r="O176" s="58"/>
      <c r="P176" s="59"/>
      <c r="Q176" s="58"/>
      <c r="R176" s="58"/>
      <c r="S176" s="93"/>
      <c r="T176" s="93"/>
      <c r="U176" s="93"/>
      <c r="V176" s="93"/>
      <c r="W176" s="228"/>
      <c r="X176" s="58"/>
      <c r="Y176" s="58"/>
    </row>
    <row r="177" spans="1:34" s="2" customFormat="1" ht="15.6" x14ac:dyDescent="0.3">
      <c r="A177" s="33"/>
      <c r="B177" s="92" t="s">
        <v>122</v>
      </c>
      <c r="C177" s="227"/>
      <c r="D177" s="227">
        <v>18.768000000000001</v>
      </c>
      <c r="E177" s="227">
        <v>15</v>
      </c>
      <c r="F177" s="227">
        <v>46</v>
      </c>
      <c r="G177" s="227">
        <v>2</v>
      </c>
      <c r="H177" s="227">
        <v>0</v>
      </c>
      <c r="I177" s="227">
        <v>0</v>
      </c>
      <c r="J177" s="227">
        <v>0</v>
      </c>
      <c r="K177" s="122">
        <v>0</v>
      </c>
      <c r="L177" s="55"/>
      <c r="M177" s="56"/>
      <c r="N177" s="57"/>
      <c r="O177" s="58"/>
      <c r="P177" s="59"/>
      <c r="Q177" s="58"/>
      <c r="R177" s="58"/>
      <c r="S177" s="93"/>
      <c r="T177" s="93"/>
      <c r="U177" s="93"/>
      <c r="V177" s="93"/>
      <c r="W177" s="228"/>
      <c r="X177" s="58"/>
      <c r="Y177" s="58"/>
    </row>
    <row r="178" spans="1:34" s="2" customFormat="1" ht="15.6" x14ac:dyDescent="0.3">
      <c r="A178" s="33"/>
      <c r="B178" s="92" t="s">
        <v>123</v>
      </c>
      <c r="C178" s="227"/>
      <c r="D178" s="227"/>
      <c r="E178" s="227"/>
      <c r="F178" s="227">
        <v>0</v>
      </c>
      <c r="G178" s="227">
        <v>0</v>
      </c>
      <c r="H178" s="227">
        <v>200</v>
      </c>
      <c r="I178" s="227">
        <v>440</v>
      </c>
      <c r="J178" s="227">
        <v>5000</v>
      </c>
      <c r="K178" s="122">
        <v>5000</v>
      </c>
      <c r="L178" s="55"/>
      <c r="M178" s="56"/>
      <c r="N178" s="57"/>
      <c r="O178" s="58"/>
      <c r="P178" s="59"/>
      <c r="Q178" s="58"/>
      <c r="R178" s="58"/>
      <c r="S178" s="93"/>
      <c r="T178" s="93"/>
      <c r="U178" s="93"/>
      <c r="V178" s="93"/>
      <c r="W178" s="228"/>
      <c r="X178" s="58"/>
      <c r="Y178" s="58"/>
    </row>
    <row r="179" spans="1:34" s="2" customFormat="1" ht="15.6" x14ac:dyDescent="0.3">
      <c r="A179" s="33"/>
      <c r="B179" s="92"/>
      <c r="C179" s="227"/>
      <c r="D179" s="227"/>
      <c r="E179" s="227"/>
      <c r="F179" s="227"/>
      <c r="G179" s="227"/>
      <c r="H179" s="227"/>
      <c r="I179" s="227"/>
      <c r="J179" s="227"/>
      <c r="K179" s="122"/>
      <c r="L179" s="55"/>
      <c r="M179" s="56"/>
      <c r="N179" s="57"/>
      <c r="O179" s="58"/>
      <c r="P179" s="59"/>
      <c r="Q179" s="58"/>
      <c r="R179" s="58"/>
      <c r="S179" s="93"/>
      <c r="T179" s="93"/>
      <c r="U179" s="93"/>
      <c r="V179" s="93"/>
      <c r="W179" s="228"/>
      <c r="X179" s="58"/>
      <c r="Y179" s="58"/>
    </row>
    <row r="180" spans="1:34" s="2" customFormat="1" ht="15.6" x14ac:dyDescent="0.3">
      <c r="A180" s="33"/>
      <c r="B180" s="70" t="s">
        <v>124</v>
      </c>
      <c r="C180" s="227"/>
      <c r="D180" s="227"/>
      <c r="E180" s="227"/>
      <c r="F180" s="227"/>
      <c r="G180" s="227"/>
      <c r="H180" s="227"/>
      <c r="I180" s="227"/>
      <c r="J180" s="227"/>
      <c r="K180" s="122"/>
      <c r="L180" s="297">
        <v>8</v>
      </c>
      <c r="M180" s="56"/>
      <c r="N180" s="57"/>
      <c r="O180" s="58"/>
      <c r="P180" s="59"/>
      <c r="Q180" s="58"/>
      <c r="R180" s="58"/>
      <c r="S180" s="93"/>
      <c r="T180" s="93"/>
      <c r="U180" s="93"/>
      <c r="V180" s="93"/>
      <c r="W180" s="228"/>
      <c r="X180" s="58"/>
      <c r="Y180" s="58"/>
    </row>
    <row r="181" spans="1:34" s="2" customFormat="1" ht="15.6" x14ac:dyDescent="0.3">
      <c r="A181" s="33"/>
      <c r="B181" s="70"/>
      <c r="C181" s="227"/>
      <c r="D181" s="227"/>
      <c r="E181" s="227"/>
      <c r="F181" s="227"/>
      <c r="G181" s="227"/>
      <c r="H181" s="227"/>
      <c r="I181" s="227"/>
      <c r="J181" s="227"/>
      <c r="K181" s="122"/>
      <c r="L181" s="297"/>
      <c r="M181" s="56"/>
      <c r="N181" s="57"/>
      <c r="O181" s="58"/>
      <c r="P181" s="59"/>
      <c r="Q181" s="55"/>
      <c r="R181" s="55"/>
      <c r="S181" s="228"/>
      <c r="T181" s="228"/>
      <c r="U181" s="228"/>
      <c r="V181" s="93"/>
      <c r="W181" s="228"/>
      <c r="X181" s="58"/>
      <c r="Y181" s="58"/>
    </row>
    <row r="182" spans="1:34" s="2" customFormat="1" ht="15.6" x14ac:dyDescent="0.3">
      <c r="A182" s="242"/>
      <c r="B182" s="108" t="s">
        <v>125</v>
      </c>
      <c r="C182" s="208">
        <f>SUM(C184:C186)</f>
        <v>2421.4000699999997</v>
      </c>
      <c r="D182" s="208">
        <f>SUM(D184:D186)</f>
        <v>876.21288000000004</v>
      </c>
      <c r="E182" s="208">
        <f>SUM(E184:E186)</f>
        <v>944</v>
      </c>
      <c r="F182" s="208">
        <f>SUM(F184:F186)</f>
        <v>1777</v>
      </c>
      <c r="G182" s="208">
        <f>SUM(G184+G185+G186+G187+G194)</f>
        <v>5326</v>
      </c>
      <c r="H182" s="208">
        <f>SUM(H184+H185+H186+H187+H194)</f>
        <v>4084</v>
      </c>
      <c r="I182" s="208">
        <f>SUM(I184+I185+I186+I187+I194)</f>
        <v>3429</v>
      </c>
      <c r="J182" s="208">
        <f>SUM(J184+J185+J186+J187+J194)</f>
        <v>2070</v>
      </c>
      <c r="K182" s="65">
        <v>1147</v>
      </c>
      <c r="L182" s="65">
        <f>SUM(L184+L185+L186+L187+L194)</f>
        <v>3174</v>
      </c>
      <c r="M182" s="66">
        <f>SUM(M184+M185+M186+M187+M194)</f>
        <v>3253.0640000000003</v>
      </c>
      <c r="N182" s="67">
        <f t="shared" ref="N182:Y182" si="32">SUM(N184+N185+N186+N187)</f>
        <v>2440.9265099999998</v>
      </c>
      <c r="O182" s="66">
        <f t="shared" si="32"/>
        <v>4000</v>
      </c>
      <c r="P182" s="68">
        <f t="shared" si="32"/>
        <v>7300</v>
      </c>
      <c r="Q182" s="65">
        <f t="shared" si="32"/>
        <v>6200</v>
      </c>
      <c r="R182" s="65">
        <f t="shared" si="32"/>
        <v>6400</v>
      </c>
      <c r="S182" s="65">
        <f t="shared" si="32"/>
        <v>29950</v>
      </c>
      <c r="T182" s="65">
        <f t="shared" si="32"/>
        <v>29700</v>
      </c>
      <c r="U182" s="65">
        <f t="shared" si="32"/>
        <v>26000</v>
      </c>
      <c r="V182" s="66">
        <f t="shared" si="32"/>
        <v>26000</v>
      </c>
      <c r="W182" s="65">
        <f t="shared" si="32"/>
        <v>26100</v>
      </c>
      <c r="X182" s="66">
        <f t="shared" si="32"/>
        <v>20100</v>
      </c>
      <c r="Y182" s="66">
        <f t="shared" si="32"/>
        <v>20100</v>
      </c>
    </row>
    <row r="183" spans="1:34" ht="15.6" x14ac:dyDescent="0.3">
      <c r="A183" s="51"/>
      <c r="B183" s="70"/>
      <c r="C183" s="114" t="s">
        <v>3</v>
      </c>
      <c r="D183" s="115"/>
      <c r="E183" s="115"/>
      <c r="F183" s="220" t="s">
        <v>3</v>
      </c>
      <c r="G183" s="89" t="s">
        <v>3</v>
      </c>
      <c r="H183" s="298" t="s">
        <v>3</v>
      </c>
      <c r="I183" s="299" t="s">
        <v>3</v>
      </c>
      <c r="J183" s="200" t="s">
        <v>3</v>
      </c>
      <c r="K183" s="163"/>
      <c r="L183" s="297" t="s">
        <v>3</v>
      </c>
      <c r="M183" s="291" t="s">
        <v>3</v>
      </c>
      <c r="N183" s="292"/>
      <c r="O183" s="291" t="s">
        <v>3</v>
      </c>
      <c r="P183" s="300" t="s">
        <v>3</v>
      </c>
      <c r="Q183" s="291" t="s">
        <v>3</v>
      </c>
      <c r="R183" s="166" t="s">
        <v>3</v>
      </c>
      <c r="S183" s="166" t="s">
        <v>3</v>
      </c>
      <c r="T183" s="164" t="s">
        <v>3</v>
      </c>
      <c r="U183" s="164" t="s">
        <v>3</v>
      </c>
      <c r="V183" s="164" t="s">
        <v>3</v>
      </c>
      <c r="W183" s="200" t="s">
        <v>3</v>
      </c>
      <c r="X183" s="164" t="s">
        <v>3</v>
      </c>
      <c r="Y183" s="164"/>
    </row>
    <row r="184" spans="1:34" s="197" customFormat="1" ht="15.6" x14ac:dyDescent="0.3">
      <c r="A184" s="33"/>
      <c r="B184" s="116" t="s">
        <v>126</v>
      </c>
      <c r="C184" s="208">
        <v>1508.0121300000001</v>
      </c>
      <c r="D184" s="208">
        <v>523.75525000000005</v>
      </c>
      <c r="E184" s="208">
        <v>629</v>
      </c>
      <c r="F184" s="208">
        <v>1150</v>
      </c>
      <c r="G184" s="208">
        <v>535</v>
      </c>
      <c r="H184" s="208">
        <v>614</v>
      </c>
      <c r="I184" s="208">
        <v>269</v>
      </c>
      <c r="J184" s="208">
        <v>665</v>
      </c>
      <c r="K184" s="65">
        <v>390</v>
      </c>
      <c r="L184" s="65">
        <v>305</v>
      </c>
      <c r="M184" s="66">
        <f>460115/1000</f>
        <v>460.11500000000001</v>
      </c>
      <c r="N184" s="67">
        <f>883725.83/1000</f>
        <v>883.72582999999997</v>
      </c>
      <c r="O184" s="66">
        <v>750</v>
      </c>
      <c r="P184" s="301">
        <v>750</v>
      </c>
      <c r="Q184" s="302">
        <f>950-200</f>
        <v>750</v>
      </c>
      <c r="R184" s="66">
        <v>1000</v>
      </c>
      <c r="S184" s="66">
        <v>1000</v>
      </c>
      <c r="T184" s="66">
        <v>800</v>
      </c>
      <c r="U184" s="66">
        <v>1000</v>
      </c>
      <c r="V184" s="66">
        <v>1000</v>
      </c>
      <c r="W184" s="65">
        <v>1000</v>
      </c>
      <c r="X184" s="66">
        <v>1000</v>
      </c>
      <c r="Y184" s="66">
        <v>1000</v>
      </c>
    </row>
    <row r="185" spans="1:34" s="197" customFormat="1" ht="15.6" x14ac:dyDescent="0.3">
      <c r="A185" s="33"/>
      <c r="B185" s="116" t="s">
        <v>127</v>
      </c>
      <c r="C185" s="208">
        <v>702.12091999999996</v>
      </c>
      <c r="D185" s="208">
        <v>195.61935</v>
      </c>
      <c r="E185" s="208">
        <v>197</v>
      </c>
      <c r="F185" s="208">
        <v>558</v>
      </c>
      <c r="G185" s="208">
        <v>602</v>
      </c>
      <c r="H185" s="208">
        <v>458</v>
      </c>
      <c r="I185" s="208">
        <v>174</v>
      </c>
      <c r="J185" s="208">
        <v>167</v>
      </c>
      <c r="K185" s="65">
        <v>270</v>
      </c>
      <c r="L185" s="65">
        <v>579</v>
      </c>
      <c r="M185" s="66">
        <f>639928/1000</f>
        <v>639.928</v>
      </c>
      <c r="N185" s="67">
        <f>637688.88/1000</f>
        <v>637.68888000000004</v>
      </c>
      <c r="O185" s="66">
        <v>1500</v>
      </c>
      <c r="P185" s="301">
        <f>2000-500</f>
        <v>1500</v>
      </c>
      <c r="Q185" s="302">
        <v>2300</v>
      </c>
      <c r="R185" s="302">
        <v>2850</v>
      </c>
      <c r="S185" s="302">
        <v>850</v>
      </c>
      <c r="T185" s="302">
        <v>800</v>
      </c>
      <c r="U185" s="302">
        <v>900</v>
      </c>
      <c r="V185" s="302">
        <v>900</v>
      </c>
      <c r="W185" s="302">
        <v>1000</v>
      </c>
      <c r="X185" s="302">
        <v>3500</v>
      </c>
      <c r="Y185" s="302">
        <v>3500</v>
      </c>
    </row>
    <row r="186" spans="1:34" s="197" customFormat="1" ht="15.6" x14ac:dyDescent="0.3">
      <c r="A186" s="33"/>
      <c r="B186" s="116" t="s">
        <v>128</v>
      </c>
      <c r="C186" s="208">
        <v>211.26702</v>
      </c>
      <c r="D186" s="208">
        <v>156.83828</v>
      </c>
      <c r="E186" s="208">
        <v>118</v>
      </c>
      <c r="F186" s="208">
        <v>69</v>
      </c>
      <c r="G186" s="208">
        <v>275</v>
      </c>
      <c r="H186" s="208">
        <v>241</v>
      </c>
      <c r="I186" s="208">
        <v>543</v>
      </c>
      <c r="J186" s="208">
        <v>179</v>
      </c>
      <c r="K186" s="65">
        <v>60</v>
      </c>
      <c r="L186" s="65">
        <v>528</v>
      </c>
      <c r="M186" s="66">
        <f>483906/1000</f>
        <v>483.90600000000001</v>
      </c>
      <c r="N186" s="67">
        <f>247459.15/1000</f>
        <v>247.45914999999999</v>
      </c>
      <c r="O186" s="66">
        <v>450</v>
      </c>
      <c r="P186" s="301">
        <v>450</v>
      </c>
      <c r="Q186" s="302">
        <v>450</v>
      </c>
      <c r="R186" s="302">
        <v>450</v>
      </c>
      <c r="S186" s="302">
        <v>600</v>
      </c>
      <c r="T186" s="302">
        <v>600</v>
      </c>
      <c r="U186" s="302">
        <v>600</v>
      </c>
      <c r="V186" s="302">
        <v>600</v>
      </c>
      <c r="W186" s="302">
        <v>600</v>
      </c>
      <c r="X186" s="302">
        <v>600</v>
      </c>
      <c r="Y186" s="302">
        <v>600</v>
      </c>
    </row>
    <row r="187" spans="1:34" s="197" customFormat="1" ht="15.6" x14ac:dyDescent="0.3">
      <c r="A187" s="33"/>
      <c r="B187" s="116" t="s">
        <v>129</v>
      </c>
      <c r="C187" s="208">
        <f>SUM(C188:C193)</f>
        <v>8443.3130000000001</v>
      </c>
      <c r="D187" s="208">
        <f>SUM(D188:D193)</f>
        <v>4549.549</v>
      </c>
      <c r="E187" s="208">
        <v>643</v>
      </c>
      <c r="F187" s="208">
        <f>SUM(F188:F193)</f>
        <v>2276</v>
      </c>
      <c r="G187" s="208">
        <f>SUM(G188:G193)</f>
        <v>3914</v>
      </c>
      <c r="H187" s="208">
        <v>2771</v>
      </c>
      <c r="I187" s="208">
        <v>2443</v>
      </c>
      <c r="J187" s="208">
        <v>1059</v>
      </c>
      <c r="K187" s="65">
        <v>430</v>
      </c>
      <c r="L187" s="65">
        <v>1762</v>
      </c>
      <c r="M187" s="66">
        <f>1669115/1000</f>
        <v>1669.115</v>
      </c>
      <c r="N187" s="67">
        <f>672052.65/1000</f>
        <v>672.05264999999997</v>
      </c>
      <c r="O187" s="66">
        <v>1300</v>
      </c>
      <c r="P187" s="68">
        <f>5200-600</f>
        <v>4600</v>
      </c>
      <c r="Q187" s="66">
        <f>2300+400</f>
        <v>2700</v>
      </c>
      <c r="R187" s="117">
        <f>2100</f>
        <v>2100</v>
      </c>
      <c r="S187" s="105">
        <f>2500+5000+20000</f>
        <v>27500</v>
      </c>
      <c r="T187" s="105">
        <f>2500+5000+20000</f>
        <v>27500</v>
      </c>
      <c r="U187" s="105">
        <f>3500+5000+15000</f>
        <v>23500</v>
      </c>
      <c r="V187" s="105">
        <f>3500+5000+15000</f>
        <v>23500</v>
      </c>
      <c r="W187" s="303">
        <f>3500+15000+5000</f>
        <v>23500</v>
      </c>
      <c r="X187" s="105">
        <f>5000+10000</f>
        <v>15000</v>
      </c>
      <c r="Y187" s="105">
        <f>5000+10000</f>
        <v>15000</v>
      </c>
    </row>
    <row r="188" spans="1:34" ht="15.6" x14ac:dyDescent="0.3">
      <c r="A188" s="35">
        <v>1</v>
      </c>
      <c r="B188" s="251" t="s">
        <v>65</v>
      </c>
      <c r="C188" s="252">
        <v>5148.1729999999998</v>
      </c>
      <c r="D188" s="252">
        <v>3946.1990000000001</v>
      </c>
      <c r="E188" s="252">
        <v>807</v>
      </c>
      <c r="F188" s="252">
        <v>1504</v>
      </c>
      <c r="G188" s="252">
        <v>2658</v>
      </c>
      <c r="H188" s="252">
        <v>1066</v>
      </c>
      <c r="I188" s="252">
        <v>564</v>
      </c>
      <c r="J188" s="252">
        <v>1000</v>
      </c>
      <c r="K188" s="253" t="s">
        <v>3</v>
      </c>
      <c r="L188" s="254"/>
      <c r="M188" s="255"/>
      <c r="N188" s="256"/>
      <c r="O188" s="255">
        <v>1800</v>
      </c>
      <c r="P188" s="257">
        <v>1000</v>
      </c>
      <c r="Q188" s="255">
        <v>1300</v>
      </c>
      <c r="R188" s="255">
        <v>1700</v>
      </c>
      <c r="S188" s="258">
        <v>2000</v>
      </c>
      <c r="T188" s="258">
        <v>1000</v>
      </c>
      <c r="U188" s="258">
        <v>1200</v>
      </c>
      <c r="V188" s="258">
        <v>2000</v>
      </c>
      <c r="W188" s="259">
        <v>2000</v>
      </c>
      <c r="X188" s="255">
        <v>2500</v>
      </c>
      <c r="Y188" s="255"/>
      <c r="Z188" s="172"/>
      <c r="AA188" s="172"/>
      <c r="AB188" s="172"/>
      <c r="AC188" s="172"/>
      <c r="AD188" s="172"/>
      <c r="AE188" s="172"/>
      <c r="AF188" s="172"/>
      <c r="AG188" s="172" t="s">
        <v>76</v>
      </c>
      <c r="AH188" s="209" t="s">
        <v>66</v>
      </c>
    </row>
    <row r="189" spans="1:34" ht="15.6" x14ac:dyDescent="0.3">
      <c r="A189" s="35">
        <v>2</v>
      </c>
      <c r="B189" s="251" t="s">
        <v>67</v>
      </c>
      <c r="C189" s="252">
        <v>619.52700000000004</v>
      </c>
      <c r="D189" s="252">
        <v>315.10599999999999</v>
      </c>
      <c r="E189" s="252">
        <v>180</v>
      </c>
      <c r="F189" s="252">
        <v>221</v>
      </c>
      <c r="G189" s="252">
        <v>495</v>
      </c>
      <c r="H189" s="252">
        <v>179</v>
      </c>
      <c r="I189" s="252">
        <v>814</v>
      </c>
      <c r="J189" s="252">
        <v>1210</v>
      </c>
      <c r="K189" s="253" t="s">
        <v>3</v>
      </c>
      <c r="L189" s="254"/>
      <c r="M189" s="255"/>
      <c r="N189" s="256"/>
      <c r="O189" s="255">
        <v>200</v>
      </c>
      <c r="P189" s="257">
        <v>100</v>
      </c>
      <c r="Q189" s="255">
        <v>700</v>
      </c>
      <c r="R189" s="255">
        <v>500</v>
      </c>
      <c r="S189" s="255">
        <v>600</v>
      </c>
      <c r="T189" s="255">
        <v>800</v>
      </c>
      <c r="U189" s="255">
        <v>1200</v>
      </c>
      <c r="V189" s="255">
        <v>1300</v>
      </c>
      <c r="W189" s="260">
        <v>1400</v>
      </c>
      <c r="X189" s="255">
        <v>1500</v>
      </c>
      <c r="Y189" s="255"/>
      <c r="Z189" s="172"/>
      <c r="AA189" s="172"/>
      <c r="AB189" s="172"/>
      <c r="AC189" s="172"/>
      <c r="AD189" s="172"/>
      <c r="AE189" s="172"/>
      <c r="AF189" s="172"/>
      <c r="AG189" s="172" t="s">
        <v>76</v>
      </c>
      <c r="AH189" s="209" t="s">
        <v>66</v>
      </c>
    </row>
    <row r="190" spans="1:34" ht="15.6" x14ac:dyDescent="0.3">
      <c r="A190" s="35">
        <v>3</v>
      </c>
      <c r="B190" s="251" t="s">
        <v>68</v>
      </c>
      <c r="C190" s="252">
        <v>76.48</v>
      </c>
      <c r="D190" s="252">
        <v>97.004000000000005</v>
      </c>
      <c r="E190" s="252">
        <v>130</v>
      </c>
      <c r="F190" s="252">
        <v>210</v>
      </c>
      <c r="G190" s="252">
        <v>28</v>
      </c>
      <c r="H190" s="252">
        <v>51</v>
      </c>
      <c r="I190" s="252">
        <v>118</v>
      </c>
      <c r="J190" s="252">
        <v>780</v>
      </c>
      <c r="K190" s="253" t="s">
        <v>3</v>
      </c>
      <c r="L190" s="254"/>
      <c r="M190" s="255"/>
      <c r="N190" s="256"/>
      <c r="O190" s="255">
        <v>200</v>
      </c>
      <c r="P190" s="257">
        <v>400</v>
      </c>
      <c r="Q190" s="255">
        <v>900</v>
      </c>
      <c r="R190" s="255">
        <v>400</v>
      </c>
      <c r="S190" s="258">
        <v>400</v>
      </c>
      <c r="T190" s="258">
        <f>400</f>
        <v>400</v>
      </c>
      <c r="U190" s="256">
        <f>400+3000</f>
        <v>3400</v>
      </c>
      <c r="V190" s="256">
        <f>800+13000</f>
        <v>13800</v>
      </c>
      <c r="W190" s="261">
        <f>800+14000</f>
        <v>14800</v>
      </c>
      <c r="X190" s="255">
        <v>800</v>
      </c>
      <c r="Y190" s="255"/>
      <c r="Z190" s="172"/>
      <c r="AA190" s="172"/>
      <c r="AB190" s="172"/>
      <c r="AC190" s="172"/>
      <c r="AD190" s="172"/>
      <c r="AE190" s="172"/>
      <c r="AF190" s="172"/>
      <c r="AG190" s="172" t="s">
        <v>76</v>
      </c>
      <c r="AH190" s="209" t="s">
        <v>66</v>
      </c>
    </row>
    <row r="191" spans="1:34" ht="15.6" x14ac:dyDescent="0.3">
      <c r="A191" s="35">
        <v>4</v>
      </c>
      <c r="B191" s="251" t="s">
        <v>69</v>
      </c>
      <c r="C191" s="252">
        <v>173.60400000000001</v>
      </c>
      <c r="D191" s="252">
        <v>81.593999999999994</v>
      </c>
      <c r="E191" s="252">
        <v>145</v>
      </c>
      <c r="F191" s="252">
        <v>96</v>
      </c>
      <c r="G191" s="252">
        <v>42</v>
      </c>
      <c r="H191" s="252">
        <v>111</v>
      </c>
      <c r="I191" s="252">
        <v>453</v>
      </c>
      <c r="J191" s="252">
        <v>200</v>
      </c>
      <c r="K191" s="253" t="s">
        <v>3</v>
      </c>
      <c r="L191" s="254"/>
      <c r="M191" s="255"/>
      <c r="N191" s="256"/>
      <c r="O191" s="255">
        <v>100</v>
      </c>
      <c r="P191" s="257">
        <v>400</v>
      </c>
      <c r="Q191" s="255">
        <v>600</v>
      </c>
      <c r="R191" s="255">
        <v>800</v>
      </c>
      <c r="S191" s="258">
        <v>600</v>
      </c>
      <c r="T191" s="258">
        <v>800</v>
      </c>
      <c r="U191" s="258">
        <v>800</v>
      </c>
      <c r="V191" s="258">
        <v>800</v>
      </c>
      <c r="W191" s="259">
        <v>800</v>
      </c>
      <c r="X191" s="255">
        <v>1100</v>
      </c>
      <c r="Y191" s="255"/>
      <c r="Z191" s="172"/>
      <c r="AA191" s="172"/>
      <c r="AB191" s="172"/>
      <c r="AC191" s="172"/>
      <c r="AD191" s="172"/>
      <c r="AE191" s="172"/>
      <c r="AF191" s="172"/>
      <c r="AG191" s="172" t="s">
        <v>76</v>
      </c>
      <c r="AH191" s="209" t="s">
        <v>66</v>
      </c>
    </row>
    <row r="192" spans="1:34" ht="15.6" x14ac:dyDescent="0.3">
      <c r="A192" s="35">
        <v>5</v>
      </c>
      <c r="B192" s="251" t="s">
        <v>70</v>
      </c>
      <c r="C192" s="252">
        <f>240.569+2005.683</f>
        <v>2246.252</v>
      </c>
      <c r="D192" s="252">
        <v>93.552999999999997</v>
      </c>
      <c r="E192" s="252">
        <v>284</v>
      </c>
      <c r="F192" s="252">
        <v>207</v>
      </c>
      <c r="G192" s="252">
        <v>189</v>
      </c>
      <c r="H192" s="252">
        <v>57</v>
      </c>
      <c r="I192" s="252">
        <v>100</v>
      </c>
      <c r="J192" s="252">
        <v>420</v>
      </c>
      <c r="K192" s="253" t="s">
        <v>3</v>
      </c>
      <c r="L192" s="254"/>
      <c r="M192" s="255"/>
      <c r="N192" s="256"/>
      <c r="O192" s="255">
        <v>300</v>
      </c>
      <c r="P192" s="257">
        <v>500</v>
      </c>
      <c r="Q192" s="255">
        <v>300</v>
      </c>
      <c r="R192" s="255">
        <v>200</v>
      </c>
      <c r="S192" s="258">
        <v>900</v>
      </c>
      <c r="T192" s="258">
        <v>950</v>
      </c>
      <c r="U192" s="258">
        <v>800</v>
      </c>
      <c r="V192" s="258">
        <v>600</v>
      </c>
      <c r="W192" s="259">
        <v>600</v>
      </c>
      <c r="X192" s="255">
        <v>600</v>
      </c>
      <c r="Y192" s="255"/>
      <c r="Z192" s="172"/>
      <c r="AA192" s="172"/>
      <c r="AB192" s="172"/>
      <c r="AC192" s="172"/>
      <c r="AD192" s="172"/>
      <c r="AE192" s="172"/>
      <c r="AF192" s="172"/>
      <c r="AG192" s="172" t="s">
        <v>76</v>
      </c>
      <c r="AH192" s="209" t="s">
        <v>66</v>
      </c>
    </row>
    <row r="193" spans="1:34" ht="15.6" x14ac:dyDescent="0.3">
      <c r="A193" s="35">
        <v>6</v>
      </c>
      <c r="B193" s="251" t="s">
        <v>71</v>
      </c>
      <c r="C193" s="252">
        <v>179.27699999999999</v>
      </c>
      <c r="D193" s="252">
        <v>16.093</v>
      </c>
      <c r="E193" s="252">
        <v>0</v>
      </c>
      <c r="F193" s="252">
        <v>38</v>
      </c>
      <c r="G193" s="252">
        <v>502</v>
      </c>
      <c r="H193" s="252">
        <v>46</v>
      </c>
      <c r="I193" s="252">
        <v>275</v>
      </c>
      <c r="J193" s="252">
        <v>200</v>
      </c>
      <c r="K193" s="253" t="s">
        <v>3</v>
      </c>
      <c r="L193" s="254"/>
      <c r="M193" s="255"/>
      <c r="N193" s="256"/>
      <c r="O193" s="255">
        <v>200</v>
      </c>
      <c r="P193" s="257">
        <v>100</v>
      </c>
      <c r="Q193" s="255">
        <v>2100</v>
      </c>
      <c r="R193" s="255">
        <v>1300</v>
      </c>
      <c r="S193" s="255">
        <v>400</v>
      </c>
      <c r="T193" s="255">
        <v>150</v>
      </c>
      <c r="U193" s="255">
        <v>200</v>
      </c>
      <c r="V193" s="255">
        <v>300</v>
      </c>
      <c r="W193" s="260">
        <v>200</v>
      </c>
      <c r="X193" s="255">
        <v>300</v>
      </c>
      <c r="Y193" s="255"/>
      <c r="Z193" s="172"/>
      <c r="AA193" s="172"/>
      <c r="AB193" s="172"/>
      <c r="AC193" s="172"/>
      <c r="AD193" s="172"/>
      <c r="AE193" s="172"/>
      <c r="AF193" s="172"/>
      <c r="AG193" s="172" t="s">
        <v>76</v>
      </c>
      <c r="AH193" s="209" t="s">
        <v>66</v>
      </c>
    </row>
    <row r="194" spans="1:34" s="2" customFormat="1" ht="15.6" x14ac:dyDescent="0.3">
      <c r="A194" s="35">
        <v>7</v>
      </c>
      <c r="B194" s="251" t="s">
        <v>72</v>
      </c>
      <c r="C194" s="252"/>
      <c r="D194" s="252"/>
      <c r="E194" s="252"/>
      <c r="F194" s="252"/>
      <c r="G194" s="252"/>
      <c r="H194" s="252"/>
      <c r="I194" s="252"/>
      <c r="J194" s="252"/>
      <c r="K194" s="253"/>
      <c r="L194" s="254"/>
      <c r="M194" s="255"/>
      <c r="N194" s="256"/>
      <c r="O194" s="255"/>
      <c r="P194" s="257"/>
      <c r="Q194" s="255"/>
      <c r="R194" s="255"/>
      <c r="S194" s="255"/>
      <c r="T194" s="255"/>
      <c r="U194" s="255"/>
      <c r="V194" s="255"/>
      <c r="W194" s="260"/>
      <c r="X194" s="255"/>
      <c r="Y194" s="255"/>
      <c r="Z194" s="304"/>
      <c r="AA194" s="304"/>
      <c r="AB194" s="304"/>
      <c r="AC194" s="304"/>
      <c r="AD194" s="304"/>
      <c r="AE194" s="304"/>
      <c r="AF194" s="304"/>
      <c r="AG194" s="172" t="s">
        <v>76</v>
      </c>
      <c r="AH194" s="209" t="s">
        <v>66</v>
      </c>
    </row>
    <row r="195" spans="1:34" s="2" customFormat="1" ht="15.6" x14ac:dyDescent="0.3">
      <c r="A195" s="35">
        <v>8</v>
      </c>
      <c r="B195" s="251" t="s">
        <v>90</v>
      </c>
      <c r="C195" s="252">
        <v>50.472000000000001</v>
      </c>
      <c r="D195" s="252">
        <v>37.334000000000003</v>
      </c>
      <c r="E195" s="252">
        <v>153</v>
      </c>
      <c r="F195" s="252">
        <v>311</v>
      </c>
      <c r="G195" s="252">
        <v>97</v>
      </c>
      <c r="H195" s="252">
        <v>284</v>
      </c>
      <c r="I195" s="252">
        <v>256</v>
      </c>
      <c r="J195" s="252">
        <v>390</v>
      </c>
      <c r="K195" s="253" t="s">
        <v>3</v>
      </c>
      <c r="L195" s="254"/>
      <c r="M195" s="255"/>
      <c r="N195" s="256"/>
      <c r="O195" s="255">
        <v>200</v>
      </c>
      <c r="P195" s="257">
        <v>200</v>
      </c>
      <c r="Q195" s="255">
        <v>200</v>
      </c>
      <c r="R195" s="255">
        <v>2200</v>
      </c>
      <c r="S195" s="255">
        <v>1600</v>
      </c>
      <c r="T195" s="255">
        <v>600</v>
      </c>
      <c r="U195" s="255">
        <v>600</v>
      </c>
      <c r="V195" s="255" t="s">
        <v>91</v>
      </c>
      <c r="W195" s="260">
        <v>600</v>
      </c>
      <c r="X195" s="255">
        <v>600</v>
      </c>
      <c r="Y195" s="255"/>
      <c r="Z195" s="304"/>
      <c r="AA195" s="304"/>
      <c r="AB195" s="304"/>
      <c r="AC195" s="304"/>
      <c r="AD195" s="304"/>
      <c r="AE195" s="304"/>
      <c r="AF195" s="304"/>
      <c r="AG195" s="172" t="s">
        <v>76</v>
      </c>
      <c r="AH195" s="209" t="s">
        <v>66</v>
      </c>
    </row>
    <row r="196" spans="1:34" s="2" customFormat="1" ht="15.6" x14ac:dyDescent="0.3">
      <c r="A196" s="51"/>
      <c r="B196" s="92"/>
      <c r="C196" s="208"/>
      <c r="D196" s="208"/>
      <c r="E196" s="208"/>
      <c r="F196" s="208"/>
      <c r="G196" s="208"/>
      <c r="H196" s="208"/>
      <c r="I196" s="208"/>
      <c r="J196" s="208"/>
      <c r="K196" s="122"/>
      <c r="L196" s="305"/>
      <c r="M196" s="306"/>
      <c r="N196" s="307"/>
      <c r="O196" s="306"/>
      <c r="P196" s="308"/>
      <c r="Q196" s="306"/>
      <c r="R196" s="306"/>
      <c r="S196" s="307"/>
      <c r="T196" s="307"/>
      <c r="U196" s="307"/>
      <c r="V196" s="307"/>
      <c r="W196" s="309"/>
      <c r="X196" s="306"/>
      <c r="Y196" s="306"/>
    </row>
    <row r="197" spans="1:34" ht="15.6" x14ac:dyDescent="0.3">
      <c r="A197" s="33"/>
      <c r="B197" s="70" t="s">
        <v>3</v>
      </c>
      <c r="C197" s="208"/>
      <c r="D197" s="208"/>
      <c r="E197" s="220" t="s">
        <v>3</v>
      </c>
      <c r="F197" s="310" t="s">
        <v>3</v>
      </c>
      <c r="G197" s="296" t="s">
        <v>3</v>
      </c>
      <c r="H197" s="225" t="s">
        <v>3</v>
      </c>
      <c r="I197" s="225" t="s">
        <v>3</v>
      </c>
      <c r="J197" s="244" t="s">
        <v>3</v>
      </c>
      <c r="K197" s="65" t="s">
        <v>3</v>
      </c>
      <c r="L197" s="311"/>
      <c r="M197" s="312"/>
      <c r="N197" s="313"/>
      <c r="O197" s="314"/>
      <c r="P197" s="315"/>
      <c r="Q197" s="314"/>
      <c r="R197" s="314"/>
      <c r="S197" s="316"/>
      <c r="T197" s="316"/>
      <c r="U197" s="316"/>
      <c r="V197" s="316"/>
      <c r="W197" s="317"/>
      <c r="X197" s="314"/>
      <c r="Y197" s="314"/>
    </row>
    <row r="198" spans="1:34" ht="15.75" customHeight="1" x14ac:dyDescent="0.3">
      <c r="A198" s="90" t="s">
        <v>130</v>
      </c>
      <c r="B198" s="318" t="s">
        <v>131</v>
      </c>
      <c r="C198" s="319"/>
      <c r="D198" s="319"/>
      <c r="E198" s="173">
        <f>SUM(E203+E210+E222+E238+E256+E273)</f>
        <v>21001</v>
      </c>
      <c r="F198" s="173">
        <f>SUM(F203+F210+F222+F238+F256+F273)</f>
        <v>22094</v>
      </c>
      <c r="G198" s="173">
        <f>SUM(G203+G210+G222+G238+G256+G273+G278)</f>
        <v>29212</v>
      </c>
      <c r="H198" s="173">
        <f>SUM(H203+H210+H222+H238+H256+H273+H278+H280)</f>
        <v>35717</v>
      </c>
      <c r="I198" s="173">
        <f>SUM(I203+I210+I222+I238+I256+I273+I278+I280)</f>
        <v>52410</v>
      </c>
      <c r="J198" s="173">
        <f>SUM(J203+J210+J222+J238+J256+J273+J278+J280)</f>
        <v>80819</v>
      </c>
      <c r="K198" s="94">
        <f>SUM(K203+K210+K222+K238+K256+K273+K278+K280)</f>
        <v>79196</v>
      </c>
      <c r="L198" s="94">
        <f>SUM(L203+L210+L222+L238+L256+L273+L278+L280)</f>
        <v>81905</v>
      </c>
      <c r="M198" s="95">
        <f>SUM(M203+M210+M222+M238+M256+M273+M278+M280+M283)</f>
        <v>71084.733999999982</v>
      </c>
      <c r="N198" s="96">
        <f>77389925.76/1000</f>
        <v>77389.925759999998</v>
      </c>
      <c r="O198" s="95">
        <f t="shared" ref="O198:X198" si="33">O203+O210+O222+O238+O256+O273+O278+O280+O283</f>
        <v>0</v>
      </c>
      <c r="P198" s="97">
        <f t="shared" si="33"/>
        <v>0</v>
      </c>
      <c r="Q198" s="94">
        <f t="shared" si="33"/>
        <v>0</v>
      </c>
      <c r="R198" s="94">
        <f t="shared" si="33"/>
        <v>0</v>
      </c>
      <c r="S198" s="94">
        <f t="shared" si="33"/>
        <v>0</v>
      </c>
      <c r="T198" s="94">
        <f t="shared" si="33"/>
        <v>0</v>
      </c>
      <c r="U198" s="94">
        <f t="shared" si="33"/>
        <v>0</v>
      </c>
      <c r="V198" s="94">
        <f t="shared" si="33"/>
        <v>0</v>
      </c>
      <c r="W198" s="94">
        <f t="shared" si="33"/>
        <v>0</v>
      </c>
      <c r="X198" s="95">
        <f t="shared" si="33"/>
        <v>0</v>
      </c>
      <c r="Y198" s="95"/>
    </row>
    <row r="199" spans="1:34" ht="15" customHeight="1" x14ac:dyDescent="0.3">
      <c r="A199" s="51"/>
      <c r="B199" s="70" t="s">
        <v>132</v>
      </c>
      <c r="C199" s="227"/>
      <c r="D199" s="227"/>
      <c r="E199" s="227"/>
      <c r="F199" s="227"/>
      <c r="G199" s="227"/>
      <c r="H199" s="320" t="s">
        <v>53</v>
      </c>
      <c r="I199" s="177">
        <f>+(I198-H198)/H198</f>
        <v>0.46736847999552034</v>
      </c>
      <c r="J199" s="321">
        <f>+(J198-I198)/I198</f>
        <v>0.54205304331234494</v>
      </c>
      <c r="K199" s="322">
        <f>+(K198-J198)/J198</f>
        <v>-2.0081911431717787E-2</v>
      </c>
      <c r="L199" s="322">
        <f>+(L198-K198)/K198</f>
        <v>3.4206273044093134E-2</v>
      </c>
      <c r="M199" s="323">
        <f>+(M198-L198)/L198</f>
        <v>-0.13210751480373625</v>
      </c>
      <c r="N199" s="324"/>
      <c r="O199" s="323"/>
      <c r="P199" s="325"/>
      <c r="Q199" s="323"/>
      <c r="R199" s="323"/>
      <c r="S199" s="323"/>
      <c r="T199" s="323"/>
      <c r="U199" s="323"/>
      <c r="V199" s="323"/>
      <c r="W199" s="322"/>
      <c r="X199" s="323"/>
      <c r="Y199" s="323"/>
    </row>
    <row r="200" spans="1:34" s="337" customFormat="1" ht="15" customHeight="1" x14ac:dyDescent="0.3">
      <c r="A200" s="326"/>
      <c r="B200" s="327"/>
      <c r="C200" s="328"/>
      <c r="D200" s="328"/>
      <c r="E200" s="328"/>
      <c r="F200" s="328"/>
      <c r="G200" s="328"/>
      <c r="H200" s="329"/>
      <c r="I200" s="330"/>
      <c r="J200" s="329"/>
      <c r="K200" s="331"/>
      <c r="L200" s="331"/>
      <c r="M200" s="332"/>
      <c r="N200" s="333"/>
      <c r="O200" s="334">
        <f t="shared" ref="O200:X200" si="34">O203+O210+O222+O238+O256+O273+O278+O280+O283</f>
        <v>0</v>
      </c>
      <c r="P200" s="335">
        <f t="shared" si="34"/>
        <v>0</v>
      </c>
      <c r="Q200" s="336">
        <f t="shared" si="34"/>
        <v>0</v>
      </c>
      <c r="R200" s="336">
        <f t="shared" si="34"/>
        <v>0</v>
      </c>
      <c r="S200" s="336">
        <f t="shared" si="34"/>
        <v>0</v>
      </c>
      <c r="T200" s="336">
        <f t="shared" si="34"/>
        <v>0</v>
      </c>
      <c r="U200" s="336">
        <f t="shared" si="34"/>
        <v>0</v>
      </c>
      <c r="V200" s="336">
        <f t="shared" si="34"/>
        <v>0</v>
      </c>
      <c r="W200" s="336">
        <f t="shared" si="34"/>
        <v>0</v>
      </c>
      <c r="X200" s="336">
        <f t="shared" si="34"/>
        <v>0</v>
      </c>
      <c r="Y200" s="336"/>
    </row>
    <row r="201" spans="1:34" ht="15" customHeight="1" x14ac:dyDescent="0.3">
      <c r="A201" s="51"/>
      <c r="B201" s="338"/>
      <c r="C201" s="227"/>
      <c r="D201" s="227"/>
      <c r="E201" s="227"/>
      <c r="F201" s="227"/>
      <c r="G201" s="296"/>
      <c r="H201" s="339"/>
      <c r="I201" s="340"/>
      <c r="J201" s="339"/>
      <c r="K201" s="341"/>
      <c r="L201" s="130"/>
      <c r="M201" s="342"/>
      <c r="N201" s="343"/>
      <c r="O201" s="344"/>
      <c r="P201" s="345"/>
      <c r="Q201" s="336"/>
      <c r="R201" s="343"/>
      <c r="S201" s="343"/>
      <c r="T201" s="343"/>
      <c r="U201" s="343"/>
      <c r="V201" s="343"/>
      <c r="W201" s="346"/>
      <c r="X201" s="342"/>
      <c r="Y201" s="342"/>
    </row>
    <row r="202" spans="1:34" ht="15" customHeight="1" x14ac:dyDescent="0.3">
      <c r="A202" s="51"/>
      <c r="B202" s="338"/>
      <c r="C202" s="227"/>
      <c r="D202" s="227"/>
      <c r="E202" s="227"/>
      <c r="F202" s="227"/>
      <c r="G202" s="296"/>
      <c r="H202" s="339"/>
      <c r="I202" s="340"/>
      <c r="J202" s="339"/>
      <c r="K202" s="341"/>
      <c r="L202" s="130"/>
      <c r="M202" s="342"/>
      <c r="N202" s="343"/>
      <c r="O202" s="344"/>
      <c r="P202" s="345"/>
      <c r="Q202" s="336"/>
      <c r="R202" s="343"/>
      <c r="S202" s="343"/>
      <c r="T202" s="343"/>
      <c r="U202" s="343"/>
      <c r="V202" s="343"/>
      <c r="W202" s="342"/>
      <c r="X202" s="343"/>
      <c r="Y202" s="343"/>
    </row>
    <row r="203" spans="1:34" s="2" customFormat="1" ht="15.75" customHeight="1" x14ac:dyDescent="0.3">
      <c r="A203" s="35" t="s">
        <v>133</v>
      </c>
      <c r="B203" s="34" t="s">
        <v>134</v>
      </c>
      <c r="C203" s="208">
        <f t="shared" ref="C203:K203" si="35">C205</f>
        <v>3079.63481</v>
      </c>
      <c r="D203" s="208">
        <f t="shared" si="35"/>
        <v>5127.9831800000002</v>
      </c>
      <c r="E203" s="208">
        <f t="shared" si="35"/>
        <v>2480</v>
      </c>
      <c r="F203" s="208">
        <f t="shared" si="35"/>
        <v>330</v>
      </c>
      <c r="G203" s="208">
        <f t="shared" si="35"/>
        <v>3054</v>
      </c>
      <c r="H203" s="208">
        <f t="shared" si="35"/>
        <v>141</v>
      </c>
      <c r="I203" s="208">
        <f t="shared" si="35"/>
        <v>282</v>
      </c>
      <c r="J203" s="208">
        <f t="shared" si="35"/>
        <v>235</v>
      </c>
      <c r="K203" s="65">
        <f t="shared" si="35"/>
        <v>4830</v>
      </c>
      <c r="L203" s="65">
        <v>2617</v>
      </c>
      <c r="M203" s="66">
        <f>188606/1000</f>
        <v>188.60599999999999</v>
      </c>
      <c r="N203" s="67"/>
      <c r="O203" s="66"/>
      <c r="P203" s="68"/>
      <c r="Q203" s="67"/>
      <c r="R203" s="67"/>
      <c r="S203" s="67"/>
      <c r="T203" s="67"/>
      <c r="U203" s="67"/>
      <c r="V203" s="67"/>
      <c r="W203" s="67"/>
      <c r="X203" s="67"/>
      <c r="Y203" s="67"/>
    </row>
    <row r="204" spans="1:34" ht="15" customHeight="1" x14ac:dyDescent="0.3">
      <c r="A204" s="53"/>
      <c r="B204" s="70"/>
      <c r="C204" s="114" t="s">
        <v>3</v>
      </c>
      <c r="D204" s="115" t="s">
        <v>3</v>
      </c>
      <c r="E204" s="115" t="s">
        <v>3</v>
      </c>
      <c r="F204" s="220" t="s">
        <v>3</v>
      </c>
      <c r="G204" s="89" t="s">
        <v>3</v>
      </c>
      <c r="H204" s="205" t="s">
        <v>3</v>
      </c>
      <c r="I204" s="299" t="s">
        <v>3</v>
      </c>
      <c r="J204" s="347" t="s">
        <v>3</v>
      </c>
      <c r="K204" s="163" t="s">
        <v>3</v>
      </c>
      <c r="L204" s="297" t="s">
        <v>3</v>
      </c>
      <c r="M204" s="291" t="s">
        <v>3</v>
      </c>
      <c r="N204" s="292"/>
      <c r="O204" s="291"/>
      <c r="P204" s="300"/>
      <c r="Q204" s="291"/>
      <c r="R204" s="291"/>
      <c r="S204" s="292"/>
      <c r="T204" s="292"/>
      <c r="U204" s="292"/>
      <c r="V204" s="292"/>
      <c r="W204" s="294"/>
      <c r="X204" s="291"/>
      <c r="Y204" s="291"/>
    </row>
    <row r="205" spans="1:34" ht="15" customHeight="1" x14ac:dyDescent="0.25">
      <c r="A205" s="53"/>
      <c r="B205" s="52" t="s">
        <v>135</v>
      </c>
      <c r="C205" s="227">
        <f>C206+C207+C208</f>
        <v>3079.63481</v>
      </c>
      <c r="D205" s="227">
        <v>5127.9831800000002</v>
      </c>
      <c r="E205" s="227">
        <f>SUM(E206+E207+E208)</f>
        <v>2480</v>
      </c>
      <c r="F205" s="227">
        <f>F206+F207+F208</f>
        <v>330</v>
      </c>
      <c r="G205" s="227">
        <f>G206+G207+G208</f>
        <v>3054</v>
      </c>
      <c r="H205" s="227">
        <f>H206+H207+H208</f>
        <v>141</v>
      </c>
      <c r="I205" s="227">
        <f>I206+I207+I208</f>
        <v>282</v>
      </c>
      <c r="J205" s="227">
        <v>235</v>
      </c>
      <c r="K205" s="122">
        <f>K206+K207+K208</f>
        <v>4830</v>
      </c>
      <c r="L205" s="122">
        <f>L206+L207+L208</f>
        <v>2000</v>
      </c>
      <c r="M205" s="125">
        <f>M207</f>
        <v>5100</v>
      </c>
      <c r="N205" s="272"/>
      <c r="O205" s="125"/>
      <c r="P205" s="126"/>
      <c r="Q205" s="125"/>
      <c r="R205" s="125"/>
      <c r="S205" s="272"/>
      <c r="T205" s="272"/>
      <c r="U205" s="272"/>
      <c r="V205" s="272"/>
      <c r="W205" s="273"/>
      <c r="X205" s="125"/>
      <c r="Y205" s="125"/>
    </row>
    <row r="206" spans="1:34" ht="15" customHeight="1" x14ac:dyDescent="0.25">
      <c r="A206" s="53"/>
      <c r="B206" s="92" t="s">
        <v>136</v>
      </c>
      <c r="C206" s="227">
        <f>72.54257+14.97929+577.44706</f>
        <v>664.96892000000003</v>
      </c>
      <c r="D206" s="227">
        <v>0</v>
      </c>
      <c r="E206" s="227">
        <v>331</v>
      </c>
      <c r="F206" s="227">
        <v>0</v>
      </c>
      <c r="G206" s="227">
        <v>0</v>
      </c>
      <c r="H206" s="227">
        <v>0</v>
      </c>
      <c r="I206" s="227">
        <v>0</v>
      </c>
      <c r="J206" s="227">
        <v>0</v>
      </c>
      <c r="K206" s="122">
        <v>0</v>
      </c>
      <c r="L206" s="55"/>
      <c r="M206" s="58"/>
      <c r="N206" s="93"/>
      <c r="O206" s="58"/>
      <c r="P206" s="59"/>
      <c r="Q206" s="58"/>
      <c r="R206" s="58"/>
      <c r="S206" s="93"/>
      <c r="T206" s="93"/>
      <c r="U206" s="93"/>
      <c r="V206" s="93"/>
      <c r="W206" s="228"/>
      <c r="X206" s="58"/>
      <c r="Y206" s="58"/>
    </row>
    <row r="207" spans="1:34" ht="15" customHeight="1" x14ac:dyDescent="0.25">
      <c r="A207" s="53"/>
      <c r="B207" s="92" t="s">
        <v>137</v>
      </c>
      <c r="C207" s="227">
        <f>308.16815+617.41513+339.57411</f>
        <v>1265.1573900000001</v>
      </c>
      <c r="D207" s="227">
        <v>0</v>
      </c>
      <c r="E207" s="227">
        <v>2142</v>
      </c>
      <c r="F207" s="227">
        <v>330</v>
      </c>
      <c r="G207" s="227">
        <v>3054</v>
      </c>
      <c r="H207" s="227">
        <v>141</v>
      </c>
      <c r="I207" s="227">
        <v>282</v>
      </c>
      <c r="J207" s="227">
        <v>950</v>
      </c>
      <c r="K207" s="122">
        <v>4830</v>
      </c>
      <c r="L207" s="122">
        <v>2000</v>
      </c>
      <c r="M207" s="125">
        <v>5100</v>
      </c>
      <c r="N207" s="272"/>
      <c r="O207" s="125"/>
      <c r="P207" s="59"/>
      <c r="Q207" s="58"/>
      <c r="R207" s="58"/>
      <c r="S207" s="58"/>
      <c r="T207" s="58"/>
      <c r="U207" s="58"/>
      <c r="V207" s="58"/>
      <c r="W207" s="55"/>
      <c r="X207" s="58"/>
      <c r="Y207" s="58"/>
    </row>
    <row r="208" spans="1:34" ht="15" customHeight="1" x14ac:dyDescent="0.25">
      <c r="A208" s="53"/>
      <c r="B208" s="92" t="s">
        <v>138</v>
      </c>
      <c r="C208" s="227">
        <f>234.394+915.1145</f>
        <v>1149.5084999999999</v>
      </c>
      <c r="D208" s="227">
        <v>0</v>
      </c>
      <c r="E208" s="227">
        <v>7</v>
      </c>
      <c r="F208" s="227">
        <v>0</v>
      </c>
      <c r="G208" s="227">
        <v>0</v>
      </c>
      <c r="H208" s="227">
        <v>0</v>
      </c>
      <c r="I208" s="227">
        <v>0</v>
      </c>
      <c r="J208" s="227">
        <v>480</v>
      </c>
      <c r="K208" s="122">
        <v>0</v>
      </c>
      <c r="L208" s="55">
        <v>0</v>
      </c>
      <c r="M208" s="58" t="s">
        <v>3</v>
      </c>
      <c r="N208" s="93"/>
      <c r="O208" s="58"/>
      <c r="P208" s="59"/>
      <c r="Q208" s="58"/>
      <c r="R208" s="58"/>
      <c r="S208" s="93"/>
      <c r="T208" s="93"/>
      <c r="U208" s="93"/>
      <c r="V208" s="93"/>
      <c r="W208" s="228"/>
      <c r="X208" s="58"/>
      <c r="Y208" s="58"/>
    </row>
    <row r="209" spans="1:25" ht="15" customHeight="1" x14ac:dyDescent="0.25">
      <c r="A209" s="53"/>
      <c r="B209" s="52"/>
      <c r="C209" s="227"/>
      <c r="D209" s="227"/>
      <c r="E209" s="227"/>
      <c r="F209" s="227"/>
      <c r="G209" s="227"/>
      <c r="H209" s="320"/>
      <c r="I209" s="320"/>
      <c r="J209" s="320"/>
      <c r="K209" s="341" t="s">
        <v>3</v>
      </c>
      <c r="L209" s="341"/>
      <c r="M209" s="348"/>
      <c r="N209" s="349"/>
      <c r="O209" s="348"/>
      <c r="P209" s="350"/>
      <c r="Q209" s="348"/>
      <c r="R209" s="348"/>
      <c r="S209" s="348"/>
      <c r="T209" s="349"/>
      <c r="U209" s="349"/>
      <c r="V209" s="349"/>
      <c r="W209" s="351"/>
      <c r="X209" s="348"/>
      <c r="Y209" s="348"/>
    </row>
    <row r="210" spans="1:25" s="2" customFormat="1" ht="15.75" customHeight="1" x14ac:dyDescent="0.3">
      <c r="A210" s="35" t="s">
        <v>139</v>
      </c>
      <c r="B210" s="103" t="s">
        <v>140</v>
      </c>
      <c r="C210" s="208">
        <f>SUM(C214:C214)</f>
        <v>17993.8776</v>
      </c>
      <c r="D210" s="208">
        <f>SUM(D214:D214)</f>
        <v>13062</v>
      </c>
      <c r="E210" s="208">
        <f>SUM(E214:E214)</f>
        <v>5273</v>
      </c>
      <c r="F210" s="208">
        <f>SUM(F214:F214)</f>
        <v>4739</v>
      </c>
      <c r="G210" s="208">
        <f>SUM(G214:G214)</f>
        <v>3845</v>
      </c>
      <c r="H210" s="208">
        <f>SUM(H214)</f>
        <v>2795</v>
      </c>
      <c r="I210" s="208">
        <f>SUM(I214)</f>
        <v>6024</v>
      </c>
      <c r="J210" s="208">
        <f>J212+J214</f>
        <v>22120</v>
      </c>
      <c r="K210" s="65">
        <f>K212+K214</f>
        <v>13270</v>
      </c>
      <c r="L210" s="65">
        <v>16920</v>
      </c>
      <c r="M210" s="66">
        <f>22806918/1000</f>
        <v>22806.918000000001</v>
      </c>
      <c r="N210" s="67"/>
      <c r="O210" s="66"/>
      <c r="P210" s="68"/>
      <c r="Q210" s="65"/>
      <c r="R210" s="65"/>
      <c r="S210" s="65"/>
      <c r="T210" s="66"/>
      <c r="U210" s="66"/>
      <c r="V210" s="66"/>
      <c r="W210" s="65"/>
      <c r="X210" s="66"/>
      <c r="Y210" s="66"/>
    </row>
    <row r="211" spans="1:25" s="2" customFormat="1" ht="15.75" customHeight="1" x14ac:dyDescent="0.3">
      <c r="A211" s="69"/>
      <c r="B211" s="70"/>
      <c r="C211" s="114" t="s">
        <v>3</v>
      </c>
      <c r="D211" s="115" t="s">
        <v>3</v>
      </c>
      <c r="E211" s="115" t="s">
        <v>3</v>
      </c>
      <c r="F211" s="352" t="s">
        <v>3</v>
      </c>
      <c r="G211" s="89" t="s">
        <v>3</v>
      </c>
      <c r="H211" s="205" t="s">
        <v>3</v>
      </c>
      <c r="I211" s="299" t="s">
        <v>3</v>
      </c>
      <c r="J211" s="347" t="s">
        <v>3</v>
      </c>
      <c r="K211" s="163" t="s">
        <v>3</v>
      </c>
      <c r="L211" s="98" t="s">
        <v>3</v>
      </c>
      <c r="M211" s="166" t="s">
        <v>3</v>
      </c>
      <c r="N211" s="193"/>
      <c r="O211" s="166"/>
      <c r="P211" s="247"/>
      <c r="Q211" s="166"/>
      <c r="R211" s="166"/>
      <c r="S211" s="193"/>
      <c r="T211" s="166"/>
      <c r="U211" s="166"/>
      <c r="V211" s="166"/>
      <c r="W211" s="163"/>
      <c r="X211" s="166"/>
      <c r="Y211" s="166"/>
    </row>
    <row r="212" spans="1:25" s="271" customFormat="1" ht="15.75" customHeight="1" x14ac:dyDescent="0.3">
      <c r="A212" s="353"/>
      <c r="B212" s="354" t="s">
        <v>141</v>
      </c>
      <c r="C212" s="114"/>
      <c r="D212" s="115"/>
      <c r="E212" s="115"/>
      <c r="F212" s="352"/>
      <c r="G212" s="89"/>
      <c r="H212" s="205"/>
      <c r="I212" s="299"/>
      <c r="J212" s="115">
        <v>0</v>
      </c>
      <c r="K212" s="115">
        <v>0</v>
      </c>
      <c r="L212" s="115" t="s">
        <v>3</v>
      </c>
      <c r="M212" s="85">
        <f>M213</f>
        <v>1310</v>
      </c>
      <c r="N212" s="86"/>
      <c r="O212" s="85"/>
      <c r="P212" s="113"/>
      <c r="Q212" s="85"/>
      <c r="R212" s="85"/>
      <c r="S212" s="85"/>
      <c r="T212" s="85"/>
      <c r="U212" s="85"/>
      <c r="V212" s="85"/>
      <c r="W212" s="115"/>
      <c r="X212" s="85"/>
      <c r="Y212" s="85"/>
    </row>
    <row r="213" spans="1:25" s="271" customFormat="1" ht="15" customHeight="1" x14ac:dyDescent="0.3">
      <c r="A213" s="355"/>
      <c r="B213" s="249" t="s">
        <v>142</v>
      </c>
      <c r="C213" s="115">
        <v>0</v>
      </c>
      <c r="D213" s="220">
        <v>0</v>
      </c>
      <c r="E213" s="220">
        <v>0</v>
      </c>
      <c r="F213" s="220">
        <v>0</v>
      </c>
      <c r="G213" s="220">
        <v>101</v>
      </c>
      <c r="H213" s="220">
        <v>251</v>
      </c>
      <c r="I213" s="220" t="s">
        <v>3</v>
      </c>
      <c r="J213" s="220">
        <v>430</v>
      </c>
      <c r="K213" s="115">
        <v>0</v>
      </c>
      <c r="L213" s="115" t="s">
        <v>3</v>
      </c>
      <c r="M213" s="85">
        <v>1310</v>
      </c>
      <c r="N213" s="86"/>
      <c r="O213" s="85"/>
      <c r="P213" s="113"/>
      <c r="Q213" s="85"/>
      <c r="R213" s="85"/>
      <c r="S213" s="86"/>
      <c r="T213" s="86"/>
      <c r="U213" s="86"/>
      <c r="V213" s="86"/>
      <c r="W213" s="114"/>
      <c r="X213" s="85"/>
      <c r="Y213" s="85"/>
    </row>
    <row r="214" spans="1:25" s="271" customFormat="1" ht="15.75" customHeight="1" x14ac:dyDescent="0.3">
      <c r="A214" s="356"/>
      <c r="B214" s="357" t="s">
        <v>143</v>
      </c>
      <c r="C214" s="220">
        <f>SUM(C215:C219)</f>
        <v>17993.8776</v>
      </c>
      <c r="D214" s="220">
        <v>13062</v>
      </c>
      <c r="E214" s="220">
        <v>5273</v>
      </c>
      <c r="F214" s="220">
        <f>SUM(F215:F219)</f>
        <v>4739</v>
      </c>
      <c r="G214" s="220">
        <f>SUM(G215:G219)</f>
        <v>3845</v>
      </c>
      <c r="H214" s="220">
        <f>SUM(H215:H219)</f>
        <v>2795</v>
      </c>
      <c r="I214" s="220">
        <v>6024</v>
      </c>
      <c r="J214" s="220">
        <v>22120</v>
      </c>
      <c r="K214" s="115">
        <v>13270</v>
      </c>
      <c r="L214" s="115" t="s">
        <v>3</v>
      </c>
      <c r="M214" s="85">
        <f>SUM(M215:M220)</f>
        <v>13590</v>
      </c>
      <c r="N214" s="86"/>
      <c r="O214" s="85"/>
      <c r="P214" s="113"/>
      <c r="Q214" s="85"/>
      <c r="R214" s="85"/>
      <c r="S214" s="85"/>
      <c r="T214" s="85"/>
      <c r="U214" s="85"/>
      <c r="V214" s="85"/>
      <c r="W214" s="115"/>
      <c r="X214" s="85"/>
      <c r="Y214" s="85"/>
    </row>
    <row r="215" spans="1:25" s="2" customFormat="1" ht="15" customHeight="1" x14ac:dyDescent="0.25">
      <c r="A215" s="53"/>
      <c r="B215" s="92" t="s">
        <v>144</v>
      </c>
      <c r="C215" s="122">
        <v>1528.7383199999999</v>
      </c>
      <c r="D215" s="227">
        <v>0</v>
      </c>
      <c r="E215" s="227">
        <v>1530</v>
      </c>
      <c r="F215" s="227">
        <v>1291</v>
      </c>
      <c r="G215" s="227">
        <v>470</v>
      </c>
      <c r="H215" s="227">
        <v>946</v>
      </c>
      <c r="I215" s="227" t="s">
        <v>3</v>
      </c>
      <c r="J215" s="227">
        <v>2090</v>
      </c>
      <c r="K215" s="122" t="s">
        <v>3</v>
      </c>
      <c r="L215" s="122" t="s">
        <v>3</v>
      </c>
      <c r="M215" s="125">
        <v>570</v>
      </c>
      <c r="N215" s="272"/>
      <c r="O215" s="125"/>
      <c r="P215" s="126"/>
      <c r="Q215" s="125"/>
      <c r="R215" s="125"/>
      <c r="S215" s="272"/>
      <c r="T215" s="272"/>
      <c r="U215" s="272"/>
      <c r="V215" s="272"/>
      <c r="W215" s="273"/>
      <c r="X215" s="125"/>
      <c r="Y215" s="125"/>
    </row>
    <row r="216" spans="1:25" s="2" customFormat="1" ht="15" customHeight="1" x14ac:dyDescent="0.25">
      <c r="A216" s="53"/>
      <c r="B216" s="92" t="s">
        <v>145</v>
      </c>
      <c r="C216" s="122">
        <f>857.03679</f>
        <v>857.03679</v>
      </c>
      <c r="D216" s="227">
        <v>0</v>
      </c>
      <c r="E216" s="227">
        <v>1910</v>
      </c>
      <c r="F216" s="227">
        <v>0</v>
      </c>
      <c r="G216" s="227">
        <v>0</v>
      </c>
      <c r="H216" s="227">
        <v>0</v>
      </c>
      <c r="I216" s="227" t="s">
        <v>3</v>
      </c>
      <c r="J216" s="227">
        <v>570</v>
      </c>
      <c r="K216" s="122" t="s">
        <v>3</v>
      </c>
      <c r="L216" s="122" t="s">
        <v>3</v>
      </c>
      <c r="M216" s="125"/>
      <c r="N216" s="272"/>
      <c r="O216" s="125"/>
      <c r="P216" s="126"/>
      <c r="Q216" s="125"/>
      <c r="R216" s="125"/>
      <c r="S216" s="272"/>
      <c r="T216" s="272"/>
      <c r="U216" s="272"/>
      <c r="V216" s="272"/>
      <c r="W216" s="273"/>
      <c r="X216" s="125"/>
      <c r="Y216" s="125"/>
    </row>
    <row r="217" spans="1:25" s="2" customFormat="1" ht="15" customHeight="1" x14ac:dyDescent="0.25">
      <c r="A217" s="53"/>
      <c r="B217" s="92" t="s">
        <v>146</v>
      </c>
      <c r="C217" s="122">
        <f>6.1325+3423.146+141.82399</f>
        <v>3571.1024900000002</v>
      </c>
      <c r="D217" s="227">
        <v>0</v>
      </c>
      <c r="E217" s="227">
        <v>810</v>
      </c>
      <c r="F217" s="227">
        <v>3131</v>
      </c>
      <c r="G217" s="227">
        <v>3075</v>
      </c>
      <c r="H217" s="227">
        <v>1465</v>
      </c>
      <c r="I217" s="227" t="s">
        <v>3</v>
      </c>
      <c r="J217" s="227">
        <v>4500</v>
      </c>
      <c r="K217" s="122" t="s">
        <v>3</v>
      </c>
      <c r="L217" s="122" t="s">
        <v>3</v>
      </c>
      <c r="M217" s="125">
        <v>100</v>
      </c>
      <c r="N217" s="272"/>
      <c r="O217" s="125"/>
      <c r="P217" s="126"/>
      <c r="Q217" s="125"/>
      <c r="R217" s="125"/>
      <c r="S217" s="272"/>
      <c r="T217" s="272"/>
      <c r="U217" s="272"/>
      <c r="V217" s="272"/>
      <c r="W217" s="273"/>
      <c r="X217" s="125"/>
      <c r="Y217" s="125"/>
    </row>
    <row r="218" spans="1:25" s="2" customFormat="1" ht="15" customHeight="1" x14ac:dyDescent="0.25">
      <c r="A218" s="53"/>
      <c r="B218" s="92" t="s">
        <v>147</v>
      </c>
      <c r="C218" s="122"/>
      <c r="D218" s="227"/>
      <c r="E218" s="227"/>
      <c r="F218" s="227"/>
      <c r="G218" s="227"/>
      <c r="H218" s="227"/>
      <c r="I218" s="227"/>
      <c r="J218" s="227"/>
      <c r="K218" s="122" t="s">
        <v>3</v>
      </c>
      <c r="L218" s="122" t="s">
        <v>3</v>
      </c>
      <c r="M218" s="125">
        <v>12190</v>
      </c>
      <c r="N218" s="272"/>
      <c r="O218" s="125"/>
      <c r="P218" s="126"/>
      <c r="Q218" s="125"/>
      <c r="R218" s="125"/>
      <c r="S218" s="272"/>
      <c r="T218" s="272"/>
      <c r="U218" s="272"/>
      <c r="V218" s="272"/>
      <c r="W218" s="273"/>
      <c r="X218" s="125"/>
      <c r="Y218" s="125"/>
    </row>
    <row r="219" spans="1:25" s="2" customFormat="1" ht="15" customHeight="1" x14ac:dyDescent="0.25">
      <c r="A219" s="53"/>
      <c r="B219" s="92" t="s">
        <v>148</v>
      </c>
      <c r="C219" s="122">
        <v>12037</v>
      </c>
      <c r="D219" s="227"/>
      <c r="E219" s="227">
        <v>0</v>
      </c>
      <c r="F219" s="227">
        <v>317</v>
      </c>
      <c r="G219" s="227">
        <v>300</v>
      </c>
      <c r="H219" s="227">
        <v>384</v>
      </c>
      <c r="I219" s="227" t="s">
        <v>3</v>
      </c>
      <c r="J219" s="227">
        <v>4300</v>
      </c>
      <c r="K219" s="122" t="s">
        <v>3</v>
      </c>
      <c r="L219" s="122" t="s">
        <v>3</v>
      </c>
      <c r="M219" s="125">
        <v>730</v>
      </c>
      <c r="N219" s="272"/>
      <c r="O219" s="125"/>
      <c r="P219" s="126"/>
      <c r="Q219" s="125"/>
      <c r="R219" s="125"/>
      <c r="S219" s="272"/>
      <c r="T219" s="272"/>
      <c r="U219" s="272"/>
      <c r="V219" s="272"/>
      <c r="W219" s="273"/>
      <c r="X219" s="125"/>
      <c r="Y219" s="125"/>
    </row>
    <row r="220" spans="1:25" s="2" customFormat="1" ht="15" customHeight="1" x14ac:dyDescent="0.25">
      <c r="A220" s="53"/>
      <c r="B220" s="92" t="s">
        <v>149</v>
      </c>
      <c r="C220" s="122"/>
      <c r="D220" s="227"/>
      <c r="E220" s="227"/>
      <c r="F220" s="227"/>
      <c r="G220" s="227"/>
      <c r="H220" s="227"/>
      <c r="I220" s="227"/>
      <c r="J220" s="227">
        <v>0</v>
      </c>
      <c r="K220" s="122" t="s">
        <v>3</v>
      </c>
      <c r="L220" s="122" t="s">
        <v>3</v>
      </c>
      <c r="M220" s="125">
        <v>0</v>
      </c>
      <c r="N220" s="272"/>
      <c r="O220" s="125"/>
      <c r="P220" s="126"/>
      <c r="Q220" s="125"/>
      <c r="R220" s="125"/>
      <c r="S220" s="272"/>
      <c r="T220" s="272"/>
      <c r="U220" s="272"/>
      <c r="V220" s="272"/>
      <c r="W220" s="273"/>
      <c r="X220" s="125"/>
      <c r="Y220" s="125"/>
    </row>
    <row r="221" spans="1:25" s="2" customFormat="1" ht="15" customHeight="1" x14ac:dyDescent="0.25">
      <c r="A221" s="53"/>
      <c r="B221" s="92"/>
      <c r="C221" s="227"/>
      <c r="D221" s="227"/>
      <c r="E221" s="227"/>
      <c r="F221" s="227"/>
      <c r="G221" s="227"/>
      <c r="H221" s="227" t="s">
        <v>3</v>
      </c>
      <c r="I221" s="221" t="s">
        <v>3</v>
      </c>
      <c r="J221" s="222" t="s">
        <v>3</v>
      </c>
      <c r="K221" s="163" t="s">
        <v>3</v>
      </c>
      <c r="L221" s="163"/>
      <c r="M221" s="166"/>
      <c r="N221" s="193"/>
      <c r="O221" s="166"/>
      <c r="P221" s="247"/>
      <c r="Q221" s="166"/>
      <c r="R221" s="166"/>
      <c r="S221" s="193"/>
      <c r="T221" s="193"/>
      <c r="U221" s="193"/>
      <c r="V221" s="193"/>
      <c r="W221" s="248"/>
      <c r="X221" s="166"/>
      <c r="Y221" s="166"/>
    </row>
    <row r="222" spans="1:25" s="2" customFormat="1" ht="15.75" customHeight="1" x14ac:dyDescent="0.3">
      <c r="A222" s="35" t="s">
        <v>150</v>
      </c>
      <c r="B222" s="103" t="s">
        <v>151</v>
      </c>
      <c r="C222" s="208">
        <f t="shared" ref="C222:J222" si="36">C224+C225</f>
        <v>4010.2876200000001</v>
      </c>
      <c r="D222" s="208">
        <f t="shared" si="36"/>
        <v>8672.4960800000008</v>
      </c>
      <c r="E222" s="208">
        <f t="shared" si="36"/>
        <v>10507</v>
      </c>
      <c r="F222" s="208">
        <f t="shared" si="36"/>
        <v>9264</v>
      </c>
      <c r="G222" s="208">
        <f t="shared" si="36"/>
        <v>4137</v>
      </c>
      <c r="H222" s="208">
        <f t="shared" si="36"/>
        <v>9100</v>
      </c>
      <c r="I222" s="208">
        <f t="shared" si="36"/>
        <v>13210</v>
      </c>
      <c r="J222" s="208">
        <f t="shared" si="36"/>
        <v>18262</v>
      </c>
      <c r="K222" s="65">
        <v>14964</v>
      </c>
      <c r="L222" s="65">
        <v>15704</v>
      </c>
      <c r="M222" s="66">
        <f>14397551/1000</f>
        <v>14397.550999999999</v>
      </c>
      <c r="N222" s="67"/>
      <c r="O222" s="66"/>
      <c r="P222" s="68"/>
      <c r="Q222" s="66"/>
      <c r="R222" s="66"/>
      <c r="S222" s="66"/>
      <c r="T222" s="66"/>
      <c r="U222" s="66"/>
      <c r="V222" s="66"/>
      <c r="W222" s="65"/>
      <c r="X222" s="66"/>
      <c r="Y222" s="66"/>
    </row>
    <row r="223" spans="1:25" s="2" customFormat="1" ht="15.75" customHeight="1" x14ac:dyDescent="0.3">
      <c r="A223" s="69"/>
      <c r="B223" s="70"/>
      <c r="C223" s="115" t="s">
        <v>3</v>
      </c>
      <c r="D223" s="115" t="s">
        <v>3</v>
      </c>
      <c r="E223" s="115" t="s">
        <v>3</v>
      </c>
      <c r="F223" s="352" t="s">
        <v>3</v>
      </c>
      <c r="G223" s="89" t="s">
        <v>3</v>
      </c>
      <c r="H223" s="205" t="s">
        <v>3</v>
      </c>
      <c r="I223" s="299" t="s">
        <v>3</v>
      </c>
      <c r="J223" s="347" t="s">
        <v>3</v>
      </c>
      <c r="K223" s="163" t="s">
        <v>3</v>
      </c>
      <c r="L223" s="98" t="s">
        <v>3</v>
      </c>
      <c r="M223" s="166" t="s">
        <v>3</v>
      </c>
      <c r="N223" s="193"/>
      <c r="O223" s="166"/>
      <c r="P223" s="247"/>
      <c r="Q223" s="166"/>
      <c r="R223" s="166"/>
      <c r="S223" s="193"/>
      <c r="T223" s="193"/>
      <c r="U223" s="193"/>
      <c r="V223" s="193"/>
      <c r="W223" s="248"/>
      <c r="X223" s="166"/>
      <c r="Y223" s="166"/>
    </row>
    <row r="224" spans="1:25" s="2" customFormat="1" ht="15.75" customHeight="1" x14ac:dyDescent="0.3">
      <c r="A224" s="69"/>
      <c r="B224" s="92" t="s">
        <v>152</v>
      </c>
      <c r="C224" s="122">
        <v>0</v>
      </c>
      <c r="D224" s="227">
        <v>0</v>
      </c>
      <c r="E224" s="227">
        <v>0</v>
      </c>
      <c r="F224" s="227">
        <v>122</v>
      </c>
      <c r="G224" s="227">
        <v>0</v>
      </c>
      <c r="H224" s="227">
        <v>0</v>
      </c>
      <c r="I224" s="227">
        <v>0</v>
      </c>
      <c r="J224" s="227">
        <v>0</v>
      </c>
      <c r="K224" s="122" t="s">
        <v>3</v>
      </c>
      <c r="L224" s="115">
        <v>0</v>
      </c>
      <c r="M224" s="85">
        <v>0</v>
      </c>
      <c r="N224" s="86"/>
      <c r="O224" s="85"/>
      <c r="P224" s="358"/>
      <c r="Q224" s="359"/>
      <c r="R224" s="359"/>
      <c r="S224" s="360"/>
      <c r="T224" s="360"/>
      <c r="U224" s="360"/>
      <c r="V224" s="360"/>
      <c r="W224" s="361"/>
      <c r="X224" s="359"/>
      <c r="Y224" s="359"/>
    </row>
    <row r="225" spans="1:25" s="2" customFormat="1" ht="15.75" customHeight="1" x14ac:dyDescent="0.3">
      <c r="A225" s="69"/>
      <c r="B225" s="92" t="s">
        <v>153</v>
      </c>
      <c r="C225" s="122">
        <f>SUM(C226:C232)</f>
        <v>4010.2876200000001</v>
      </c>
      <c r="D225" s="227">
        <v>8672.4960800000008</v>
      </c>
      <c r="E225" s="227">
        <f>SUM(E226:E233)</f>
        <v>10507</v>
      </c>
      <c r="F225" s="227">
        <f>SUM(F226:F233)</f>
        <v>9142</v>
      </c>
      <c r="G225" s="227">
        <f>SUM(G226:G233)</f>
        <v>4137</v>
      </c>
      <c r="H225" s="227">
        <f>SUM(H226:H233)</f>
        <v>9100</v>
      </c>
      <c r="I225" s="227">
        <v>13210</v>
      </c>
      <c r="J225" s="227">
        <v>18262</v>
      </c>
      <c r="K225" s="122">
        <v>14964</v>
      </c>
      <c r="L225" s="115">
        <v>12900</v>
      </c>
      <c r="M225" s="85">
        <f>SUM(M226:M236)</f>
        <v>8800</v>
      </c>
      <c r="N225" s="86"/>
      <c r="O225" s="85"/>
      <c r="P225" s="113"/>
      <c r="Q225" s="85"/>
      <c r="R225" s="85"/>
      <c r="S225" s="85"/>
      <c r="T225" s="85"/>
      <c r="U225" s="85"/>
      <c r="V225" s="85"/>
      <c r="W225" s="115"/>
      <c r="X225" s="85"/>
      <c r="Y225" s="85"/>
    </row>
    <row r="226" spans="1:25" s="2" customFormat="1" ht="15" customHeight="1" x14ac:dyDescent="0.3">
      <c r="A226" s="53"/>
      <c r="B226" s="92" t="s">
        <v>154</v>
      </c>
      <c r="C226" s="122">
        <v>4010.2876200000001</v>
      </c>
      <c r="D226" s="227">
        <v>0</v>
      </c>
      <c r="E226" s="227">
        <v>0</v>
      </c>
      <c r="F226" s="227">
        <v>0</v>
      </c>
      <c r="G226" s="227">
        <v>0</v>
      </c>
      <c r="H226" s="227">
        <v>0</v>
      </c>
      <c r="I226" s="227">
        <v>0</v>
      </c>
      <c r="J226" s="227">
        <v>0</v>
      </c>
      <c r="K226" s="122" t="s">
        <v>3</v>
      </c>
      <c r="L226" s="115" t="s">
        <v>3</v>
      </c>
      <c r="M226" s="85">
        <v>0</v>
      </c>
      <c r="N226" s="86"/>
      <c r="O226" s="85"/>
      <c r="P226" s="113"/>
      <c r="Q226" s="85"/>
      <c r="R226" s="85"/>
      <c r="S226" s="86"/>
      <c r="T226" s="86"/>
      <c r="U226" s="86"/>
      <c r="V226" s="86"/>
      <c r="W226" s="114"/>
      <c r="X226" s="85"/>
      <c r="Y226" s="85"/>
    </row>
    <row r="227" spans="1:25" s="2" customFormat="1" ht="15" customHeight="1" x14ac:dyDescent="0.3">
      <c r="A227" s="53"/>
      <c r="B227" s="92" t="s">
        <v>155</v>
      </c>
      <c r="C227" s="122">
        <v>0</v>
      </c>
      <c r="D227" s="227">
        <v>0</v>
      </c>
      <c r="E227" s="227">
        <v>252</v>
      </c>
      <c r="F227" s="227">
        <v>156</v>
      </c>
      <c r="G227" s="227">
        <v>68</v>
      </c>
      <c r="H227" s="227">
        <v>0</v>
      </c>
      <c r="I227" s="227">
        <v>288</v>
      </c>
      <c r="J227" s="227">
        <v>1100</v>
      </c>
      <c r="K227" s="122" t="s">
        <v>3</v>
      </c>
      <c r="L227" s="115" t="s">
        <v>3</v>
      </c>
      <c r="M227" s="85">
        <v>200</v>
      </c>
      <c r="N227" s="86"/>
      <c r="O227" s="85"/>
      <c r="P227" s="113"/>
      <c r="Q227" s="85"/>
      <c r="R227" s="85"/>
      <c r="S227" s="86"/>
      <c r="T227" s="86"/>
      <c r="U227" s="86"/>
      <c r="V227" s="86"/>
      <c r="W227" s="114"/>
      <c r="X227" s="85"/>
      <c r="Y227" s="85"/>
    </row>
    <row r="228" spans="1:25" s="2" customFormat="1" ht="15" customHeight="1" x14ac:dyDescent="0.3">
      <c r="A228" s="53"/>
      <c r="B228" s="92" t="s">
        <v>156</v>
      </c>
      <c r="C228" s="122">
        <v>0</v>
      </c>
      <c r="D228" s="227">
        <v>0</v>
      </c>
      <c r="E228" s="227">
        <v>6954</v>
      </c>
      <c r="F228" s="227">
        <v>8496</v>
      </c>
      <c r="G228" s="227">
        <v>3205</v>
      </c>
      <c r="H228" s="227">
        <v>5932</v>
      </c>
      <c r="I228" s="227">
        <v>3887</v>
      </c>
      <c r="J228" s="227">
        <v>1200</v>
      </c>
      <c r="K228" s="122" t="s">
        <v>3</v>
      </c>
      <c r="L228" s="115" t="s">
        <v>3</v>
      </c>
      <c r="M228" s="85">
        <v>2300</v>
      </c>
      <c r="N228" s="86"/>
      <c r="O228" s="85"/>
      <c r="P228" s="113"/>
      <c r="Q228" s="85"/>
      <c r="R228" s="85"/>
      <c r="S228" s="86"/>
      <c r="T228" s="86"/>
      <c r="U228" s="86"/>
      <c r="V228" s="86"/>
      <c r="W228" s="114"/>
      <c r="X228" s="85"/>
      <c r="Y228" s="85"/>
    </row>
    <row r="229" spans="1:25" s="2" customFormat="1" ht="15" customHeight="1" x14ac:dyDescent="0.3">
      <c r="A229" s="53"/>
      <c r="B229" s="92" t="s">
        <v>157</v>
      </c>
      <c r="C229" s="122">
        <v>0</v>
      </c>
      <c r="D229" s="227">
        <v>0</v>
      </c>
      <c r="E229" s="227">
        <v>2607</v>
      </c>
      <c r="F229" s="227">
        <v>182</v>
      </c>
      <c r="G229" s="227">
        <v>42</v>
      </c>
      <c r="H229" s="227">
        <v>2090</v>
      </c>
      <c r="I229" s="227">
        <v>5609</v>
      </c>
      <c r="J229" s="227">
        <v>6040</v>
      </c>
      <c r="K229" s="122" t="s">
        <v>3</v>
      </c>
      <c r="L229" s="115" t="s">
        <v>3</v>
      </c>
      <c r="M229" s="85">
        <v>1000</v>
      </c>
      <c r="N229" s="86"/>
      <c r="O229" s="85"/>
      <c r="P229" s="113"/>
      <c r="Q229" s="85"/>
      <c r="R229" s="85"/>
      <c r="S229" s="86"/>
      <c r="T229" s="86"/>
      <c r="U229" s="86"/>
      <c r="V229" s="86"/>
      <c r="W229" s="114"/>
      <c r="X229" s="85"/>
      <c r="Y229" s="85"/>
    </row>
    <row r="230" spans="1:25" s="2" customFormat="1" ht="15" customHeight="1" x14ac:dyDescent="0.3">
      <c r="A230" s="53"/>
      <c r="B230" s="92" t="s">
        <v>158</v>
      </c>
      <c r="C230" s="122">
        <v>0</v>
      </c>
      <c r="D230" s="227">
        <v>0</v>
      </c>
      <c r="E230" s="227">
        <v>0</v>
      </c>
      <c r="F230" s="227">
        <v>9</v>
      </c>
      <c r="G230" s="227">
        <v>510</v>
      </c>
      <c r="H230" s="227">
        <v>0</v>
      </c>
      <c r="I230" s="227">
        <v>0</v>
      </c>
      <c r="J230" s="227">
        <v>0</v>
      </c>
      <c r="K230" s="122" t="s">
        <v>3</v>
      </c>
      <c r="L230" s="115" t="s">
        <v>3</v>
      </c>
      <c r="M230" s="85">
        <v>0</v>
      </c>
      <c r="N230" s="86"/>
      <c r="O230" s="85"/>
      <c r="P230" s="113"/>
      <c r="Q230" s="85"/>
      <c r="R230" s="85"/>
      <c r="S230" s="86"/>
      <c r="T230" s="86"/>
      <c r="U230" s="86"/>
      <c r="V230" s="86"/>
      <c r="W230" s="114"/>
      <c r="X230" s="85"/>
      <c r="Y230" s="85"/>
    </row>
    <row r="231" spans="1:25" s="2" customFormat="1" ht="15" customHeight="1" x14ac:dyDescent="0.3">
      <c r="A231" s="53"/>
      <c r="B231" s="92" t="s">
        <v>159</v>
      </c>
      <c r="C231" s="122">
        <v>0</v>
      </c>
      <c r="D231" s="227">
        <v>0</v>
      </c>
      <c r="E231" s="227">
        <v>496</v>
      </c>
      <c r="F231" s="227">
        <v>46</v>
      </c>
      <c r="G231" s="227">
        <v>38</v>
      </c>
      <c r="H231" s="227">
        <v>98</v>
      </c>
      <c r="I231" s="227">
        <v>162</v>
      </c>
      <c r="J231" s="227">
        <v>530</v>
      </c>
      <c r="K231" s="122" t="s">
        <v>3</v>
      </c>
      <c r="L231" s="115" t="s">
        <v>3</v>
      </c>
      <c r="M231" s="85">
        <v>0</v>
      </c>
      <c r="N231" s="86"/>
      <c r="O231" s="85"/>
      <c r="P231" s="113"/>
      <c r="Q231" s="85"/>
      <c r="R231" s="85"/>
      <c r="S231" s="86"/>
      <c r="T231" s="86"/>
      <c r="U231" s="86"/>
      <c r="V231" s="86"/>
      <c r="W231" s="114"/>
      <c r="X231" s="85"/>
      <c r="Y231" s="85"/>
    </row>
    <row r="232" spans="1:25" s="2" customFormat="1" ht="15" customHeight="1" x14ac:dyDescent="0.3">
      <c r="A232" s="53"/>
      <c r="B232" s="92" t="s">
        <v>160</v>
      </c>
      <c r="C232" s="122">
        <v>0</v>
      </c>
      <c r="D232" s="227">
        <v>0</v>
      </c>
      <c r="E232" s="227">
        <v>198</v>
      </c>
      <c r="F232" s="227">
        <v>253</v>
      </c>
      <c r="G232" s="227">
        <v>76</v>
      </c>
      <c r="H232" s="227">
        <v>499</v>
      </c>
      <c r="I232" s="227">
        <v>298</v>
      </c>
      <c r="J232" s="227">
        <v>500</v>
      </c>
      <c r="K232" s="122" t="s">
        <v>3</v>
      </c>
      <c r="L232" s="115" t="s">
        <v>3</v>
      </c>
      <c r="M232" s="85">
        <v>1500</v>
      </c>
      <c r="N232" s="86"/>
      <c r="O232" s="85"/>
      <c r="P232" s="113"/>
      <c r="Q232" s="85"/>
      <c r="R232" s="85"/>
      <c r="S232" s="86"/>
      <c r="T232" s="86"/>
      <c r="U232" s="86"/>
      <c r="V232" s="86"/>
      <c r="W232" s="114"/>
      <c r="X232" s="85"/>
      <c r="Y232" s="85"/>
    </row>
    <row r="233" spans="1:25" s="2" customFormat="1" ht="15" customHeight="1" x14ac:dyDescent="0.3">
      <c r="A233" s="53"/>
      <c r="B233" s="92" t="s">
        <v>161</v>
      </c>
      <c r="C233" s="122">
        <v>0</v>
      </c>
      <c r="D233" s="227">
        <v>0</v>
      </c>
      <c r="E233" s="227">
        <v>0</v>
      </c>
      <c r="F233" s="227">
        <v>0</v>
      </c>
      <c r="G233" s="227">
        <v>198</v>
      </c>
      <c r="H233" s="227">
        <v>481</v>
      </c>
      <c r="I233" s="227">
        <v>2946</v>
      </c>
      <c r="J233" s="227">
        <v>1600</v>
      </c>
      <c r="K233" s="122" t="s">
        <v>3</v>
      </c>
      <c r="L233" s="115" t="s">
        <v>3</v>
      </c>
      <c r="M233" s="85">
        <v>2500</v>
      </c>
      <c r="N233" s="86"/>
      <c r="O233" s="85"/>
      <c r="P233" s="113"/>
      <c r="Q233" s="85"/>
      <c r="R233" s="85"/>
      <c r="S233" s="86"/>
      <c r="T233" s="86"/>
      <c r="U233" s="86"/>
      <c r="V233" s="86"/>
      <c r="W233" s="114"/>
      <c r="X233" s="85"/>
      <c r="Y233" s="85"/>
    </row>
    <row r="234" spans="1:25" s="2" customFormat="1" ht="15" customHeight="1" x14ac:dyDescent="0.3">
      <c r="A234" s="53"/>
      <c r="B234" s="92" t="s">
        <v>162</v>
      </c>
      <c r="C234" s="122"/>
      <c r="D234" s="227"/>
      <c r="E234" s="227"/>
      <c r="F234" s="227"/>
      <c r="G234" s="227"/>
      <c r="H234" s="227"/>
      <c r="I234" s="227"/>
      <c r="J234" s="227">
        <v>100</v>
      </c>
      <c r="K234" s="122" t="s">
        <v>3</v>
      </c>
      <c r="L234" s="115" t="s">
        <v>3</v>
      </c>
      <c r="M234" s="85">
        <v>500</v>
      </c>
      <c r="N234" s="86"/>
      <c r="O234" s="85"/>
      <c r="P234" s="113"/>
      <c r="Q234" s="85"/>
      <c r="R234" s="85"/>
      <c r="S234" s="86"/>
      <c r="T234" s="86"/>
      <c r="U234" s="86"/>
      <c r="V234" s="86"/>
      <c r="W234" s="114"/>
      <c r="X234" s="85"/>
      <c r="Y234" s="85"/>
    </row>
    <row r="235" spans="1:25" s="2" customFormat="1" ht="15" customHeight="1" x14ac:dyDescent="0.3">
      <c r="A235" s="53"/>
      <c r="B235" s="92" t="s">
        <v>163</v>
      </c>
      <c r="C235" s="122"/>
      <c r="D235" s="227"/>
      <c r="E235" s="227"/>
      <c r="F235" s="227"/>
      <c r="G235" s="227"/>
      <c r="H235" s="227"/>
      <c r="I235" s="227"/>
      <c r="J235" s="227"/>
      <c r="K235" s="122"/>
      <c r="L235" s="115" t="s">
        <v>3</v>
      </c>
      <c r="M235" s="85">
        <v>800</v>
      </c>
      <c r="N235" s="86"/>
      <c r="O235" s="85"/>
      <c r="P235" s="113"/>
      <c r="Q235" s="85"/>
      <c r="R235" s="85"/>
      <c r="S235" s="86"/>
      <c r="T235" s="86"/>
      <c r="U235" s="86"/>
      <c r="V235" s="86"/>
      <c r="W235" s="114"/>
      <c r="X235" s="85"/>
      <c r="Y235" s="85"/>
    </row>
    <row r="236" spans="1:25" s="2" customFormat="1" ht="15" customHeight="1" x14ac:dyDescent="0.3">
      <c r="A236" s="53"/>
      <c r="B236" s="92" t="s">
        <v>164</v>
      </c>
      <c r="C236" s="122"/>
      <c r="D236" s="227"/>
      <c r="E236" s="227"/>
      <c r="F236" s="227"/>
      <c r="G236" s="227"/>
      <c r="H236" s="227"/>
      <c r="I236" s="227"/>
      <c r="J236" s="227"/>
      <c r="K236" s="122"/>
      <c r="L236" s="115"/>
      <c r="M236" s="85"/>
      <c r="N236" s="86"/>
      <c r="O236" s="85"/>
      <c r="P236" s="113"/>
      <c r="Q236" s="85"/>
      <c r="R236" s="85"/>
      <c r="S236" s="86"/>
      <c r="T236" s="86"/>
      <c r="U236" s="86"/>
      <c r="V236" s="86"/>
      <c r="W236" s="114"/>
      <c r="X236" s="85"/>
      <c r="Y236" s="85"/>
    </row>
    <row r="237" spans="1:25" s="2" customFormat="1" ht="15.75" customHeight="1" x14ac:dyDescent="0.3">
      <c r="A237" s="53"/>
      <c r="B237" s="362" t="s">
        <v>3</v>
      </c>
      <c r="C237" s="227"/>
      <c r="D237" s="227"/>
      <c r="E237" s="227"/>
      <c r="F237" s="227"/>
      <c r="G237" s="227" t="s">
        <v>3</v>
      </c>
      <c r="H237" s="227"/>
      <c r="I237" s="227" t="s">
        <v>3</v>
      </c>
      <c r="J237" s="227"/>
      <c r="K237" s="122"/>
      <c r="L237" s="163"/>
      <c r="M237" s="166"/>
      <c r="N237" s="193"/>
      <c r="O237" s="166"/>
      <c r="P237" s="247"/>
      <c r="Q237" s="166"/>
      <c r="R237" s="166"/>
      <c r="S237" s="193"/>
      <c r="T237" s="193"/>
      <c r="U237" s="193"/>
      <c r="V237" s="193"/>
      <c r="W237" s="248"/>
      <c r="X237" s="166"/>
      <c r="Y237" s="166"/>
    </row>
    <row r="238" spans="1:25" s="2" customFormat="1" ht="15.75" customHeight="1" x14ac:dyDescent="0.3">
      <c r="A238" s="35" t="s">
        <v>165</v>
      </c>
      <c r="B238" s="103" t="s">
        <v>166</v>
      </c>
      <c r="C238" s="208">
        <f t="shared" ref="C238:H238" si="37">SUM(C240:C241)</f>
        <v>1202.06205</v>
      </c>
      <c r="D238" s="208">
        <f t="shared" si="37"/>
        <v>889.86321999999996</v>
      </c>
      <c r="E238" s="208">
        <f t="shared" si="37"/>
        <v>1126</v>
      </c>
      <c r="F238" s="208">
        <f t="shared" si="37"/>
        <v>4344</v>
      </c>
      <c r="G238" s="208">
        <f t="shared" si="37"/>
        <v>5343</v>
      </c>
      <c r="H238" s="208">
        <f t="shared" si="37"/>
        <v>5524</v>
      </c>
      <c r="I238" s="208">
        <f>SUM(I240+I241)</f>
        <v>7246</v>
      </c>
      <c r="J238" s="208">
        <v>6588</v>
      </c>
      <c r="K238" s="65">
        <f>SUM(K240+K241)</f>
        <v>6162</v>
      </c>
      <c r="L238" s="65">
        <v>2910</v>
      </c>
      <c r="M238" s="66">
        <f>7898551/1000</f>
        <v>7898.5510000000004</v>
      </c>
      <c r="N238" s="67"/>
      <c r="O238" s="66"/>
      <c r="P238" s="68"/>
      <c r="Q238" s="65"/>
      <c r="R238" s="65"/>
      <c r="S238" s="65"/>
      <c r="T238" s="65"/>
      <c r="U238" s="65"/>
      <c r="V238" s="66"/>
      <c r="W238" s="65"/>
      <c r="X238" s="66"/>
      <c r="Y238" s="66"/>
    </row>
    <row r="239" spans="1:25" s="2" customFormat="1" ht="15.75" customHeight="1" x14ac:dyDescent="0.3">
      <c r="A239" s="69"/>
      <c r="B239" s="70"/>
      <c r="C239" s="65"/>
      <c r="D239" s="115" t="s">
        <v>3</v>
      </c>
      <c r="E239" s="115" t="s">
        <v>3</v>
      </c>
      <c r="F239" s="352" t="s">
        <v>3</v>
      </c>
      <c r="G239" s="89" t="s">
        <v>3</v>
      </c>
      <c r="H239" s="205" t="s">
        <v>3</v>
      </c>
      <c r="I239" s="299" t="s">
        <v>3</v>
      </c>
      <c r="J239" s="347" t="s">
        <v>3</v>
      </c>
      <c r="K239" s="163" t="s">
        <v>3</v>
      </c>
      <c r="L239" s="363" t="s">
        <v>3</v>
      </c>
      <c r="M239" s="278"/>
      <c r="N239" s="279"/>
      <c r="O239" s="278"/>
      <c r="P239" s="280"/>
      <c r="Q239" s="278"/>
      <c r="R239" s="278"/>
      <c r="S239" s="279"/>
      <c r="T239" s="279"/>
      <c r="U239" s="279"/>
      <c r="V239" s="279"/>
      <c r="W239" s="281"/>
      <c r="X239" s="278"/>
      <c r="Y239" s="278"/>
    </row>
    <row r="240" spans="1:25" s="271" customFormat="1" ht="15.75" customHeight="1" x14ac:dyDescent="0.3">
      <c r="A240" s="356"/>
      <c r="B240" s="249" t="s">
        <v>167</v>
      </c>
      <c r="C240" s="220">
        <v>366.75250999999997</v>
      </c>
      <c r="D240" s="220">
        <v>512.90215000000001</v>
      </c>
      <c r="E240" s="220">
        <v>157</v>
      </c>
      <c r="F240" s="220">
        <v>211</v>
      </c>
      <c r="G240" s="220">
        <v>51</v>
      </c>
      <c r="H240" s="220">
        <v>1179</v>
      </c>
      <c r="I240" s="220">
        <v>1745</v>
      </c>
      <c r="J240" s="220" t="s">
        <v>3</v>
      </c>
      <c r="K240" s="115">
        <v>3963</v>
      </c>
      <c r="L240" s="364">
        <v>0</v>
      </c>
      <c r="M240" s="359">
        <v>0</v>
      </c>
      <c r="N240" s="360"/>
      <c r="O240" s="359"/>
      <c r="P240" s="358"/>
      <c r="Q240" s="359"/>
      <c r="R240" s="359"/>
      <c r="S240" s="360"/>
      <c r="T240" s="360"/>
      <c r="U240" s="360"/>
      <c r="V240" s="360"/>
      <c r="W240" s="361"/>
      <c r="X240" s="359"/>
      <c r="Y240" s="359"/>
    </row>
    <row r="241" spans="1:25" s="271" customFormat="1" ht="15.75" customHeight="1" x14ac:dyDescent="0.3">
      <c r="A241" s="356"/>
      <c r="B241" s="249" t="s">
        <v>168</v>
      </c>
      <c r="C241" s="115">
        <f>SUM(C242:C254)</f>
        <v>835.30953999999997</v>
      </c>
      <c r="D241" s="220">
        <v>376.96107000000001</v>
      </c>
      <c r="E241" s="220">
        <f>SUM(E242:E253)</f>
        <v>969</v>
      </c>
      <c r="F241" s="220">
        <f>SUM(F242:F253)</f>
        <v>4133</v>
      </c>
      <c r="G241" s="220">
        <f>SUM(G242:G254)</f>
        <v>5292</v>
      </c>
      <c r="H241" s="220">
        <f>SUM(H242:H254)</f>
        <v>4345</v>
      </c>
      <c r="I241" s="220">
        <v>5501</v>
      </c>
      <c r="J241" s="220" t="s">
        <v>3</v>
      </c>
      <c r="K241" s="115">
        <v>2199</v>
      </c>
      <c r="L241" s="115">
        <f>SUM(L242:L254)</f>
        <v>3710</v>
      </c>
      <c r="M241" s="85">
        <f>SUM(M242:M254)</f>
        <v>6700</v>
      </c>
      <c r="N241" s="86"/>
      <c r="O241" s="85"/>
      <c r="P241" s="113"/>
      <c r="Q241" s="85"/>
      <c r="R241" s="85"/>
      <c r="S241" s="85"/>
      <c r="T241" s="85"/>
      <c r="U241" s="85"/>
      <c r="V241" s="85"/>
      <c r="W241" s="115"/>
      <c r="X241" s="85"/>
      <c r="Y241" s="85"/>
    </row>
    <row r="242" spans="1:25" s="2" customFormat="1" ht="15" customHeight="1" x14ac:dyDescent="0.25">
      <c r="A242" s="53"/>
      <c r="B242" s="92" t="s">
        <v>169</v>
      </c>
      <c r="C242" s="227">
        <v>245.26949999999999</v>
      </c>
      <c r="D242" s="227">
        <v>0</v>
      </c>
      <c r="E242" s="227">
        <v>734</v>
      </c>
      <c r="F242" s="227">
        <v>2832</v>
      </c>
      <c r="G242" s="227">
        <v>3044</v>
      </c>
      <c r="H242" s="227">
        <v>2662</v>
      </c>
      <c r="I242" s="227">
        <v>2669</v>
      </c>
      <c r="J242" s="227">
        <v>1400</v>
      </c>
      <c r="K242" s="122" t="s">
        <v>3</v>
      </c>
      <c r="L242" s="305">
        <v>800</v>
      </c>
      <c r="M242" s="306">
        <v>840</v>
      </c>
      <c r="N242" s="307"/>
      <c r="O242" s="306"/>
      <c r="P242" s="308"/>
      <c r="Q242" s="306"/>
      <c r="R242" s="306"/>
      <c r="S242" s="307"/>
      <c r="T242" s="307"/>
      <c r="U242" s="307"/>
      <c r="V242" s="307"/>
      <c r="W242" s="309"/>
      <c r="X242" s="306"/>
      <c r="Y242" s="306"/>
    </row>
    <row r="243" spans="1:25" s="2" customFormat="1" ht="15" customHeight="1" x14ac:dyDescent="0.25">
      <c r="A243" s="53"/>
      <c r="B243" s="92" t="s">
        <v>170</v>
      </c>
      <c r="C243" s="227">
        <v>0</v>
      </c>
      <c r="D243" s="227">
        <v>0</v>
      </c>
      <c r="E243" s="227">
        <v>0</v>
      </c>
      <c r="F243" s="227">
        <v>0</v>
      </c>
      <c r="G243" s="227">
        <v>0</v>
      </c>
      <c r="H243" s="227">
        <v>0</v>
      </c>
      <c r="I243" s="227">
        <v>0</v>
      </c>
      <c r="J243" s="227">
        <v>0</v>
      </c>
      <c r="K243" s="122" t="s">
        <v>3</v>
      </c>
      <c r="L243" s="305">
        <v>0</v>
      </c>
      <c r="M243" s="306">
        <v>0</v>
      </c>
      <c r="N243" s="307"/>
      <c r="O243" s="306"/>
      <c r="P243" s="308"/>
      <c r="Q243" s="306"/>
      <c r="R243" s="306"/>
      <c r="S243" s="307"/>
      <c r="T243" s="307"/>
      <c r="U243" s="307"/>
      <c r="V243" s="307"/>
      <c r="W243" s="309"/>
      <c r="X243" s="306"/>
      <c r="Y243" s="306"/>
    </row>
    <row r="244" spans="1:25" s="2" customFormat="1" ht="15" customHeight="1" x14ac:dyDescent="0.25">
      <c r="A244" s="53"/>
      <c r="B244" s="92" t="s">
        <v>171</v>
      </c>
      <c r="C244" s="227">
        <v>182.74905000000001</v>
      </c>
      <c r="D244" s="227">
        <v>0</v>
      </c>
      <c r="E244" s="227">
        <v>27</v>
      </c>
      <c r="F244" s="227">
        <v>1018</v>
      </c>
      <c r="G244" s="227">
        <v>728</v>
      </c>
      <c r="H244" s="227">
        <v>201</v>
      </c>
      <c r="I244" s="227">
        <v>337</v>
      </c>
      <c r="J244" s="227">
        <v>100</v>
      </c>
      <c r="K244" s="122" t="s">
        <v>3</v>
      </c>
      <c r="L244" s="305">
        <v>100</v>
      </c>
      <c r="M244" s="306">
        <v>0</v>
      </c>
      <c r="N244" s="307"/>
      <c r="O244" s="306"/>
      <c r="P244" s="308"/>
      <c r="Q244" s="306"/>
      <c r="R244" s="306"/>
      <c r="S244" s="307"/>
      <c r="T244" s="307"/>
      <c r="U244" s="307"/>
      <c r="V244" s="307"/>
      <c r="W244" s="309"/>
      <c r="X244" s="306"/>
      <c r="Y244" s="306"/>
    </row>
    <row r="245" spans="1:25" s="2" customFormat="1" ht="15" customHeight="1" x14ac:dyDescent="0.25">
      <c r="A245" s="53"/>
      <c r="B245" s="92" t="s">
        <v>172</v>
      </c>
      <c r="C245" s="227"/>
      <c r="D245" s="227">
        <v>0</v>
      </c>
      <c r="E245" s="227">
        <v>62</v>
      </c>
      <c r="F245" s="227">
        <v>71</v>
      </c>
      <c r="G245" s="227">
        <v>506</v>
      </c>
      <c r="H245" s="227">
        <v>71</v>
      </c>
      <c r="I245" s="227">
        <v>20</v>
      </c>
      <c r="J245" s="227">
        <v>100</v>
      </c>
      <c r="K245" s="122" t="s">
        <v>3</v>
      </c>
      <c r="L245" s="305">
        <v>0</v>
      </c>
      <c r="M245" s="306"/>
      <c r="N245" s="307"/>
      <c r="O245" s="306"/>
      <c r="P245" s="308"/>
      <c r="Q245" s="306"/>
      <c r="R245" s="306"/>
      <c r="S245" s="307"/>
      <c r="T245" s="307"/>
      <c r="U245" s="307"/>
      <c r="V245" s="307"/>
      <c r="W245" s="309"/>
      <c r="X245" s="306"/>
      <c r="Y245" s="306"/>
    </row>
    <row r="246" spans="1:25" s="2" customFormat="1" ht="15" customHeight="1" x14ac:dyDescent="0.25">
      <c r="A246" s="53"/>
      <c r="B246" s="92" t="s">
        <v>173</v>
      </c>
      <c r="C246" s="227"/>
      <c r="D246" s="227">
        <v>0</v>
      </c>
      <c r="E246" s="227">
        <v>107</v>
      </c>
      <c r="F246" s="227">
        <v>130</v>
      </c>
      <c r="G246" s="227">
        <v>795</v>
      </c>
      <c r="H246" s="227">
        <v>196</v>
      </c>
      <c r="I246" s="227">
        <v>245</v>
      </c>
      <c r="J246" s="227">
        <v>100</v>
      </c>
      <c r="K246" s="122" t="s">
        <v>3</v>
      </c>
      <c r="L246" s="305">
        <v>0</v>
      </c>
      <c r="M246" s="306"/>
      <c r="N246" s="307"/>
      <c r="O246" s="306"/>
      <c r="P246" s="308"/>
      <c r="Q246" s="306"/>
      <c r="R246" s="306"/>
      <c r="S246" s="307"/>
      <c r="T246" s="307"/>
      <c r="U246" s="307"/>
      <c r="V246" s="307"/>
      <c r="W246" s="309"/>
      <c r="X246" s="306"/>
      <c r="Y246" s="306"/>
    </row>
    <row r="247" spans="1:25" s="2" customFormat="1" ht="15" customHeight="1" x14ac:dyDescent="0.25">
      <c r="A247" s="53"/>
      <c r="B247" s="92" t="s">
        <v>174</v>
      </c>
      <c r="C247" s="227"/>
      <c r="D247" s="227">
        <v>0</v>
      </c>
      <c r="E247" s="227">
        <v>39</v>
      </c>
      <c r="F247" s="227">
        <v>82</v>
      </c>
      <c r="G247" s="227">
        <v>40</v>
      </c>
      <c r="H247" s="227">
        <v>613</v>
      </c>
      <c r="I247" s="227">
        <v>1203</v>
      </c>
      <c r="J247" s="227">
        <v>1300</v>
      </c>
      <c r="K247" s="122" t="s">
        <v>3</v>
      </c>
      <c r="L247" s="305">
        <v>80</v>
      </c>
      <c r="M247" s="306">
        <v>350</v>
      </c>
      <c r="N247" s="307"/>
      <c r="O247" s="306"/>
      <c r="P247" s="308"/>
      <c r="Q247" s="306"/>
      <c r="R247" s="306"/>
      <c r="S247" s="307"/>
      <c r="T247" s="307"/>
      <c r="U247" s="307"/>
      <c r="V247" s="307"/>
      <c r="W247" s="309"/>
      <c r="X247" s="306"/>
      <c r="Y247" s="306"/>
    </row>
    <row r="248" spans="1:25" s="2" customFormat="1" ht="15" customHeight="1" x14ac:dyDescent="0.25">
      <c r="A248" s="53"/>
      <c r="B248" s="92" t="s">
        <v>175</v>
      </c>
      <c r="C248" s="227"/>
      <c r="D248" s="227"/>
      <c r="E248" s="227"/>
      <c r="F248" s="227"/>
      <c r="G248" s="227">
        <v>16</v>
      </c>
      <c r="H248" s="227">
        <v>297</v>
      </c>
      <c r="I248" s="227">
        <v>775</v>
      </c>
      <c r="J248" s="227">
        <v>200</v>
      </c>
      <c r="K248" s="122" t="s">
        <v>3</v>
      </c>
      <c r="L248" s="305"/>
      <c r="M248" s="306"/>
      <c r="N248" s="307"/>
      <c r="O248" s="306"/>
      <c r="P248" s="308"/>
      <c r="Q248" s="306"/>
      <c r="R248" s="306"/>
      <c r="S248" s="307"/>
      <c r="T248" s="307"/>
      <c r="U248" s="307"/>
      <c r="V248" s="307"/>
      <c r="W248" s="309"/>
      <c r="X248" s="306"/>
      <c r="Y248" s="306"/>
    </row>
    <row r="249" spans="1:25" s="2" customFormat="1" ht="15" customHeight="1" x14ac:dyDescent="0.25">
      <c r="A249" s="53"/>
      <c r="B249" s="92" t="s">
        <v>176</v>
      </c>
      <c r="C249" s="227"/>
      <c r="D249" s="227">
        <v>0</v>
      </c>
      <c r="E249" s="227">
        <v>0</v>
      </c>
      <c r="F249" s="227">
        <v>0</v>
      </c>
      <c r="G249" s="227">
        <v>0</v>
      </c>
      <c r="H249" s="227">
        <v>0</v>
      </c>
      <c r="I249" s="227">
        <v>40</v>
      </c>
      <c r="J249" s="227">
        <v>0</v>
      </c>
      <c r="K249" s="122" t="s">
        <v>3</v>
      </c>
      <c r="L249" s="305">
        <v>510</v>
      </c>
      <c r="M249" s="306">
        <v>3050</v>
      </c>
      <c r="N249" s="307"/>
      <c r="O249" s="306"/>
      <c r="P249" s="308"/>
      <c r="Q249" s="306"/>
      <c r="R249" s="306"/>
      <c r="S249" s="307"/>
      <c r="T249" s="307"/>
      <c r="U249" s="307"/>
      <c r="V249" s="307"/>
      <c r="W249" s="309"/>
      <c r="X249" s="306"/>
      <c r="Y249" s="306"/>
    </row>
    <row r="250" spans="1:25" s="2" customFormat="1" ht="15" customHeight="1" x14ac:dyDescent="0.25">
      <c r="A250" s="53"/>
      <c r="B250" s="92" t="s">
        <v>177</v>
      </c>
      <c r="C250" s="227"/>
      <c r="D250" s="227">
        <v>0</v>
      </c>
      <c r="E250" s="227">
        <v>0</v>
      </c>
      <c r="F250" s="227">
        <v>0</v>
      </c>
      <c r="G250" s="227">
        <v>0</v>
      </c>
      <c r="H250" s="227">
        <v>80</v>
      </c>
      <c r="I250" s="227">
        <v>176</v>
      </c>
      <c r="J250" s="227">
        <v>100</v>
      </c>
      <c r="K250" s="122" t="s">
        <v>3</v>
      </c>
      <c r="L250" s="305">
        <v>1120</v>
      </c>
      <c r="M250" s="306">
        <v>880</v>
      </c>
      <c r="N250" s="307"/>
      <c r="O250" s="306"/>
      <c r="P250" s="308"/>
      <c r="Q250" s="306"/>
      <c r="R250" s="306"/>
      <c r="S250" s="307"/>
      <c r="T250" s="307"/>
      <c r="U250" s="307"/>
      <c r="V250" s="307"/>
      <c r="W250" s="309"/>
      <c r="X250" s="306"/>
      <c r="Y250" s="306"/>
    </row>
    <row r="251" spans="1:25" s="2" customFormat="1" ht="15" customHeight="1" x14ac:dyDescent="0.25">
      <c r="A251" s="53"/>
      <c r="B251" s="92" t="s">
        <v>178</v>
      </c>
      <c r="C251" s="227">
        <v>407.29099000000002</v>
      </c>
      <c r="D251" s="227">
        <v>0</v>
      </c>
      <c r="E251" s="227">
        <v>0</v>
      </c>
      <c r="F251" s="227">
        <v>0</v>
      </c>
      <c r="G251" s="227">
        <v>12</v>
      </c>
      <c r="H251" s="227">
        <v>2</v>
      </c>
      <c r="I251" s="227">
        <v>6</v>
      </c>
      <c r="J251" s="227">
        <v>200</v>
      </c>
      <c r="K251" s="122" t="s">
        <v>3</v>
      </c>
      <c r="L251" s="305">
        <v>1100</v>
      </c>
      <c r="M251" s="306">
        <v>1480</v>
      </c>
      <c r="N251" s="307"/>
      <c r="O251" s="306"/>
      <c r="P251" s="308"/>
      <c r="Q251" s="306"/>
      <c r="R251" s="306"/>
      <c r="S251" s="307"/>
      <c r="T251" s="307"/>
      <c r="U251" s="307"/>
      <c r="V251" s="307"/>
      <c r="W251" s="309"/>
      <c r="X251" s="306"/>
      <c r="Y251" s="306"/>
    </row>
    <row r="252" spans="1:25" s="2" customFormat="1" ht="15" customHeight="1" x14ac:dyDescent="0.25">
      <c r="A252" s="53"/>
      <c r="B252" s="92" t="s">
        <v>179</v>
      </c>
      <c r="C252" s="227"/>
      <c r="D252" s="227"/>
      <c r="E252" s="227">
        <v>0</v>
      </c>
      <c r="F252" s="227">
        <v>0</v>
      </c>
      <c r="G252" s="227">
        <v>0</v>
      </c>
      <c r="H252" s="227">
        <v>0</v>
      </c>
      <c r="I252" s="227">
        <v>0</v>
      </c>
      <c r="J252" s="227">
        <v>0</v>
      </c>
      <c r="K252" s="122" t="s">
        <v>3</v>
      </c>
      <c r="L252" s="305">
        <v>0</v>
      </c>
      <c r="M252" s="306">
        <v>100</v>
      </c>
      <c r="N252" s="307"/>
      <c r="O252" s="306"/>
      <c r="P252" s="308"/>
      <c r="Q252" s="306"/>
      <c r="R252" s="306"/>
      <c r="S252" s="307"/>
      <c r="T252" s="307"/>
      <c r="U252" s="307"/>
      <c r="V252" s="307"/>
      <c r="W252" s="309"/>
      <c r="X252" s="306"/>
      <c r="Y252" s="306"/>
    </row>
    <row r="253" spans="1:25" s="2" customFormat="1" ht="15" customHeight="1" x14ac:dyDescent="0.25">
      <c r="A253" s="53"/>
      <c r="B253" s="92" t="s">
        <v>180</v>
      </c>
      <c r="C253" s="122">
        <v>0</v>
      </c>
      <c r="D253" s="227">
        <v>0</v>
      </c>
      <c r="E253" s="227">
        <v>0</v>
      </c>
      <c r="F253" s="227">
        <v>0</v>
      </c>
      <c r="G253" s="227">
        <v>2</v>
      </c>
      <c r="H253" s="227">
        <v>0</v>
      </c>
      <c r="I253" s="227">
        <v>0</v>
      </c>
      <c r="J253" s="227">
        <v>0</v>
      </c>
      <c r="K253" s="122" t="s">
        <v>3</v>
      </c>
      <c r="L253" s="305">
        <v>0</v>
      </c>
      <c r="M253" s="306">
        <v>0</v>
      </c>
      <c r="N253" s="307"/>
      <c r="O253" s="306"/>
      <c r="P253" s="308"/>
      <c r="Q253" s="306"/>
      <c r="R253" s="306"/>
      <c r="S253" s="307"/>
      <c r="T253" s="307"/>
      <c r="U253" s="307"/>
      <c r="V253" s="307"/>
      <c r="W253" s="309"/>
      <c r="X253" s="306"/>
      <c r="Y253" s="306"/>
    </row>
    <row r="254" spans="1:25" s="2" customFormat="1" ht="15" customHeight="1" x14ac:dyDescent="0.25">
      <c r="A254" s="53"/>
      <c r="B254" s="92" t="s">
        <v>181</v>
      </c>
      <c r="C254" s="122"/>
      <c r="D254" s="227"/>
      <c r="E254" s="227"/>
      <c r="F254" s="227"/>
      <c r="G254" s="227">
        <v>149</v>
      </c>
      <c r="H254" s="227">
        <v>223</v>
      </c>
      <c r="I254" s="227">
        <v>0</v>
      </c>
      <c r="J254" s="227">
        <v>0</v>
      </c>
      <c r="K254" s="122" t="s">
        <v>3</v>
      </c>
      <c r="L254" s="122">
        <v>0</v>
      </c>
      <c r="M254" s="125">
        <v>0</v>
      </c>
      <c r="N254" s="272"/>
      <c r="O254" s="125"/>
      <c r="P254" s="126"/>
      <c r="Q254" s="125"/>
      <c r="R254" s="125"/>
      <c r="S254" s="272"/>
      <c r="T254" s="272"/>
      <c r="U254" s="272"/>
      <c r="V254" s="272"/>
      <c r="W254" s="273"/>
      <c r="X254" s="125"/>
      <c r="Y254" s="125"/>
    </row>
    <row r="255" spans="1:25" s="2" customFormat="1" ht="15" customHeight="1" x14ac:dyDescent="0.25">
      <c r="A255" s="53"/>
      <c r="B255" s="92"/>
      <c r="C255" s="122"/>
      <c r="D255" s="227"/>
      <c r="E255" s="227"/>
      <c r="F255" s="227"/>
      <c r="G255" s="227" t="s">
        <v>3</v>
      </c>
      <c r="H255" s="227"/>
      <c r="I255" s="221" t="s">
        <v>3</v>
      </c>
      <c r="J255" s="222" t="s">
        <v>3</v>
      </c>
      <c r="K255" s="163" t="s">
        <v>3</v>
      </c>
      <c r="L255" s="365"/>
      <c r="M255" s="366"/>
      <c r="N255" s="367"/>
      <c r="O255" s="366"/>
      <c r="P255" s="368"/>
      <c r="Q255" s="366"/>
      <c r="R255" s="366"/>
      <c r="S255" s="367"/>
      <c r="T255" s="367"/>
      <c r="U255" s="367"/>
      <c r="V255" s="367"/>
      <c r="W255" s="369"/>
      <c r="X255" s="366"/>
      <c r="Y255" s="366"/>
    </row>
    <row r="256" spans="1:25" s="2" customFormat="1" ht="15.75" customHeight="1" x14ac:dyDescent="0.3">
      <c r="A256" s="35" t="s">
        <v>182</v>
      </c>
      <c r="B256" s="103" t="s">
        <v>183</v>
      </c>
      <c r="C256" s="208">
        <f>+C258+C261+C270</f>
        <v>386</v>
      </c>
      <c r="D256" s="208">
        <f t="shared" ref="D256:I256" si="38">+D258+D261+D270+D271</f>
        <v>1872.5732399999999</v>
      </c>
      <c r="E256" s="208">
        <f t="shared" si="38"/>
        <v>1615</v>
      </c>
      <c r="F256" s="208">
        <f t="shared" si="38"/>
        <v>3417</v>
      </c>
      <c r="G256" s="208">
        <f t="shared" si="38"/>
        <v>9902</v>
      </c>
      <c r="H256" s="208">
        <f t="shared" si="38"/>
        <v>13350</v>
      </c>
      <c r="I256" s="208">
        <f t="shared" si="38"/>
        <v>18609</v>
      </c>
      <c r="J256" s="208">
        <v>26158</v>
      </c>
      <c r="K256" s="65">
        <f>+K258+K261+K270+K271</f>
        <v>33096</v>
      </c>
      <c r="L256" s="65">
        <v>34897</v>
      </c>
      <c r="M256" s="66">
        <f>18964599/1000</f>
        <v>18964.598999999998</v>
      </c>
      <c r="N256" s="67"/>
      <c r="O256" s="66"/>
      <c r="P256" s="68"/>
      <c r="Q256" s="226"/>
      <c r="R256" s="66"/>
      <c r="S256" s="66"/>
      <c r="T256" s="66"/>
      <c r="U256" s="66"/>
      <c r="V256" s="66"/>
      <c r="W256" s="65"/>
      <c r="X256" s="66"/>
      <c r="Y256" s="66"/>
    </row>
    <row r="257" spans="1:25" s="2" customFormat="1" ht="15.75" customHeight="1" x14ac:dyDescent="0.3">
      <c r="A257" s="69"/>
      <c r="B257" s="70"/>
      <c r="C257" s="65"/>
      <c r="D257" s="115"/>
      <c r="E257" s="115" t="s">
        <v>3</v>
      </c>
      <c r="F257" s="352" t="s">
        <v>3</v>
      </c>
      <c r="G257" s="89" t="s">
        <v>3</v>
      </c>
      <c r="H257" s="205" t="s">
        <v>3</v>
      </c>
      <c r="I257" s="299" t="s">
        <v>3</v>
      </c>
      <c r="J257" s="347" t="s">
        <v>3</v>
      </c>
      <c r="K257" s="163" t="s">
        <v>3</v>
      </c>
      <c r="L257" s="363" t="s">
        <v>3</v>
      </c>
      <c r="M257" s="278" t="s">
        <v>3</v>
      </c>
      <c r="N257" s="279"/>
      <c r="O257" s="278"/>
      <c r="P257" s="280"/>
      <c r="Q257" s="278"/>
      <c r="R257" s="278"/>
      <c r="S257" s="279"/>
      <c r="T257" s="279"/>
      <c r="U257" s="279"/>
      <c r="V257" s="279"/>
      <c r="W257" s="281"/>
      <c r="X257" s="278"/>
      <c r="Y257" s="278"/>
    </row>
    <row r="258" spans="1:25" s="2" customFormat="1" ht="15.75" customHeight="1" x14ac:dyDescent="0.3">
      <c r="A258" s="35"/>
      <c r="B258" s="249" t="s">
        <v>184</v>
      </c>
      <c r="C258" s="220">
        <v>103</v>
      </c>
      <c r="D258" s="220">
        <v>409</v>
      </c>
      <c r="E258" s="220">
        <f>SUM(E259:E260)</f>
        <v>270</v>
      </c>
      <c r="F258" s="220">
        <f>SUM(F259:F260)</f>
        <v>1544</v>
      </c>
      <c r="G258" s="220">
        <f>SUM(G259:G260)</f>
        <v>2701</v>
      </c>
      <c r="H258" s="220">
        <f>SUM(H259:H260)</f>
        <v>488</v>
      </c>
      <c r="I258" s="220">
        <f>SUM(I259:I260)</f>
        <v>1899</v>
      </c>
      <c r="J258" s="220" t="s">
        <v>3</v>
      </c>
      <c r="K258" s="115">
        <v>1727</v>
      </c>
      <c r="L258" s="115">
        <v>3460</v>
      </c>
      <c r="M258" s="85">
        <v>3000</v>
      </c>
      <c r="N258" s="86"/>
      <c r="O258" s="85"/>
      <c r="P258" s="126"/>
      <c r="Q258" s="125"/>
      <c r="R258" s="125"/>
      <c r="S258" s="125"/>
      <c r="T258" s="125"/>
      <c r="U258" s="125"/>
      <c r="V258" s="125"/>
      <c r="W258" s="122"/>
      <c r="X258" s="125"/>
      <c r="Y258" s="125"/>
    </row>
    <row r="259" spans="1:25" s="2" customFormat="1" ht="15.75" customHeight="1" x14ac:dyDescent="0.3">
      <c r="A259" s="35"/>
      <c r="B259" s="249" t="s">
        <v>185</v>
      </c>
      <c r="C259" s="220"/>
      <c r="D259" s="220">
        <v>0</v>
      </c>
      <c r="E259" s="220">
        <v>270</v>
      </c>
      <c r="F259" s="220">
        <v>1544</v>
      </c>
      <c r="G259" s="220">
        <v>2701</v>
      </c>
      <c r="H259" s="220">
        <v>488</v>
      </c>
      <c r="I259" s="220">
        <v>1899</v>
      </c>
      <c r="J259" s="220">
        <v>3380</v>
      </c>
      <c r="K259" s="115" t="s">
        <v>3</v>
      </c>
      <c r="L259" s="364">
        <v>0</v>
      </c>
      <c r="M259" s="359">
        <v>0</v>
      </c>
      <c r="N259" s="360"/>
      <c r="O259" s="359"/>
      <c r="P259" s="308"/>
      <c r="Q259" s="306"/>
      <c r="R259" s="306"/>
      <c r="S259" s="307"/>
      <c r="T259" s="307"/>
      <c r="U259" s="307"/>
      <c r="V259" s="307"/>
      <c r="W259" s="309"/>
      <c r="X259" s="306"/>
      <c r="Y259" s="306"/>
    </row>
    <row r="260" spans="1:25" s="2" customFormat="1" ht="15.75" customHeight="1" x14ac:dyDescent="0.3">
      <c r="A260" s="35"/>
      <c r="B260" s="370" t="s">
        <v>186</v>
      </c>
      <c r="C260" s="218"/>
      <c r="D260" s="218">
        <v>0</v>
      </c>
      <c r="E260" s="218">
        <v>0</v>
      </c>
      <c r="F260" s="218">
        <v>0</v>
      </c>
      <c r="G260" s="218">
        <v>0</v>
      </c>
      <c r="H260" s="218">
        <v>0</v>
      </c>
      <c r="I260" s="218">
        <v>0</v>
      </c>
      <c r="J260" s="371">
        <v>0</v>
      </c>
      <c r="K260" s="115" t="s">
        <v>3</v>
      </c>
      <c r="L260" s="364">
        <v>2410</v>
      </c>
      <c r="M260" s="359">
        <v>3200</v>
      </c>
      <c r="N260" s="360"/>
      <c r="O260" s="359"/>
      <c r="P260" s="308"/>
      <c r="Q260" s="306"/>
      <c r="R260" s="306"/>
      <c r="S260" s="307"/>
      <c r="T260" s="307"/>
      <c r="U260" s="307"/>
      <c r="V260" s="307"/>
      <c r="W260" s="309"/>
      <c r="X260" s="306"/>
      <c r="Y260" s="306"/>
    </row>
    <row r="261" spans="1:25" s="2" customFormat="1" ht="15.75" customHeight="1" x14ac:dyDescent="0.3">
      <c r="A261" s="35"/>
      <c r="B261" s="249" t="s">
        <v>187</v>
      </c>
      <c r="C261" s="115">
        <v>243</v>
      </c>
      <c r="D261" s="270">
        <v>1310</v>
      </c>
      <c r="E261" s="269">
        <f>SUM(E262:E269)</f>
        <v>490</v>
      </c>
      <c r="F261" s="220">
        <f>SUM(F262:F269)</f>
        <v>1220</v>
      </c>
      <c r="G261" s="220">
        <f>SUM(G262:G269)</f>
        <v>6726</v>
      </c>
      <c r="H261" s="220">
        <f>SUM(H262:H269)</f>
        <v>12332</v>
      </c>
      <c r="I261" s="220">
        <f>SUM(I262:I269)</f>
        <v>16047</v>
      </c>
      <c r="J261" s="220" t="s">
        <v>3</v>
      </c>
      <c r="K261" s="115">
        <v>27695</v>
      </c>
      <c r="L261" s="115">
        <v>20000</v>
      </c>
      <c r="M261" s="85">
        <v>13000</v>
      </c>
      <c r="N261" s="86"/>
      <c r="O261" s="85"/>
      <c r="P261" s="126"/>
      <c r="Q261" s="125"/>
      <c r="R261" s="125"/>
      <c r="S261" s="125"/>
      <c r="T261" s="125"/>
      <c r="U261" s="125"/>
      <c r="V261" s="125"/>
      <c r="W261" s="122"/>
      <c r="X261" s="125"/>
      <c r="Y261" s="125"/>
    </row>
    <row r="262" spans="1:25" s="2" customFormat="1" ht="15.75" customHeight="1" x14ac:dyDescent="0.3">
      <c r="A262" s="35"/>
      <c r="B262" s="249" t="s">
        <v>188</v>
      </c>
      <c r="C262" s="115"/>
      <c r="D262" s="220">
        <v>0</v>
      </c>
      <c r="E262" s="220">
        <v>0</v>
      </c>
      <c r="F262" s="220">
        <v>0</v>
      </c>
      <c r="G262" s="220">
        <v>1793</v>
      </c>
      <c r="H262" s="220">
        <v>933</v>
      </c>
      <c r="I262" s="220">
        <v>4403</v>
      </c>
      <c r="J262" s="220">
        <v>2800</v>
      </c>
      <c r="K262" s="115" t="s">
        <v>3</v>
      </c>
      <c r="L262" s="364">
        <v>2800</v>
      </c>
      <c r="M262" s="359">
        <v>0</v>
      </c>
      <c r="N262" s="360"/>
      <c r="O262" s="359"/>
      <c r="P262" s="308"/>
      <c r="Q262" s="306"/>
      <c r="R262" s="306"/>
      <c r="S262" s="307"/>
      <c r="T262" s="307"/>
      <c r="U262" s="307"/>
      <c r="V262" s="307"/>
      <c r="W262" s="309"/>
      <c r="X262" s="306"/>
      <c r="Y262" s="306"/>
    </row>
    <row r="263" spans="1:25" s="2" customFormat="1" ht="15.75" customHeight="1" x14ac:dyDescent="0.3">
      <c r="A263" s="35"/>
      <c r="B263" s="249" t="s">
        <v>189</v>
      </c>
      <c r="C263" s="115"/>
      <c r="D263" s="220"/>
      <c r="E263" s="220"/>
      <c r="F263" s="220"/>
      <c r="G263" s="220">
        <v>313</v>
      </c>
      <c r="H263" s="220">
        <v>689</v>
      </c>
      <c r="I263" s="220">
        <v>1259</v>
      </c>
      <c r="J263" s="220">
        <v>2780</v>
      </c>
      <c r="K263" s="115" t="s">
        <v>3</v>
      </c>
      <c r="L263" s="364">
        <v>5000</v>
      </c>
      <c r="M263" s="359">
        <v>1000</v>
      </c>
      <c r="N263" s="360"/>
      <c r="O263" s="359"/>
      <c r="P263" s="308"/>
      <c r="Q263" s="306"/>
      <c r="R263" s="306"/>
      <c r="S263" s="307"/>
      <c r="T263" s="307"/>
      <c r="U263" s="307"/>
      <c r="V263" s="307"/>
      <c r="W263" s="309"/>
      <c r="X263" s="306"/>
      <c r="Y263" s="306"/>
    </row>
    <row r="264" spans="1:25" s="2" customFormat="1" ht="15.75" customHeight="1" x14ac:dyDescent="0.3">
      <c r="A264" s="35"/>
      <c r="B264" s="249" t="s">
        <v>190</v>
      </c>
      <c r="C264" s="115"/>
      <c r="D264" s="220"/>
      <c r="E264" s="220"/>
      <c r="F264" s="220">
        <v>0</v>
      </c>
      <c r="G264" s="220">
        <v>3889</v>
      </c>
      <c r="H264" s="220">
        <v>5367</v>
      </c>
      <c r="I264" s="220">
        <v>2852</v>
      </c>
      <c r="J264" s="220">
        <v>4080</v>
      </c>
      <c r="K264" s="115" t="s">
        <v>3</v>
      </c>
      <c r="L264" s="364">
        <v>2300</v>
      </c>
      <c r="M264" s="359">
        <v>0</v>
      </c>
      <c r="N264" s="360"/>
      <c r="O264" s="359"/>
      <c r="P264" s="308"/>
      <c r="Q264" s="306"/>
      <c r="R264" s="306"/>
      <c r="S264" s="307"/>
      <c r="T264" s="307"/>
      <c r="U264" s="307"/>
      <c r="V264" s="307"/>
      <c r="W264" s="309"/>
      <c r="X264" s="306"/>
      <c r="Y264" s="306"/>
    </row>
    <row r="265" spans="1:25" s="2" customFormat="1" ht="15.75" customHeight="1" x14ac:dyDescent="0.3">
      <c r="A265" s="35"/>
      <c r="B265" s="249" t="s">
        <v>191</v>
      </c>
      <c r="C265" s="115"/>
      <c r="D265" s="220"/>
      <c r="E265" s="220"/>
      <c r="F265" s="220"/>
      <c r="G265" s="220">
        <v>160</v>
      </c>
      <c r="H265" s="220">
        <v>823</v>
      </c>
      <c r="I265" s="220">
        <v>1251</v>
      </c>
      <c r="J265" s="220">
        <v>2040</v>
      </c>
      <c r="K265" s="115" t="s">
        <v>3</v>
      </c>
      <c r="L265" s="364">
        <v>7800</v>
      </c>
      <c r="M265" s="359">
        <v>5295</v>
      </c>
      <c r="N265" s="360"/>
      <c r="O265" s="359"/>
      <c r="P265" s="308"/>
      <c r="Q265" s="306"/>
      <c r="R265" s="306"/>
      <c r="S265" s="307"/>
      <c r="T265" s="307"/>
      <c r="U265" s="307"/>
      <c r="V265" s="307"/>
      <c r="W265" s="309"/>
      <c r="X265" s="306"/>
      <c r="Y265" s="306"/>
    </row>
    <row r="266" spans="1:25" s="2" customFormat="1" ht="15.75" customHeight="1" x14ac:dyDescent="0.3">
      <c r="A266" s="35"/>
      <c r="B266" s="249" t="s">
        <v>192</v>
      </c>
      <c r="C266" s="220"/>
      <c r="D266" s="220">
        <v>0</v>
      </c>
      <c r="E266" s="220">
        <v>187</v>
      </c>
      <c r="F266" s="220">
        <v>676</v>
      </c>
      <c r="G266" s="220">
        <v>0</v>
      </c>
      <c r="H266" s="220">
        <v>0</v>
      </c>
      <c r="I266" s="220">
        <v>0</v>
      </c>
      <c r="J266" s="220">
        <v>0</v>
      </c>
      <c r="K266" s="115" t="s">
        <v>3</v>
      </c>
      <c r="L266" s="364">
        <v>0</v>
      </c>
      <c r="M266" s="359">
        <v>5155</v>
      </c>
      <c r="N266" s="360"/>
      <c r="O266" s="359"/>
      <c r="P266" s="308"/>
      <c r="Q266" s="306"/>
      <c r="R266" s="306"/>
      <c r="S266" s="307"/>
      <c r="T266" s="307"/>
      <c r="U266" s="307"/>
      <c r="V266" s="307"/>
      <c r="W266" s="309"/>
      <c r="X266" s="306"/>
      <c r="Y266" s="306"/>
    </row>
    <row r="267" spans="1:25" s="2" customFormat="1" ht="15.75" customHeight="1" x14ac:dyDescent="0.3">
      <c r="A267" s="35"/>
      <c r="B267" s="249" t="s">
        <v>193</v>
      </c>
      <c r="C267" s="220"/>
      <c r="D267" s="220">
        <v>0</v>
      </c>
      <c r="E267" s="220">
        <v>0</v>
      </c>
      <c r="F267" s="220">
        <v>0</v>
      </c>
      <c r="G267" s="220">
        <v>490</v>
      </c>
      <c r="H267" s="220">
        <v>0</v>
      </c>
      <c r="I267" s="220">
        <v>0</v>
      </c>
      <c r="J267" s="220">
        <v>0</v>
      </c>
      <c r="K267" s="115" t="s">
        <v>3</v>
      </c>
      <c r="L267" s="364">
        <v>3000</v>
      </c>
      <c r="M267" s="359"/>
      <c r="N267" s="360"/>
      <c r="O267" s="359"/>
      <c r="P267" s="308"/>
      <c r="Q267" s="306"/>
      <c r="R267" s="306"/>
      <c r="S267" s="307"/>
      <c r="T267" s="307"/>
      <c r="U267" s="307"/>
      <c r="V267" s="307"/>
      <c r="W267" s="309"/>
      <c r="X267" s="306"/>
      <c r="Y267" s="306"/>
    </row>
    <row r="268" spans="1:25" s="2" customFormat="1" ht="15.75" customHeight="1" x14ac:dyDescent="0.3">
      <c r="A268" s="35"/>
      <c r="B268" s="370" t="s">
        <v>194</v>
      </c>
      <c r="C268" s="220"/>
      <c r="D268" s="220">
        <v>0</v>
      </c>
      <c r="E268" s="220">
        <v>303</v>
      </c>
      <c r="F268" s="220">
        <v>544</v>
      </c>
      <c r="G268" s="220">
        <v>81</v>
      </c>
      <c r="H268" s="220">
        <v>4520</v>
      </c>
      <c r="I268" s="220">
        <v>5870</v>
      </c>
      <c r="J268" s="220">
        <v>4100</v>
      </c>
      <c r="K268" s="115" t="s">
        <v>3</v>
      </c>
      <c r="L268" s="364">
        <v>0</v>
      </c>
      <c r="M268" s="359">
        <v>0</v>
      </c>
      <c r="N268" s="360"/>
      <c r="O268" s="359"/>
      <c r="P268" s="308"/>
      <c r="Q268" s="306"/>
      <c r="R268" s="306"/>
      <c r="S268" s="307"/>
      <c r="T268" s="307"/>
      <c r="U268" s="307"/>
      <c r="V268" s="307"/>
      <c r="W268" s="309"/>
      <c r="X268" s="306"/>
      <c r="Y268" s="306"/>
    </row>
    <row r="269" spans="1:25" s="2" customFormat="1" ht="15.75" customHeight="1" x14ac:dyDescent="0.3">
      <c r="A269" s="35"/>
      <c r="B269" s="370" t="s">
        <v>195</v>
      </c>
      <c r="C269" s="220"/>
      <c r="D269" s="220"/>
      <c r="E269" s="220">
        <v>0</v>
      </c>
      <c r="F269" s="220">
        <v>0</v>
      </c>
      <c r="G269" s="220">
        <v>0</v>
      </c>
      <c r="H269" s="220">
        <v>0</v>
      </c>
      <c r="I269" s="220">
        <v>412</v>
      </c>
      <c r="J269" s="220">
        <v>0</v>
      </c>
      <c r="K269" s="115" t="s">
        <v>3</v>
      </c>
      <c r="L269" s="364">
        <v>0</v>
      </c>
      <c r="M269" s="359">
        <v>0</v>
      </c>
      <c r="N269" s="360"/>
      <c r="O269" s="359"/>
      <c r="P269" s="308"/>
      <c r="Q269" s="306"/>
      <c r="R269" s="306"/>
      <c r="S269" s="307"/>
      <c r="T269" s="307"/>
      <c r="U269" s="307"/>
      <c r="V269" s="307"/>
      <c r="W269" s="309"/>
      <c r="X269" s="306"/>
      <c r="Y269" s="306"/>
    </row>
    <row r="270" spans="1:25" s="2" customFormat="1" ht="15.75" customHeight="1" x14ac:dyDescent="0.3">
      <c r="A270" s="35"/>
      <c r="B270" s="249" t="s">
        <v>196</v>
      </c>
      <c r="C270" s="220">
        <v>40</v>
      </c>
      <c r="D270" s="220">
        <v>153.57324</v>
      </c>
      <c r="E270" s="220">
        <v>502</v>
      </c>
      <c r="F270" s="220">
        <v>531</v>
      </c>
      <c r="G270" s="220">
        <v>0</v>
      </c>
      <c r="H270" s="220">
        <v>146</v>
      </c>
      <c r="I270" s="220">
        <v>96</v>
      </c>
      <c r="J270" s="220" t="s">
        <v>3</v>
      </c>
      <c r="K270" s="115">
        <v>3303</v>
      </c>
      <c r="L270" s="364">
        <v>2400</v>
      </c>
      <c r="M270" s="359">
        <v>2700</v>
      </c>
      <c r="N270" s="360"/>
      <c r="O270" s="359"/>
      <c r="P270" s="308"/>
      <c r="Q270" s="306"/>
      <c r="R270" s="306"/>
      <c r="S270" s="306"/>
      <c r="T270" s="306"/>
      <c r="U270" s="306"/>
      <c r="V270" s="306"/>
      <c r="W270" s="305"/>
      <c r="X270" s="306"/>
      <c r="Y270" s="306"/>
    </row>
    <row r="271" spans="1:25" s="2" customFormat="1" ht="15.75" customHeight="1" x14ac:dyDescent="0.3">
      <c r="A271" s="35"/>
      <c r="B271" s="249" t="s">
        <v>197</v>
      </c>
      <c r="C271" s="220">
        <v>0</v>
      </c>
      <c r="D271" s="220">
        <v>0</v>
      </c>
      <c r="E271" s="220">
        <v>353</v>
      </c>
      <c r="F271" s="220">
        <v>122</v>
      </c>
      <c r="G271" s="220">
        <v>475</v>
      </c>
      <c r="H271" s="220">
        <v>384</v>
      </c>
      <c r="I271" s="220">
        <v>567</v>
      </c>
      <c r="J271" s="220" t="s">
        <v>3</v>
      </c>
      <c r="K271" s="115">
        <v>371</v>
      </c>
      <c r="L271" s="364">
        <v>600</v>
      </c>
      <c r="M271" s="359">
        <v>1500</v>
      </c>
      <c r="N271" s="360"/>
      <c r="O271" s="359"/>
      <c r="P271" s="308"/>
      <c r="Q271" s="306"/>
      <c r="R271" s="306"/>
      <c r="S271" s="307"/>
      <c r="T271" s="307"/>
      <c r="U271" s="307"/>
      <c r="V271" s="307"/>
      <c r="W271" s="309"/>
      <c r="X271" s="306"/>
      <c r="Y271" s="306"/>
    </row>
    <row r="272" spans="1:25" s="2" customFormat="1" ht="15.75" customHeight="1" x14ac:dyDescent="0.3">
      <c r="A272" s="35" t="s">
        <v>3</v>
      </c>
      <c r="B272" s="70" t="s">
        <v>3</v>
      </c>
      <c r="C272" s="208"/>
      <c r="D272" s="208"/>
      <c r="E272" s="208"/>
      <c r="F272" s="208"/>
      <c r="G272" s="208"/>
      <c r="H272" s="208"/>
      <c r="I272" s="299" t="s">
        <v>3</v>
      </c>
      <c r="J272" s="244" t="s">
        <v>3</v>
      </c>
      <c r="K272" s="65" t="s">
        <v>3</v>
      </c>
      <c r="L272" s="372"/>
      <c r="M272" s="278"/>
      <c r="N272" s="279"/>
      <c r="O272" s="278"/>
      <c r="P272" s="280"/>
      <c r="Q272" s="278"/>
      <c r="R272" s="278"/>
      <c r="S272" s="279"/>
      <c r="T272" s="279"/>
      <c r="U272" s="279"/>
      <c r="V272" s="279"/>
      <c r="W272" s="281"/>
      <c r="X272" s="278"/>
      <c r="Y272" s="278"/>
    </row>
    <row r="273" spans="1:34" s="2" customFormat="1" ht="15.75" customHeight="1" x14ac:dyDescent="0.3">
      <c r="A273" s="35" t="s">
        <v>198</v>
      </c>
      <c r="B273" s="103" t="s">
        <v>199</v>
      </c>
      <c r="C273" s="208">
        <v>0</v>
      </c>
      <c r="D273" s="208">
        <v>0</v>
      </c>
      <c r="E273" s="208">
        <v>0</v>
      </c>
      <c r="F273" s="208">
        <v>0</v>
      </c>
      <c r="G273" s="208">
        <f>+G275+G276</f>
        <v>1777</v>
      </c>
      <c r="H273" s="208">
        <f>+H275+H276</f>
        <v>2651</v>
      </c>
      <c r="I273" s="208">
        <f>+I275+I276</f>
        <v>4113</v>
      </c>
      <c r="J273" s="208">
        <v>3101</v>
      </c>
      <c r="K273" s="65">
        <f>+K275+K276</f>
        <v>2227</v>
      </c>
      <c r="L273" s="65">
        <v>5913</v>
      </c>
      <c r="M273" s="66">
        <f>3835464/1000</f>
        <v>3835.4639999999999</v>
      </c>
      <c r="N273" s="67"/>
      <c r="O273" s="66"/>
      <c r="P273" s="68"/>
      <c r="Q273" s="66"/>
      <c r="R273" s="66"/>
      <c r="S273" s="66"/>
      <c r="T273" s="66"/>
      <c r="U273" s="66"/>
      <c r="V273" s="66"/>
      <c r="W273" s="65"/>
      <c r="X273" s="66"/>
      <c r="Y273" s="66"/>
    </row>
    <row r="274" spans="1:34" s="2" customFormat="1" ht="15" customHeight="1" x14ac:dyDescent="0.3">
      <c r="A274" s="69"/>
      <c r="B274" s="70"/>
      <c r="C274" s="208"/>
      <c r="D274" s="208"/>
      <c r="E274" s="208"/>
      <c r="F274" s="208"/>
      <c r="G274" s="296" t="s">
        <v>3</v>
      </c>
      <c r="H274" s="373" t="s">
        <v>3</v>
      </c>
      <c r="I274" s="225" t="s">
        <v>3</v>
      </c>
      <c r="J274" s="244" t="s">
        <v>3</v>
      </c>
      <c r="K274" s="163" t="s">
        <v>3</v>
      </c>
      <c r="L274" s="98" t="s">
        <v>3</v>
      </c>
      <c r="M274" s="166" t="s">
        <v>3</v>
      </c>
      <c r="N274" s="193"/>
      <c r="O274" s="166"/>
      <c r="P274" s="247"/>
      <c r="Q274" s="166"/>
      <c r="R274" s="166"/>
      <c r="S274" s="166"/>
      <c r="T274" s="166"/>
      <c r="U274" s="166"/>
      <c r="V274" s="166"/>
      <c r="W274" s="163"/>
      <c r="X274" s="166"/>
      <c r="Y274" s="166"/>
    </row>
    <row r="275" spans="1:34" s="271" customFormat="1" ht="15.75" customHeight="1" x14ac:dyDescent="0.3">
      <c r="A275" s="353"/>
      <c r="B275" s="249" t="s">
        <v>200</v>
      </c>
      <c r="C275" s="220"/>
      <c r="D275" s="220"/>
      <c r="E275" s="220"/>
      <c r="F275" s="220"/>
      <c r="G275" s="220">
        <v>226</v>
      </c>
      <c r="H275" s="220">
        <v>2619</v>
      </c>
      <c r="I275" s="220">
        <v>4113</v>
      </c>
      <c r="J275" s="374" t="s">
        <v>3</v>
      </c>
      <c r="K275" s="115">
        <v>2174</v>
      </c>
      <c r="L275" s="364">
        <v>1240</v>
      </c>
      <c r="M275" s="359">
        <v>1940</v>
      </c>
      <c r="N275" s="360"/>
      <c r="O275" s="359"/>
      <c r="P275" s="358"/>
      <c r="Q275" s="359"/>
      <c r="R275" s="359"/>
      <c r="S275" s="359"/>
      <c r="T275" s="359"/>
      <c r="U275" s="359"/>
      <c r="V275" s="359"/>
      <c r="W275" s="364"/>
      <c r="X275" s="359"/>
      <c r="Y275" s="359"/>
    </row>
    <row r="276" spans="1:34" s="271" customFormat="1" ht="15.75" customHeight="1" x14ac:dyDescent="0.3">
      <c r="A276" s="356"/>
      <c r="B276" s="249" t="s">
        <v>201</v>
      </c>
      <c r="C276" s="220"/>
      <c r="D276" s="220"/>
      <c r="E276" s="220"/>
      <c r="F276" s="220"/>
      <c r="G276" s="220">
        <v>1551</v>
      </c>
      <c r="H276" s="220">
        <v>32</v>
      </c>
      <c r="I276" s="220">
        <v>0</v>
      </c>
      <c r="J276" s="374" t="s">
        <v>3</v>
      </c>
      <c r="K276" s="115">
        <v>53</v>
      </c>
      <c r="L276" s="364">
        <v>1910</v>
      </c>
      <c r="M276" s="359">
        <v>860</v>
      </c>
      <c r="N276" s="360"/>
      <c r="O276" s="359"/>
      <c r="P276" s="358"/>
      <c r="Q276" s="359"/>
      <c r="R276" s="359"/>
      <c r="S276" s="359"/>
      <c r="T276" s="359"/>
      <c r="U276" s="359"/>
      <c r="V276" s="359"/>
      <c r="W276" s="364"/>
      <c r="X276" s="359"/>
      <c r="Y276" s="359"/>
    </row>
    <row r="277" spans="1:34" s="2" customFormat="1" ht="15.75" customHeight="1" x14ac:dyDescent="0.3">
      <c r="A277" s="35"/>
      <c r="B277" s="70" t="s">
        <v>3</v>
      </c>
      <c r="C277" s="208"/>
      <c r="D277" s="208"/>
      <c r="E277" s="208"/>
      <c r="F277" s="208"/>
      <c r="G277" s="208"/>
      <c r="H277" s="208"/>
      <c r="I277" s="208"/>
      <c r="J277" s="208"/>
      <c r="K277" s="65"/>
      <c r="L277" s="372" t="s">
        <v>3</v>
      </c>
      <c r="M277" s="278" t="s">
        <v>3</v>
      </c>
      <c r="N277" s="279"/>
      <c r="O277" s="278"/>
      <c r="P277" s="280"/>
      <c r="Q277" s="278"/>
      <c r="R277" s="278"/>
      <c r="S277" s="279"/>
      <c r="T277" s="279"/>
      <c r="U277" s="279"/>
      <c r="V277" s="279"/>
      <c r="W277" s="281"/>
      <c r="X277" s="278"/>
      <c r="Y277" s="278"/>
    </row>
    <row r="278" spans="1:34" s="2" customFormat="1" ht="15.75" customHeight="1" x14ac:dyDescent="0.3">
      <c r="A278" s="35" t="s">
        <v>202</v>
      </c>
      <c r="B278" s="103" t="s">
        <v>203</v>
      </c>
      <c r="C278" s="208"/>
      <c r="D278" s="208"/>
      <c r="E278" s="208"/>
      <c r="F278" s="208"/>
      <c r="G278" s="208">
        <v>1154</v>
      </c>
      <c r="H278" s="208">
        <v>2156</v>
      </c>
      <c r="I278" s="208">
        <v>2237</v>
      </c>
      <c r="J278" s="208">
        <v>2317</v>
      </c>
      <c r="K278" s="65">
        <v>1554</v>
      </c>
      <c r="L278" s="375">
        <v>508</v>
      </c>
      <c r="M278" s="274">
        <f>2472302/1000</f>
        <v>2472.3020000000001</v>
      </c>
      <c r="N278" s="275"/>
      <c r="O278" s="274"/>
      <c r="P278" s="276"/>
      <c r="Q278" s="274"/>
      <c r="R278" s="274"/>
      <c r="S278" s="275"/>
      <c r="T278" s="275"/>
      <c r="U278" s="275"/>
      <c r="V278" s="275"/>
      <c r="W278" s="277"/>
      <c r="X278" s="274"/>
      <c r="Y278" s="274"/>
    </row>
    <row r="279" spans="1:34" s="2" customFormat="1" ht="15.75" customHeight="1" x14ac:dyDescent="0.3">
      <c r="A279" s="35"/>
      <c r="B279" s="70"/>
      <c r="C279" s="208"/>
      <c r="D279" s="208"/>
      <c r="E279" s="208"/>
      <c r="F279" s="208"/>
      <c r="G279" s="208"/>
      <c r="H279" s="208"/>
      <c r="I279" s="208"/>
      <c r="J279" s="244"/>
      <c r="K279" s="65"/>
      <c r="L279" s="363" t="s">
        <v>3</v>
      </c>
      <c r="M279" s="278" t="s">
        <v>3</v>
      </c>
      <c r="N279" s="279"/>
      <c r="O279" s="278"/>
      <c r="P279" s="280"/>
      <c r="Q279" s="278"/>
      <c r="R279" s="278"/>
      <c r="S279" s="279"/>
      <c r="T279" s="279"/>
      <c r="U279" s="279"/>
      <c r="V279" s="279"/>
      <c r="W279" s="281"/>
      <c r="X279" s="278"/>
      <c r="Y279" s="278"/>
    </row>
    <row r="280" spans="1:34" s="2" customFormat="1" ht="15.75" customHeight="1" x14ac:dyDescent="0.3">
      <c r="A280" s="376" t="s">
        <v>204</v>
      </c>
      <c r="B280" s="103" t="s">
        <v>205</v>
      </c>
      <c r="C280" s="208"/>
      <c r="D280" s="208"/>
      <c r="E280" s="208"/>
      <c r="F280" s="208"/>
      <c r="G280" s="208"/>
      <c r="H280" s="208"/>
      <c r="I280" s="208">
        <v>689</v>
      </c>
      <c r="J280" s="208">
        <v>2038</v>
      </c>
      <c r="K280" s="65">
        <v>3093</v>
      </c>
      <c r="L280" s="375">
        <v>2436</v>
      </c>
      <c r="M280" s="274">
        <f>356282/1000</f>
        <v>356.28199999999998</v>
      </c>
      <c r="N280" s="275"/>
      <c r="O280" s="274"/>
      <c r="P280" s="276"/>
      <c r="Q280" s="274"/>
      <c r="R280" s="274"/>
      <c r="S280" s="275"/>
      <c r="T280" s="275"/>
      <c r="U280" s="275"/>
      <c r="V280" s="275"/>
      <c r="W280" s="277"/>
      <c r="X280" s="274"/>
      <c r="Y280" s="274"/>
    </row>
    <row r="281" spans="1:34" s="2" customFormat="1" ht="15.75" customHeight="1" x14ac:dyDescent="0.3">
      <c r="A281" s="35"/>
      <c r="B281" s="103" t="s">
        <v>206</v>
      </c>
      <c r="C281" s="208"/>
      <c r="D281" s="208"/>
      <c r="E281" s="208"/>
      <c r="F281" s="208"/>
      <c r="G281" s="208"/>
      <c r="H281" s="208"/>
      <c r="I281" s="208"/>
      <c r="J281" s="222" t="s">
        <v>3</v>
      </c>
      <c r="K281" s="163" t="s">
        <v>3</v>
      </c>
      <c r="L281" s="363" t="s">
        <v>3</v>
      </c>
      <c r="M281" s="278"/>
      <c r="N281" s="279"/>
      <c r="O281" s="278"/>
      <c r="P281" s="280"/>
      <c r="Q281" s="278"/>
      <c r="R281" s="278"/>
      <c r="S281" s="279"/>
      <c r="T281" s="279"/>
      <c r="U281" s="279"/>
      <c r="V281" s="279"/>
      <c r="W281" s="281"/>
      <c r="X281" s="278"/>
      <c r="Y281" s="278"/>
    </row>
    <row r="282" spans="1:34" s="2" customFormat="1" ht="15.75" customHeight="1" x14ac:dyDescent="0.3">
      <c r="A282" s="33"/>
      <c r="B282" s="70"/>
      <c r="C282" s="208"/>
      <c r="D282" s="208"/>
      <c r="E282" s="208"/>
      <c r="F282" s="208"/>
      <c r="G282" s="208"/>
      <c r="H282" s="208"/>
      <c r="I282" s="208"/>
      <c r="J282" s="244" t="s">
        <v>3</v>
      </c>
      <c r="K282" s="65"/>
      <c r="L282" s="363" t="s">
        <v>3</v>
      </c>
      <c r="M282" s="274"/>
      <c r="N282" s="275"/>
      <c r="O282" s="274"/>
      <c r="P282" s="276"/>
      <c r="Q282" s="274"/>
      <c r="R282" s="274"/>
      <c r="S282" s="275"/>
      <c r="T282" s="275"/>
      <c r="U282" s="275"/>
      <c r="V282" s="275"/>
      <c r="W282" s="277"/>
      <c r="X282" s="274"/>
      <c r="Y282" s="274"/>
    </row>
    <row r="283" spans="1:34" s="2" customFormat="1" ht="15.75" customHeight="1" x14ac:dyDescent="0.3">
      <c r="A283" s="377" t="s">
        <v>207</v>
      </c>
      <c r="B283" s="103" t="s">
        <v>208</v>
      </c>
      <c r="C283" s="208"/>
      <c r="D283" s="208"/>
      <c r="E283" s="208"/>
      <c r="F283" s="208"/>
      <c r="G283" s="208"/>
      <c r="H283" s="208"/>
      <c r="I283" s="208"/>
      <c r="J283" s="244"/>
      <c r="K283" s="65"/>
      <c r="L283" s="363"/>
      <c r="M283" s="274">
        <f>164461/1000</f>
        <v>164.46100000000001</v>
      </c>
      <c r="N283" s="275"/>
      <c r="O283" s="274"/>
      <c r="P283" s="276"/>
      <c r="Q283" s="274"/>
      <c r="R283" s="274"/>
      <c r="S283" s="275"/>
      <c r="T283" s="275"/>
      <c r="U283" s="275"/>
      <c r="V283" s="275"/>
      <c r="W283" s="277"/>
      <c r="X283" s="274"/>
      <c r="Y283" s="274"/>
    </row>
    <row r="284" spans="1:34" s="2" customFormat="1" ht="15.75" customHeight="1" x14ac:dyDescent="0.3">
      <c r="A284" s="377"/>
      <c r="B284" s="103"/>
      <c r="C284" s="208"/>
      <c r="D284" s="208"/>
      <c r="E284" s="208"/>
      <c r="F284" s="208"/>
      <c r="G284" s="208"/>
      <c r="H284" s="208"/>
      <c r="I284" s="208"/>
      <c r="J284" s="244"/>
      <c r="K284" s="65"/>
      <c r="L284" s="363"/>
      <c r="M284" s="378"/>
      <c r="N284" s="379"/>
      <c r="O284" s="274"/>
      <c r="P284" s="276"/>
      <c r="Q284" s="274"/>
      <c r="R284" s="274"/>
      <c r="S284" s="275"/>
      <c r="T284" s="275"/>
      <c r="U284" s="275"/>
      <c r="V284" s="275"/>
      <c r="W284" s="277"/>
      <c r="X284" s="274"/>
      <c r="Y284" s="274"/>
    </row>
    <row r="285" spans="1:34" s="2" customFormat="1" ht="15.75" customHeight="1" x14ac:dyDescent="0.3">
      <c r="A285" s="380"/>
      <c r="B285" s="381"/>
      <c r="C285" s="232"/>
      <c r="D285" s="232"/>
      <c r="E285" s="232"/>
      <c r="F285" s="232"/>
      <c r="G285" s="232"/>
      <c r="H285" s="232"/>
      <c r="I285" s="232"/>
      <c r="J285" s="382" t="s">
        <v>3</v>
      </c>
      <c r="K285" s="383"/>
      <c r="L285" s="384" t="s">
        <v>3</v>
      </c>
      <c r="M285" s="385" t="s">
        <v>3</v>
      </c>
      <c r="N285" s="386"/>
      <c r="O285" s="387" t="s">
        <v>3</v>
      </c>
      <c r="P285" s="388" t="s">
        <v>3</v>
      </c>
      <c r="Q285" s="389" t="s">
        <v>3</v>
      </c>
      <c r="R285" s="389" t="s">
        <v>3</v>
      </c>
      <c r="S285" s="389" t="s">
        <v>3</v>
      </c>
      <c r="T285" s="390" t="s">
        <v>3</v>
      </c>
      <c r="U285" s="390" t="s">
        <v>3</v>
      </c>
      <c r="V285" s="390" t="s">
        <v>3</v>
      </c>
      <c r="W285" s="391" t="s">
        <v>3</v>
      </c>
      <c r="X285" s="392" t="s">
        <v>3</v>
      </c>
      <c r="Y285" s="392"/>
    </row>
    <row r="286" spans="1:34" ht="15.75" customHeight="1" x14ac:dyDescent="0.3">
      <c r="A286" s="107"/>
      <c r="B286" s="393" t="s">
        <v>209</v>
      </c>
      <c r="C286" s="173">
        <v>4010</v>
      </c>
      <c r="D286" s="173">
        <v>2489</v>
      </c>
      <c r="E286" s="173">
        <f>SUM(E290:E308)</f>
        <v>564</v>
      </c>
      <c r="F286" s="173">
        <f>SUM(F290:F308)</f>
        <v>1900</v>
      </c>
      <c r="G286" s="173">
        <f t="shared" ref="G286:L286" si="39">SUM(G290:G311)</f>
        <v>2746</v>
      </c>
      <c r="H286" s="173">
        <f t="shared" si="39"/>
        <v>8784</v>
      </c>
      <c r="I286" s="173">
        <f t="shared" si="39"/>
        <v>8775</v>
      </c>
      <c r="J286" s="394">
        <f t="shared" si="39"/>
        <v>1121</v>
      </c>
      <c r="K286" s="94">
        <f t="shared" si="39"/>
        <v>1650</v>
      </c>
      <c r="L286" s="94">
        <f t="shared" si="39"/>
        <v>919</v>
      </c>
      <c r="M286" s="95">
        <f>872624/1000</f>
        <v>872.62400000000002</v>
      </c>
      <c r="N286" s="96">
        <f>916242.72/1000</f>
        <v>916.24271999999996</v>
      </c>
      <c r="O286" s="95">
        <f>SUM(O290:O311)+O287</f>
        <v>2090</v>
      </c>
      <c r="P286" s="97">
        <f t="shared" ref="P286:Y286" si="40">SUM(P290:P311)</f>
        <v>900</v>
      </c>
      <c r="Q286" s="95">
        <f t="shared" si="40"/>
        <v>600</v>
      </c>
      <c r="R286" s="95">
        <f t="shared" si="40"/>
        <v>1100</v>
      </c>
      <c r="S286" s="109">
        <f t="shared" si="40"/>
        <v>7800</v>
      </c>
      <c r="T286" s="109">
        <f t="shared" si="40"/>
        <v>21700</v>
      </c>
      <c r="U286" s="95">
        <f t="shared" si="40"/>
        <v>12900</v>
      </c>
      <c r="V286" s="95">
        <f t="shared" si="40"/>
        <v>8500</v>
      </c>
      <c r="W286" s="94">
        <f t="shared" si="40"/>
        <v>7500</v>
      </c>
      <c r="X286" s="95">
        <f t="shared" si="40"/>
        <v>500</v>
      </c>
      <c r="Y286" s="95">
        <f t="shared" si="40"/>
        <v>500</v>
      </c>
      <c r="AH286" s="395"/>
    </row>
    <row r="287" spans="1:34" ht="15.75" customHeight="1" x14ac:dyDescent="0.3">
      <c r="A287" s="90"/>
      <c r="B287" s="70"/>
      <c r="C287" s="173"/>
      <c r="D287" s="173"/>
      <c r="E287" s="396"/>
      <c r="F287" s="173"/>
      <c r="G287" s="173"/>
      <c r="H287" s="173"/>
      <c r="I287" s="173"/>
      <c r="J287" s="173"/>
      <c r="K287" s="94"/>
      <c r="L287" s="94"/>
      <c r="M287" s="95"/>
      <c r="N287" s="96"/>
      <c r="O287" s="72">
        <v>590</v>
      </c>
      <c r="P287" s="97"/>
      <c r="Q287" s="95"/>
      <c r="R287" s="95"/>
      <c r="S287" s="109"/>
      <c r="T287" s="109"/>
      <c r="U287" s="95"/>
      <c r="V287" s="95"/>
      <c r="W287" s="94"/>
      <c r="X287" s="95"/>
      <c r="Y287" s="95"/>
    </row>
    <row r="288" spans="1:34" ht="15" customHeight="1" x14ac:dyDescent="0.3">
      <c r="A288" s="33"/>
      <c r="B288" s="73"/>
      <c r="C288" s="74"/>
      <c r="D288" s="74"/>
      <c r="E288" s="2"/>
      <c r="F288" s="75"/>
      <c r="G288" s="75"/>
      <c r="H288" s="75"/>
      <c r="I288" s="75"/>
      <c r="J288" s="75"/>
      <c r="K288" s="76"/>
      <c r="L288" s="77"/>
      <c r="M288" s="78"/>
      <c r="N288" s="78"/>
      <c r="O288" s="79"/>
      <c r="P288" s="80">
        <v>900</v>
      </c>
      <c r="Q288" s="81">
        <v>600</v>
      </c>
      <c r="R288" s="81">
        <v>1100</v>
      </c>
      <c r="S288" s="81">
        <v>2800</v>
      </c>
      <c r="T288" s="81">
        <v>16700</v>
      </c>
      <c r="U288" s="81">
        <v>12900</v>
      </c>
      <c r="V288" s="81">
        <v>8500</v>
      </c>
      <c r="W288" s="82">
        <v>7500</v>
      </c>
      <c r="X288" s="81">
        <v>500</v>
      </c>
      <c r="Y288" s="81">
        <v>500</v>
      </c>
    </row>
    <row r="289" spans="1:25" ht="15" customHeight="1" x14ac:dyDescent="0.3">
      <c r="A289" s="33"/>
      <c r="B289" s="73"/>
      <c r="C289" s="74"/>
      <c r="D289" s="74"/>
      <c r="E289" s="2"/>
      <c r="F289" s="75"/>
      <c r="G289" s="75"/>
      <c r="H289" s="75"/>
      <c r="I289" s="75"/>
      <c r="J289" s="75"/>
      <c r="K289" s="76"/>
      <c r="L289" s="77"/>
      <c r="M289" s="78"/>
      <c r="N289" s="78"/>
      <c r="O289" s="79"/>
      <c r="P289" s="80">
        <f t="shared" ref="P289:X289" si="41">P286-P288</f>
        <v>0</v>
      </c>
      <c r="Q289" s="81">
        <f t="shared" si="41"/>
        <v>0</v>
      </c>
      <c r="R289" s="81">
        <f t="shared" si="41"/>
        <v>0</v>
      </c>
      <c r="S289" s="81">
        <f t="shared" si="41"/>
        <v>5000</v>
      </c>
      <c r="T289" s="81">
        <f t="shared" si="41"/>
        <v>5000</v>
      </c>
      <c r="U289" s="81">
        <f t="shared" si="41"/>
        <v>0</v>
      </c>
      <c r="V289" s="81">
        <f t="shared" si="41"/>
        <v>0</v>
      </c>
      <c r="W289" s="82">
        <f t="shared" si="41"/>
        <v>0</v>
      </c>
      <c r="X289" s="81">
        <f t="shared" si="41"/>
        <v>0</v>
      </c>
      <c r="Y289" s="81"/>
    </row>
    <row r="290" spans="1:25" ht="15" x14ac:dyDescent="0.25">
      <c r="A290" s="51"/>
      <c r="B290" s="52" t="s">
        <v>210</v>
      </c>
      <c r="C290" s="227">
        <v>0</v>
      </c>
      <c r="D290" s="227">
        <v>0</v>
      </c>
      <c r="E290" s="227">
        <v>0</v>
      </c>
      <c r="F290" s="227">
        <v>0</v>
      </c>
      <c r="G290" s="227">
        <v>0</v>
      </c>
      <c r="H290" s="227">
        <v>21</v>
      </c>
      <c r="I290" s="227">
        <v>2685</v>
      </c>
      <c r="J290" s="227">
        <v>652</v>
      </c>
      <c r="K290" s="122">
        <v>41</v>
      </c>
      <c r="L290" s="55"/>
      <c r="M290" s="56"/>
      <c r="N290" s="57"/>
      <c r="O290" s="58"/>
      <c r="P290" s="59"/>
      <c r="Q290" s="58"/>
      <c r="R290" s="58"/>
      <c r="S290" s="93"/>
      <c r="T290" s="93"/>
      <c r="U290" s="93"/>
      <c r="V290" s="93"/>
      <c r="W290" s="228"/>
      <c r="X290" s="58"/>
      <c r="Y290" s="58"/>
    </row>
    <row r="291" spans="1:25" ht="15" x14ac:dyDescent="0.25">
      <c r="A291" s="53"/>
      <c r="B291" s="92" t="s">
        <v>211</v>
      </c>
      <c r="C291" s="227">
        <v>0</v>
      </c>
      <c r="D291" s="227">
        <v>0</v>
      </c>
      <c r="E291" s="227">
        <v>0</v>
      </c>
      <c r="F291" s="227">
        <v>0</v>
      </c>
      <c r="G291" s="227">
        <v>0</v>
      </c>
      <c r="H291" s="227">
        <v>6</v>
      </c>
      <c r="I291" s="227">
        <v>399</v>
      </c>
      <c r="J291" s="227">
        <v>57</v>
      </c>
      <c r="K291" s="122">
        <v>0</v>
      </c>
      <c r="L291" s="55"/>
      <c r="M291" s="56"/>
      <c r="N291" s="57"/>
      <c r="O291" s="58"/>
      <c r="P291" s="59"/>
      <c r="Q291" s="58"/>
      <c r="R291" s="58"/>
      <c r="S291" s="93"/>
      <c r="T291" s="93"/>
      <c r="U291" s="93"/>
      <c r="V291" s="93"/>
      <c r="W291" s="228"/>
      <c r="X291" s="58"/>
      <c r="Y291" s="58"/>
    </row>
    <row r="292" spans="1:25" ht="15" x14ac:dyDescent="0.25">
      <c r="A292" s="51"/>
      <c r="B292" s="52" t="s">
        <v>212</v>
      </c>
      <c r="C292" s="227">
        <v>0</v>
      </c>
      <c r="D292" s="227">
        <v>0</v>
      </c>
      <c r="E292" s="227">
        <v>559</v>
      </c>
      <c r="F292" s="227">
        <v>1900</v>
      </c>
      <c r="G292" s="227">
        <v>2630</v>
      </c>
      <c r="H292" s="227">
        <v>8599</v>
      </c>
      <c r="I292" s="227">
        <v>4149</v>
      </c>
      <c r="J292" s="227">
        <v>0</v>
      </c>
      <c r="K292" s="122">
        <v>0</v>
      </c>
      <c r="L292" s="55">
        <v>3</v>
      </c>
      <c r="M292" s="56"/>
      <c r="N292" s="57"/>
      <c r="O292" s="58"/>
      <c r="P292" s="59"/>
      <c r="Q292" s="58"/>
      <c r="R292" s="58"/>
      <c r="S292" s="93"/>
      <c r="T292" s="93"/>
      <c r="U292" s="93"/>
      <c r="V292" s="93"/>
      <c r="W292" s="228"/>
      <c r="X292" s="58"/>
      <c r="Y292" s="58"/>
    </row>
    <row r="293" spans="1:25" ht="15" x14ac:dyDescent="0.25">
      <c r="A293" s="51"/>
      <c r="B293" s="52" t="s">
        <v>213</v>
      </c>
      <c r="C293" s="227">
        <v>0</v>
      </c>
      <c r="D293" s="227">
        <v>0</v>
      </c>
      <c r="E293" s="227">
        <v>0</v>
      </c>
      <c r="F293" s="227">
        <v>0</v>
      </c>
      <c r="G293" s="227">
        <v>0</v>
      </c>
      <c r="H293" s="227">
        <v>0</v>
      </c>
      <c r="I293" s="227">
        <v>0</v>
      </c>
      <c r="J293" s="227">
        <v>0</v>
      </c>
      <c r="K293" s="122">
        <v>0</v>
      </c>
      <c r="L293" s="55">
        <v>0</v>
      </c>
      <c r="M293" s="56"/>
      <c r="N293" s="57"/>
      <c r="O293" s="58">
        <v>200</v>
      </c>
      <c r="P293" s="397"/>
      <c r="Q293" s="398"/>
      <c r="R293" s="399"/>
      <c r="S293" s="400">
        <v>5000</v>
      </c>
      <c r="T293" s="123">
        <v>5000</v>
      </c>
      <c r="U293" s="125"/>
      <c r="V293" s="125"/>
      <c r="W293" s="272"/>
      <c r="X293" s="125"/>
      <c r="Y293" s="125"/>
    </row>
    <row r="294" spans="1:25" ht="15" x14ac:dyDescent="0.25">
      <c r="A294" s="51"/>
      <c r="B294" s="52" t="s">
        <v>214</v>
      </c>
      <c r="C294" s="227">
        <v>0</v>
      </c>
      <c r="D294" s="227">
        <v>0</v>
      </c>
      <c r="E294" s="227">
        <v>5</v>
      </c>
      <c r="F294" s="227">
        <v>0</v>
      </c>
      <c r="G294" s="227">
        <v>0</v>
      </c>
      <c r="H294" s="227">
        <v>0</v>
      </c>
      <c r="I294" s="227">
        <v>0</v>
      </c>
      <c r="J294" s="227">
        <v>0</v>
      </c>
      <c r="K294" s="122">
        <v>0</v>
      </c>
      <c r="L294" s="122">
        <v>0</v>
      </c>
      <c r="M294" s="123"/>
      <c r="N294" s="124"/>
      <c r="O294" s="125" t="s">
        <v>3</v>
      </c>
      <c r="P294" s="126" t="s">
        <v>3</v>
      </c>
      <c r="Q294" s="125" t="s">
        <v>3</v>
      </c>
      <c r="R294" s="125"/>
      <c r="S294" s="272"/>
      <c r="T294" s="272"/>
      <c r="U294" s="272"/>
      <c r="V294" s="272"/>
      <c r="W294" s="273"/>
      <c r="X294" s="125"/>
      <c r="Y294" s="125"/>
    </row>
    <row r="295" spans="1:25" ht="15" x14ac:dyDescent="0.25">
      <c r="A295" s="51"/>
      <c r="B295" s="52" t="s">
        <v>215</v>
      </c>
      <c r="C295" s="227"/>
      <c r="D295" s="227"/>
      <c r="E295" s="227"/>
      <c r="F295" s="227"/>
      <c r="G295" s="227"/>
      <c r="H295" s="227"/>
      <c r="I295" s="227"/>
      <c r="J295" s="227"/>
      <c r="K295" s="122"/>
      <c r="L295" s="122"/>
      <c r="M295" s="123"/>
      <c r="N295" s="124"/>
      <c r="O295" s="125"/>
      <c r="P295" s="126"/>
      <c r="Q295" s="125"/>
      <c r="R295" s="125"/>
      <c r="S295" s="272"/>
      <c r="T295" s="272"/>
      <c r="U295" s="272"/>
      <c r="V295" s="272"/>
      <c r="W295" s="273"/>
      <c r="X295" s="125"/>
      <c r="Y295" s="125"/>
    </row>
    <row r="296" spans="1:25" ht="15" x14ac:dyDescent="0.25">
      <c r="A296" s="51"/>
      <c r="B296" s="52" t="s">
        <v>216</v>
      </c>
      <c r="C296" s="227">
        <v>0</v>
      </c>
      <c r="D296" s="227">
        <v>0</v>
      </c>
      <c r="E296" s="227">
        <v>0</v>
      </c>
      <c r="F296" s="227">
        <v>0</v>
      </c>
      <c r="G296" s="227">
        <v>0</v>
      </c>
      <c r="H296" s="227">
        <v>0</v>
      </c>
      <c r="I296" s="227">
        <v>0</v>
      </c>
      <c r="J296" s="227">
        <v>0</v>
      </c>
      <c r="K296" s="122">
        <v>39</v>
      </c>
      <c r="L296" s="122">
        <v>108</v>
      </c>
      <c r="M296" s="123"/>
      <c r="N296" s="124"/>
      <c r="O296" s="125">
        <v>200</v>
      </c>
      <c r="P296" s="126"/>
      <c r="Q296" s="125"/>
      <c r="R296" s="125"/>
      <c r="S296" s="401"/>
      <c r="T296" s="401"/>
      <c r="U296" s="272" t="s">
        <v>3</v>
      </c>
      <c r="V296" s="272">
        <v>5000</v>
      </c>
      <c r="W296" s="273">
        <v>5000</v>
      </c>
      <c r="X296" s="125"/>
      <c r="Y296" s="125"/>
    </row>
    <row r="297" spans="1:25" ht="15" x14ac:dyDescent="0.25">
      <c r="A297" s="51"/>
      <c r="B297" s="52" t="s">
        <v>217</v>
      </c>
      <c r="C297" s="227">
        <v>0</v>
      </c>
      <c r="D297" s="227">
        <v>0</v>
      </c>
      <c r="E297" s="227">
        <v>0</v>
      </c>
      <c r="F297" s="227">
        <v>0</v>
      </c>
      <c r="G297" s="227">
        <v>0</v>
      </c>
      <c r="H297" s="227">
        <v>0</v>
      </c>
      <c r="I297" s="227">
        <v>399</v>
      </c>
      <c r="J297" s="227">
        <v>0</v>
      </c>
      <c r="K297" s="122">
        <v>0</v>
      </c>
      <c r="L297" s="122">
        <v>0</v>
      </c>
      <c r="M297" s="123"/>
      <c r="N297" s="124"/>
      <c r="O297" s="125"/>
      <c r="P297" s="126"/>
      <c r="Q297" s="125"/>
      <c r="R297" s="125"/>
      <c r="S297" s="272"/>
      <c r="T297" s="272"/>
      <c r="U297" s="272"/>
      <c r="V297" s="272"/>
      <c r="W297" s="273"/>
      <c r="X297" s="125"/>
      <c r="Y297" s="125"/>
    </row>
    <row r="298" spans="1:25" ht="15" x14ac:dyDescent="0.25">
      <c r="A298" s="51"/>
      <c r="B298" s="402" t="s">
        <v>218</v>
      </c>
      <c r="C298" s="227">
        <v>0</v>
      </c>
      <c r="D298" s="227">
        <v>0</v>
      </c>
      <c r="E298" s="227">
        <v>0</v>
      </c>
      <c r="F298" s="227">
        <v>0</v>
      </c>
      <c r="G298" s="227">
        <v>0</v>
      </c>
      <c r="H298" s="227">
        <v>0</v>
      </c>
      <c r="I298" s="227">
        <v>0</v>
      </c>
      <c r="J298" s="227">
        <v>0</v>
      </c>
      <c r="K298" s="122">
        <v>0</v>
      </c>
      <c r="L298" s="122">
        <v>101</v>
      </c>
      <c r="M298" s="123"/>
      <c r="N298" s="124"/>
      <c r="O298" s="125">
        <v>200</v>
      </c>
      <c r="P298" s="126"/>
      <c r="Q298" s="399"/>
      <c r="R298" s="399"/>
      <c r="S298" s="272"/>
      <c r="T298" s="272"/>
      <c r="U298" s="125"/>
      <c r="V298" s="272"/>
      <c r="W298" s="272"/>
      <c r="X298" s="125" t="s">
        <v>3</v>
      </c>
      <c r="Y298" s="125"/>
    </row>
    <row r="299" spans="1:25" ht="15" x14ac:dyDescent="0.25">
      <c r="A299" s="51"/>
      <c r="B299" s="92" t="s">
        <v>219</v>
      </c>
      <c r="C299" s="227">
        <v>0</v>
      </c>
      <c r="D299" s="227">
        <v>0</v>
      </c>
      <c r="E299" s="227">
        <v>0</v>
      </c>
      <c r="F299" s="227">
        <v>0</v>
      </c>
      <c r="G299" s="227">
        <v>0</v>
      </c>
      <c r="H299" s="227">
        <v>0</v>
      </c>
      <c r="I299" s="227">
        <v>0</v>
      </c>
      <c r="J299" s="227">
        <v>0</v>
      </c>
      <c r="K299" s="122">
        <v>0</v>
      </c>
      <c r="L299" s="122"/>
      <c r="M299" s="123"/>
      <c r="N299" s="124"/>
      <c r="O299" s="125"/>
      <c r="P299" s="126"/>
      <c r="Q299" s="125"/>
      <c r="R299" s="125"/>
      <c r="S299" s="272"/>
      <c r="T299" s="272"/>
      <c r="U299" s="272" t="s">
        <v>3</v>
      </c>
      <c r="V299" s="272" t="s">
        <v>3</v>
      </c>
      <c r="W299" s="273"/>
      <c r="X299" s="125"/>
      <c r="Y299" s="125"/>
    </row>
    <row r="300" spans="1:25" ht="15.6" x14ac:dyDescent="0.3">
      <c r="A300" s="267"/>
      <c r="B300" s="92" t="s">
        <v>220</v>
      </c>
      <c r="C300" s="227">
        <v>0</v>
      </c>
      <c r="D300" s="227">
        <v>0</v>
      </c>
      <c r="E300" s="227">
        <v>0</v>
      </c>
      <c r="F300" s="227">
        <v>0</v>
      </c>
      <c r="G300" s="227">
        <v>0</v>
      </c>
      <c r="H300" s="227">
        <v>0</v>
      </c>
      <c r="I300" s="227">
        <v>0</v>
      </c>
      <c r="J300" s="227">
        <v>0</v>
      </c>
      <c r="K300" s="122">
        <v>0</v>
      </c>
      <c r="L300" s="122">
        <v>30</v>
      </c>
      <c r="M300" s="123"/>
      <c r="N300" s="124"/>
      <c r="O300" s="125">
        <v>500</v>
      </c>
      <c r="P300" s="126">
        <v>500</v>
      </c>
      <c r="Q300" s="125"/>
      <c r="R300" s="399"/>
      <c r="S300" s="399"/>
      <c r="T300" s="401">
        <f>11200+2200</f>
        <v>13400</v>
      </c>
      <c r="U300" s="272">
        <f>10400+2200</f>
        <v>12600</v>
      </c>
      <c r="V300" s="272" t="s">
        <v>3</v>
      </c>
      <c r="W300" s="273"/>
      <c r="X300" s="125"/>
      <c r="Y300" s="125"/>
    </row>
    <row r="301" spans="1:25" ht="15" x14ac:dyDescent="0.25">
      <c r="A301" s="51"/>
      <c r="B301" s="52" t="s">
        <v>221</v>
      </c>
      <c r="C301" s="227">
        <v>0</v>
      </c>
      <c r="D301" s="227">
        <v>0</v>
      </c>
      <c r="E301" s="227">
        <v>0</v>
      </c>
      <c r="F301" s="227">
        <v>0</v>
      </c>
      <c r="G301" s="227">
        <v>0</v>
      </c>
      <c r="H301" s="227">
        <v>0</v>
      </c>
      <c r="I301" s="227">
        <v>0</v>
      </c>
      <c r="J301" s="227">
        <v>15</v>
      </c>
      <c r="K301" s="122">
        <v>0</v>
      </c>
      <c r="L301" s="122">
        <v>384</v>
      </c>
      <c r="M301" s="123"/>
      <c r="N301" s="124"/>
      <c r="O301" s="125"/>
      <c r="P301" s="126"/>
      <c r="Q301" s="125"/>
      <c r="R301" s="125"/>
      <c r="S301" s="272"/>
      <c r="T301" s="272"/>
      <c r="U301" s="272"/>
      <c r="V301" s="272"/>
      <c r="W301" s="273"/>
      <c r="X301" s="125"/>
      <c r="Y301" s="125"/>
    </row>
    <row r="302" spans="1:25" ht="15" x14ac:dyDescent="0.25">
      <c r="A302" s="51"/>
      <c r="B302" s="52" t="s">
        <v>222</v>
      </c>
      <c r="C302" s="227"/>
      <c r="D302" s="227"/>
      <c r="E302" s="227"/>
      <c r="F302" s="227"/>
      <c r="G302" s="227"/>
      <c r="H302" s="403"/>
      <c r="I302" s="227"/>
      <c r="J302" s="227"/>
      <c r="K302" s="122">
        <v>798</v>
      </c>
      <c r="L302" s="122"/>
      <c r="M302" s="123"/>
      <c r="N302" s="124"/>
      <c r="O302" s="125"/>
      <c r="P302" s="126" t="s">
        <v>3</v>
      </c>
      <c r="Q302" s="125" t="s">
        <v>3</v>
      </c>
      <c r="R302" s="125" t="s">
        <v>3</v>
      </c>
      <c r="S302" s="272" t="s">
        <v>3</v>
      </c>
      <c r="T302" s="272" t="s">
        <v>3</v>
      </c>
      <c r="U302" s="272" t="s">
        <v>3</v>
      </c>
      <c r="V302" s="272" t="s">
        <v>3</v>
      </c>
      <c r="W302" s="273" t="s">
        <v>3</v>
      </c>
      <c r="X302" s="125"/>
      <c r="Y302" s="125"/>
    </row>
    <row r="303" spans="1:25" ht="15" x14ac:dyDescent="0.25">
      <c r="A303" s="53"/>
      <c r="B303" s="92" t="s">
        <v>223</v>
      </c>
      <c r="C303" s="227">
        <v>0</v>
      </c>
      <c r="D303" s="227">
        <v>0</v>
      </c>
      <c r="E303" s="227">
        <v>0</v>
      </c>
      <c r="F303" s="227">
        <v>0</v>
      </c>
      <c r="G303" s="227">
        <v>0</v>
      </c>
      <c r="H303" s="227">
        <v>26</v>
      </c>
      <c r="I303" s="227">
        <v>702</v>
      </c>
      <c r="J303" s="227">
        <v>68</v>
      </c>
      <c r="K303" s="122">
        <v>8</v>
      </c>
      <c r="L303" s="122"/>
      <c r="M303" s="123"/>
      <c r="N303" s="124"/>
      <c r="O303" s="125"/>
      <c r="P303" s="126"/>
      <c r="Q303" s="125"/>
      <c r="R303" s="125"/>
      <c r="S303" s="272"/>
      <c r="T303" s="272"/>
      <c r="U303" s="272"/>
      <c r="V303" s="272"/>
      <c r="W303" s="273"/>
      <c r="X303" s="125"/>
      <c r="Y303" s="125"/>
    </row>
    <row r="304" spans="1:25" ht="15" x14ac:dyDescent="0.25">
      <c r="A304" s="53"/>
      <c r="B304" s="92" t="s">
        <v>224</v>
      </c>
      <c r="C304" s="227"/>
      <c r="D304" s="227"/>
      <c r="E304" s="227"/>
      <c r="F304" s="227"/>
      <c r="G304" s="227"/>
      <c r="H304" s="227"/>
      <c r="I304" s="227"/>
      <c r="J304" s="227"/>
      <c r="K304" s="122"/>
      <c r="L304" s="122"/>
      <c r="M304" s="123"/>
      <c r="N304" s="124"/>
      <c r="O304" s="125">
        <v>100</v>
      </c>
      <c r="P304" s="126"/>
      <c r="Q304" s="125">
        <v>300</v>
      </c>
      <c r="R304" s="125">
        <v>300</v>
      </c>
      <c r="S304" s="272">
        <v>2500</v>
      </c>
      <c r="T304" s="272">
        <v>2500</v>
      </c>
      <c r="U304" s="272"/>
      <c r="V304" s="272"/>
      <c r="W304" s="273"/>
      <c r="X304" s="125"/>
      <c r="Y304" s="125"/>
    </row>
    <row r="305" spans="1:25" ht="15" x14ac:dyDescent="0.25">
      <c r="A305" s="53"/>
      <c r="B305" s="92" t="s">
        <v>225</v>
      </c>
      <c r="C305" s="227">
        <v>0</v>
      </c>
      <c r="D305" s="227">
        <v>0</v>
      </c>
      <c r="E305" s="227">
        <v>0</v>
      </c>
      <c r="F305" s="227">
        <v>0</v>
      </c>
      <c r="G305" s="227">
        <v>0</v>
      </c>
      <c r="H305" s="227">
        <v>0</v>
      </c>
      <c r="I305" s="227">
        <v>0</v>
      </c>
      <c r="J305" s="227">
        <v>0</v>
      </c>
      <c r="K305" s="122">
        <v>0</v>
      </c>
      <c r="L305" s="122" t="s">
        <v>3</v>
      </c>
      <c r="M305" s="123"/>
      <c r="N305" s="124"/>
      <c r="O305" s="125" t="s">
        <v>3</v>
      </c>
      <c r="P305" s="126"/>
      <c r="Q305" s="125"/>
      <c r="R305" s="125"/>
      <c r="S305" s="272"/>
      <c r="T305" s="272"/>
      <c r="U305" s="272" t="s">
        <v>3</v>
      </c>
      <c r="V305" s="272">
        <v>2000</v>
      </c>
      <c r="W305" s="273">
        <v>2000</v>
      </c>
      <c r="X305" s="125"/>
      <c r="Y305" s="125"/>
    </row>
    <row r="306" spans="1:25" ht="15" x14ac:dyDescent="0.25">
      <c r="A306" s="53"/>
      <c r="B306" s="92" t="s">
        <v>226</v>
      </c>
      <c r="C306" s="227"/>
      <c r="D306" s="227"/>
      <c r="E306" s="227"/>
      <c r="F306" s="227">
        <v>0</v>
      </c>
      <c r="G306" s="227">
        <v>0</v>
      </c>
      <c r="H306" s="227">
        <v>0</v>
      </c>
      <c r="I306" s="227">
        <v>300</v>
      </c>
      <c r="J306" s="227">
        <v>293</v>
      </c>
      <c r="K306" s="122">
        <v>703</v>
      </c>
      <c r="L306" s="122">
        <v>191</v>
      </c>
      <c r="M306" s="123"/>
      <c r="N306" s="124"/>
      <c r="O306" s="125"/>
      <c r="P306" s="126"/>
      <c r="Q306" s="125"/>
      <c r="R306" s="125"/>
      <c r="S306" s="272"/>
      <c r="T306" s="272"/>
      <c r="U306" s="272"/>
      <c r="V306" s="272"/>
      <c r="W306" s="273"/>
      <c r="X306" s="125"/>
      <c r="Y306" s="125"/>
    </row>
    <row r="307" spans="1:25" ht="15" x14ac:dyDescent="0.25">
      <c r="A307" s="53"/>
      <c r="B307" s="92" t="s">
        <v>227</v>
      </c>
      <c r="C307" s="227"/>
      <c r="D307" s="227"/>
      <c r="E307" s="227"/>
      <c r="F307" s="227"/>
      <c r="G307" s="227"/>
      <c r="H307" s="227"/>
      <c r="I307" s="227"/>
      <c r="J307" s="227"/>
      <c r="K307" s="122"/>
      <c r="L307" s="122">
        <v>0</v>
      </c>
      <c r="M307" s="123"/>
      <c r="N307" s="124"/>
      <c r="O307" s="125"/>
      <c r="P307" s="404"/>
      <c r="Q307" s="125"/>
      <c r="R307" s="125"/>
      <c r="S307" s="272"/>
      <c r="T307" s="272">
        <v>500</v>
      </c>
      <c r="U307" s="272"/>
      <c r="V307" s="272"/>
      <c r="W307" s="273"/>
      <c r="X307" s="125"/>
      <c r="Y307" s="125"/>
    </row>
    <row r="308" spans="1:25" ht="15" x14ac:dyDescent="0.25">
      <c r="A308" s="53"/>
      <c r="B308" s="92" t="s">
        <v>228</v>
      </c>
      <c r="C308" s="227">
        <v>0</v>
      </c>
      <c r="D308" s="227">
        <v>0</v>
      </c>
      <c r="E308" s="227">
        <v>0</v>
      </c>
      <c r="F308" s="227">
        <v>0</v>
      </c>
      <c r="G308" s="227">
        <v>0</v>
      </c>
      <c r="H308" s="227">
        <v>0</v>
      </c>
      <c r="I308" s="227">
        <v>0</v>
      </c>
      <c r="J308" s="227">
        <v>0</v>
      </c>
      <c r="K308" s="122"/>
      <c r="L308" s="122">
        <v>0</v>
      </c>
      <c r="M308" s="123"/>
      <c r="N308" s="124"/>
      <c r="O308" s="125">
        <v>0</v>
      </c>
      <c r="P308" s="404">
        <v>100</v>
      </c>
      <c r="Q308" s="125" t="s">
        <v>3</v>
      </c>
      <c r="R308" s="125">
        <v>500</v>
      </c>
      <c r="S308" s="272"/>
      <c r="T308" s="272"/>
      <c r="U308" s="272"/>
      <c r="V308" s="272"/>
      <c r="W308" s="273"/>
      <c r="X308" s="125"/>
      <c r="Y308" s="125"/>
    </row>
    <row r="309" spans="1:25" ht="15" x14ac:dyDescent="0.25">
      <c r="A309" s="53"/>
      <c r="B309" s="405" t="s">
        <v>229</v>
      </c>
      <c r="C309" s="406"/>
      <c r="D309" s="406"/>
      <c r="E309" s="406"/>
      <c r="F309" s="406"/>
      <c r="G309" s="406"/>
      <c r="H309" s="406"/>
      <c r="I309" s="406"/>
      <c r="J309" s="406"/>
      <c r="K309" s="407"/>
      <c r="L309" s="407"/>
      <c r="M309" s="123"/>
      <c r="N309" s="124"/>
      <c r="O309" s="125"/>
      <c r="P309" s="408"/>
      <c r="Q309" s="409"/>
      <c r="R309" s="125"/>
      <c r="S309" s="272"/>
      <c r="T309" s="272"/>
      <c r="U309" s="272"/>
      <c r="V309" s="272">
        <v>1200</v>
      </c>
      <c r="W309" s="273"/>
      <c r="X309" s="125"/>
      <c r="Y309" s="125"/>
    </row>
    <row r="310" spans="1:25" ht="15" x14ac:dyDescent="0.25">
      <c r="A310" s="53"/>
      <c r="B310" s="405" t="s">
        <v>230</v>
      </c>
      <c r="C310" s="406"/>
      <c r="D310" s="406"/>
      <c r="E310" s="406"/>
      <c r="F310" s="406"/>
      <c r="G310" s="406"/>
      <c r="H310" s="406"/>
      <c r="I310" s="406"/>
      <c r="J310" s="406"/>
      <c r="K310" s="407"/>
      <c r="L310" s="407"/>
      <c r="M310" s="123"/>
      <c r="N310" s="124"/>
      <c r="O310" s="125"/>
      <c r="P310" s="408"/>
      <c r="Q310" s="409"/>
      <c r="R310" s="125"/>
      <c r="S310" s="272"/>
      <c r="T310" s="272"/>
      <c r="U310" s="272"/>
      <c r="V310" s="272"/>
      <c r="W310" s="273"/>
      <c r="X310" s="125"/>
      <c r="Y310" s="125"/>
    </row>
    <row r="311" spans="1:25" ht="15.75" customHeight="1" x14ac:dyDescent="0.25">
      <c r="A311" s="53"/>
      <c r="B311" s="92" t="s">
        <v>231</v>
      </c>
      <c r="C311" s="227"/>
      <c r="D311" s="227"/>
      <c r="E311" s="227"/>
      <c r="F311" s="227"/>
      <c r="G311" s="227">
        <v>116</v>
      </c>
      <c r="H311" s="227">
        <v>132</v>
      </c>
      <c r="I311" s="227">
        <v>141</v>
      </c>
      <c r="J311" s="227">
        <v>36</v>
      </c>
      <c r="K311" s="122">
        <v>61</v>
      </c>
      <c r="L311" s="55">
        <v>102</v>
      </c>
      <c r="M311" s="56"/>
      <c r="N311" s="57"/>
      <c r="O311" s="58">
        <v>300</v>
      </c>
      <c r="P311" s="59">
        <v>300</v>
      </c>
      <c r="Q311" s="58">
        <v>300</v>
      </c>
      <c r="R311" s="58">
        <v>300</v>
      </c>
      <c r="S311" s="93">
        <v>300</v>
      </c>
      <c r="T311" s="93">
        <v>300</v>
      </c>
      <c r="U311" s="93">
        <v>300</v>
      </c>
      <c r="V311" s="93">
        <v>300</v>
      </c>
      <c r="W311" s="228">
        <v>500</v>
      </c>
      <c r="X311" s="58">
        <v>500</v>
      </c>
      <c r="Y311" s="58">
        <v>500</v>
      </c>
    </row>
    <row r="312" spans="1:25" s="2" customFormat="1" ht="15.6" x14ac:dyDescent="0.3">
      <c r="A312" s="410"/>
      <c r="B312" s="410"/>
      <c r="C312" s="411"/>
      <c r="D312" s="411"/>
      <c r="E312" s="411"/>
      <c r="F312" s="411"/>
      <c r="G312" s="411"/>
      <c r="H312" s="411"/>
      <c r="I312" s="411"/>
      <c r="J312" s="412"/>
      <c r="K312" s="413"/>
      <c r="L312" s="414"/>
      <c r="M312" s="415"/>
      <c r="N312" s="416"/>
      <c r="O312" s="417"/>
      <c r="P312" s="418"/>
      <c r="Q312" s="419"/>
      <c r="R312" s="419"/>
      <c r="S312" s="419"/>
      <c r="T312" s="420"/>
      <c r="U312" s="420"/>
      <c r="V312" s="421"/>
      <c r="W312" s="420"/>
      <c r="X312" s="422"/>
      <c r="Y312" s="422"/>
    </row>
    <row r="313" spans="1:25" ht="15.6" x14ac:dyDescent="0.3">
      <c r="A313" s="423" t="s">
        <v>232</v>
      </c>
      <c r="B313" s="424" t="s">
        <v>233</v>
      </c>
      <c r="C313" s="425">
        <f t="shared" ref="C313:N313" si="42">C319+C364</f>
        <v>27888.924930000005</v>
      </c>
      <c r="D313" s="425">
        <f t="shared" si="42"/>
        <v>21906.233</v>
      </c>
      <c r="E313" s="425">
        <f t="shared" si="42"/>
        <v>18969</v>
      </c>
      <c r="F313" s="425">
        <f t="shared" si="42"/>
        <v>20574</v>
      </c>
      <c r="G313" s="425">
        <f t="shared" si="42"/>
        <v>20563</v>
      </c>
      <c r="H313" s="425">
        <f t="shared" si="42"/>
        <v>20001</v>
      </c>
      <c r="I313" s="425">
        <f t="shared" si="42"/>
        <v>16668</v>
      </c>
      <c r="J313" s="425">
        <f t="shared" si="42"/>
        <v>15827</v>
      </c>
      <c r="K313" s="426">
        <f t="shared" si="42"/>
        <v>23235.591509999998</v>
      </c>
      <c r="L313" s="426">
        <f t="shared" si="42"/>
        <v>23078</v>
      </c>
      <c r="M313" s="427">
        <f t="shared" si="42"/>
        <v>37403.515240000001</v>
      </c>
      <c r="N313" s="428">
        <f t="shared" si="42"/>
        <v>23593.45868</v>
      </c>
      <c r="O313" s="427">
        <f>31900+O315</f>
        <v>32700</v>
      </c>
      <c r="P313" s="429">
        <f t="shared" ref="P313:Y313" si="43">P319</f>
        <v>20800</v>
      </c>
      <c r="Q313" s="430">
        <f t="shared" si="43"/>
        <v>22800</v>
      </c>
      <c r="R313" s="431">
        <f t="shared" si="43"/>
        <v>21800</v>
      </c>
      <c r="S313" s="431">
        <f t="shared" si="43"/>
        <v>21400</v>
      </c>
      <c r="T313" s="431">
        <f t="shared" si="43"/>
        <v>19100</v>
      </c>
      <c r="U313" s="431">
        <f t="shared" si="43"/>
        <v>24400</v>
      </c>
      <c r="V313" s="431">
        <f t="shared" si="43"/>
        <v>44600</v>
      </c>
      <c r="W313" s="432">
        <f t="shared" si="43"/>
        <v>49300</v>
      </c>
      <c r="X313" s="431">
        <f t="shared" si="43"/>
        <v>24500</v>
      </c>
      <c r="Y313" s="431">
        <f t="shared" si="43"/>
        <v>11000</v>
      </c>
    </row>
    <row r="314" spans="1:25" ht="15" x14ac:dyDescent="0.25">
      <c r="A314" s="51"/>
      <c r="B314" s="93" t="s">
        <v>58</v>
      </c>
      <c r="C314" s="174" t="s">
        <v>3</v>
      </c>
      <c r="D314" s="177">
        <f t="shared" ref="D314:N314" si="44">+(D313-C313)/C313</f>
        <v>-0.21451855691878774</v>
      </c>
      <c r="E314" s="177">
        <f t="shared" si="44"/>
        <v>-0.13408206696240291</v>
      </c>
      <c r="F314" s="177">
        <f t="shared" si="44"/>
        <v>8.4611734935948132E-2</v>
      </c>
      <c r="G314" s="177">
        <f t="shared" si="44"/>
        <v>-5.3465539029843494E-4</v>
      </c>
      <c r="H314" s="177">
        <f t="shared" si="44"/>
        <v>-2.7330642415989884E-2</v>
      </c>
      <c r="I314" s="177">
        <f t="shared" si="44"/>
        <v>-0.16664166791660417</v>
      </c>
      <c r="J314" s="177">
        <f t="shared" si="44"/>
        <v>-5.0455963522918167E-2</v>
      </c>
      <c r="K314" s="178">
        <f t="shared" si="44"/>
        <v>0.46809828204966186</v>
      </c>
      <c r="L314" s="178">
        <f t="shared" si="44"/>
        <v>-6.7823326095303007E-3</v>
      </c>
      <c r="M314" s="179">
        <f t="shared" si="44"/>
        <v>0.62074335904324462</v>
      </c>
      <c r="N314" s="180">
        <f t="shared" si="44"/>
        <v>-0.36921814624608529</v>
      </c>
      <c r="O314" s="179">
        <f>+(O313-M313)/M313</f>
        <v>-0.12575062022432523</v>
      </c>
      <c r="P314" s="181">
        <f t="shared" ref="P314:X314" si="45">+(P313-O313)/O313</f>
        <v>-0.36391437308868502</v>
      </c>
      <c r="Q314" s="179">
        <f t="shared" si="45"/>
        <v>9.6153846153846159E-2</v>
      </c>
      <c r="R314" s="179">
        <f t="shared" si="45"/>
        <v>-4.3859649122807015E-2</v>
      </c>
      <c r="S314" s="179">
        <f t="shared" si="45"/>
        <v>-1.834862385321101E-2</v>
      </c>
      <c r="T314" s="179">
        <f t="shared" si="45"/>
        <v>-0.10747663551401869</v>
      </c>
      <c r="U314" s="179">
        <f t="shared" si="45"/>
        <v>0.27748691099476441</v>
      </c>
      <c r="V314" s="179">
        <f t="shared" si="45"/>
        <v>0.82786885245901642</v>
      </c>
      <c r="W314" s="178">
        <f t="shared" si="45"/>
        <v>0.10538116591928251</v>
      </c>
      <c r="X314" s="179">
        <f t="shared" si="45"/>
        <v>-0.50304259634888437</v>
      </c>
      <c r="Y314" s="179"/>
    </row>
    <row r="315" spans="1:25" ht="15.6" x14ac:dyDescent="0.3">
      <c r="A315" s="51"/>
      <c r="B315" s="70" t="s">
        <v>18</v>
      </c>
      <c r="C315" s="174"/>
      <c r="D315" s="177"/>
      <c r="E315" s="176"/>
      <c r="F315" s="176"/>
      <c r="G315" s="177"/>
      <c r="H315" s="177"/>
      <c r="I315" s="177"/>
      <c r="J315" s="177"/>
      <c r="K315" s="178"/>
      <c r="L315" s="178"/>
      <c r="M315" s="179"/>
      <c r="N315" s="180"/>
      <c r="O315" s="433">
        <v>800</v>
      </c>
      <c r="P315" s="434"/>
      <c r="Q315" s="70"/>
      <c r="R315" s="70"/>
      <c r="S315" s="70"/>
      <c r="T315" s="70"/>
      <c r="U315" s="70"/>
      <c r="V315" s="70"/>
      <c r="W315" s="70"/>
      <c r="X315" s="70"/>
      <c r="Y315" s="70"/>
    </row>
    <row r="316" spans="1:25" ht="15" customHeight="1" x14ac:dyDescent="0.3">
      <c r="A316" s="33"/>
      <c r="B316" s="73" t="s">
        <v>19</v>
      </c>
      <c r="C316" s="74" t="s">
        <v>3</v>
      </c>
      <c r="D316" s="74" t="s">
        <v>3</v>
      </c>
      <c r="E316" s="2" t="s">
        <v>3</v>
      </c>
      <c r="F316" s="75" t="s">
        <v>3</v>
      </c>
      <c r="G316" s="75" t="s">
        <v>3</v>
      </c>
      <c r="H316" s="75" t="s">
        <v>3</v>
      </c>
      <c r="I316" s="75" t="s">
        <v>3</v>
      </c>
      <c r="J316" s="75" t="s">
        <v>3</v>
      </c>
      <c r="K316" s="76" t="s">
        <v>3</v>
      </c>
      <c r="L316" s="77" t="s">
        <v>3</v>
      </c>
      <c r="M316" s="78" t="s">
        <v>3</v>
      </c>
      <c r="N316" s="78"/>
      <c r="O316" s="79" t="s">
        <v>3</v>
      </c>
      <c r="P316" s="80">
        <v>22400</v>
      </c>
      <c r="Q316" s="81">
        <v>25700</v>
      </c>
      <c r="R316" s="81">
        <v>24800</v>
      </c>
      <c r="S316" s="81">
        <v>23600</v>
      </c>
      <c r="T316" s="81">
        <v>24100</v>
      </c>
      <c r="U316" s="81">
        <v>18900</v>
      </c>
      <c r="V316" s="81">
        <v>17600</v>
      </c>
      <c r="W316" s="82">
        <v>19500</v>
      </c>
      <c r="X316" s="81">
        <v>21700</v>
      </c>
      <c r="Y316" s="81">
        <v>22400</v>
      </c>
    </row>
    <row r="317" spans="1:25" ht="15" customHeight="1" x14ac:dyDescent="0.3">
      <c r="A317" s="33"/>
      <c r="B317" s="73" t="s">
        <v>20</v>
      </c>
      <c r="C317" s="74"/>
      <c r="D317" s="74"/>
      <c r="E317" s="2"/>
      <c r="F317" s="75"/>
      <c r="G317" s="75"/>
      <c r="H317" s="75"/>
      <c r="I317" s="75"/>
      <c r="J317" s="75"/>
      <c r="K317" s="76"/>
      <c r="L317" s="77"/>
      <c r="M317" s="78"/>
      <c r="N317" s="78"/>
      <c r="O317" s="79"/>
      <c r="P317" s="80">
        <f t="shared" ref="P317:Y317" si="46">P313-P316</f>
        <v>-1600</v>
      </c>
      <c r="Q317" s="81">
        <f t="shared" si="46"/>
        <v>-2900</v>
      </c>
      <c r="R317" s="81">
        <f t="shared" si="46"/>
        <v>-3000</v>
      </c>
      <c r="S317" s="81">
        <f t="shared" si="46"/>
        <v>-2200</v>
      </c>
      <c r="T317" s="81">
        <f t="shared" si="46"/>
        <v>-5000</v>
      </c>
      <c r="U317" s="81">
        <f t="shared" si="46"/>
        <v>5500</v>
      </c>
      <c r="V317" s="81">
        <f t="shared" si="46"/>
        <v>27000</v>
      </c>
      <c r="W317" s="82">
        <f t="shared" si="46"/>
        <v>29800</v>
      </c>
      <c r="X317" s="81">
        <f t="shared" si="46"/>
        <v>2800</v>
      </c>
      <c r="Y317" s="81">
        <f t="shared" si="46"/>
        <v>-11400</v>
      </c>
    </row>
    <row r="318" spans="1:25" ht="15" customHeight="1" x14ac:dyDescent="0.3">
      <c r="A318" s="33"/>
      <c r="B318" s="73"/>
      <c r="C318" s="75"/>
      <c r="D318" s="75"/>
      <c r="E318" s="2"/>
      <c r="F318" s="75"/>
      <c r="G318" s="75"/>
      <c r="H318" s="75"/>
      <c r="I318" s="75"/>
      <c r="J318" s="75"/>
      <c r="K318" s="76"/>
      <c r="L318" s="77"/>
      <c r="M318" s="78"/>
      <c r="N318" s="435"/>
      <c r="O318" s="79"/>
      <c r="P318" s="80"/>
      <c r="Q318" s="436"/>
      <c r="R318" s="436"/>
      <c r="S318" s="436"/>
      <c r="T318" s="436"/>
      <c r="U318" s="436"/>
      <c r="V318" s="436"/>
      <c r="W318" s="437"/>
      <c r="X318" s="81"/>
      <c r="Y318" s="81"/>
    </row>
    <row r="319" spans="1:25" s="1" customFormat="1" ht="15.75" customHeight="1" x14ac:dyDescent="0.3">
      <c r="A319" s="438"/>
      <c r="B319" s="439" t="s">
        <v>234</v>
      </c>
      <c r="C319" s="94">
        <f t="shared" ref="C319:M319" si="47">SUM(C325+C337+C349)</f>
        <v>27387.925000000003</v>
      </c>
      <c r="D319" s="94">
        <f t="shared" si="47"/>
        <v>18499.233</v>
      </c>
      <c r="E319" s="94">
        <f t="shared" si="47"/>
        <v>16458</v>
      </c>
      <c r="F319" s="94">
        <f t="shared" si="47"/>
        <v>19045</v>
      </c>
      <c r="G319" s="94">
        <f t="shared" si="47"/>
        <v>18766</v>
      </c>
      <c r="H319" s="94">
        <f t="shared" si="47"/>
        <v>13777</v>
      </c>
      <c r="I319" s="94">
        <f t="shared" si="47"/>
        <v>12838</v>
      </c>
      <c r="J319" s="94">
        <f t="shared" si="47"/>
        <v>12077</v>
      </c>
      <c r="K319" s="94">
        <f t="shared" si="47"/>
        <v>13540.59151</v>
      </c>
      <c r="L319" s="94">
        <f t="shared" si="47"/>
        <v>11620</v>
      </c>
      <c r="M319" s="95">
        <f t="shared" si="47"/>
        <v>28546.826239999999</v>
      </c>
      <c r="N319" s="96">
        <f t="shared" ref="N319:Y319" si="48">N321+N349</f>
        <v>19237.967809999998</v>
      </c>
      <c r="O319" s="95">
        <f t="shared" si="48"/>
        <v>31900</v>
      </c>
      <c r="P319" s="440">
        <f t="shared" si="48"/>
        <v>20800</v>
      </c>
      <c r="Q319" s="441">
        <f t="shared" si="48"/>
        <v>22800</v>
      </c>
      <c r="R319" s="96">
        <f t="shared" si="48"/>
        <v>21800</v>
      </c>
      <c r="S319" s="96">
        <f t="shared" si="48"/>
        <v>21400</v>
      </c>
      <c r="T319" s="96">
        <f t="shared" si="48"/>
        <v>19100</v>
      </c>
      <c r="U319" s="96">
        <f t="shared" si="48"/>
        <v>24400</v>
      </c>
      <c r="V319" s="96">
        <f t="shared" si="48"/>
        <v>44600</v>
      </c>
      <c r="W319" s="442">
        <f t="shared" si="48"/>
        <v>49300</v>
      </c>
      <c r="X319" s="95">
        <f t="shared" si="48"/>
        <v>24500</v>
      </c>
      <c r="Y319" s="95">
        <f t="shared" si="48"/>
        <v>11000</v>
      </c>
    </row>
    <row r="320" spans="1:25" s="1" customFormat="1" ht="15.6" x14ac:dyDescent="0.3">
      <c r="A320" s="51"/>
      <c r="B320" s="443"/>
      <c r="C320" s="115"/>
      <c r="D320" s="115"/>
      <c r="E320" s="115"/>
      <c r="F320" s="444"/>
      <c r="G320" s="115"/>
      <c r="H320" s="115"/>
      <c r="I320" s="163"/>
      <c r="J320" s="115"/>
      <c r="K320" s="115"/>
      <c r="L320" s="445"/>
      <c r="M320" s="446" t="s">
        <v>3</v>
      </c>
      <c r="N320" s="447"/>
      <c r="O320" s="446" t="s">
        <v>3</v>
      </c>
      <c r="P320" s="448" t="s">
        <v>3</v>
      </c>
      <c r="Q320" s="449" t="s">
        <v>3</v>
      </c>
      <c r="R320" s="449"/>
      <c r="S320" s="450"/>
      <c r="T320" s="450"/>
      <c r="U320" s="450"/>
      <c r="V320" s="450"/>
      <c r="W320" s="451"/>
      <c r="X320" s="449"/>
      <c r="Y320" s="449"/>
    </row>
    <row r="321" spans="1:34" s="459" customFormat="1" ht="15.6" x14ac:dyDescent="0.3">
      <c r="A321" s="452"/>
      <c r="B321" s="453" t="s">
        <v>235</v>
      </c>
      <c r="C321" s="454">
        <f t="shared" ref="C321:I321" si="49">SUM(C325+C337)</f>
        <v>11788.925000000001</v>
      </c>
      <c r="D321" s="454">
        <f t="shared" si="49"/>
        <v>5190.2330000000002</v>
      </c>
      <c r="E321" s="454">
        <f t="shared" si="49"/>
        <v>2438</v>
      </c>
      <c r="F321" s="454">
        <f t="shared" si="49"/>
        <v>4863</v>
      </c>
      <c r="G321" s="454">
        <f t="shared" si="49"/>
        <v>7925</v>
      </c>
      <c r="H321" s="454">
        <f t="shared" si="49"/>
        <v>3304</v>
      </c>
      <c r="I321" s="454">
        <f t="shared" si="49"/>
        <v>4340</v>
      </c>
      <c r="J321" s="454">
        <v>4949</v>
      </c>
      <c r="K321" s="454">
        <v>6517</v>
      </c>
      <c r="L321" s="454">
        <f>SUM(L325+L337)</f>
        <v>192</v>
      </c>
      <c r="M321" s="455">
        <f>18888017/1000</f>
        <v>18888.017</v>
      </c>
      <c r="N321" s="456">
        <f>11167324.29/1000</f>
        <v>11167.324289999999</v>
      </c>
      <c r="O321" s="455">
        <v>14400</v>
      </c>
      <c r="P321" s="457">
        <f t="shared" ref="P321:U321" si="50">P325+P337</f>
        <v>6200</v>
      </c>
      <c r="Q321" s="458">
        <f t="shared" si="50"/>
        <v>13000</v>
      </c>
      <c r="R321" s="454">
        <f t="shared" si="50"/>
        <v>13000</v>
      </c>
      <c r="S321" s="454">
        <f t="shared" si="50"/>
        <v>12400</v>
      </c>
      <c r="T321" s="454">
        <f t="shared" si="50"/>
        <v>9800</v>
      </c>
      <c r="U321" s="455">
        <f t="shared" si="50"/>
        <v>16800</v>
      </c>
      <c r="V321" s="455">
        <f>V325+V337+1000</f>
        <v>39600</v>
      </c>
      <c r="W321" s="454">
        <f>W325+W337</f>
        <v>41200</v>
      </c>
      <c r="X321" s="455">
        <f>X325+X337</f>
        <v>15200</v>
      </c>
      <c r="Y321" s="455">
        <f>Y325+Y337</f>
        <v>1000</v>
      </c>
    </row>
    <row r="322" spans="1:34" ht="15" customHeight="1" x14ac:dyDescent="0.3">
      <c r="A322" s="33"/>
      <c r="B322" s="73" t="s">
        <v>19</v>
      </c>
      <c r="C322" s="74"/>
      <c r="D322" s="74"/>
      <c r="E322" s="2"/>
      <c r="F322" s="75"/>
      <c r="G322" s="75"/>
      <c r="H322" s="75"/>
      <c r="I322" s="75"/>
      <c r="J322" s="75"/>
      <c r="K322" s="76"/>
      <c r="L322" s="77"/>
      <c r="M322" s="78"/>
      <c r="N322" s="78"/>
      <c r="O322" s="79"/>
      <c r="P322" s="80">
        <v>13300</v>
      </c>
      <c r="Q322" s="81">
        <v>15900</v>
      </c>
      <c r="R322" s="81">
        <v>16000</v>
      </c>
      <c r="S322" s="81">
        <v>14600</v>
      </c>
      <c r="T322" s="81">
        <v>14800</v>
      </c>
      <c r="U322" s="81">
        <v>11300</v>
      </c>
      <c r="V322" s="81">
        <v>12600</v>
      </c>
      <c r="W322" s="82">
        <v>11400</v>
      </c>
      <c r="X322" s="81">
        <v>12400</v>
      </c>
      <c r="Y322" s="81">
        <v>12400</v>
      </c>
    </row>
    <row r="323" spans="1:34" ht="15" customHeight="1" x14ac:dyDescent="0.3">
      <c r="A323" s="33"/>
      <c r="B323" s="73" t="s">
        <v>20</v>
      </c>
      <c r="C323" s="74"/>
      <c r="D323" s="74"/>
      <c r="E323" s="2"/>
      <c r="F323" s="75"/>
      <c r="G323" s="75"/>
      <c r="H323" s="75"/>
      <c r="I323" s="75"/>
      <c r="J323" s="75"/>
      <c r="K323" s="76"/>
      <c r="L323" s="77"/>
      <c r="M323" s="78"/>
      <c r="N323" s="78"/>
      <c r="O323" s="79"/>
      <c r="P323" s="80">
        <f t="shared" ref="P323:X323" si="51">P321-P322</f>
        <v>-7100</v>
      </c>
      <c r="Q323" s="81">
        <f t="shared" si="51"/>
        <v>-2900</v>
      </c>
      <c r="R323" s="81">
        <f t="shared" si="51"/>
        <v>-3000</v>
      </c>
      <c r="S323" s="81">
        <f t="shared" si="51"/>
        <v>-2200</v>
      </c>
      <c r="T323" s="81">
        <f t="shared" si="51"/>
        <v>-5000</v>
      </c>
      <c r="U323" s="81">
        <f t="shared" si="51"/>
        <v>5500</v>
      </c>
      <c r="V323" s="81">
        <f t="shared" si="51"/>
        <v>27000</v>
      </c>
      <c r="W323" s="82">
        <f t="shared" si="51"/>
        <v>29800</v>
      </c>
      <c r="X323" s="81">
        <f t="shared" si="51"/>
        <v>2800</v>
      </c>
      <c r="Y323" s="81"/>
    </row>
    <row r="324" spans="1:34" s="1" customFormat="1" ht="15.6" x14ac:dyDescent="0.3">
      <c r="A324" s="460"/>
      <c r="B324" s="99"/>
      <c r="C324" s="461"/>
      <c r="D324" s="461"/>
      <c r="E324" s="461"/>
      <c r="F324" s="462"/>
      <c r="G324" s="461"/>
      <c r="H324" s="461"/>
      <c r="I324" s="463"/>
      <c r="J324" s="464"/>
      <c r="K324" s="465"/>
      <c r="L324" s="372"/>
      <c r="M324" s="278"/>
      <c r="N324" s="279"/>
      <c r="O324" s="278"/>
      <c r="P324" s="466"/>
      <c r="Q324" s="467"/>
      <c r="R324" s="467"/>
      <c r="S324" s="468"/>
      <c r="T324" s="468"/>
      <c r="U324" s="468"/>
      <c r="V324" s="468"/>
      <c r="W324" s="469"/>
      <c r="X324" s="467"/>
      <c r="Y324" s="467"/>
    </row>
    <row r="325" spans="1:34" s="1" customFormat="1" ht="15.6" x14ac:dyDescent="0.3">
      <c r="A325" s="470"/>
      <c r="B325" s="108" t="s">
        <v>236</v>
      </c>
      <c r="C325" s="65">
        <f t="shared" ref="C325:I325" si="52">SUM(C326:C332)</f>
        <v>8443.3130000000001</v>
      </c>
      <c r="D325" s="65">
        <f t="shared" si="52"/>
        <v>4549.549</v>
      </c>
      <c r="E325" s="65">
        <f t="shared" si="52"/>
        <v>1546</v>
      </c>
      <c r="F325" s="65">
        <f t="shared" si="52"/>
        <v>2276</v>
      </c>
      <c r="G325" s="65">
        <f t="shared" si="52"/>
        <v>3914</v>
      </c>
      <c r="H325" s="65">
        <f t="shared" si="52"/>
        <v>1510</v>
      </c>
      <c r="I325" s="65">
        <f t="shared" si="52"/>
        <v>2324</v>
      </c>
      <c r="J325" s="65">
        <f>2593818.38/1000</f>
        <v>2593.8183799999997</v>
      </c>
      <c r="K325" s="65">
        <f>3123729.97/1000</f>
        <v>3123.7299700000003</v>
      </c>
      <c r="L325" s="65">
        <f>SUM(L326:L333)</f>
        <v>0</v>
      </c>
      <c r="M325" s="66">
        <f>8022091.64/1000+54</f>
        <v>8076.0916399999996</v>
      </c>
      <c r="N325" s="66">
        <f>SUM(N326:N333)</f>
        <v>0</v>
      </c>
      <c r="O325" s="67"/>
      <c r="P325" s="68">
        <f t="shared" ref="P325:Y325" si="53">SUM(P326:P332)</f>
        <v>2500</v>
      </c>
      <c r="Q325" s="105">
        <f t="shared" si="53"/>
        <v>5900</v>
      </c>
      <c r="R325" s="66">
        <f t="shared" si="53"/>
        <v>4900</v>
      </c>
      <c r="S325" s="66">
        <f t="shared" si="53"/>
        <v>4900</v>
      </c>
      <c r="T325" s="66">
        <f t="shared" si="53"/>
        <v>4100</v>
      </c>
      <c r="U325" s="66">
        <f t="shared" si="53"/>
        <v>7600</v>
      </c>
      <c r="V325" s="66">
        <f t="shared" si="53"/>
        <v>18800</v>
      </c>
      <c r="W325" s="65">
        <f t="shared" si="53"/>
        <v>19800</v>
      </c>
      <c r="X325" s="66">
        <f t="shared" si="53"/>
        <v>6800</v>
      </c>
      <c r="Y325" s="66">
        <f t="shared" si="53"/>
        <v>0</v>
      </c>
    </row>
    <row r="326" spans="1:34" s="1" customFormat="1" ht="15.6" x14ac:dyDescent="0.3">
      <c r="A326" s="35">
        <v>1</v>
      </c>
      <c r="B326" s="471" t="s">
        <v>65</v>
      </c>
      <c r="C326" s="227">
        <v>5148.1729999999998</v>
      </c>
      <c r="D326" s="227">
        <v>3946.1990000000001</v>
      </c>
      <c r="E326" s="227">
        <v>807</v>
      </c>
      <c r="F326" s="227">
        <v>1504</v>
      </c>
      <c r="G326" s="227">
        <v>2658</v>
      </c>
      <c r="H326" s="227">
        <v>1066</v>
      </c>
      <c r="I326" s="227">
        <v>564</v>
      </c>
      <c r="J326" s="227">
        <v>1000</v>
      </c>
      <c r="K326" s="122" t="s">
        <v>3</v>
      </c>
      <c r="L326" s="472"/>
      <c r="M326" s="285"/>
      <c r="N326" s="473"/>
      <c r="O326" s="285">
        <v>1800</v>
      </c>
      <c r="P326" s="474">
        <v>1000</v>
      </c>
      <c r="Q326" s="285">
        <v>1300</v>
      </c>
      <c r="R326" s="285">
        <v>1700</v>
      </c>
      <c r="S326" s="286">
        <v>2000</v>
      </c>
      <c r="T326" s="286">
        <v>1000</v>
      </c>
      <c r="U326" s="286">
        <v>1200</v>
      </c>
      <c r="V326" s="286">
        <v>2000</v>
      </c>
      <c r="W326" s="288">
        <v>2000</v>
      </c>
      <c r="X326" s="285">
        <v>2500</v>
      </c>
      <c r="Y326" s="285"/>
      <c r="AH326" s="209" t="s">
        <v>66</v>
      </c>
    </row>
    <row r="327" spans="1:34" s="1" customFormat="1" ht="15.6" x14ac:dyDescent="0.3">
      <c r="A327" s="35">
        <v>2</v>
      </c>
      <c r="B327" s="471" t="s">
        <v>67</v>
      </c>
      <c r="C327" s="227">
        <v>619.52700000000004</v>
      </c>
      <c r="D327" s="227">
        <v>315.10599999999999</v>
      </c>
      <c r="E327" s="227">
        <v>180</v>
      </c>
      <c r="F327" s="227">
        <v>221</v>
      </c>
      <c r="G327" s="227">
        <v>495</v>
      </c>
      <c r="H327" s="227">
        <v>179</v>
      </c>
      <c r="I327" s="227">
        <v>814</v>
      </c>
      <c r="J327" s="227">
        <v>1210</v>
      </c>
      <c r="K327" s="122" t="s">
        <v>3</v>
      </c>
      <c r="L327" s="472"/>
      <c r="M327" s="285"/>
      <c r="N327" s="473"/>
      <c r="O327" s="285">
        <v>200</v>
      </c>
      <c r="P327" s="474">
        <v>100</v>
      </c>
      <c r="Q327" s="285">
        <v>700</v>
      </c>
      <c r="R327" s="285">
        <v>500</v>
      </c>
      <c r="S327" s="285">
        <v>600</v>
      </c>
      <c r="T327" s="285">
        <v>800</v>
      </c>
      <c r="U327" s="285">
        <v>1200</v>
      </c>
      <c r="V327" s="285">
        <v>1300</v>
      </c>
      <c r="W327" s="284">
        <v>1400</v>
      </c>
      <c r="X327" s="285">
        <v>1500</v>
      </c>
      <c r="Y327" s="285"/>
      <c r="AH327" s="209" t="s">
        <v>66</v>
      </c>
    </row>
    <row r="328" spans="1:34" s="1" customFormat="1" ht="15.6" x14ac:dyDescent="0.3">
      <c r="A328" s="35">
        <v>3</v>
      </c>
      <c r="B328" s="471" t="s">
        <v>68</v>
      </c>
      <c r="C328" s="227">
        <v>76.48</v>
      </c>
      <c r="D328" s="227">
        <v>97.004000000000005</v>
      </c>
      <c r="E328" s="227">
        <v>130</v>
      </c>
      <c r="F328" s="227">
        <v>210</v>
      </c>
      <c r="G328" s="227">
        <v>28</v>
      </c>
      <c r="H328" s="227">
        <v>51</v>
      </c>
      <c r="I328" s="227">
        <v>118</v>
      </c>
      <c r="J328" s="227">
        <v>780</v>
      </c>
      <c r="K328" s="122" t="s">
        <v>3</v>
      </c>
      <c r="L328" s="472"/>
      <c r="M328" s="285"/>
      <c r="N328" s="473"/>
      <c r="O328" s="285">
        <v>200</v>
      </c>
      <c r="P328" s="474">
        <v>400</v>
      </c>
      <c r="Q328" s="285">
        <v>900</v>
      </c>
      <c r="R328" s="285">
        <v>400</v>
      </c>
      <c r="S328" s="286">
        <v>400</v>
      </c>
      <c r="T328" s="286">
        <f>400</f>
        <v>400</v>
      </c>
      <c r="U328" s="473">
        <f>400+3000</f>
        <v>3400</v>
      </c>
      <c r="V328" s="473">
        <f>800+13000</f>
        <v>13800</v>
      </c>
      <c r="W328" s="475">
        <f>800+14000</f>
        <v>14800</v>
      </c>
      <c r="X328" s="285">
        <v>800</v>
      </c>
      <c r="Y328" s="285"/>
      <c r="AH328" s="209" t="s">
        <v>66</v>
      </c>
    </row>
    <row r="329" spans="1:34" s="1" customFormat="1" ht="15.6" x14ac:dyDescent="0.3">
      <c r="A329" s="35">
        <v>4</v>
      </c>
      <c r="B329" s="471" t="s">
        <v>69</v>
      </c>
      <c r="C329" s="227">
        <v>173.60400000000001</v>
      </c>
      <c r="D329" s="227">
        <v>81.593999999999994</v>
      </c>
      <c r="E329" s="227">
        <v>145</v>
      </c>
      <c r="F329" s="227">
        <v>96</v>
      </c>
      <c r="G329" s="227">
        <v>42</v>
      </c>
      <c r="H329" s="227">
        <v>111</v>
      </c>
      <c r="I329" s="227">
        <v>453</v>
      </c>
      <c r="J329" s="227">
        <v>200</v>
      </c>
      <c r="K329" s="122" t="s">
        <v>3</v>
      </c>
      <c r="L329" s="472"/>
      <c r="M329" s="285"/>
      <c r="N329" s="473"/>
      <c r="O329" s="285">
        <v>100</v>
      </c>
      <c r="P329" s="474">
        <v>400</v>
      </c>
      <c r="Q329" s="285">
        <v>600</v>
      </c>
      <c r="R329" s="285">
        <v>800</v>
      </c>
      <c r="S329" s="286">
        <v>600</v>
      </c>
      <c r="T329" s="286">
        <v>800</v>
      </c>
      <c r="U329" s="286">
        <v>800</v>
      </c>
      <c r="V329" s="286">
        <v>800</v>
      </c>
      <c r="W329" s="288">
        <v>800</v>
      </c>
      <c r="X329" s="285">
        <v>1100</v>
      </c>
      <c r="Y329" s="285"/>
      <c r="AH329" s="209" t="s">
        <v>66</v>
      </c>
    </row>
    <row r="330" spans="1:34" s="1" customFormat="1" ht="15.6" x14ac:dyDescent="0.3">
      <c r="A330" s="35">
        <v>5</v>
      </c>
      <c r="B330" s="471" t="s">
        <v>70</v>
      </c>
      <c r="C330" s="227">
        <f>240.569+2005.683</f>
        <v>2246.252</v>
      </c>
      <c r="D330" s="227">
        <v>93.552999999999997</v>
      </c>
      <c r="E330" s="227">
        <v>284</v>
      </c>
      <c r="F330" s="227">
        <v>207</v>
      </c>
      <c r="G330" s="227">
        <v>189</v>
      </c>
      <c r="H330" s="227">
        <v>57</v>
      </c>
      <c r="I330" s="227">
        <v>100</v>
      </c>
      <c r="J330" s="227">
        <v>420</v>
      </c>
      <c r="K330" s="122" t="s">
        <v>3</v>
      </c>
      <c r="L330" s="472"/>
      <c r="M330" s="285"/>
      <c r="N330" s="473"/>
      <c r="O330" s="285">
        <v>300</v>
      </c>
      <c r="P330" s="474">
        <v>500</v>
      </c>
      <c r="Q330" s="285">
        <v>300</v>
      </c>
      <c r="R330" s="285">
        <v>200</v>
      </c>
      <c r="S330" s="286">
        <v>900</v>
      </c>
      <c r="T330" s="286">
        <v>950</v>
      </c>
      <c r="U330" s="286">
        <v>800</v>
      </c>
      <c r="V330" s="286">
        <v>600</v>
      </c>
      <c r="W330" s="288">
        <v>600</v>
      </c>
      <c r="X330" s="285">
        <v>600</v>
      </c>
      <c r="Y330" s="285"/>
      <c r="AH330" s="209" t="s">
        <v>66</v>
      </c>
    </row>
    <row r="331" spans="1:34" s="1" customFormat="1" ht="15.6" x14ac:dyDescent="0.3">
      <c r="A331" s="35">
        <v>6</v>
      </c>
      <c r="B331" s="471" t="s">
        <v>71</v>
      </c>
      <c r="C331" s="227">
        <v>179.27699999999999</v>
      </c>
      <c r="D331" s="227">
        <v>16.093</v>
      </c>
      <c r="E331" s="227">
        <v>0</v>
      </c>
      <c r="F331" s="227">
        <v>38</v>
      </c>
      <c r="G331" s="227">
        <v>502</v>
      </c>
      <c r="H331" s="227">
        <v>46</v>
      </c>
      <c r="I331" s="227">
        <v>275</v>
      </c>
      <c r="J331" s="227">
        <v>200</v>
      </c>
      <c r="K331" s="122" t="s">
        <v>3</v>
      </c>
      <c r="L331" s="472"/>
      <c r="M331" s="285"/>
      <c r="N331" s="473"/>
      <c r="O331" s="285">
        <v>200</v>
      </c>
      <c r="P331" s="474">
        <v>100</v>
      </c>
      <c r="Q331" s="285">
        <v>2100</v>
      </c>
      <c r="R331" s="285">
        <v>1300</v>
      </c>
      <c r="S331" s="285">
        <v>400</v>
      </c>
      <c r="T331" s="285">
        <v>150</v>
      </c>
      <c r="U331" s="285">
        <v>200</v>
      </c>
      <c r="V331" s="285">
        <v>300</v>
      </c>
      <c r="W331" s="284">
        <v>200</v>
      </c>
      <c r="X331" s="285">
        <v>300</v>
      </c>
      <c r="Y331" s="285"/>
      <c r="AH331" s="209" t="s">
        <v>66</v>
      </c>
    </row>
    <row r="332" spans="1:34" s="1" customFormat="1" ht="15.6" x14ac:dyDescent="0.3">
      <c r="A332" s="35">
        <v>7</v>
      </c>
      <c r="B332" s="471" t="s">
        <v>72</v>
      </c>
      <c r="C332" s="227"/>
      <c r="D332" s="227"/>
      <c r="E332" s="227"/>
      <c r="F332" s="227"/>
      <c r="G332" s="227"/>
      <c r="H332" s="227"/>
      <c r="I332" s="227"/>
      <c r="J332" s="227"/>
      <c r="K332" s="122"/>
      <c r="L332" s="472"/>
      <c r="M332" s="285"/>
      <c r="N332" s="473"/>
      <c r="O332" s="285"/>
      <c r="P332" s="474"/>
      <c r="Q332" s="285"/>
      <c r="R332" s="285"/>
      <c r="S332" s="285"/>
      <c r="T332" s="285"/>
      <c r="U332" s="285"/>
      <c r="V332" s="285"/>
      <c r="W332" s="284"/>
      <c r="X332" s="285"/>
      <c r="Y332" s="285"/>
      <c r="AH332" s="209" t="s">
        <v>66</v>
      </c>
    </row>
    <row r="333" spans="1:34" s="1" customFormat="1" ht="15.6" x14ac:dyDescent="0.3">
      <c r="A333" s="35">
        <v>8</v>
      </c>
      <c r="B333" s="471" t="s">
        <v>90</v>
      </c>
      <c r="C333" s="227">
        <v>50.472000000000001</v>
      </c>
      <c r="D333" s="227">
        <v>37.334000000000003</v>
      </c>
      <c r="E333" s="227">
        <v>153</v>
      </c>
      <c r="F333" s="227">
        <v>311</v>
      </c>
      <c r="G333" s="227">
        <v>97</v>
      </c>
      <c r="H333" s="227">
        <v>284</v>
      </c>
      <c r="I333" s="227">
        <v>256</v>
      </c>
      <c r="J333" s="227">
        <v>390</v>
      </c>
      <c r="K333" s="122" t="s">
        <v>3</v>
      </c>
      <c r="L333" s="472"/>
      <c r="M333" s="285"/>
      <c r="N333" s="473"/>
      <c r="O333" s="285">
        <v>200</v>
      </c>
      <c r="P333" s="474">
        <v>200</v>
      </c>
      <c r="Q333" s="285">
        <v>200</v>
      </c>
      <c r="R333" s="285">
        <v>2200</v>
      </c>
      <c r="S333" s="285">
        <v>1600</v>
      </c>
      <c r="T333" s="285">
        <v>600</v>
      </c>
      <c r="U333" s="285">
        <v>600</v>
      </c>
      <c r="V333" s="285" t="s">
        <v>91</v>
      </c>
      <c r="W333" s="284">
        <v>600</v>
      </c>
      <c r="X333" s="285">
        <v>600</v>
      </c>
      <c r="Y333" s="285"/>
      <c r="AH333" s="209" t="s">
        <v>66</v>
      </c>
    </row>
    <row r="334" spans="1:34" s="1" customFormat="1" ht="15.6" x14ac:dyDescent="0.3">
      <c r="A334" s="470"/>
      <c r="B334" s="471" t="s">
        <v>237</v>
      </c>
      <c r="C334" s="476">
        <f t="shared" ref="C334:X334" si="54">C325/C319</f>
        <v>0.30828596909039291</v>
      </c>
      <c r="D334" s="476">
        <f t="shared" si="54"/>
        <v>0.2459317637655572</v>
      </c>
      <c r="E334" s="476">
        <f t="shared" si="54"/>
        <v>9.3936079718070234E-2</v>
      </c>
      <c r="F334" s="476">
        <f t="shared" si="54"/>
        <v>0.11950643213441849</v>
      </c>
      <c r="G334" s="476">
        <f t="shared" si="54"/>
        <v>0.20856868805286155</v>
      </c>
      <c r="H334" s="476">
        <f t="shared" si="54"/>
        <v>0.10960296145750163</v>
      </c>
      <c r="I334" s="476">
        <f t="shared" si="54"/>
        <v>0.18102508178844057</v>
      </c>
      <c r="J334" s="476">
        <f t="shared" si="54"/>
        <v>0.21477340233501696</v>
      </c>
      <c r="K334" s="476">
        <f t="shared" si="54"/>
        <v>0.23069376014283147</v>
      </c>
      <c r="L334" s="476">
        <f t="shared" si="54"/>
        <v>0</v>
      </c>
      <c r="M334" s="477">
        <f t="shared" si="54"/>
        <v>0.28290681325140543</v>
      </c>
      <c r="N334" s="477">
        <f t="shared" si="54"/>
        <v>0</v>
      </c>
      <c r="O334" s="478">
        <f t="shared" si="54"/>
        <v>0</v>
      </c>
      <c r="P334" s="479">
        <f t="shared" si="54"/>
        <v>0.1201923076923077</v>
      </c>
      <c r="Q334" s="477">
        <f t="shared" si="54"/>
        <v>0.25877192982456143</v>
      </c>
      <c r="R334" s="477">
        <f t="shared" si="54"/>
        <v>0.22477064220183487</v>
      </c>
      <c r="S334" s="477">
        <f t="shared" si="54"/>
        <v>0.22897196261682243</v>
      </c>
      <c r="T334" s="477">
        <f t="shared" si="54"/>
        <v>0.21465968586387435</v>
      </c>
      <c r="U334" s="477">
        <f t="shared" si="54"/>
        <v>0.31147540983606559</v>
      </c>
      <c r="V334" s="477">
        <f t="shared" si="54"/>
        <v>0.42152466367713004</v>
      </c>
      <c r="W334" s="476">
        <f t="shared" si="54"/>
        <v>0.40162271805273836</v>
      </c>
      <c r="X334" s="477">
        <f t="shared" si="54"/>
        <v>0.27755102040816326</v>
      </c>
      <c r="Y334" s="477"/>
    </row>
    <row r="335" spans="1:34" s="1" customFormat="1" ht="15.6" x14ac:dyDescent="0.3">
      <c r="A335" s="470"/>
      <c r="B335" s="471"/>
      <c r="C335" s="480"/>
      <c r="D335" s="480"/>
      <c r="E335" s="480" t="s">
        <v>3</v>
      </c>
      <c r="F335" s="480"/>
      <c r="G335" s="480"/>
      <c r="H335" s="480"/>
      <c r="I335" s="480"/>
      <c r="J335" s="480"/>
      <c r="K335" s="480"/>
      <c r="L335" s="372"/>
      <c r="M335" s="278"/>
      <c r="N335" s="278"/>
      <c r="O335" s="279"/>
      <c r="P335" s="280"/>
      <c r="Q335" s="278"/>
      <c r="R335" s="278"/>
      <c r="S335" s="279"/>
      <c r="T335" s="279"/>
      <c r="U335" s="279"/>
      <c r="V335" s="279"/>
      <c r="W335" s="281"/>
      <c r="X335" s="278"/>
      <c r="Y335" s="278"/>
    </row>
    <row r="336" spans="1:34" s="1" customFormat="1" ht="15.6" x14ac:dyDescent="0.3">
      <c r="A336" s="470"/>
      <c r="B336" s="471" t="s">
        <v>238</v>
      </c>
      <c r="C336" s="480"/>
      <c r="D336" s="480"/>
      <c r="E336" s="480"/>
      <c r="F336" s="480"/>
      <c r="G336" s="480"/>
      <c r="H336" s="480"/>
      <c r="I336" s="480"/>
      <c r="J336" s="480"/>
      <c r="K336" s="480"/>
      <c r="L336" s="372"/>
      <c r="M336" s="278"/>
      <c r="N336" s="278"/>
      <c r="O336" s="279"/>
      <c r="P336" s="280"/>
      <c r="Q336" s="278"/>
      <c r="R336" s="278"/>
      <c r="S336" s="279"/>
      <c r="T336" s="279"/>
      <c r="U336" s="279"/>
      <c r="V336" s="279"/>
      <c r="W336" s="281"/>
      <c r="X336" s="278"/>
      <c r="Y336" s="278"/>
    </row>
    <row r="337" spans="1:34" s="1" customFormat="1" ht="15.6" x14ac:dyDescent="0.3">
      <c r="A337" s="470"/>
      <c r="B337" s="108" t="s">
        <v>239</v>
      </c>
      <c r="C337" s="65">
        <f>SUM(C339:C345)</f>
        <v>3345.6120000000005</v>
      </c>
      <c r="D337" s="65">
        <f>SUM(D339:D345)</f>
        <v>640.68399999999997</v>
      </c>
      <c r="E337" s="65">
        <f>SUM(E339:E345)</f>
        <v>892</v>
      </c>
      <c r="F337" s="65">
        <f>SUM(F338:F345)</f>
        <v>2587</v>
      </c>
      <c r="G337" s="65">
        <f>SUM(G338:G345)</f>
        <v>4011</v>
      </c>
      <c r="H337" s="65">
        <f>SUM(H338:H345)</f>
        <v>1794</v>
      </c>
      <c r="I337" s="65">
        <f>SUM(I339:I345)</f>
        <v>2016</v>
      </c>
      <c r="J337" s="65">
        <f>J321-J325</f>
        <v>2355.1816200000003</v>
      </c>
      <c r="K337" s="65">
        <f>3392861.54/1000</f>
        <v>3392.8615399999999</v>
      </c>
      <c r="L337" s="65">
        <f>SUM(L338:L346)</f>
        <v>192</v>
      </c>
      <c r="M337" s="66">
        <f>10811464.6/1000</f>
        <v>10811.464599999999</v>
      </c>
      <c r="N337" s="66">
        <f>5781227.88/1000</f>
        <v>5781.2278799999995</v>
      </c>
      <c r="O337" s="67"/>
      <c r="P337" s="210">
        <f t="shared" ref="P337:Y337" si="55">SUM(P338:P346)</f>
        <v>3700</v>
      </c>
      <c r="Q337" s="105">
        <f t="shared" si="55"/>
        <v>7100</v>
      </c>
      <c r="R337" s="66">
        <f t="shared" si="55"/>
        <v>8100</v>
      </c>
      <c r="S337" s="66">
        <f t="shared" si="55"/>
        <v>7500</v>
      </c>
      <c r="T337" s="66">
        <f t="shared" si="55"/>
        <v>5700</v>
      </c>
      <c r="U337" s="66">
        <f t="shared" si="55"/>
        <v>9200</v>
      </c>
      <c r="V337" s="66">
        <f t="shared" si="55"/>
        <v>19800</v>
      </c>
      <c r="W337" s="65">
        <f t="shared" si="55"/>
        <v>21400</v>
      </c>
      <c r="X337" s="66">
        <f t="shared" si="55"/>
        <v>8400</v>
      </c>
      <c r="Y337" s="66">
        <f t="shared" si="55"/>
        <v>1000</v>
      </c>
    </row>
    <row r="338" spans="1:34" s="1" customFormat="1" ht="15.6" x14ac:dyDescent="0.3">
      <c r="A338" s="35">
        <v>1</v>
      </c>
      <c r="B338" s="471" t="s">
        <v>65</v>
      </c>
      <c r="C338" s="227">
        <v>5148.1729999999998</v>
      </c>
      <c r="D338" s="227">
        <v>3946.1990000000001</v>
      </c>
      <c r="E338" s="227">
        <v>807</v>
      </c>
      <c r="F338" s="227">
        <v>1504</v>
      </c>
      <c r="G338" s="227">
        <v>2658</v>
      </c>
      <c r="H338" s="227">
        <v>1066</v>
      </c>
      <c r="I338" s="227">
        <v>564</v>
      </c>
      <c r="J338" s="227">
        <v>1000</v>
      </c>
      <c r="K338" s="122" t="s">
        <v>3</v>
      </c>
      <c r="L338" s="472"/>
      <c r="M338" s="285"/>
      <c r="N338" s="473"/>
      <c r="O338" s="285">
        <v>1800</v>
      </c>
      <c r="P338" s="474">
        <v>1000</v>
      </c>
      <c r="Q338" s="285">
        <v>1300</v>
      </c>
      <c r="R338" s="285">
        <v>1700</v>
      </c>
      <c r="S338" s="286">
        <v>2000</v>
      </c>
      <c r="T338" s="286">
        <v>1000</v>
      </c>
      <c r="U338" s="286">
        <v>1200</v>
      </c>
      <c r="V338" s="286">
        <v>2000</v>
      </c>
      <c r="W338" s="288">
        <v>2000</v>
      </c>
      <c r="X338" s="285">
        <v>2500</v>
      </c>
      <c r="Y338" s="285"/>
      <c r="AH338" s="209" t="s">
        <v>66</v>
      </c>
    </row>
    <row r="339" spans="1:34" s="1" customFormat="1" ht="15.6" x14ac:dyDescent="0.3">
      <c r="A339" s="35">
        <v>2</v>
      </c>
      <c r="B339" s="471" t="s">
        <v>67</v>
      </c>
      <c r="C339" s="227">
        <v>619.52700000000004</v>
      </c>
      <c r="D339" s="227">
        <v>315.10599999999999</v>
      </c>
      <c r="E339" s="227">
        <v>180</v>
      </c>
      <c r="F339" s="227">
        <v>221</v>
      </c>
      <c r="G339" s="227">
        <v>495</v>
      </c>
      <c r="H339" s="227">
        <v>179</v>
      </c>
      <c r="I339" s="227">
        <v>814</v>
      </c>
      <c r="J339" s="227">
        <v>1210</v>
      </c>
      <c r="K339" s="122" t="s">
        <v>3</v>
      </c>
      <c r="L339" s="472"/>
      <c r="M339" s="285"/>
      <c r="N339" s="473"/>
      <c r="O339" s="285">
        <v>200</v>
      </c>
      <c r="P339" s="474">
        <v>100</v>
      </c>
      <c r="Q339" s="285">
        <v>700</v>
      </c>
      <c r="R339" s="285">
        <v>500</v>
      </c>
      <c r="S339" s="285">
        <v>600</v>
      </c>
      <c r="T339" s="285">
        <v>800</v>
      </c>
      <c r="U339" s="285">
        <v>1200</v>
      </c>
      <c r="V339" s="285">
        <v>1300</v>
      </c>
      <c r="W339" s="284">
        <v>1400</v>
      </c>
      <c r="X339" s="285">
        <v>1500</v>
      </c>
      <c r="Y339" s="285"/>
      <c r="AH339" s="209" t="s">
        <v>66</v>
      </c>
    </row>
    <row r="340" spans="1:34" s="1" customFormat="1" ht="15.6" x14ac:dyDescent="0.3">
      <c r="A340" s="35">
        <v>3</v>
      </c>
      <c r="B340" s="471" t="s">
        <v>68</v>
      </c>
      <c r="C340" s="227">
        <v>76.48</v>
      </c>
      <c r="D340" s="227">
        <v>97.004000000000005</v>
      </c>
      <c r="E340" s="227">
        <v>130</v>
      </c>
      <c r="F340" s="227">
        <v>210</v>
      </c>
      <c r="G340" s="227">
        <v>28</v>
      </c>
      <c r="H340" s="227">
        <v>51</v>
      </c>
      <c r="I340" s="227">
        <v>118</v>
      </c>
      <c r="J340" s="227">
        <v>780</v>
      </c>
      <c r="K340" s="122" t="s">
        <v>3</v>
      </c>
      <c r="L340" s="472"/>
      <c r="M340" s="285"/>
      <c r="N340" s="473"/>
      <c r="O340" s="285">
        <v>200</v>
      </c>
      <c r="P340" s="474">
        <v>400</v>
      </c>
      <c r="Q340" s="285">
        <v>900</v>
      </c>
      <c r="R340" s="285">
        <v>400</v>
      </c>
      <c r="S340" s="286">
        <v>400</v>
      </c>
      <c r="T340" s="286">
        <f>400</f>
        <v>400</v>
      </c>
      <c r="U340" s="473">
        <f>400+3000</f>
        <v>3400</v>
      </c>
      <c r="V340" s="473">
        <f>800+13000</f>
        <v>13800</v>
      </c>
      <c r="W340" s="475">
        <f>800+14000</f>
        <v>14800</v>
      </c>
      <c r="X340" s="285">
        <v>800</v>
      </c>
      <c r="Y340" s="285"/>
      <c r="AH340" s="209" t="s">
        <v>66</v>
      </c>
    </row>
    <row r="341" spans="1:34" s="1" customFormat="1" ht="15.6" x14ac:dyDescent="0.3">
      <c r="A341" s="35">
        <v>4</v>
      </c>
      <c r="B341" s="471" t="s">
        <v>69</v>
      </c>
      <c r="C341" s="227">
        <v>173.60400000000001</v>
      </c>
      <c r="D341" s="227">
        <v>81.593999999999994</v>
      </c>
      <c r="E341" s="227">
        <v>145</v>
      </c>
      <c r="F341" s="227">
        <v>96</v>
      </c>
      <c r="G341" s="227">
        <v>42</v>
      </c>
      <c r="H341" s="227">
        <v>111</v>
      </c>
      <c r="I341" s="227">
        <v>453</v>
      </c>
      <c r="J341" s="227">
        <v>200</v>
      </c>
      <c r="K341" s="122" t="s">
        <v>3</v>
      </c>
      <c r="L341" s="472"/>
      <c r="M341" s="285"/>
      <c r="N341" s="473"/>
      <c r="O341" s="285">
        <v>100</v>
      </c>
      <c r="P341" s="474">
        <v>400</v>
      </c>
      <c r="Q341" s="285">
        <v>600</v>
      </c>
      <c r="R341" s="285">
        <v>800</v>
      </c>
      <c r="S341" s="286">
        <v>600</v>
      </c>
      <c r="T341" s="286">
        <v>800</v>
      </c>
      <c r="U341" s="286">
        <v>800</v>
      </c>
      <c r="V341" s="286">
        <v>800</v>
      </c>
      <c r="W341" s="288">
        <v>800</v>
      </c>
      <c r="X341" s="285">
        <v>1100</v>
      </c>
      <c r="Y341" s="285"/>
      <c r="AH341" s="209" t="s">
        <v>66</v>
      </c>
    </row>
    <row r="342" spans="1:34" s="1" customFormat="1" ht="15.6" x14ac:dyDescent="0.3">
      <c r="A342" s="35">
        <v>5</v>
      </c>
      <c r="B342" s="471" t="s">
        <v>70</v>
      </c>
      <c r="C342" s="227">
        <f>240.569+2005.683</f>
        <v>2246.252</v>
      </c>
      <c r="D342" s="227">
        <v>93.552999999999997</v>
      </c>
      <c r="E342" s="227">
        <v>284</v>
      </c>
      <c r="F342" s="227">
        <v>207</v>
      </c>
      <c r="G342" s="227">
        <v>189</v>
      </c>
      <c r="H342" s="227">
        <v>57</v>
      </c>
      <c r="I342" s="227">
        <v>100</v>
      </c>
      <c r="J342" s="227">
        <v>420</v>
      </c>
      <c r="K342" s="122" t="s">
        <v>3</v>
      </c>
      <c r="L342" s="472"/>
      <c r="M342" s="285"/>
      <c r="N342" s="473"/>
      <c r="O342" s="285">
        <v>300</v>
      </c>
      <c r="P342" s="474">
        <v>500</v>
      </c>
      <c r="Q342" s="285">
        <v>300</v>
      </c>
      <c r="R342" s="285">
        <v>200</v>
      </c>
      <c r="S342" s="286">
        <v>900</v>
      </c>
      <c r="T342" s="286">
        <v>950</v>
      </c>
      <c r="U342" s="286">
        <v>800</v>
      </c>
      <c r="V342" s="286">
        <v>600</v>
      </c>
      <c r="W342" s="288">
        <v>600</v>
      </c>
      <c r="X342" s="285">
        <v>600</v>
      </c>
      <c r="Y342" s="285"/>
      <c r="AH342" s="209" t="s">
        <v>66</v>
      </c>
    </row>
    <row r="343" spans="1:34" s="1" customFormat="1" ht="15.6" x14ac:dyDescent="0.3">
      <c r="A343" s="35">
        <v>6</v>
      </c>
      <c r="B343" s="471" t="s">
        <v>71</v>
      </c>
      <c r="C343" s="227">
        <v>179.27699999999999</v>
      </c>
      <c r="D343" s="227">
        <v>16.093</v>
      </c>
      <c r="E343" s="227">
        <v>0</v>
      </c>
      <c r="F343" s="227">
        <v>38</v>
      </c>
      <c r="G343" s="227">
        <v>502</v>
      </c>
      <c r="H343" s="227">
        <v>46</v>
      </c>
      <c r="I343" s="227">
        <v>275</v>
      </c>
      <c r="J343" s="227">
        <v>200</v>
      </c>
      <c r="K343" s="122" t="s">
        <v>3</v>
      </c>
      <c r="L343" s="472"/>
      <c r="M343" s="285"/>
      <c r="N343" s="473"/>
      <c r="O343" s="285">
        <v>200</v>
      </c>
      <c r="P343" s="474">
        <v>100</v>
      </c>
      <c r="Q343" s="285">
        <v>2100</v>
      </c>
      <c r="R343" s="285">
        <v>1300</v>
      </c>
      <c r="S343" s="285">
        <v>400</v>
      </c>
      <c r="T343" s="285">
        <v>150</v>
      </c>
      <c r="U343" s="285">
        <v>200</v>
      </c>
      <c r="V343" s="285">
        <v>300</v>
      </c>
      <c r="W343" s="284">
        <v>200</v>
      </c>
      <c r="X343" s="285">
        <v>300</v>
      </c>
      <c r="Y343" s="285"/>
      <c r="AH343" s="209" t="s">
        <v>66</v>
      </c>
    </row>
    <row r="344" spans="1:34" s="1" customFormat="1" ht="15.6" x14ac:dyDescent="0.3">
      <c r="A344" s="35">
        <v>7</v>
      </c>
      <c r="B344" s="471" t="s">
        <v>72</v>
      </c>
      <c r="C344" s="227"/>
      <c r="D344" s="227"/>
      <c r="E344" s="227"/>
      <c r="F344" s="227"/>
      <c r="G344" s="227"/>
      <c r="H344" s="227"/>
      <c r="I344" s="227"/>
      <c r="J344" s="227"/>
      <c r="K344" s="122"/>
      <c r="L344" s="472"/>
      <c r="M344" s="285"/>
      <c r="N344" s="473"/>
      <c r="O344" s="285"/>
      <c r="P344" s="474"/>
      <c r="Q344" s="285"/>
      <c r="R344" s="285"/>
      <c r="S344" s="285"/>
      <c r="T344" s="285"/>
      <c r="U344" s="285"/>
      <c r="V344" s="285"/>
      <c r="W344" s="284"/>
      <c r="X344" s="285"/>
      <c r="Y344" s="285"/>
      <c r="AH344" s="209" t="s">
        <v>66</v>
      </c>
    </row>
    <row r="345" spans="1:34" s="1" customFormat="1" ht="15.6" x14ac:dyDescent="0.3">
      <c r="A345" s="35">
        <v>8</v>
      </c>
      <c r="B345" s="471" t="s">
        <v>90</v>
      </c>
      <c r="C345" s="227">
        <v>50.472000000000001</v>
      </c>
      <c r="D345" s="227">
        <v>37.334000000000003</v>
      </c>
      <c r="E345" s="227">
        <v>153</v>
      </c>
      <c r="F345" s="227">
        <v>311</v>
      </c>
      <c r="G345" s="227">
        <v>97</v>
      </c>
      <c r="H345" s="227">
        <v>284</v>
      </c>
      <c r="I345" s="227">
        <v>256</v>
      </c>
      <c r="J345" s="227">
        <v>390</v>
      </c>
      <c r="K345" s="122" t="s">
        <v>3</v>
      </c>
      <c r="L345" s="472"/>
      <c r="M345" s="285"/>
      <c r="N345" s="473"/>
      <c r="O345" s="285">
        <v>200</v>
      </c>
      <c r="P345" s="474">
        <v>200</v>
      </c>
      <c r="Q345" s="285">
        <v>200</v>
      </c>
      <c r="R345" s="285">
        <v>2200</v>
      </c>
      <c r="S345" s="285">
        <v>1600</v>
      </c>
      <c r="T345" s="285">
        <v>600</v>
      </c>
      <c r="U345" s="285">
        <v>600</v>
      </c>
      <c r="V345" s="285" t="s">
        <v>91</v>
      </c>
      <c r="W345" s="284">
        <v>600</v>
      </c>
      <c r="X345" s="285">
        <v>600</v>
      </c>
      <c r="Y345" s="285"/>
      <c r="AH345" s="209" t="s">
        <v>66</v>
      </c>
    </row>
    <row r="346" spans="1:34" s="1" customFormat="1" ht="15.6" x14ac:dyDescent="0.3">
      <c r="A346" s="470"/>
      <c r="B346" s="471" t="s">
        <v>238</v>
      </c>
      <c r="C346" s="122"/>
      <c r="D346" s="122"/>
      <c r="E346" s="122"/>
      <c r="F346" s="122"/>
      <c r="G346" s="122"/>
      <c r="H346" s="122"/>
      <c r="I346" s="122"/>
      <c r="J346" s="122"/>
      <c r="K346" s="122"/>
      <c r="L346" s="305">
        <v>192</v>
      </c>
      <c r="M346" s="306"/>
      <c r="N346" s="306">
        <f>470397.77/1000</f>
        <v>470.39777000000004</v>
      </c>
      <c r="O346" s="307"/>
      <c r="P346" s="308">
        <v>1000</v>
      </c>
      <c r="Q346" s="306">
        <v>1000</v>
      </c>
      <c r="R346" s="306">
        <v>1000</v>
      </c>
      <c r="S346" s="307">
        <v>1000</v>
      </c>
      <c r="T346" s="307">
        <v>1000</v>
      </c>
      <c r="U346" s="307">
        <v>1000</v>
      </c>
      <c r="V346" s="307">
        <v>1000</v>
      </c>
      <c r="W346" s="309">
        <v>1000</v>
      </c>
      <c r="X346" s="306">
        <v>1000</v>
      </c>
      <c r="Y346" s="306">
        <v>1000</v>
      </c>
    </row>
    <row r="347" spans="1:34" s="1" customFormat="1" ht="15.6" x14ac:dyDescent="0.3">
      <c r="A347" s="470"/>
      <c r="B347" s="292" t="s">
        <v>237</v>
      </c>
      <c r="C347" s="178">
        <f t="shared" ref="C347:I347" si="56">C337/C319</f>
        <v>0.12215646128722786</v>
      </c>
      <c r="D347" s="178">
        <f t="shared" si="56"/>
        <v>3.4633003433169364E-2</v>
      </c>
      <c r="E347" s="178">
        <f t="shared" si="56"/>
        <v>5.419856604690728E-2</v>
      </c>
      <c r="F347" s="178">
        <f t="shared" si="56"/>
        <v>0.13583617747440274</v>
      </c>
      <c r="G347" s="178">
        <f t="shared" si="56"/>
        <v>0.21373761057231164</v>
      </c>
      <c r="H347" s="178">
        <f t="shared" si="56"/>
        <v>0.1302170283806344</v>
      </c>
      <c r="I347" s="178">
        <f t="shared" si="56"/>
        <v>0.15703380588876772</v>
      </c>
      <c r="J347" s="178" t="s">
        <v>3</v>
      </c>
      <c r="K347" s="178" t="s">
        <v>3</v>
      </c>
      <c r="L347" s="178">
        <f t="shared" ref="L347:X347" si="57">L337/L319</f>
        <v>1.6523235800344233E-2</v>
      </c>
      <c r="M347" s="179">
        <f t="shared" si="57"/>
        <v>0.3787273761750406</v>
      </c>
      <c r="N347" s="179">
        <f t="shared" si="57"/>
        <v>0.30051136050840499</v>
      </c>
      <c r="O347" s="180">
        <f t="shared" si="57"/>
        <v>0</v>
      </c>
      <c r="P347" s="181">
        <f t="shared" si="57"/>
        <v>0.17788461538461539</v>
      </c>
      <c r="Q347" s="179">
        <f t="shared" si="57"/>
        <v>0.31140350877192985</v>
      </c>
      <c r="R347" s="179">
        <f t="shared" si="57"/>
        <v>0.37155963302752293</v>
      </c>
      <c r="S347" s="179">
        <f t="shared" si="57"/>
        <v>0.35046728971962615</v>
      </c>
      <c r="T347" s="179">
        <f t="shared" si="57"/>
        <v>0.29842931937172773</v>
      </c>
      <c r="U347" s="179">
        <f t="shared" si="57"/>
        <v>0.37704918032786883</v>
      </c>
      <c r="V347" s="179">
        <f t="shared" si="57"/>
        <v>0.44394618834080718</v>
      </c>
      <c r="W347" s="178">
        <f t="shared" si="57"/>
        <v>0.43407707910750509</v>
      </c>
      <c r="X347" s="179">
        <f t="shared" si="57"/>
        <v>0.34285714285714286</v>
      </c>
      <c r="Y347" s="179"/>
    </row>
    <row r="348" spans="1:34" s="1" customFormat="1" ht="15.6" x14ac:dyDescent="0.3">
      <c r="A348" s="470"/>
      <c r="B348" s="292"/>
      <c r="C348" s="178"/>
      <c r="D348" s="178"/>
      <c r="E348" s="178"/>
      <c r="F348" s="178"/>
      <c r="G348" s="178"/>
      <c r="H348" s="178"/>
      <c r="I348" s="178"/>
      <c r="J348" s="178"/>
      <c r="K348" s="178"/>
      <c r="L348" s="178"/>
      <c r="M348" s="179"/>
      <c r="N348" s="179"/>
      <c r="O348" s="180"/>
      <c r="P348" s="481" t="s">
        <v>3</v>
      </c>
      <c r="Q348" s="482" t="s">
        <v>3</v>
      </c>
      <c r="R348" s="483"/>
      <c r="S348" s="484"/>
      <c r="T348" s="484"/>
      <c r="U348" s="484"/>
      <c r="V348" s="484"/>
      <c r="W348" s="485"/>
      <c r="X348" s="483"/>
      <c r="Y348" s="483"/>
    </row>
    <row r="349" spans="1:34" s="1" customFormat="1" ht="15.6" x14ac:dyDescent="0.3">
      <c r="A349" s="33"/>
      <c r="B349" s="103" t="s">
        <v>240</v>
      </c>
      <c r="C349" s="94">
        <v>15599</v>
      </c>
      <c r="D349" s="94">
        <v>13309</v>
      </c>
      <c r="E349" s="94">
        <v>14020</v>
      </c>
      <c r="F349" s="94">
        <v>14182</v>
      </c>
      <c r="G349" s="94">
        <v>10841</v>
      </c>
      <c r="H349" s="94">
        <v>10473</v>
      </c>
      <c r="I349" s="94">
        <v>8498</v>
      </c>
      <c r="J349" s="94">
        <v>7128</v>
      </c>
      <c r="K349" s="94">
        <f>SUM(K352+K357)</f>
        <v>7024</v>
      </c>
      <c r="L349" s="94">
        <f>SUM(L352+L357)</f>
        <v>11428</v>
      </c>
      <c r="M349" s="95">
        <f>9659270/1000</f>
        <v>9659.27</v>
      </c>
      <c r="N349" s="95">
        <f>8070643.52/1000</f>
        <v>8070.6435199999996</v>
      </c>
      <c r="O349" s="96">
        <v>17500</v>
      </c>
      <c r="P349" s="440">
        <f>9100+5500</f>
        <v>14600</v>
      </c>
      <c r="Q349" s="94">
        <f>9800</f>
        <v>9800</v>
      </c>
      <c r="R349" s="94">
        <v>8800</v>
      </c>
      <c r="S349" s="94">
        <v>9000</v>
      </c>
      <c r="T349" s="94">
        <v>9300</v>
      </c>
      <c r="U349" s="94">
        <v>7600</v>
      </c>
      <c r="V349" s="95">
        <v>5000</v>
      </c>
      <c r="W349" s="94">
        <v>8100</v>
      </c>
      <c r="X349" s="95">
        <v>9300</v>
      </c>
      <c r="Y349" s="95">
        <v>10000</v>
      </c>
    </row>
    <row r="350" spans="1:34" ht="15" customHeight="1" x14ac:dyDescent="0.3">
      <c r="A350" s="33"/>
      <c r="B350" s="73" t="s">
        <v>19</v>
      </c>
      <c r="C350" s="74"/>
      <c r="D350" s="74"/>
      <c r="E350" s="2"/>
      <c r="F350" s="75"/>
      <c r="G350" s="75"/>
      <c r="H350" s="75"/>
      <c r="I350" s="75"/>
      <c r="J350" s="75"/>
      <c r="K350" s="76"/>
      <c r="L350" s="77"/>
      <c r="M350" s="78"/>
      <c r="N350" s="78"/>
      <c r="O350" s="79"/>
      <c r="P350" s="80">
        <v>9100</v>
      </c>
      <c r="Q350" s="81">
        <v>9800</v>
      </c>
      <c r="R350" s="81">
        <v>8800</v>
      </c>
      <c r="S350" s="81">
        <v>9000</v>
      </c>
      <c r="T350" s="81">
        <v>9300</v>
      </c>
      <c r="U350" s="81">
        <v>7600</v>
      </c>
      <c r="V350" s="81">
        <v>5000</v>
      </c>
      <c r="W350" s="82">
        <v>8100</v>
      </c>
      <c r="X350" s="81">
        <v>9300</v>
      </c>
      <c r="Y350" s="81">
        <v>10000</v>
      </c>
    </row>
    <row r="351" spans="1:34" ht="15" customHeight="1" x14ac:dyDescent="0.3">
      <c r="A351" s="33"/>
      <c r="B351" s="73" t="s">
        <v>20</v>
      </c>
      <c r="C351" s="74"/>
      <c r="D351" s="74"/>
      <c r="E351" s="2"/>
      <c r="F351" s="75"/>
      <c r="G351" s="75"/>
      <c r="H351" s="75"/>
      <c r="I351" s="75"/>
      <c r="J351" s="75"/>
      <c r="K351" s="76"/>
      <c r="L351" s="77"/>
      <c r="M351" s="78"/>
      <c r="N351" s="78"/>
      <c r="O351" s="486"/>
      <c r="P351" s="80">
        <f t="shared" ref="P351:X351" si="58">P349-P350</f>
        <v>5500</v>
      </c>
      <c r="Q351" s="81">
        <f t="shared" si="58"/>
        <v>0</v>
      </c>
      <c r="R351" s="81">
        <f t="shared" si="58"/>
        <v>0</v>
      </c>
      <c r="S351" s="81">
        <f t="shared" si="58"/>
        <v>0</v>
      </c>
      <c r="T351" s="81">
        <f t="shared" si="58"/>
        <v>0</v>
      </c>
      <c r="U351" s="81">
        <f t="shared" si="58"/>
        <v>0</v>
      </c>
      <c r="V351" s="81">
        <f t="shared" si="58"/>
        <v>0</v>
      </c>
      <c r="W351" s="82">
        <f t="shared" si="58"/>
        <v>0</v>
      </c>
      <c r="X351" s="81">
        <f t="shared" si="58"/>
        <v>0</v>
      </c>
      <c r="Y351" s="81"/>
    </row>
    <row r="352" spans="1:34" ht="15.6" x14ac:dyDescent="0.3">
      <c r="A352" s="33"/>
      <c r="B352" s="487" t="s">
        <v>241</v>
      </c>
      <c r="C352" s="178"/>
      <c r="D352" s="178"/>
      <c r="E352" s="178"/>
      <c r="F352" s="178"/>
      <c r="G352" s="122"/>
      <c r="H352" s="122"/>
      <c r="I352" s="122"/>
      <c r="J352" s="299"/>
      <c r="K352" s="65">
        <v>2113</v>
      </c>
      <c r="L352" s="65">
        <v>2164</v>
      </c>
      <c r="M352" s="66">
        <f>2120654.68/1000</f>
        <v>2120.6546800000001</v>
      </c>
      <c r="N352" s="66">
        <f>1085032.14/1000</f>
        <v>1085.0321399999998</v>
      </c>
      <c r="O352" s="67">
        <v>1150</v>
      </c>
      <c r="P352" s="68">
        <v>2700</v>
      </c>
      <c r="Q352" s="65">
        <v>2350</v>
      </c>
      <c r="R352" s="65">
        <f t="shared" ref="R352:X352" si="59">SUM(R353:R354)</f>
        <v>3000</v>
      </c>
      <c r="S352" s="65">
        <f t="shared" si="59"/>
        <v>2300</v>
      </c>
      <c r="T352" s="65">
        <f t="shared" si="59"/>
        <v>2900</v>
      </c>
      <c r="U352" s="65">
        <f t="shared" si="59"/>
        <v>2400</v>
      </c>
      <c r="V352" s="66">
        <f t="shared" si="59"/>
        <v>3800</v>
      </c>
      <c r="W352" s="65">
        <f t="shared" si="59"/>
        <v>3800</v>
      </c>
      <c r="X352" s="66">
        <f t="shared" si="59"/>
        <v>3800</v>
      </c>
      <c r="Y352" s="66"/>
    </row>
    <row r="353" spans="1:25" ht="15.6" x14ac:dyDescent="0.3">
      <c r="A353" s="33"/>
      <c r="B353" s="471" t="s">
        <v>242</v>
      </c>
      <c r="C353" s="178"/>
      <c r="D353" s="178"/>
      <c r="E353" s="178"/>
      <c r="F353" s="178"/>
      <c r="G353" s="122"/>
      <c r="H353" s="122"/>
      <c r="I353" s="122"/>
      <c r="J353" s="122"/>
      <c r="K353" s="122">
        <v>500</v>
      </c>
      <c r="L353" s="122">
        <v>300</v>
      </c>
      <c r="M353" s="123"/>
      <c r="N353" s="123"/>
      <c r="O353" s="272">
        <v>0</v>
      </c>
      <c r="P353" s="126">
        <v>800</v>
      </c>
      <c r="Q353" s="125">
        <v>1600</v>
      </c>
      <c r="R353" s="125">
        <v>2200</v>
      </c>
      <c r="S353" s="125">
        <v>0</v>
      </c>
      <c r="T353" s="125">
        <v>1600</v>
      </c>
      <c r="U353" s="125">
        <v>1600</v>
      </c>
      <c r="V353" s="125">
        <v>2600</v>
      </c>
      <c r="W353" s="122">
        <v>2600</v>
      </c>
      <c r="X353" s="125">
        <v>2600</v>
      </c>
      <c r="Y353" s="125"/>
    </row>
    <row r="354" spans="1:25" ht="15.6" x14ac:dyDescent="0.3">
      <c r="A354" s="33"/>
      <c r="B354" s="471" t="s">
        <v>243</v>
      </c>
      <c r="C354" s="178"/>
      <c r="D354" s="178"/>
      <c r="E354" s="178"/>
      <c r="F354" s="178"/>
      <c r="G354" s="122"/>
      <c r="H354" s="122"/>
      <c r="I354" s="122"/>
      <c r="J354" s="122"/>
      <c r="K354" s="122">
        <v>1750</v>
      </c>
      <c r="L354" s="122">
        <v>2000</v>
      </c>
      <c r="M354" s="123"/>
      <c r="N354" s="123"/>
      <c r="O354" s="272">
        <v>800</v>
      </c>
      <c r="P354" s="126">
        <v>800</v>
      </c>
      <c r="Q354" s="125">
        <v>800</v>
      </c>
      <c r="R354" s="125">
        <v>800</v>
      </c>
      <c r="S354" s="272">
        <v>2300</v>
      </c>
      <c r="T354" s="272">
        <v>1300</v>
      </c>
      <c r="U354" s="272">
        <v>800</v>
      </c>
      <c r="V354" s="272">
        <v>1200</v>
      </c>
      <c r="W354" s="273">
        <v>1200</v>
      </c>
      <c r="X354" s="125">
        <v>1200</v>
      </c>
      <c r="Y354" s="125"/>
    </row>
    <row r="355" spans="1:25" ht="15.6" x14ac:dyDescent="0.3">
      <c r="A355" s="33"/>
      <c r="B355" s="488" t="s">
        <v>237</v>
      </c>
      <c r="C355" s="178"/>
      <c r="D355" s="178"/>
      <c r="E355" s="178"/>
      <c r="F355" s="178"/>
      <c r="G355" s="122"/>
      <c r="H355" s="122"/>
      <c r="I355" s="122"/>
      <c r="J355" s="122"/>
      <c r="K355" s="489">
        <f>K352/K349</f>
        <v>0.30082574031890663</v>
      </c>
      <c r="L355" s="490">
        <f>L352/L349</f>
        <v>0.18935946797339867</v>
      </c>
      <c r="M355" s="491">
        <f>M352/M349</f>
        <v>0.21954606093421139</v>
      </c>
      <c r="N355" s="491"/>
      <c r="O355" s="492">
        <f t="shared" ref="O355:X355" si="60">O352/O349</f>
        <v>6.5714285714285711E-2</v>
      </c>
      <c r="P355" s="493">
        <f t="shared" si="60"/>
        <v>0.18493150684931506</v>
      </c>
      <c r="Q355" s="494">
        <f t="shared" si="60"/>
        <v>0.23979591836734693</v>
      </c>
      <c r="R355" s="494">
        <f t="shared" si="60"/>
        <v>0.34090909090909088</v>
      </c>
      <c r="S355" s="492">
        <f t="shared" si="60"/>
        <v>0.25555555555555554</v>
      </c>
      <c r="T355" s="492">
        <f t="shared" si="60"/>
        <v>0.31182795698924731</v>
      </c>
      <c r="U355" s="492">
        <f t="shared" si="60"/>
        <v>0.31578947368421051</v>
      </c>
      <c r="V355" s="492">
        <f t="shared" si="60"/>
        <v>0.76</v>
      </c>
      <c r="W355" s="495">
        <f t="shared" si="60"/>
        <v>0.46913580246913578</v>
      </c>
      <c r="X355" s="494">
        <f t="shared" si="60"/>
        <v>0.40860215053763443</v>
      </c>
      <c r="Y355" s="494"/>
    </row>
    <row r="356" spans="1:25" ht="15.6" x14ac:dyDescent="0.3">
      <c r="A356" s="33"/>
      <c r="B356" s="93"/>
      <c r="C356" s="178"/>
      <c r="D356" s="178"/>
      <c r="E356" s="178"/>
      <c r="F356" s="178"/>
      <c r="G356" s="122"/>
      <c r="H356" s="122"/>
      <c r="I356" s="122"/>
      <c r="J356" s="122"/>
      <c r="K356" s="122"/>
      <c r="L356" s="122"/>
      <c r="M356" s="123"/>
      <c r="N356" s="124"/>
      <c r="O356" s="125"/>
      <c r="P356" s="126"/>
      <c r="Q356" s="125"/>
      <c r="R356" s="125"/>
      <c r="S356" s="272"/>
      <c r="T356" s="272"/>
      <c r="U356" s="272"/>
      <c r="V356" s="272"/>
      <c r="W356" s="273"/>
      <c r="X356" s="125"/>
      <c r="Y356" s="125"/>
    </row>
    <row r="357" spans="1:25" ht="15.6" x14ac:dyDescent="0.3">
      <c r="A357" s="33"/>
      <c r="B357" s="487" t="s">
        <v>244</v>
      </c>
      <c r="C357" s="178"/>
      <c r="D357" s="178"/>
      <c r="E357" s="178"/>
      <c r="F357" s="178"/>
      <c r="G357" s="122"/>
      <c r="H357" s="122"/>
      <c r="I357" s="122"/>
      <c r="J357" s="122"/>
      <c r="K357" s="65">
        <v>4911</v>
      </c>
      <c r="L357" s="65">
        <v>9264</v>
      </c>
      <c r="M357" s="66">
        <f>7538615.41/1000</f>
        <v>7538.6154100000003</v>
      </c>
      <c r="N357" s="496">
        <f>6985611.38/1000</f>
        <v>6985.6113800000003</v>
      </c>
      <c r="O357" s="66">
        <f t="shared" ref="O357:X357" si="61">SUM(O358:O361)</f>
        <v>6350</v>
      </c>
      <c r="P357" s="68">
        <f t="shared" si="61"/>
        <v>5500</v>
      </c>
      <c r="Q357" s="66">
        <f t="shared" si="61"/>
        <v>5050</v>
      </c>
      <c r="R357" s="66">
        <f t="shared" si="61"/>
        <v>5800</v>
      </c>
      <c r="S357" s="66">
        <f t="shared" si="61"/>
        <v>6100</v>
      </c>
      <c r="T357" s="66">
        <f t="shared" si="61"/>
        <v>5200</v>
      </c>
      <c r="U357" s="66">
        <f t="shared" si="61"/>
        <v>5400</v>
      </c>
      <c r="V357" s="66">
        <f t="shared" si="61"/>
        <v>4400</v>
      </c>
      <c r="W357" s="65">
        <f t="shared" si="61"/>
        <v>3900</v>
      </c>
      <c r="X357" s="66">
        <f t="shared" si="61"/>
        <v>3900</v>
      </c>
      <c r="Y357" s="66"/>
    </row>
    <row r="358" spans="1:25" ht="15.6" x14ac:dyDescent="0.3">
      <c r="A358" s="33"/>
      <c r="B358" s="471" t="s">
        <v>245</v>
      </c>
      <c r="C358" s="178"/>
      <c r="D358" s="178"/>
      <c r="E358" s="178"/>
      <c r="F358" s="178"/>
      <c r="G358" s="122"/>
      <c r="H358" s="122"/>
      <c r="I358" s="122"/>
      <c r="J358" s="122"/>
      <c r="K358" s="122">
        <v>600</v>
      </c>
      <c r="L358" s="122" t="s">
        <v>3</v>
      </c>
      <c r="M358" s="123"/>
      <c r="N358" s="124"/>
      <c r="O358" s="125">
        <v>1300</v>
      </c>
      <c r="P358" s="126">
        <v>800</v>
      </c>
      <c r="Q358" s="125">
        <v>1700</v>
      </c>
      <c r="R358" s="125">
        <v>800</v>
      </c>
      <c r="S358" s="272">
        <v>700</v>
      </c>
      <c r="T358" s="272">
        <v>1000</v>
      </c>
      <c r="U358" s="272">
        <v>600</v>
      </c>
      <c r="V358" s="272">
        <v>1100</v>
      </c>
      <c r="W358" s="273">
        <v>600</v>
      </c>
      <c r="X358" s="125">
        <v>600</v>
      </c>
      <c r="Y358" s="125"/>
    </row>
    <row r="359" spans="1:25" ht="15.6" x14ac:dyDescent="0.3">
      <c r="A359" s="33"/>
      <c r="B359" s="471" t="s">
        <v>246</v>
      </c>
      <c r="C359" s="178"/>
      <c r="D359" s="178"/>
      <c r="E359" s="178"/>
      <c r="F359" s="178"/>
      <c r="G359" s="122"/>
      <c r="H359" s="122"/>
      <c r="I359" s="122"/>
      <c r="J359" s="122"/>
      <c r="K359" s="122">
        <v>1760</v>
      </c>
      <c r="L359" s="122" t="s">
        <v>3</v>
      </c>
      <c r="M359" s="123"/>
      <c r="N359" s="124"/>
      <c r="O359" s="125">
        <v>600</v>
      </c>
      <c r="P359" s="126">
        <v>1000</v>
      </c>
      <c r="Q359" s="125">
        <v>1950</v>
      </c>
      <c r="R359" s="125">
        <v>1600</v>
      </c>
      <c r="S359" s="125">
        <v>1600</v>
      </c>
      <c r="T359" s="125">
        <v>1600</v>
      </c>
      <c r="U359" s="125">
        <v>1600</v>
      </c>
      <c r="V359" s="125">
        <v>1600</v>
      </c>
      <c r="W359" s="122">
        <v>1600</v>
      </c>
      <c r="X359" s="125">
        <v>1600</v>
      </c>
      <c r="Y359" s="125"/>
    </row>
    <row r="360" spans="1:25" ht="15.6" x14ac:dyDescent="0.3">
      <c r="A360" s="33"/>
      <c r="B360" s="471" t="s">
        <v>247</v>
      </c>
      <c r="C360" s="178"/>
      <c r="D360" s="178"/>
      <c r="E360" s="178"/>
      <c r="F360" s="178"/>
      <c r="G360" s="122"/>
      <c r="H360" s="122"/>
      <c r="I360" s="122"/>
      <c r="J360" s="122"/>
      <c r="K360" s="122">
        <v>600</v>
      </c>
      <c r="L360" s="122" t="s">
        <v>3</v>
      </c>
      <c r="M360" s="123"/>
      <c r="N360" s="124"/>
      <c r="O360" s="125">
        <v>500</v>
      </c>
      <c r="P360" s="126">
        <v>500</v>
      </c>
      <c r="Q360" s="125">
        <v>300</v>
      </c>
      <c r="R360" s="125">
        <v>700</v>
      </c>
      <c r="S360" s="272">
        <v>800</v>
      </c>
      <c r="T360" s="272">
        <v>500</v>
      </c>
      <c r="U360" s="272">
        <v>500</v>
      </c>
      <c r="V360" s="272">
        <v>500</v>
      </c>
      <c r="W360" s="273">
        <v>500</v>
      </c>
      <c r="X360" s="125">
        <v>500</v>
      </c>
      <c r="Y360" s="125"/>
    </row>
    <row r="361" spans="1:25" ht="15.6" x14ac:dyDescent="0.3">
      <c r="A361" s="33"/>
      <c r="B361" s="471" t="s">
        <v>248</v>
      </c>
      <c r="C361" s="178"/>
      <c r="D361" s="178"/>
      <c r="E361" s="178"/>
      <c r="F361" s="178"/>
      <c r="G361" s="122"/>
      <c r="H361" s="122"/>
      <c r="I361" s="122"/>
      <c r="J361" s="122"/>
      <c r="K361" s="122">
        <v>1650</v>
      </c>
      <c r="L361" s="122" t="s">
        <v>3</v>
      </c>
      <c r="M361" s="123"/>
      <c r="N361" s="124"/>
      <c r="O361" s="125">
        <v>3950</v>
      </c>
      <c r="P361" s="126">
        <v>3200</v>
      </c>
      <c r="Q361" s="125">
        <v>1100</v>
      </c>
      <c r="R361" s="125">
        <v>2700</v>
      </c>
      <c r="S361" s="272">
        <v>3000</v>
      </c>
      <c r="T361" s="272">
        <v>2100</v>
      </c>
      <c r="U361" s="272">
        <v>2700</v>
      </c>
      <c r="V361" s="272">
        <v>1200</v>
      </c>
      <c r="W361" s="273">
        <v>1200</v>
      </c>
      <c r="X361" s="125">
        <v>1200</v>
      </c>
      <c r="Y361" s="125"/>
    </row>
    <row r="362" spans="1:25" ht="15.6" x14ac:dyDescent="0.3">
      <c r="A362" s="33"/>
      <c r="B362" s="292" t="s">
        <v>237</v>
      </c>
      <c r="C362" s="178"/>
      <c r="D362" s="178"/>
      <c r="E362" s="178"/>
      <c r="F362" s="178"/>
      <c r="G362" s="122"/>
      <c r="H362" s="122"/>
      <c r="I362" s="122"/>
      <c r="J362" s="122"/>
      <c r="K362" s="489">
        <f>K357/K349</f>
        <v>0.69917425968109337</v>
      </c>
      <c r="L362" s="490">
        <f>L357/L349</f>
        <v>0.81064053202660136</v>
      </c>
      <c r="M362" s="491">
        <f>M357/M349</f>
        <v>0.78045394838326287</v>
      </c>
      <c r="N362" s="497"/>
      <c r="O362" s="494">
        <f t="shared" ref="O362:X362" si="62">O357/O349</f>
        <v>0.36285714285714288</v>
      </c>
      <c r="P362" s="493">
        <f t="shared" si="62"/>
        <v>0.37671232876712329</v>
      </c>
      <c r="Q362" s="494">
        <f t="shared" si="62"/>
        <v>0.51530612244897955</v>
      </c>
      <c r="R362" s="494">
        <f t="shared" si="62"/>
        <v>0.65909090909090906</v>
      </c>
      <c r="S362" s="494">
        <f t="shared" si="62"/>
        <v>0.67777777777777781</v>
      </c>
      <c r="T362" s="494">
        <f t="shared" si="62"/>
        <v>0.55913978494623651</v>
      </c>
      <c r="U362" s="494">
        <f t="shared" si="62"/>
        <v>0.71052631578947367</v>
      </c>
      <c r="V362" s="494">
        <f t="shared" si="62"/>
        <v>0.88</v>
      </c>
      <c r="W362" s="490">
        <f t="shared" si="62"/>
        <v>0.48148148148148145</v>
      </c>
      <c r="X362" s="494">
        <f t="shared" si="62"/>
        <v>0.41935483870967744</v>
      </c>
      <c r="Y362" s="494"/>
    </row>
    <row r="363" spans="1:25" ht="15.6" x14ac:dyDescent="0.3">
      <c r="A363" s="33"/>
      <c r="B363" s="70"/>
      <c r="C363" s="498"/>
      <c r="D363" s="498"/>
      <c r="E363" s="498"/>
      <c r="F363" s="498"/>
      <c r="G363" s="498"/>
      <c r="H363" s="498"/>
      <c r="I363" s="498"/>
      <c r="J363" s="472" t="s">
        <v>3</v>
      </c>
      <c r="K363" s="284">
        <v>3069</v>
      </c>
      <c r="L363" s="284" t="s">
        <v>3</v>
      </c>
      <c r="M363" s="482" t="s">
        <v>3</v>
      </c>
      <c r="N363" s="473"/>
      <c r="O363" s="285" t="s">
        <v>3</v>
      </c>
      <c r="P363" s="474" t="s">
        <v>3</v>
      </c>
      <c r="Q363" s="285" t="s">
        <v>3</v>
      </c>
      <c r="R363" s="285" t="s">
        <v>3</v>
      </c>
      <c r="S363" s="286" t="s">
        <v>3</v>
      </c>
      <c r="T363" s="286" t="s">
        <v>3</v>
      </c>
      <c r="U363" s="286" t="s">
        <v>3</v>
      </c>
      <c r="V363" s="286" t="s">
        <v>3</v>
      </c>
      <c r="W363" s="288" t="s">
        <v>3</v>
      </c>
      <c r="X363" s="285" t="s">
        <v>3</v>
      </c>
      <c r="Y363" s="285"/>
    </row>
    <row r="364" spans="1:25" ht="15.6" x14ac:dyDescent="0.3">
      <c r="A364" s="90" t="s">
        <v>249</v>
      </c>
      <c r="B364" s="499" t="s">
        <v>250</v>
      </c>
      <c r="C364" s="94">
        <f>SUM(C369+C375+C381+C384+C387+C390)</f>
        <v>500.99993000000001</v>
      </c>
      <c r="D364" s="94">
        <v>3407</v>
      </c>
      <c r="E364" s="94">
        <f t="shared" ref="E364:L364" si="63">SUM(E369+E375+E381+E384+E387+E390)</f>
        <v>2511</v>
      </c>
      <c r="F364" s="94">
        <f t="shared" si="63"/>
        <v>1529</v>
      </c>
      <c r="G364" s="94">
        <f t="shared" si="63"/>
        <v>1797</v>
      </c>
      <c r="H364" s="94">
        <f t="shared" si="63"/>
        <v>6224</v>
      </c>
      <c r="I364" s="94">
        <f t="shared" si="63"/>
        <v>3830</v>
      </c>
      <c r="J364" s="94">
        <f t="shared" si="63"/>
        <v>3750</v>
      </c>
      <c r="K364" s="94">
        <f t="shared" si="63"/>
        <v>9695</v>
      </c>
      <c r="L364" s="94">
        <f t="shared" si="63"/>
        <v>11458</v>
      </c>
      <c r="M364" s="95">
        <f>SUM(M369+M375+M381+M384+M387+M390+M398)</f>
        <v>8856.6890000000003</v>
      </c>
      <c r="N364" s="96">
        <f>4355490.87/1000</f>
        <v>4355.4908700000005</v>
      </c>
      <c r="O364" s="95"/>
      <c r="P364" s="97"/>
      <c r="Q364" s="94"/>
      <c r="R364" s="94"/>
      <c r="S364" s="94"/>
      <c r="T364" s="94"/>
      <c r="U364" s="94"/>
      <c r="V364" s="94"/>
      <c r="W364" s="94"/>
      <c r="X364" s="95"/>
      <c r="Y364" s="95"/>
    </row>
    <row r="365" spans="1:25" ht="15.6" x14ac:dyDescent="0.3">
      <c r="A365" s="33"/>
      <c r="B365" s="500"/>
      <c r="C365" s="65"/>
      <c r="D365" s="65"/>
      <c r="E365" s="65"/>
      <c r="F365" s="65"/>
      <c r="G365" s="501" t="s">
        <v>3</v>
      </c>
      <c r="H365" s="502" t="s">
        <v>3</v>
      </c>
      <c r="I365" s="503" t="s">
        <v>3</v>
      </c>
      <c r="J365" s="177">
        <f>+(J364-I364)/I364</f>
        <v>-2.0887728459530026E-2</v>
      </c>
      <c r="K365" s="178">
        <f>+(K364-J364)/J364</f>
        <v>1.5853333333333333</v>
      </c>
      <c r="L365" s="178">
        <f>+(L364-K364)/K364</f>
        <v>0.1818463125322331</v>
      </c>
      <c r="M365" s="179">
        <f>+(M364-L364)/L364</f>
        <v>-0.22703010996683537</v>
      </c>
      <c r="N365" s="180"/>
      <c r="O365" s="179"/>
      <c r="P365" s="181"/>
      <c r="Q365" s="179"/>
      <c r="R365" s="179"/>
      <c r="S365" s="179"/>
      <c r="T365" s="179"/>
      <c r="U365" s="179"/>
      <c r="V365" s="179"/>
      <c r="W365" s="178"/>
      <c r="X365" s="179"/>
      <c r="Y365" s="179"/>
    </row>
    <row r="366" spans="1:25" ht="15.6" x14ac:dyDescent="0.3">
      <c r="A366" s="33"/>
      <c r="B366" s="500"/>
      <c r="C366" s="65"/>
      <c r="D366" s="65"/>
      <c r="E366" s="65"/>
      <c r="F366" s="65"/>
      <c r="G366" s="501"/>
      <c r="H366" s="502"/>
      <c r="I366" s="503"/>
      <c r="J366" s="177"/>
      <c r="K366" s="178"/>
      <c r="L366" s="504"/>
      <c r="M366" s="505"/>
      <c r="N366" s="506"/>
      <c r="O366" s="505"/>
      <c r="P366" s="507"/>
      <c r="Q366" s="508"/>
      <c r="R366" s="508"/>
      <c r="S366" s="509"/>
      <c r="T366" s="510"/>
      <c r="U366" s="510"/>
      <c r="V366" s="510"/>
      <c r="W366" s="511"/>
      <c r="X366" s="512"/>
      <c r="Y366" s="512"/>
    </row>
    <row r="367" spans="1:25" ht="15.6" x14ac:dyDescent="0.3">
      <c r="A367" s="33"/>
      <c r="C367" s="65"/>
      <c r="D367" s="65"/>
      <c r="E367" s="65"/>
      <c r="F367" s="65"/>
      <c r="G367" s="501"/>
      <c r="H367" s="502"/>
      <c r="I367" s="503"/>
      <c r="J367" s="177"/>
      <c r="K367" s="178"/>
      <c r="L367" s="504"/>
      <c r="M367" s="505"/>
      <c r="N367" s="506"/>
      <c r="O367" s="505">
        <f t="shared" ref="O367:X367" si="64">O369+O375+O381+O384+O387+O390+O398+O396</f>
        <v>0</v>
      </c>
      <c r="P367" s="507">
        <f t="shared" si="64"/>
        <v>0</v>
      </c>
      <c r="Q367" s="508">
        <f t="shared" si="64"/>
        <v>0</v>
      </c>
      <c r="R367" s="508">
        <f t="shared" si="64"/>
        <v>0</v>
      </c>
      <c r="S367" s="509">
        <f t="shared" si="64"/>
        <v>0</v>
      </c>
      <c r="T367" s="510">
        <f t="shared" si="64"/>
        <v>0</v>
      </c>
      <c r="U367" s="510">
        <f t="shared" si="64"/>
        <v>0</v>
      </c>
      <c r="V367" s="510">
        <f t="shared" si="64"/>
        <v>0</v>
      </c>
      <c r="W367" s="511">
        <f t="shared" si="64"/>
        <v>0</v>
      </c>
      <c r="X367" s="512">
        <f t="shared" si="64"/>
        <v>0</v>
      </c>
      <c r="Y367" s="512"/>
    </row>
    <row r="368" spans="1:25" ht="15.6" x14ac:dyDescent="0.3">
      <c r="A368" s="33"/>
      <c r="B368" s="83"/>
      <c r="C368" s="513"/>
      <c r="D368" s="513"/>
      <c r="E368" s="513"/>
      <c r="F368" s="498"/>
      <c r="G368" s="498"/>
      <c r="H368" s="200"/>
      <c r="I368" s="163"/>
      <c r="J368" s="347"/>
      <c r="K368" s="163" t="s">
        <v>3</v>
      </c>
      <c r="L368" s="98"/>
      <c r="M368" s="85" t="s">
        <v>3</v>
      </c>
      <c r="N368" s="86"/>
      <c r="O368" s="85" t="s">
        <v>3</v>
      </c>
      <c r="P368" s="113" t="s">
        <v>3</v>
      </c>
      <c r="Q368" s="85" t="s">
        <v>3</v>
      </c>
      <c r="R368" s="85" t="s">
        <v>3</v>
      </c>
      <c r="S368" s="86" t="s">
        <v>3</v>
      </c>
      <c r="T368" s="86" t="s">
        <v>3</v>
      </c>
      <c r="U368" s="86" t="s">
        <v>3</v>
      </c>
      <c r="V368" s="86" t="s">
        <v>3</v>
      </c>
      <c r="W368" s="114" t="s">
        <v>3</v>
      </c>
      <c r="X368" s="85" t="s">
        <v>3</v>
      </c>
      <c r="Y368" s="85"/>
    </row>
    <row r="369" spans="1:25" ht="15.6" x14ac:dyDescent="0.3">
      <c r="A369" s="33" t="s">
        <v>251</v>
      </c>
      <c r="B369" s="103" t="s">
        <v>252</v>
      </c>
      <c r="C369" s="514">
        <v>451</v>
      </c>
      <c r="D369" s="77">
        <v>1521</v>
      </c>
      <c r="E369" s="77">
        <v>1502</v>
      </c>
      <c r="F369" s="77">
        <v>584</v>
      </c>
      <c r="G369" s="65">
        <f>SUM(G371:G373)</f>
        <v>567</v>
      </c>
      <c r="H369" s="65">
        <f>SUM(H371:H373)</f>
        <v>5398</v>
      </c>
      <c r="I369" s="65">
        <f>SUM(I371:I373)</f>
        <v>457</v>
      </c>
      <c r="J369" s="65">
        <f>SUM(J371:J373)</f>
        <v>250</v>
      </c>
      <c r="K369" s="65">
        <f>SUM(K371:K373)</f>
        <v>5000</v>
      </c>
      <c r="L369" s="65">
        <v>2496</v>
      </c>
      <c r="M369" s="66">
        <v>199.15</v>
      </c>
      <c r="N369" s="67"/>
      <c r="O369" s="66"/>
      <c r="P369" s="68"/>
      <c r="Q369" s="66"/>
      <c r="R369" s="66"/>
      <c r="S369" s="66"/>
      <c r="T369" s="66"/>
      <c r="U369" s="66"/>
      <c r="V369" s="66"/>
      <c r="W369" s="65"/>
      <c r="X369" s="66"/>
      <c r="Y369" s="66"/>
    </row>
    <row r="370" spans="1:25" ht="15.6" x14ac:dyDescent="0.3">
      <c r="A370" s="33"/>
      <c r="B370" s="70"/>
      <c r="C370" s="85"/>
      <c r="D370" s="114" t="s">
        <v>3</v>
      </c>
      <c r="E370" s="115" t="s">
        <v>3</v>
      </c>
      <c r="F370" s="220" t="s">
        <v>3</v>
      </c>
      <c r="G370" s="89" t="s">
        <v>3</v>
      </c>
      <c r="H370" s="205" t="s">
        <v>3</v>
      </c>
      <c r="I370" s="299" t="s">
        <v>3</v>
      </c>
      <c r="J370" s="347" t="s">
        <v>3</v>
      </c>
      <c r="K370" s="163" t="s">
        <v>3</v>
      </c>
      <c r="L370" s="372">
        <v>0</v>
      </c>
      <c r="M370" s="314"/>
      <c r="N370" s="316"/>
      <c r="O370" s="314"/>
      <c r="P370" s="315"/>
      <c r="Q370" s="314"/>
      <c r="R370" s="314"/>
      <c r="S370" s="316"/>
      <c r="T370" s="316"/>
      <c r="U370" s="316"/>
      <c r="V370" s="316"/>
      <c r="W370" s="317"/>
      <c r="X370" s="314"/>
      <c r="Y370" s="314"/>
    </row>
    <row r="371" spans="1:25" ht="15.6" x14ac:dyDescent="0.3">
      <c r="A371" s="33"/>
      <c r="B371" s="93" t="s">
        <v>253</v>
      </c>
      <c r="C371" s="115"/>
      <c r="D371" s="115"/>
      <c r="E371" s="115"/>
      <c r="F371" s="220"/>
      <c r="G371" s="122">
        <v>0</v>
      </c>
      <c r="H371" s="122">
        <v>0</v>
      </c>
      <c r="I371" s="122">
        <v>0</v>
      </c>
      <c r="J371" s="122">
        <v>0</v>
      </c>
      <c r="K371" s="122">
        <v>5000</v>
      </c>
      <c r="L371" s="305">
        <v>1400</v>
      </c>
      <c r="M371" s="306">
        <v>0</v>
      </c>
      <c r="N371" s="307"/>
      <c r="O371" s="306"/>
      <c r="P371" s="308"/>
      <c r="Q371" s="306"/>
      <c r="R371" s="306"/>
      <c r="S371" s="307"/>
      <c r="T371" s="307"/>
      <c r="U371" s="307"/>
      <c r="V371" s="307"/>
      <c r="W371" s="309"/>
      <c r="X371" s="306"/>
      <c r="Y371" s="306"/>
    </row>
    <row r="372" spans="1:25" ht="15.6" x14ac:dyDescent="0.3">
      <c r="A372" s="33"/>
      <c r="B372" s="93" t="s">
        <v>254</v>
      </c>
      <c r="C372" s="115"/>
      <c r="D372" s="115"/>
      <c r="E372" s="115"/>
      <c r="F372" s="220"/>
      <c r="G372" s="122">
        <v>567</v>
      </c>
      <c r="H372" s="122">
        <v>5398</v>
      </c>
      <c r="I372" s="122">
        <v>457</v>
      </c>
      <c r="J372" s="122">
        <v>250</v>
      </c>
      <c r="K372" s="122">
        <v>0</v>
      </c>
      <c r="L372" s="305">
        <v>0</v>
      </c>
      <c r="M372" s="306">
        <v>0</v>
      </c>
      <c r="N372" s="307"/>
      <c r="O372" s="306"/>
      <c r="P372" s="308"/>
      <c r="Q372" s="306"/>
      <c r="R372" s="306"/>
      <c r="S372" s="307"/>
      <c r="T372" s="307"/>
      <c r="U372" s="307"/>
      <c r="V372" s="307"/>
      <c r="W372" s="309"/>
      <c r="X372" s="306"/>
      <c r="Y372" s="306"/>
    </row>
    <row r="373" spans="1:25" ht="15.6" x14ac:dyDescent="0.3">
      <c r="A373" s="33"/>
      <c r="B373" s="93" t="s">
        <v>255</v>
      </c>
      <c r="C373" s="115"/>
      <c r="D373" s="115"/>
      <c r="E373" s="115"/>
      <c r="F373" s="220"/>
      <c r="G373" s="122"/>
      <c r="H373" s="122"/>
      <c r="I373" s="122">
        <v>0</v>
      </c>
      <c r="J373" s="122">
        <v>0</v>
      </c>
      <c r="K373" s="122">
        <v>0</v>
      </c>
      <c r="L373" s="305">
        <v>0</v>
      </c>
      <c r="M373" s="306">
        <v>0</v>
      </c>
      <c r="N373" s="307"/>
      <c r="O373" s="306"/>
      <c r="P373" s="308"/>
      <c r="Q373" s="306"/>
      <c r="R373" s="306"/>
      <c r="S373" s="307"/>
      <c r="T373" s="307"/>
      <c r="U373" s="307"/>
      <c r="V373" s="307"/>
      <c r="W373" s="309"/>
      <c r="X373" s="306"/>
      <c r="Y373" s="306"/>
    </row>
    <row r="374" spans="1:25" ht="15.6" x14ac:dyDescent="0.3">
      <c r="A374" s="33"/>
      <c r="B374" s="443"/>
      <c r="C374" s="65"/>
      <c r="D374" s="65"/>
      <c r="E374" s="65"/>
      <c r="F374" s="65"/>
      <c r="G374" s="65"/>
      <c r="H374" s="65"/>
      <c r="I374" s="65"/>
      <c r="J374" s="65"/>
      <c r="K374" s="65"/>
      <c r="L374" s="372"/>
      <c r="M374" s="278"/>
      <c r="N374" s="279"/>
      <c r="O374" s="278"/>
      <c r="P374" s="280"/>
      <c r="Q374" s="278"/>
      <c r="R374" s="278"/>
      <c r="S374" s="279"/>
      <c r="T374" s="279"/>
      <c r="U374" s="279"/>
      <c r="V374" s="279"/>
      <c r="W374" s="281"/>
      <c r="X374" s="278"/>
      <c r="Y374" s="278"/>
    </row>
    <row r="375" spans="1:25" s="516" customFormat="1" ht="15.6" x14ac:dyDescent="0.3">
      <c r="A375" s="515" t="s">
        <v>256</v>
      </c>
      <c r="B375" s="34" t="s">
        <v>257</v>
      </c>
      <c r="C375" s="65">
        <v>49.999929999999999</v>
      </c>
      <c r="D375" s="65">
        <v>700.16675999999995</v>
      </c>
      <c r="E375" s="65">
        <v>1009</v>
      </c>
      <c r="F375" s="65">
        <f>SUM(F377:F378)</f>
        <v>885</v>
      </c>
      <c r="G375" s="65">
        <f>G377+G378</f>
        <v>1126</v>
      </c>
      <c r="H375" s="65">
        <f>SUM(H377:H378)</f>
        <v>349</v>
      </c>
      <c r="I375" s="65">
        <f>SUM(I377:I378)</f>
        <v>1582</v>
      </c>
      <c r="J375" s="65">
        <f>SUM(J377:J379)</f>
        <v>1355</v>
      </c>
      <c r="K375" s="65">
        <f>SUM(K377:K379)</f>
        <v>2879</v>
      </c>
      <c r="L375" s="65">
        <v>6441</v>
      </c>
      <c r="M375" s="66">
        <f>4146050/1000</f>
        <v>4146.05</v>
      </c>
      <c r="N375" s="67"/>
      <c r="O375" s="66"/>
      <c r="P375" s="68"/>
      <c r="Q375" s="66"/>
      <c r="R375" s="66"/>
      <c r="S375" s="66"/>
      <c r="T375" s="66"/>
      <c r="U375" s="66"/>
      <c r="V375" s="66"/>
      <c r="W375" s="65"/>
      <c r="X375" s="66"/>
      <c r="Y375" s="66"/>
    </row>
    <row r="376" spans="1:25" ht="15.6" x14ac:dyDescent="0.3">
      <c r="A376" s="33"/>
      <c r="B376" s="70"/>
      <c r="C376" s="115" t="s">
        <v>3</v>
      </c>
      <c r="D376" s="115" t="s">
        <v>3</v>
      </c>
      <c r="E376" s="115" t="s">
        <v>3</v>
      </c>
      <c r="F376" s="220" t="s">
        <v>3</v>
      </c>
      <c r="G376" s="89" t="s">
        <v>3</v>
      </c>
      <c r="H376" s="205" t="s">
        <v>3</v>
      </c>
      <c r="I376" s="299" t="s">
        <v>3</v>
      </c>
      <c r="J376" s="115"/>
      <c r="K376" s="163" t="s">
        <v>3</v>
      </c>
      <c r="L376" s="372">
        <v>0</v>
      </c>
      <c r="M376" s="314"/>
      <c r="N376" s="316"/>
      <c r="O376" s="314"/>
      <c r="P376" s="315"/>
      <c r="Q376" s="314"/>
      <c r="R376" s="314"/>
      <c r="S376" s="316"/>
      <c r="T376" s="316"/>
      <c r="U376" s="316"/>
      <c r="V376" s="316"/>
      <c r="W376" s="317"/>
      <c r="X376" s="314"/>
      <c r="Y376" s="314"/>
    </row>
    <row r="377" spans="1:25" ht="15.6" x14ac:dyDescent="0.3">
      <c r="A377" s="33"/>
      <c r="B377" s="93" t="s">
        <v>258</v>
      </c>
      <c r="C377" s="122"/>
      <c r="D377" s="122"/>
      <c r="E377" s="122"/>
      <c r="F377" s="227">
        <v>590</v>
      </c>
      <c r="G377" s="122">
        <v>840</v>
      </c>
      <c r="H377" s="122">
        <v>0</v>
      </c>
      <c r="I377" s="122">
        <v>0</v>
      </c>
      <c r="J377" s="122">
        <v>0</v>
      </c>
      <c r="K377" s="122">
        <v>0</v>
      </c>
      <c r="L377" s="305">
        <v>500</v>
      </c>
      <c r="M377" s="306"/>
      <c r="N377" s="307"/>
      <c r="O377" s="306"/>
      <c r="P377" s="308"/>
      <c r="Q377" s="306"/>
      <c r="R377" s="306"/>
      <c r="S377" s="307"/>
      <c r="T377" s="307"/>
      <c r="U377" s="307"/>
      <c r="V377" s="307"/>
      <c r="W377" s="309"/>
      <c r="X377" s="306"/>
      <c r="Y377" s="306"/>
    </row>
    <row r="378" spans="1:25" ht="15.6" x14ac:dyDescent="0.3">
      <c r="A378" s="33"/>
      <c r="B378" s="93" t="s">
        <v>259</v>
      </c>
      <c r="C378" s="122"/>
      <c r="D378" s="122"/>
      <c r="E378" s="122"/>
      <c r="F378" s="227">
        <v>295</v>
      </c>
      <c r="G378" s="122">
        <v>286</v>
      </c>
      <c r="H378" s="122">
        <v>349</v>
      </c>
      <c r="I378" s="122">
        <v>1582</v>
      </c>
      <c r="J378" s="122">
        <v>1355</v>
      </c>
      <c r="K378" s="122">
        <v>2879</v>
      </c>
      <c r="L378" s="305">
        <v>700</v>
      </c>
      <c r="M378" s="306">
        <v>1800</v>
      </c>
      <c r="N378" s="307"/>
      <c r="O378" s="306"/>
      <c r="P378" s="308"/>
      <c r="Q378" s="306"/>
      <c r="R378" s="306"/>
      <c r="S378" s="307"/>
      <c r="T378" s="307"/>
      <c r="U378" s="307"/>
      <c r="V378" s="307"/>
      <c r="W378" s="309"/>
      <c r="X378" s="306"/>
      <c r="Y378" s="306"/>
    </row>
    <row r="379" spans="1:25" ht="15.6" x14ac:dyDescent="0.3">
      <c r="A379" s="33"/>
      <c r="B379" s="93" t="s">
        <v>260</v>
      </c>
      <c r="C379" s="122"/>
      <c r="D379" s="122"/>
      <c r="E379" s="122"/>
      <c r="F379" s="227"/>
      <c r="G379" s="122"/>
      <c r="H379" s="122"/>
      <c r="I379" s="122"/>
      <c r="J379" s="122"/>
      <c r="K379" s="122">
        <v>0</v>
      </c>
      <c r="L379" s="305">
        <v>2800</v>
      </c>
      <c r="M379" s="306">
        <v>2800</v>
      </c>
      <c r="N379" s="307"/>
      <c r="O379" s="306"/>
      <c r="P379" s="308"/>
      <c r="Q379" s="306"/>
      <c r="R379" s="306"/>
      <c r="S379" s="307"/>
      <c r="T379" s="307"/>
      <c r="U379" s="307"/>
      <c r="V379" s="307"/>
      <c r="W379" s="309"/>
      <c r="X379" s="306"/>
      <c r="Y379" s="306"/>
    </row>
    <row r="380" spans="1:25" ht="15.6" x14ac:dyDescent="0.3">
      <c r="A380" s="33"/>
      <c r="B380" s="443"/>
      <c r="C380" s="65"/>
      <c r="D380" s="65"/>
      <c r="E380" s="65"/>
      <c r="F380" s="65"/>
      <c r="G380" s="65"/>
      <c r="H380" s="65"/>
      <c r="I380" s="65"/>
      <c r="J380" s="65"/>
      <c r="K380" s="65"/>
      <c r="L380" s="372" t="s">
        <v>3</v>
      </c>
      <c r="M380" s="278" t="s">
        <v>3</v>
      </c>
      <c r="N380" s="279"/>
      <c r="O380" s="278"/>
      <c r="P380" s="280"/>
      <c r="Q380" s="278"/>
      <c r="R380" s="278"/>
      <c r="S380" s="279"/>
      <c r="T380" s="279"/>
      <c r="U380" s="279"/>
      <c r="V380" s="279"/>
      <c r="W380" s="281"/>
      <c r="X380" s="278"/>
      <c r="Y380" s="278"/>
    </row>
    <row r="381" spans="1:25" s="516" customFormat="1" ht="15.6" x14ac:dyDescent="0.3">
      <c r="A381" s="515" t="s">
        <v>261</v>
      </c>
      <c r="B381" s="34" t="s">
        <v>262</v>
      </c>
      <c r="C381" s="65">
        <v>0</v>
      </c>
      <c r="D381" s="65">
        <v>0</v>
      </c>
      <c r="E381" s="65">
        <v>0</v>
      </c>
      <c r="F381" s="65">
        <v>60</v>
      </c>
      <c r="G381" s="65">
        <v>104</v>
      </c>
      <c r="H381" s="65">
        <v>418</v>
      </c>
      <c r="I381" s="65">
        <v>1368</v>
      </c>
      <c r="J381" s="65">
        <v>1088</v>
      </c>
      <c r="K381" s="65">
        <v>422</v>
      </c>
      <c r="L381" s="375">
        <v>1293</v>
      </c>
      <c r="M381" s="274">
        <f>1582830/1000</f>
        <v>1582.83</v>
      </c>
      <c r="N381" s="275"/>
      <c r="O381" s="274"/>
      <c r="P381" s="276"/>
      <c r="Q381" s="274"/>
      <c r="R381" s="274"/>
      <c r="S381" s="275"/>
      <c r="T381" s="275"/>
      <c r="U381" s="275"/>
      <c r="V381" s="275"/>
      <c r="W381" s="277"/>
      <c r="X381" s="274"/>
      <c r="Y381" s="274"/>
    </row>
    <row r="382" spans="1:25" ht="15.6" x14ac:dyDescent="0.3">
      <c r="A382" s="33"/>
      <c r="B382" s="70"/>
      <c r="C382" s="115"/>
      <c r="D382" s="115"/>
      <c r="E382" s="115"/>
      <c r="F382" s="352" t="s">
        <v>3</v>
      </c>
      <c r="G382" s="89" t="s">
        <v>3</v>
      </c>
      <c r="H382" s="517" t="s">
        <v>3</v>
      </c>
      <c r="I382" s="299" t="s">
        <v>3</v>
      </c>
      <c r="J382" s="115"/>
      <c r="K382" s="163" t="s">
        <v>3</v>
      </c>
      <c r="L382" s="372">
        <v>80</v>
      </c>
      <c r="M382" s="306"/>
      <c r="N382" s="307"/>
      <c r="O382" s="306"/>
      <c r="P382" s="308"/>
      <c r="Q382" s="306"/>
      <c r="R382" s="306"/>
      <c r="S382" s="307"/>
      <c r="T382" s="307"/>
      <c r="U382" s="307"/>
      <c r="V382" s="307"/>
      <c r="W382" s="309"/>
      <c r="X382" s="306"/>
      <c r="Y382" s="306"/>
    </row>
    <row r="383" spans="1:25" ht="15.6" x14ac:dyDescent="0.3">
      <c r="A383" s="33"/>
      <c r="B383" s="443"/>
      <c r="C383" s="65"/>
      <c r="D383" s="65"/>
      <c r="E383" s="65"/>
      <c r="F383" s="65"/>
      <c r="G383" s="65"/>
      <c r="H383" s="65"/>
      <c r="I383" s="65"/>
      <c r="J383" s="65"/>
      <c r="K383" s="65"/>
      <c r="L383" s="372" t="s">
        <v>3</v>
      </c>
      <c r="M383" s="278" t="s">
        <v>3</v>
      </c>
      <c r="N383" s="279"/>
      <c r="O383" s="278"/>
      <c r="P383" s="280"/>
      <c r="Q383" s="306"/>
      <c r="R383" s="306"/>
      <c r="S383" s="307"/>
      <c r="T383" s="307"/>
      <c r="U383" s="307"/>
      <c r="V383" s="307"/>
      <c r="W383" s="309"/>
      <c r="X383" s="306"/>
      <c r="Y383" s="306"/>
    </row>
    <row r="384" spans="1:25" ht="15.6" x14ac:dyDescent="0.3">
      <c r="A384" s="515" t="s">
        <v>263</v>
      </c>
      <c r="B384" s="34" t="s">
        <v>264</v>
      </c>
      <c r="C384" s="65">
        <v>0</v>
      </c>
      <c r="D384" s="65">
        <v>0</v>
      </c>
      <c r="E384" s="65">
        <v>0</v>
      </c>
      <c r="F384" s="65">
        <v>0</v>
      </c>
      <c r="G384" s="65">
        <v>0</v>
      </c>
      <c r="H384" s="65">
        <v>0</v>
      </c>
      <c r="I384" s="65">
        <v>0</v>
      </c>
      <c r="J384" s="65">
        <v>120</v>
      </c>
      <c r="K384" s="65">
        <v>268</v>
      </c>
      <c r="L384" s="375">
        <v>471</v>
      </c>
      <c r="M384" s="274">
        <f>1036373/1000</f>
        <v>1036.373</v>
      </c>
      <c r="N384" s="275"/>
      <c r="O384" s="274"/>
      <c r="P384" s="276"/>
      <c r="Q384" s="274"/>
      <c r="R384" s="274"/>
      <c r="S384" s="275"/>
      <c r="T384" s="275"/>
      <c r="U384" s="275"/>
      <c r="V384" s="275"/>
      <c r="W384" s="277"/>
      <c r="X384" s="274"/>
      <c r="Y384" s="274"/>
    </row>
    <row r="385" spans="1:25" ht="15.6" x14ac:dyDescent="0.3">
      <c r="A385" s="33"/>
      <c r="B385" s="70"/>
      <c r="C385" s="115"/>
      <c r="D385" s="115"/>
      <c r="E385" s="115"/>
      <c r="F385" s="352" t="s">
        <v>3</v>
      </c>
      <c r="G385" s="89" t="s">
        <v>3</v>
      </c>
      <c r="H385" s="115" t="s">
        <v>3</v>
      </c>
      <c r="I385" s="299">
        <v>0</v>
      </c>
      <c r="J385" s="115" t="s">
        <v>3</v>
      </c>
      <c r="K385" s="115"/>
      <c r="L385" s="364">
        <v>0</v>
      </c>
      <c r="M385" s="306"/>
      <c r="N385" s="307"/>
      <c r="O385" s="306"/>
      <c r="P385" s="308"/>
      <c r="Q385" s="306"/>
      <c r="R385" s="306"/>
      <c r="S385" s="307"/>
      <c r="T385" s="307"/>
      <c r="U385" s="307"/>
      <c r="V385" s="307"/>
      <c r="W385" s="309"/>
      <c r="X385" s="306"/>
      <c r="Y385" s="306"/>
    </row>
    <row r="386" spans="1:25" ht="15.6" x14ac:dyDescent="0.3">
      <c r="A386" s="33"/>
      <c r="B386" s="443"/>
      <c r="C386" s="115"/>
      <c r="D386" s="115"/>
      <c r="E386" s="115"/>
      <c r="F386" s="220"/>
      <c r="G386" s="115"/>
      <c r="H386" s="115"/>
      <c r="I386" s="115"/>
      <c r="J386" s="115"/>
      <c r="K386" s="115"/>
      <c r="L386" s="372" t="s">
        <v>53</v>
      </c>
      <c r="M386" s="278" t="s">
        <v>3</v>
      </c>
      <c r="N386" s="279"/>
      <c r="O386" s="278"/>
      <c r="P386" s="280"/>
      <c r="Q386" s="306"/>
      <c r="R386" s="306"/>
      <c r="S386" s="307"/>
      <c r="T386" s="307"/>
      <c r="U386" s="307"/>
      <c r="V386" s="307"/>
      <c r="W386" s="309"/>
      <c r="X386" s="306"/>
      <c r="Y386" s="306"/>
    </row>
    <row r="387" spans="1:25" ht="15.6" x14ac:dyDescent="0.3">
      <c r="A387" s="33" t="s">
        <v>265</v>
      </c>
      <c r="B387" s="103" t="s">
        <v>266</v>
      </c>
      <c r="C387" s="115"/>
      <c r="D387" s="115"/>
      <c r="E387" s="65">
        <v>0</v>
      </c>
      <c r="F387" s="208">
        <v>0</v>
      </c>
      <c r="G387" s="65">
        <v>0</v>
      </c>
      <c r="H387" s="65">
        <v>0</v>
      </c>
      <c r="I387" s="65">
        <v>95</v>
      </c>
      <c r="J387" s="65">
        <v>195</v>
      </c>
      <c r="K387" s="65">
        <v>896</v>
      </c>
      <c r="L387" s="375">
        <v>51</v>
      </c>
      <c r="M387" s="274">
        <f>114308/1000</f>
        <v>114.30800000000001</v>
      </c>
      <c r="N387" s="275"/>
      <c r="O387" s="274"/>
      <c r="P387" s="276"/>
      <c r="Q387" s="274"/>
      <c r="R387" s="274"/>
      <c r="S387" s="275"/>
      <c r="T387" s="275"/>
      <c r="U387" s="275"/>
      <c r="V387" s="275"/>
      <c r="W387" s="277"/>
      <c r="X387" s="274"/>
      <c r="Y387" s="274"/>
    </row>
    <row r="388" spans="1:25" ht="15.6" x14ac:dyDescent="0.3">
      <c r="A388" s="90"/>
      <c r="B388" s="70"/>
      <c r="C388" s="115"/>
      <c r="D388" s="115"/>
      <c r="E388" s="94"/>
      <c r="F388" s="173"/>
      <c r="G388" s="89" t="s">
        <v>3</v>
      </c>
      <c r="H388" s="94"/>
      <c r="I388" s="518"/>
      <c r="J388" s="347">
        <v>0</v>
      </c>
      <c r="K388" s="94"/>
      <c r="L388" s="519"/>
      <c r="M388" s="520"/>
      <c r="N388" s="521"/>
      <c r="O388" s="520"/>
      <c r="P388" s="522"/>
      <c r="Q388" s="520"/>
      <c r="R388" s="520"/>
      <c r="S388" s="521"/>
      <c r="T388" s="521"/>
      <c r="U388" s="521"/>
      <c r="V388" s="521"/>
      <c r="W388" s="523"/>
      <c r="X388" s="520"/>
      <c r="Y388" s="520"/>
    </row>
    <row r="389" spans="1:25" ht="15.6" x14ac:dyDescent="0.3">
      <c r="A389" s="90"/>
      <c r="B389" s="524"/>
      <c r="C389" s="115"/>
      <c r="D389" s="115"/>
      <c r="E389" s="94"/>
      <c r="F389" s="173"/>
      <c r="G389" s="94"/>
      <c r="H389" s="94"/>
      <c r="I389" s="94"/>
      <c r="J389" s="94"/>
      <c r="K389" s="94"/>
      <c r="L389" s="372" t="s">
        <v>3</v>
      </c>
      <c r="M389" s="314" t="s">
        <v>3</v>
      </c>
      <c r="N389" s="316"/>
      <c r="O389" s="314"/>
      <c r="P389" s="315"/>
      <c r="Q389" s="306"/>
      <c r="R389" s="306"/>
      <c r="S389" s="307"/>
      <c r="T389" s="307"/>
      <c r="U389" s="307"/>
      <c r="V389" s="307"/>
      <c r="W389" s="309"/>
      <c r="X389" s="306"/>
      <c r="Y389" s="306"/>
    </row>
    <row r="390" spans="1:25" ht="15.6" x14ac:dyDescent="0.3">
      <c r="A390" s="33" t="s">
        <v>267</v>
      </c>
      <c r="B390" s="103" t="s">
        <v>268</v>
      </c>
      <c r="C390" s="115"/>
      <c r="D390" s="115"/>
      <c r="E390" s="65">
        <v>0</v>
      </c>
      <c r="F390" s="208">
        <v>0</v>
      </c>
      <c r="G390" s="65">
        <v>0</v>
      </c>
      <c r="H390" s="65">
        <v>59</v>
      </c>
      <c r="I390" s="65">
        <v>328</v>
      </c>
      <c r="J390" s="65">
        <f>SUM(J392+J394)</f>
        <v>742</v>
      </c>
      <c r="K390" s="65">
        <f>SUM(K392+K394)</f>
        <v>230</v>
      </c>
      <c r="L390" s="65">
        <v>706</v>
      </c>
      <c r="M390" s="274">
        <f>1688293/1000</f>
        <v>1688.2929999999999</v>
      </c>
      <c r="N390" s="275"/>
      <c r="O390" s="274"/>
      <c r="P390" s="276"/>
      <c r="Q390" s="274"/>
      <c r="R390" s="274"/>
      <c r="S390" s="274"/>
      <c r="T390" s="275"/>
      <c r="U390" s="275"/>
      <c r="V390" s="275"/>
      <c r="W390" s="277"/>
      <c r="X390" s="274"/>
      <c r="Y390" s="274"/>
    </row>
    <row r="391" spans="1:25" ht="15.6" x14ac:dyDescent="0.3">
      <c r="A391" s="90"/>
      <c r="B391" s="70"/>
      <c r="C391" s="65"/>
      <c r="D391" s="65"/>
      <c r="E391" s="65" t="s">
        <v>3</v>
      </c>
      <c r="F391" s="298" t="s">
        <v>3</v>
      </c>
      <c r="G391" s="89" t="s">
        <v>3</v>
      </c>
      <c r="H391" s="115" t="s">
        <v>3</v>
      </c>
      <c r="I391" s="299" t="s">
        <v>3</v>
      </c>
      <c r="J391" s="200" t="s">
        <v>3</v>
      </c>
      <c r="K391" s="163" t="s">
        <v>3</v>
      </c>
      <c r="L391" s="372">
        <v>0</v>
      </c>
      <c r="M391" s="278" t="s">
        <v>3</v>
      </c>
      <c r="N391" s="279"/>
      <c r="O391" s="278"/>
      <c r="P391" s="280"/>
      <c r="Q391" s="278"/>
      <c r="R391" s="278"/>
      <c r="S391" s="278"/>
      <c r="T391" s="279"/>
      <c r="U391" s="279"/>
      <c r="V391" s="279"/>
      <c r="W391" s="281"/>
      <c r="X391" s="278"/>
      <c r="Y391" s="278"/>
    </row>
    <row r="392" spans="1:25" ht="15.6" x14ac:dyDescent="0.3">
      <c r="A392" s="90"/>
      <c r="B392" s="93" t="s">
        <v>269</v>
      </c>
      <c r="C392" s="122"/>
      <c r="D392" s="122"/>
      <c r="E392" s="94"/>
      <c r="F392" s="173"/>
      <c r="G392" s="122">
        <v>0</v>
      </c>
      <c r="H392" s="122">
        <v>120</v>
      </c>
      <c r="I392" s="122">
        <v>270</v>
      </c>
      <c r="J392" s="122">
        <v>742</v>
      </c>
      <c r="K392" s="122">
        <v>230</v>
      </c>
      <c r="L392" s="305" t="s">
        <v>3</v>
      </c>
      <c r="M392" s="306">
        <v>0</v>
      </c>
      <c r="N392" s="307"/>
      <c r="O392" s="306"/>
      <c r="P392" s="308"/>
      <c r="Q392" s="306"/>
      <c r="R392" s="306"/>
      <c r="S392" s="307"/>
      <c r="T392" s="307"/>
      <c r="U392" s="307"/>
      <c r="V392" s="307"/>
      <c r="W392" s="309"/>
      <c r="X392" s="306"/>
      <c r="Y392" s="306"/>
    </row>
    <row r="393" spans="1:25" ht="15.6" x14ac:dyDescent="0.3">
      <c r="A393" s="90"/>
      <c r="B393" s="70" t="s">
        <v>124</v>
      </c>
      <c r="C393" s="273"/>
      <c r="D393" s="122"/>
      <c r="E393" s="94"/>
      <c r="F393" s="173"/>
      <c r="G393" s="122"/>
      <c r="H393" s="122"/>
      <c r="I393" s="299">
        <v>60</v>
      </c>
      <c r="J393" s="122"/>
      <c r="K393" s="122"/>
      <c r="L393" s="372">
        <v>0</v>
      </c>
      <c r="M393" s="306"/>
      <c r="N393" s="307"/>
      <c r="O393" s="306"/>
      <c r="P393" s="308"/>
      <c r="Q393" s="306"/>
      <c r="R393" s="306"/>
      <c r="S393" s="307"/>
      <c r="T393" s="307"/>
      <c r="U393" s="307"/>
      <c r="V393" s="307"/>
      <c r="W393" s="309"/>
      <c r="X393" s="306"/>
      <c r="Y393" s="306"/>
    </row>
    <row r="394" spans="1:25" ht="15.6" x14ac:dyDescent="0.3">
      <c r="A394" s="33" t="s">
        <v>3</v>
      </c>
      <c r="B394" s="228" t="s">
        <v>270</v>
      </c>
      <c r="C394" s="226"/>
      <c r="D394" s="65"/>
      <c r="E394" s="65" t="s">
        <v>3</v>
      </c>
      <c r="F394" s="122">
        <v>0</v>
      </c>
      <c r="G394" s="122">
        <v>0</v>
      </c>
      <c r="H394" s="122">
        <v>0</v>
      </c>
      <c r="I394" s="122">
        <v>0</v>
      </c>
      <c r="J394" s="122">
        <v>0</v>
      </c>
      <c r="K394" s="122">
        <v>0</v>
      </c>
      <c r="L394" s="305">
        <v>0</v>
      </c>
      <c r="M394" s="306" t="s">
        <v>3</v>
      </c>
      <c r="N394" s="307"/>
      <c r="O394" s="306"/>
      <c r="P394" s="308"/>
      <c r="Q394" s="306"/>
      <c r="R394" s="306"/>
      <c r="S394" s="306"/>
      <c r="T394" s="307"/>
      <c r="U394" s="307"/>
      <c r="V394" s="307"/>
      <c r="W394" s="309"/>
      <c r="X394" s="306"/>
      <c r="Y394" s="306"/>
    </row>
    <row r="395" spans="1:25" ht="15.6" x14ac:dyDescent="0.3">
      <c r="A395" s="33" t="s">
        <v>271</v>
      </c>
      <c r="B395" s="103" t="s">
        <v>205</v>
      </c>
      <c r="C395" s="226"/>
      <c r="D395" s="65"/>
      <c r="E395" s="226"/>
      <c r="F395" s="122"/>
      <c r="G395" s="122"/>
      <c r="H395" s="122"/>
      <c r="I395" s="122"/>
      <c r="J395" s="122"/>
      <c r="K395" s="122"/>
      <c r="L395" s="305"/>
      <c r="M395" s="306"/>
      <c r="N395" s="307"/>
      <c r="O395" s="306"/>
      <c r="P395" s="308"/>
      <c r="Q395" s="306"/>
      <c r="R395" s="306"/>
      <c r="S395" s="306"/>
      <c r="T395" s="307"/>
      <c r="U395" s="307"/>
      <c r="V395" s="307"/>
      <c r="W395" s="309"/>
      <c r="X395" s="306"/>
      <c r="Y395" s="306"/>
    </row>
    <row r="396" spans="1:25" ht="15.6" x14ac:dyDescent="0.3">
      <c r="A396" s="33"/>
      <c r="B396" s="103" t="s">
        <v>206</v>
      </c>
      <c r="C396" s="226"/>
      <c r="D396" s="65"/>
      <c r="E396" s="226"/>
      <c r="F396" s="122"/>
      <c r="G396" s="122"/>
      <c r="H396" s="122"/>
      <c r="I396" s="122"/>
      <c r="J396" s="122"/>
      <c r="K396" s="122"/>
      <c r="L396" s="305"/>
      <c r="M396" s="306"/>
      <c r="N396" s="307"/>
      <c r="O396" s="306"/>
      <c r="P396" s="276"/>
      <c r="Q396" s="274"/>
      <c r="R396" s="274"/>
      <c r="S396" s="274"/>
      <c r="T396" s="275"/>
      <c r="U396" s="275"/>
      <c r="V396" s="275"/>
      <c r="W396" s="277"/>
      <c r="X396" s="274"/>
      <c r="Y396" s="274"/>
    </row>
    <row r="397" spans="1:25" ht="15.6" x14ac:dyDescent="0.3">
      <c r="A397" s="33"/>
      <c r="B397" s="103"/>
      <c r="C397" s="226"/>
      <c r="D397" s="65"/>
      <c r="E397" s="226"/>
      <c r="F397" s="122"/>
      <c r="G397" s="122"/>
      <c r="H397" s="122"/>
      <c r="I397" s="122"/>
      <c r="J397" s="122"/>
      <c r="K397" s="122"/>
      <c r="L397" s="305"/>
      <c r="M397" s="306"/>
      <c r="N397" s="307"/>
      <c r="O397" s="306"/>
      <c r="P397" s="308"/>
      <c r="Q397" s="306"/>
      <c r="R397" s="306"/>
      <c r="S397" s="306"/>
      <c r="T397" s="307"/>
      <c r="U397" s="307"/>
      <c r="V397" s="307"/>
      <c r="W397" s="309"/>
      <c r="X397" s="306"/>
      <c r="Y397" s="306"/>
    </row>
    <row r="398" spans="1:25" ht="15" customHeight="1" x14ac:dyDescent="0.3">
      <c r="A398" s="33" t="s">
        <v>272</v>
      </c>
      <c r="B398" s="103" t="s">
        <v>273</v>
      </c>
      <c r="C398" s="226"/>
      <c r="D398" s="65"/>
      <c r="E398" s="226"/>
      <c r="F398" s="65"/>
      <c r="G398" s="65"/>
      <c r="H398" s="65"/>
      <c r="I398" s="65"/>
      <c r="J398" s="65"/>
      <c r="K398" s="65"/>
      <c r="L398" s="375"/>
      <c r="M398" s="274">
        <f>89685/1000</f>
        <v>89.685000000000002</v>
      </c>
      <c r="N398" s="275"/>
      <c r="O398" s="274"/>
      <c r="P398" s="276"/>
      <c r="Q398" s="274"/>
      <c r="R398" s="274"/>
      <c r="S398" s="274"/>
      <c r="T398" s="275"/>
      <c r="U398" s="275"/>
      <c r="V398" s="275"/>
      <c r="W398" s="277"/>
      <c r="X398" s="274"/>
      <c r="Y398" s="274"/>
    </row>
    <row r="399" spans="1:25" ht="15.6" x14ac:dyDescent="0.3">
      <c r="A399" s="33"/>
      <c r="B399" s="292"/>
      <c r="C399" s="178"/>
      <c r="D399" s="178"/>
      <c r="E399" s="178"/>
      <c r="F399" s="525"/>
      <c r="G399" s="122"/>
      <c r="H399" s="122"/>
      <c r="I399" s="122"/>
      <c r="J399" s="122"/>
      <c r="K399" s="489"/>
      <c r="L399" s="490"/>
      <c r="M399" s="526"/>
      <c r="N399" s="492"/>
      <c r="O399" s="494"/>
      <c r="P399" s="493"/>
      <c r="Q399" s="490"/>
      <c r="R399" s="490"/>
      <c r="S399" s="490"/>
      <c r="T399" s="490"/>
      <c r="U399" s="490"/>
      <c r="V399" s="494"/>
      <c r="W399" s="490"/>
      <c r="X399" s="494"/>
      <c r="Y399" s="494"/>
    </row>
    <row r="400" spans="1:25" ht="15.6" x14ac:dyDescent="0.3">
      <c r="A400" s="527"/>
      <c r="B400" s="528"/>
      <c r="C400" s="529"/>
      <c r="D400" s="529"/>
      <c r="E400" s="529"/>
      <c r="F400" s="530"/>
      <c r="G400" s="531"/>
      <c r="H400" s="531"/>
      <c r="I400" s="531"/>
      <c r="J400" s="531"/>
      <c r="K400" s="532"/>
      <c r="L400" s="533"/>
      <c r="M400" s="533"/>
      <c r="N400" s="534"/>
      <c r="O400" s="534"/>
      <c r="P400" s="535"/>
      <c r="Q400" s="533"/>
      <c r="R400" s="533"/>
      <c r="S400" s="533"/>
      <c r="T400" s="533"/>
      <c r="U400" s="533"/>
      <c r="V400" s="534"/>
      <c r="W400" s="533"/>
      <c r="X400" s="534"/>
      <c r="Y400" s="534"/>
    </row>
    <row r="401" spans="1:25" ht="15.6" x14ac:dyDescent="0.3">
      <c r="A401" s="536" t="s">
        <v>274</v>
      </c>
      <c r="B401" s="64" t="s">
        <v>275</v>
      </c>
      <c r="C401" s="178"/>
      <c r="D401" s="178"/>
      <c r="E401" s="178"/>
      <c r="F401" s="525"/>
      <c r="G401" s="122"/>
      <c r="H401" s="122"/>
      <c r="I401" s="122"/>
      <c r="J401" s="122"/>
      <c r="K401" s="489"/>
      <c r="L401" s="490"/>
      <c r="M401" s="490"/>
      <c r="N401" s="494"/>
      <c r="O401" s="94">
        <f t="shared" ref="O401:Y401" si="65">O406+O429+O518</f>
        <v>115236</v>
      </c>
      <c r="P401" s="440">
        <f t="shared" si="65"/>
        <v>123000</v>
      </c>
      <c r="Q401" s="94">
        <f t="shared" si="65"/>
        <v>127550</v>
      </c>
      <c r="R401" s="94">
        <f t="shared" si="65"/>
        <v>141300</v>
      </c>
      <c r="S401" s="94">
        <f t="shared" si="65"/>
        <v>222400</v>
      </c>
      <c r="T401" s="94">
        <f t="shared" si="65"/>
        <v>221200</v>
      </c>
      <c r="U401" s="94">
        <f t="shared" si="65"/>
        <v>169950</v>
      </c>
      <c r="V401" s="95">
        <f t="shared" si="65"/>
        <v>169000</v>
      </c>
      <c r="W401" s="94">
        <f t="shared" si="65"/>
        <v>170850</v>
      </c>
      <c r="X401" s="95">
        <f t="shared" si="65"/>
        <v>159300</v>
      </c>
      <c r="Y401" s="95">
        <f t="shared" si="65"/>
        <v>165300</v>
      </c>
    </row>
    <row r="402" spans="1:25" ht="15.6" x14ac:dyDescent="0.3">
      <c r="A402" s="51"/>
      <c r="B402" s="70" t="s">
        <v>18</v>
      </c>
      <c r="C402" s="174"/>
      <c r="D402" s="177"/>
      <c r="E402" s="176"/>
      <c r="F402" s="176"/>
      <c r="G402" s="177"/>
      <c r="H402" s="177"/>
      <c r="I402" s="177"/>
      <c r="J402" s="177"/>
      <c r="K402" s="178"/>
      <c r="L402" s="178"/>
      <c r="M402" s="179"/>
      <c r="N402" s="180"/>
      <c r="O402" s="433">
        <f>O407+O431+O520</f>
        <v>11536</v>
      </c>
      <c r="P402" s="434"/>
      <c r="Q402" s="70"/>
      <c r="R402" s="70"/>
      <c r="S402" s="70"/>
      <c r="T402" s="70"/>
      <c r="U402" s="70"/>
      <c r="V402" s="70"/>
      <c r="W402" s="70"/>
      <c r="X402" s="70"/>
      <c r="Y402" s="70"/>
    </row>
    <row r="403" spans="1:25" ht="15" customHeight="1" x14ac:dyDescent="0.3">
      <c r="A403" s="33"/>
      <c r="B403" s="73" t="s">
        <v>19</v>
      </c>
      <c r="C403" s="74"/>
      <c r="D403" s="74"/>
      <c r="E403" s="2"/>
      <c r="F403" s="75"/>
      <c r="G403" s="75"/>
      <c r="H403" s="75"/>
      <c r="I403" s="75"/>
      <c r="J403" s="75"/>
      <c r="K403" s="76"/>
      <c r="L403" s="77"/>
      <c r="M403" s="78"/>
      <c r="N403" s="78"/>
      <c r="O403" s="79"/>
      <c r="P403" s="80">
        <v>122800</v>
      </c>
      <c r="Q403" s="81">
        <v>131450</v>
      </c>
      <c r="R403" s="81">
        <v>144600</v>
      </c>
      <c r="S403" s="81">
        <v>201800</v>
      </c>
      <c r="T403" s="81">
        <v>208900</v>
      </c>
      <c r="U403" s="81">
        <v>164350</v>
      </c>
      <c r="V403" s="81">
        <v>164000</v>
      </c>
      <c r="W403" s="82">
        <v>165850</v>
      </c>
      <c r="X403" s="81">
        <v>154300</v>
      </c>
      <c r="Y403" s="81">
        <v>160300</v>
      </c>
    </row>
    <row r="404" spans="1:25" ht="15" customHeight="1" x14ac:dyDescent="0.3">
      <c r="A404" s="33"/>
      <c r="B404" s="73" t="s">
        <v>20</v>
      </c>
      <c r="C404" s="74"/>
      <c r="D404" s="74"/>
      <c r="E404" s="2"/>
      <c r="F404" s="75"/>
      <c r="G404" s="75"/>
      <c r="H404" s="75"/>
      <c r="I404" s="75"/>
      <c r="J404" s="75"/>
      <c r="K404" s="76"/>
      <c r="L404" s="77"/>
      <c r="M404" s="78"/>
      <c r="N404" s="78"/>
      <c r="O404" s="79"/>
      <c r="P404" s="80">
        <f t="shared" ref="P404:Y404" si="66">P401-P403</f>
        <v>200</v>
      </c>
      <c r="Q404" s="81">
        <f t="shared" si="66"/>
        <v>-3900</v>
      </c>
      <c r="R404" s="81">
        <f t="shared" si="66"/>
        <v>-3300</v>
      </c>
      <c r="S404" s="81">
        <f t="shared" si="66"/>
        <v>20600</v>
      </c>
      <c r="T404" s="81">
        <f t="shared" si="66"/>
        <v>12300</v>
      </c>
      <c r="U404" s="81">
        <f t="shared" si="66"/>
        <v>5600</v>
      </c>
      <c r="V404" s="81">
        <f t="shared" si="66"/>
        <v>5000</v>
      </c>
      <c r="W404" s="82">
        <f t="shared" si="66"/>
        <v>5000</v>
      </c>
      <c r="X404" s="81">
        <f t="shared" si="66"/>
        <v>5000</v>
      </c>
      <c r="Y404" s="81">
        <f t="shared" si="66"/>
        <v>5000</v>
      </c>
    </row>
    <row r="405" spans="1:25" ht="15.6" x14ac:dyDescent="0.3">
      <c r="A405" s="33"/>
      <c r="B405" s="537"/>
      <c r="C405" s="178"/>
      <c r="D405" s="178"/>
      <c r="E405" s="178"/>
      <c r="F405" s="525"/>
      <c r="G405" s="122"/>
      <c r="H405" s="122"/>
      <c r="I405" s="122"/>
      <c r="J405" s="122"/>
      <c r="K405" s="489"/>
      <c r="L405" s="490"/>
      <c r="M405" s="490"/>
      <c r="N405" s="494"/>
      <c r="O405" s="494"/>
      <c r="P405" s="493"/>
      <c r="Q405" s="494"/>
      <c r="R405" s="494"/>
      <c r="S405" s="494"/>
      <c r="T405" s="494"/>
      <c r="U405" s="494"/>
      <c r="V405" s="494"/>
      <c r="W405" s="490"/>
      <c r="X405" s="494"/>
      <c r="Y405" s="494"/>
    </row>
    <row r="406" spans="1:25" ht="15.6" x14ac:dyDescent="0.3">
      <c r="A406" s="107"/>
      <c r="B406" s="108" t="s">
        <v>43</v>
      </c>
      <c r="C406" s="94"/>
      <c r="D406" s="94"/>
      <c r="E406" s="94"/>
      <c r="F406" s="94"/>
      <c r="G406" s="94"/>
      <c r="H406" s="94"/>
      <c r="I406" s="94"/>
      <c r="J406" s="94"/>
      <c r="K406" s="94"/>
      <c r="L406" s="94"/>
      <c r="M406" s="94"/>
      <c r="N406" s="95"/>
      <c r="O406" s="95">
        <f>SUM(O414,O416,O418,O420,O422,O424,O426)+O407</f>
        <v>49100</v>
      </c>
      <c r="P406" s="97">
        <f t="shared" ref="P406:Y406" si="67">SUM(P414,P416,P418,P420,P422,P424,P426)</f>
        <v>46400</v>
      </c>
      <c r="Q406" s="95">
        <f t="shared" si="67"/>
        <v>57150</v>
      </c>
      <c r="R406" s="95">
        <f t="shared" si="67"/>
        <v>73600</v>
      </c>
      <c r="S406" s="95">
        <f t="shared" si="67"/>
        <v>109900</v>
      </c>
      <c r="T406" s="95">
        <f t="shared" si="67"/>
        <v>101000</v>
      </c>
      <c r="U406" s="95">
        <f t="shared" si="67"/>
        <v>85150</v>
      </c>
      <c r="V406" s="95">
        <f t="shared" si="67"/>
        <v>90700</v>
      </c>
      <c r="W406" s="94">
        <f t="shared" si="67"/>
        <v>73350</v>
      </c>
      <c r="X406" s="95">
        <f t="shared" si="67"/>
        <v>73400</v>
      </c>
      <c r="Y406" s="95">
        <f t="shared" si="67"/>
        <v>79500</v>
      </c>
    </row>
    <row r="407" spans="1:25" ht="15.6" x14ac:dyDescent="0.3">
      <c r="A407" s="35"/>
      <c r="B407" s="70" t="s">
        <v>18</v>
      </c>
      <c r="C407" s="53"/>
      <c r="D407" s="54"/>
      <c r="E407" s="53"/>
      <c r="F407" s="53"/>
      <c r="G407" s="53"/>
      <c r="H407" s="53"/>
      <c r="I407" s="53"/>
      <c r="J407" s="53"/>
      <c r="K407" s="65"/>
      <c r="L407" s="98"/>
      <c r="M407" s="89"/>
      <c r="N407" s="88"/>
      <c r="O407" s="433">
        <v>3900</v>
      </c>
      <c r="P407" s="87"/>
      <c r="Q407" s="88"/>
      <c r="R407" s="88"/>
      <c r="S407" s="88"/>
      <c r="T407" s="88"/>
      <c r="U407" s="88"/>
      <c r="V407" s="88"/>
      <c r="W407" s="88"/>
      <c r="X407" s="88"/>
      <c r="Y407" s="88"/>
    </row>
    <row r="408" spans="1:25" ht="15.6" x14ac:dyDescent="0.3">
      <c r="A408" s="35"/>
      <c r="B408" s="99"/>
      <c r="C408" s="53"/>
      <c r="D408" s="54"/>
      <c r="E408" s="53"/>
      <c r="F408" s="53"/>
      <c r="G408" s="53"/>
      <c r="H408" s="53"/>
      <c r="I408" s="53"/>
      <c r="J408" s="53"/>
      <c r="K408" s="65"/>
      <c r="L408" s="98"/>
      <c r="M408" s="89"/>
      <c r="N408" s="88"/>
      <c r="O408" s="85"/>
      <c r="P408" s="87"/>
      <c r="Q408" s="88"/>
      <c r="R408" s="88"/>
      <c r="S408" s="88"/>
      <c r="T408" s="88"/>
      <c r="U408" s="88"/>
      <c r="V408" s="88"/>
      <c r="W408" s="89"/>
      <c r="X408" s="88"/>
      <c r="Y408" s="88"/>
    </row>
    <row r="409" spans="1:25" ht="15.6" x14ac:dyDescent="0.3">
      <c r="A409" s="35"/>
      <c r="B409" s="538" t="s">
        <v>276</v>
      </c>
      <c r="C409" s="53"/>
      <c r="D409" s="54"/>
      <c r="E409" s="53"/>
      <c r="F409" s="53"/>
      <c r="G409" s="53"/>
      <c r="H409" s="53"/>
      <c r="I409" s="53"/>
      <c r="J409" s="53"/>
      <c r="K409" s="65"/>
      <c r="L409" s="98"/>
      <c r="M409" s="89"/>
      <c r="N409" s="88"/>
      <c r="O409" s="85">
        <v>40800</v>
      </c>
      <c r="P409" s="539">
        <v>41500</v>
      </c>
      <c r="Q409" s="72">
        <v>49700</v>
      </c>
      <c r="R409" s="72">
        <v>64800</v>
      </c>
      <c r="S409" s="72">
        <v>71900</v>
      </c>
      <c r="T409" s="72">
        <v>69300</v>
      </c>
      <c r="U409" s="72">
        <v>55200</v>
      </c>
      <c r="V409" s="72">
        <v>60700</v>
      </c>
      <c r="W409" s="540">
        <v>58400</v>
      </c>
      <c r="X409" s="72"/>
      <c r="Y409" s="72"/>
    </row>
    <row r="410" spans="1:25" ht="1.5" customHeight="1" x14ac:dyDescent="0.3">
      <c r="A410" s="35"/>
      <c r="B410" s="538" t="s">
        <v>277</v>
      </c>
      <c r="C410" s="53"/>
      <c r="D410" s="54"/>
      <c r="E410" s="53"/>
      <c r="F410" s="53"/>
      <c r="G410" s="53"/>
      <c r="H410" s="53"/>
      <c r="I410" s="53"/>
      <c r="J410" s="53"/>
      <c r="K410" s="65"/>
      <c r="L410" s="98"/>
      <c r="M410" s="89"/>
      <c r="N410" s="88"/>
      <c r="O410" s="85">
        <v>63800</v>
      </c>
      <c r="P410" s="539">
        <v>61500</v>
      </c>
      <c r="Q410" s="72">
        <v>86700</v>
      </c>
      <c r="R410" s="72">
        <v>94800</v>
      </c>
      <c r="S410" s="72">
        <v>101900</v>
      </c>
      <c r="T410" s="72">
        <v>99300</v>
      </c>
      <c r="U410" s="72">
        <v>85200</v>
      </c>
      <c r="V410" s="72">
        <v>90700</v>
      </c>
      <c r="W410" s="540">
        <v>73400</v>
      </c>
      <c r="X410" s="72">
        <v>73400</v>
      </c>
      <c r="Y410" s="72"/>
    </row>
    <row r="411" spans="1:25" ht="15.6" x14ac:dyDescent="0.3">
      <c r="A411" s="35"/>
      <c r="B411" s="538"/>
      <c r="C411" s="53"/>
      <c r="D411" s="54"/>
      <c r="E411" s="53"/>
      <c r="F411" s="53"/>
      <c r="G411" s="53"/>
      <c r="H411" s="53"/>
      <c r="I411" s="53"/>
      <c r="J411" s="53"/>
      <c r="K411" s="65"/>
      <c r="L411" s="98"/>
      <c r="M411" s="89"/>
      <c r="N411" s="88"/>
      <c r="O411" s="85"/>
      <c r="P411" s="539"/>
      <c r="Q411" s="72"/>
      <c r="R411" s="72"/>
      <c r="S411" s="72"/>
      <c r="T411" s="72"/>
      <c r="U411" s="72"/>
      <c r="V411" s="72"/>
      <c r="W411" s="540"/>
      <c r="X411" s="72"/>
      <c r="Y411" s="72"/>
    </row>
    <row r="412" spans="1:25" ht="15.6" x14ac:dyDescent="0.3">
      <c r="A412" s="35"/>
      <c r="B412" s="116" t="s">
        <v>278</v>
      </c>
      <c r="C412" s="35"/>
      <c r="D412" s="36"/>
      <c r="E412" s="35"/>
      <c r="F412" s="35"/>
      <c r="G412" s="35"/>
      <c r="H412" s="35"/>
      <c r="I412" s="35"/>
      <c r="J412" s="35"/>
      <c r="K412" s="65"/>
      <c r="L412" s="65"/>
      <c r="M412" s="65"/>
      <c r="N412" s="66"/>
      <c r="O412" s="66"/>
      <c r="P412" s="68"/>
      <c r="Q412" s="66"/>
      <c r="R412" s="66"/>
      <c r="S412" s="66"/>
      <c r="T412" s="66"/>
      <c r="U412" s="66"/>
      <c r="V412" s="66"/>
      <c r="W412" s="65"/>
      <c r="X412" s="66"/>
      <c r="Y412" s="66"/>
    </row>
    <row r="413" spans="1:25" ht="15.6" x14ac:dyDescent="0.3">
      <c r="A413" s="35"/>
      <c r="B413" s="70"/>
      <c r="C413" s="102"/>
      <c r="D413" s="104"/>
      <c r="E413" s="102"/>
      <c r="F413" s="102"/>
      <c r="G413" s="102"/>
      <c r="H413" s="102"/>
      <c r="I413" s="102"/>
      <c r="J413" s="102"/>
      <c r="K413" s="65"/>
      <c r="L413" s="98"/>
      <c r="M413" s="65"/>
      <c r="N413" s="66"/>
      <c r="O413" s="66"/>
      <c r="P413" s="68"/>
      <c r="Q413" s="66"/>
      <c r="R413" s="66"/>
      <c r="S413" s="66"/>
      <c r="T413" s="66"/>
      <c r="U413" s="66"/>
      <c r="V413" s="66"/>
      <c r="W413" s="65"/>
      <c r="X413" s="66"/>
      <c r="Y413" s="66"/>
    </row>
    <row r="414" spans="1:25" ht="15.6" x14ac:dyDescent="0.3">
      <c r="A414" s="35"/>
      <c r="B414" s="116" t="s">
        <v>279</v>
      </c>
      <c r="C414" s="102"/>
      <c r="D414" s="104"/>
      <c r="E414" s="102"/>
      <c r="F414" s="102"/>
      <c r="G414" s="102"/>
      <c r="H414" s="102"/>
      <c r="I414" s="102"/>
      <c r="J414" s="102"/>
      <c r="K414" s="65"/>
      <c r="L414" s="65"/>
      <c r="M414" s="65"/>
      <c r="N414" s="66"/>
      <c r="O414" s="66">
        <v>11300</v>
      </c>
      <c r="P414" s="68">
        <v>11400</v>
      </c>
      <c r="Q414" s="105">
        <f>12000-3300</f>
        <v>8700</v>
      </c>
      <c r="R414" s="105">
        <f>12000-1700</f>
        <v>10300</v>
      </c>
      <c r="S414" s="105">
        <f>15700+3300</f>
        <v>19000</v>
      </c>
      <c r="T414" s="105">
        <f>18500+1700</f>
        <v>20200</v>
      </c>
      <c r="U414" s="66">
        <v>13000</v>
      </c>
      <c r="V414" s="66">
        <v>14600</v>
      </c>
      <c r="W414" s="65">
        <v>6600</v>
      </c>
      <c r="X414" s="66">
        <v>4000</v>
      </c>
      <c r="Y414" s="66">
        <v>6000</v>
      </c>
    </row>
    <row r="415" spans="1:25" ht="15.6" x14ac:dyDescent="0.3">
      <c r="A415" s="35"/>
      <c r="B415" s="70"/>
      <c r="C415" s="102"/>
      <c r="D415" s="104"/>
      <c r="E415" s="102"/>
      <c r="F415" s="102"/>
      <c r="G415" s="102"/>
      <c r="H415" s="102"/>
      <c r="I415" s="102"/>
      <c r="J415" s="102"/>
      <c r="K415" s="65"/>
      <c r="L415" s="98"/>
      <c r="M415" s="65"/>
      <c r="N415" s="66"/>
      <c r="O415" s="66"/>
      <c r="P415" s="126"/>
      <c r="Q415" s="125"/>
      <c r="R415" s="125"/>
      <c r="S415" s="125"/>
      <c r="T415" s="125"/>
      <c r="U415" s="125"/>
      <c r="V415" s="125"/>
      <c r="W415" s="122"/>
      <c r="X415" s="125"/>
      <c r="Y415" s="125"/>
    </row>
    <row r="416" spans="1:25" ht="15.6" x14ac:dyDescent="0.3">
      <c r="A416" s="35"/>
      <c r="B416" s="116" t="s">
        <v>280</v>
      </c>
      <c r="C416" s="102"/>
      <c r="D416" s="104"/>
      <c r="E416" s="102"/>
      <c r="F416" s="102"/>
      <c r="G416" s="102"/>
      <c r="H416" s="102"/>
      <c r="I416" s="102"/>
      <c r="J416" s="102"/>
      <c r="K416" s="65"/>
      <c r="L416" s="65"/>
      <c r="M416" s="65"/>
      <c r="N416" s="66"/>
      <c r="O416" s="66">
        <v>5400</v>
      </c>
      <c r="P416" s="68">
        <v>8400</v>
      </c>
      <c r="Q416" s="66">
        <v>24000</v>
      </c>
      <c r="R416" s="66">
        <f>41000-18000</f>
        <v>23000</v>
      </c>
      <c r="S416" s="66">
        <v>40500</v>
      </c>
      <c r="T416" s="66">
        <v>43100</v>
      </c>
      <c r="U416" s="66">
        <v>25000</v>
      </c>
      <c r="V416" s="66">
        <v>15000</v>
      </c>
      <c r="W416" s="65">
        <v>14000</v>
      </c>
      <c r="X416" s="66">
        <v>14700</v>
      </c>
      <c r="Y416" s="66">
        <v>16000</v>
      </c>
    </row>
    <row r="417" spans="1:25" ht="15.6" x14ac:dyDescent="0.3">
      <c r="A417" s="35"/>
      <c r="B417" s="70"/>
      <c r="C417" s="102"/>
      <c r="D417" s="104"/>
      <c r="E417" s="102"/>
      <c r="F417" s="102"/>
      <c r="G417" s="102"/>
      <c r="H417" s="102"/>
      <c r="I417" s="102"/>
      <c r="J417" s="102"/>
      <c r="K417" s="65"/>
      <c r="L417" s="98"/>
      <c r="M417" s="65"/>
      <c r="N417" s="66"/>
      <c r="O417" s="66"/>
      <c r="P417" s="126"/>
      <c r="Q417" s="125"/>
      <c r="R417" s="125"/>
      <c r="S417" s="125"/>
      <c r="T417" s="125"/>
      <c r="U417" s="125"/>
      <c r="V417" s="125"/>
      <c r="W417" s="122"/>
      <c r="X417" s="125"/>
      <c r="Y417" s="125"/>
    </row>
    <row r="418" spans="1:25" ht="15.6" x14ac:dyDescent="0.3">
      <c r="A418" s="35"/>
      <c r="B418" s="116" t="s">
        <v>281</v>
      </c>
      <c r="C418" s="102"/>
      <c r="D418" s="104"/>
      <c r="E418" s="102"/>
      <c r="F418" s="102"/>
      <c r="G418" s="102"/>
      <c r="H418" s="102"/>
      <c r="I418" s="102"/>
      <c r="J418" s="102"/>
      <c r="K418" s="65"/>
      <c r="L418" s="65"/>
      <c r="M418" s="65"/>
      <c r="N418" s="66"/>
      <c r="O418" s="66">
        <f>7200-600</f>
        <v>6600</v>
      </c>
      <c r="P418" s="210">
        <f>9500-1200</f>
        <v>8300</v>
      </c>
      <c r="Q418" s="66">
        <v>6000</v>
      </c>
      <c r="R418" s="66">
        <v>3100</v>
      </c>
      <c r="S418" s="105">
        <f>3100+1200</f>
        <v>4300</v>
      </c>
      <c r="T418" s="66">
        <v>7600</v>
      </c>
      <c r="U418" s="66">
        <v>6200</v>
      </c>
      <c r="V418" s="66">
        <v>1600</v>
      </c>
      <c r="W418" s="65"/>
      <c r="X418" s="66"/>
      <c r="Y418" s="66"/>
    </row>
    <row r="419" spans="1:25" ht="15.6" x14ac:dyDescent="0.3">
      <c r="A419" s="35"/>
      <c r="B419" s="70"/>
      <c r="C419" s="102"/>
      <c r="D419" s="104"/>
      <c r="E419" s="102"/>
      <c r="F419" s="102"/>
      <c r="G419" s="102"/>
      <c r="H419" s="102"/>
      <c r="I419" s="102"/>
      <c r="J419" s="102"/>
      <c r="K419" s="65"/>
      <c r="L419" s="98"/>
      <c r="M419" s="65"/>
      <c r="N419" s="66"/>
      <c r="O419" s="66"/>
      <c r="P419" s="126"/>
      <c r="Q419" s="125"/>
      <c r="R419" s="125"/>
      <c r="S419" s="125"/>
      <c r="T419" s="125"/>
      <c r="U419" s="125"/>
      <c r="V419" s="125"/>
      <c r="W419" s="122"/>
      <c r="X419" s="125"/>
      <c r="Y419" s="125"/>
    </row>
    <row r="420" spans="1:25" ht="15.6" x14ac:dyDescent="0.3">
      <c r="A420" s="35"/>
      <c r="B420" s="116" t="s">
        <v>282</v>
      </c>
      <c r="C420" s="102"/>
      <c r="D420" s="104"/>
      <c r="E420" s="102"/>
      <c r="F420" s="102"/>
      <c r="G420" s="102"/>
      <c r="H420" s="102"/>
      <c r="I420" s="102"/>
      <c r="J420" s="102"/>
      <c r="K420" s="65"/>
      <c r="L420" s="65"/>
      <c r="M420" s="65"/>
      <c r="N420" s="66"/>
      <c r="O420" s="66">
        <v>3000</v>
      </c>
      <c r="P420" s="68">
        <v>3800</v>
      </c>
      <c r="Q420" s="66">
        <v>9500</v>
      </c>
      <c r="R420" s="66">
        <v>11800</v>
      </c>
      <c r="S420" s="66">
        <v>4500</v>
      </c>
      <c r="T420" s="66">
        <v>1000</v>
      </c>
      <c r="U420" s="66">
        <v>1000</v>
      </c>
      <c r="V420" s="66">
        <v>1500</v>
      </c>
      <c r="W420" s="65">
        <v>1500</v>
      </c>
      <c r="X420" s="66">
        <v>1500</v>
      </c>
      <c r="Y420" s="66">
        <v>2000</v>
      </c>
    </row>
    <row r="421" spans="1:25" ht="15.6" x14ac:dyDescent="0.3">
      <c r="A421" s="35"/>
      <c r="B421" s="70"/>
      <c r="C421" s="102"/>
      <c r="D421" s="104"/>
      <c r="E421" s="102"/>
      <c r="F421" s="102"/>
      <c r="G421" s="102"/>
      <c r="H421" s="102"/>
      <c r="I421" s="102"/>
      <c r="J421" s="102"/>
      <c r="K421" s="65"/>
      <c r="L421" s="98"/>
      <c r="M421" s="65"/>
      <c r="N421" s="66"/>
      <c r="O421" s="66"/>
      <c r="P421" s="68"/>
      <c r="Q421" s="66"/>
      <c r="R421" s="66"/>
      <c r="S421" s="66"/>
      <c r="T421" s="66"/>
      <c r="U421" s="66"/>
      <c r="V421" s="66"/>
      <c r="W421" s="65"/>
      <c r="X421" s="66"/>
      <c r="Y421" s="66"/>
    </row>
    <row r="422" spans="1:25" ht="15.6" x14ac:dyDescent="0.3">
      <c r="A422" s="35"/>
      <c r="B422" s="116" t="s">
        <v>283</v>
      </c>
      <c r="C422" s="102"/>
      <c r="D422" s="104"/>
      <c r="E422" s="102"/>
      <c r="F422" s="102"/>
      <c r="G422" s="102"/>
      <c r="H422" s="102"/>
      <c r="I422" s="102"/>
      <c r="J422" s="102"/>
      <c r="K422" s="65"/>
      <c r="L422" s="65"/>
      <c r="M422" s="65"/>
      <c r="N422" s="66"/>
      <c r="O422" s="66">
        <v>4000</v>
      </c>
      <c r="P422" s="68">
        <v>1500</v>
      </c>
      <c r="Q422" s="66">
        <v>600</v>
      </c>
      <c r="R422" s="66">
        <v>400</v>
      </c>
      <c r="S422" s="66"/>
      <c r="T422" s="66"/>
      <c r="U422" s="66"/>
      <c r="V422" s="66"/>
      <c r="W422" s="65"/>
      <c r="X422" s="66"/>
      <c r="Y422" s="66"/>
    </row>
    <row r="423" spans="1:25" ht="15.6" x14ac:dyDescent="0.3">
      <c r="A423" s="35"/>
      <c r="B423" s="70"/>
      <c r="C423" s="102"/>
      <c r="D423" s="104"/>
      <c r="E423" s="102"/>
      <c r="F423" s="102"/>
      <c r="G423" s="102"/>
      <c r="H423" s="102"/>
      <c r="I423" s="102"/>
      <c r="J423" s="102"/>
      <c r="K423" s="65"/>
      <c r="L423" s="98"/>
      <c r="M423" s="65"/>
      <c r="N423" s="66"/>
      <c r="O423" s="66"/>
      <c r="P423" s="68"/>
      <c r="Q423" s="66"/>
      <c r="R423" s="66"/>
      <c r="S423" s="66"/>
      <c r="T423" s="66"/>
      <c r="U423" s="66"/>
      <c r="V423" s="66"/>
      <c r="W423" s="65"/>
      <c r="X423" s="66"/>
      <c r="Y423" s="66"/>
    </row>
    <row r="424" spans="1:25" ht="15.6" x14ac:dyDescent="0.3">
      <c r="A424" s="35"/>
      <c r="B424" s="116" t="s">
        <v>40</v>
      </c>
      <c r="C424" s="102"/>
      <c r="D424" s="104"/>
      <c r="E424" s="102"/>
      <c r="F424" s="102"/>
      <c r="G424" s="102"/>
      <c r="H424" s="102"/>
      <c r="I424" s="102"/>
      <c r="J424" s="102"/>
      <c r="K424" s="65"/>
      <c r="L424" s="65"/>
      <c r="M424" s="65"/>
      <c r="N424" s="66"/>
      <c r="O424" s="66">
        <v>1500</v>
      </c>
      <c r="P424" s="68">
        <v>900</v>
      </c>
      <c r="Q424" s="66">
        <v>2500</v>
      </c>
      <c r="R424" s="66">
        <v>3500</v>
      </c>
      <c r="S424" s="66">
        <v>18000</v>
      </c>
      <c r="T424" s="66">
        <v>26000</v>
      </c>
      <c r="U424" s="66">
        <v>21000</v>
      </c>
      <c r="V424" s="66">
        <v>32000</v>
      </c>
      <c r="W424" s="65">
        <v>37600</v>
      </c>
      <c r="X424" s="66">
        <v>40000</v>
      </c>
      <c r="Y424" s="66">
        <v>45000</v>
      </c>
    </row>
    <row r="425" spans="1:25" ht="15.6" x14ac:dyDescent="0.3">
      <c r="A425" s="35"/>
      <c r="B425" s="70"/>
      <c r="C425" s="102"/>
      <c r="D425" s="104"/>
      <c r="E425" s="102"/>
      <c r="F425" s="102"/>
      <c r="G425" s="102"/>
      <c r="H425" s="102"/>
      <c r="I425" s="102"/>
      <c r="J425" s="102"/>
      <c r="K425" s="65"/>
      <c r="L425" s="98"/>
      <c r="M425" s="65"/>
      <c r="N425" s="66"/>
      <c r="O425" s="66"/>
      <c r="P425" s="68"/>
      <c r="Q425" s="66"/>
      <c r="R425" s="66"/>
      <c r="S425" s="66"/>
      <c r="T425" s="66"/>
      <c r="U425" s="66"/>
      <c r="V425" s="66"/>
      <c r="W425" s="65"/>
      <c r="X425" s="66"/>
      <c r="Y425" s="66"/>
    </row>
    <row r="426" spans="1:25" ht="15.6" x14ac:dyDescent="0.3">
      <c r="A426" s="35"/>
      <c r="B426" s="471" t="s">
        <v>284</v>
      </c>
      <c r="C426" s="102"/>
      <c r="D426" s="104"/>
      <c r="E426" s="102"/>
      <c r="F426" s="102"/>
      <c r="G426" s="102"/>
      <c r="H426" s="102"/>
      <c r="I426" s="102"/>
      <c r="J426" s="102"/>
      <c r="K426" s="65"/>
      <c r="L426" s="98"/>
      <c r="M426" s="65"/>
      <c r="N426" s="66"/>
      <c r="O426" s="66">
        <v>13400</v>
      </c>
      <c r="P426" s="68">
        <v>12100</v>
      </c>
      <c r="Q426" s="66">
        <f>5900-50</f>
        <v>5850</v>
      </c>
      <c r="R426" s="66">
        <v>21500</v>
      </c>
      <c r="S426" s="66">
        <v>23600</v>
      </c>
      <c r="T426" s="66">
        <v>3100</v>
      </c>
      <c r="U426" s="66">
        <f>19000-50</f>
        <v>18950</v>
      </c>
      <c r="V426" s="66">
        <v>26000</v>
      </c>
      <c r="W426" s="65">
        <f>13700-50</f>
        <v>13650</v>
      </c>
      <c r="X426" s="66">
        <v>13200</v>
      </c>
      <c r="Y426" s="66">
        <v>10500</v>
      </c>
    </row>
    <row r="427" spans="1:25" ht="15.6" x14ac:dyDescent="0.3">
      <c r="A427" s="35"/>
      <c r="B427" s="34"/>
      <c r="C427" s="102"/>
      <c r="D427" s="104"/>
      <c r="E427" s="102"/>
      <c r="F427" s="102"/>
      <c r="G427" s="102"/>
      <c r="H427" s="102"/>
      <c r="I427" s="102"/>
      <c r="J427" s="102"/>
      <c r="K427" s="65"/>
      <c r="L427" s="65"/>
      <c r="M427" s="65"/>
      <c r="N427" s="66"/>
      <c r="O427" s="66"/>
      <c r="P427" s="68"/>
      <c r="Q427" s="66"/>
      <c r="R427" s="66"/>
      <c r="S427" s="66"/>
      <c r="T427" s="66"/>
      <c r="U427" s="66"/>
      <c r="V427" s="66"/>
      <c r="W427" s="65"/>
      <c r="X427" s="66"/>
      <c r="Y427" s="66"/>
    </row>
    <row r="428" spans="1:25" ht="15.6" x14ac:dyDescent="0.3">
      <c r="A428" s="33"/>
      <c r="B428" s="70"/>
      <c r="C428" s="498"/>
      <c r="D428" s="498"/>
      <c r="E428" s="498"/>
      <c r="F428" s="498"/>
      <c r="G428" s="498"/>
      <c r="H428" s="498"/>
      <c r="I428" s="498"/>
      <c r="J428" s="472"/>
      <c r="K428" s="284"/>
      <c r="L428" s="284"/>
      <c r="M428" s="482"/>
      <c r="N428" s="482"/>
      <c r="O428" s="285" t="s">
        <v>3</v>
      </c>
      <c r="P428" s="474" t="s">
        <v>3</v>
      </c>
      <c r="Q428" s="285" t="s">
        <v>3</v>
      </c>
      <c r="R428" s="285" t="s">
        <v>3</v>
      </c>
      <c r="S428" s="286" t="s">
        <v>3</v>
      </c>
      <c r="T428" s="286" t="s">
        <v>3</v>
      </c>
      <c r="U428" s="286" t="s">
        <v>3</v>
      </c>
      <c r="V428" s="286" t="s">
        <v>3</v>
      </c>
      <c r="W428" s="288" t="s">
        <v>3</v>
      </c>
      <c r="X428" s="285" t="s">
        <v>3</v>
      </c>
      <c r="Y428" s="285"/>
    </row>
    <row r="429" spans="1:25" ht="15.75" customHeight="1" x14ac:dyDescent="0.3">
      <c r="A429" s="107"/>
      <c r="B429" s="393" t="s">
        <v>285</v>
      </c>
      <c r="C429" s="319"/>
      <c r="D429" s="319"/>
      <c r="E429" s="173"/>
      <c r="F429" s="173"/>
      <c r="G429" s="173"/>
      <c r="H429" s="173"/>
      <c r="I429" s="173"/>
      <c r="J429" s="173"/>
      <c r="K429" s="94"/>
      <c r="L429" s="94"/>
      <c r="M429" s="95"/>
      <c r="N429" s="95"/>
      <c r="O429" s="95">
        <f>SUM(O436,O443,O455,O471,O489,O506,O512,O515)+O431</f>
        <v>58540</v>
      </c>
      <c r="P429" s="97">
        <f t="shared" ref="P429:Y429" si="68">SUM(P436,P443,P455,P471,P489,P506,P512,P515)</f>
        <v>68800</v>
      </c>
      <c r="Q429" s="94">
        <f t="shared" si="68"/>
        <v>60300</v>
      </c>
      <c r="R429" s="94">
        <f t="shared" si="68"/>
        <v>57000</v>
      </c>
      <c r="S429" s="94">
        <f t="shared" si="68"/>
        <v>101100</v>
      </c>
      <c r="T429" s="94">
        <f t="shared" si="68"/>
        <v>108600</v>
      </c>
      <c r="U429" s="94">
        <f t="shared" si="68"/>
        <v>73200</v>
      </c>
      <c r="V429" s="94">
        <f t="shared" si="68"/>
        <v>66900</v>
      </c>
      <c r="W429" s="94">
        <f t="shared" si="68"/>
        <v>86500</v>
      </c>
      <c r="X429" s="95">
        <f t="shared" si="68"/>
        <v>74900</v>
      </c>
      <c r="Y429" s="95">
        <f t="shared" si="68"/>
        <v>73800</v>
      </c>
    </row>
    <row r="430" spans="1:25" ht="15" customHeight="1" x14ac:dyDescent="0.3">
      <c r="A430" s="51"/>
      <c r="B430" s="70" t="s">
        <v>132</v>
      </c>
      <c r="C430" s="227"/>
      <c r="D430" s="227"/>
      <c r="E430" s="227"/>
      <c r="F430" s="227"/>
      <c r="G430" s="227"/>
      <c r="H430" s="320"/>
      <c r="I430" s="177"/>
      <c r="J430" s="321"/>
      <c r="K430" s="322"/>
      <c r="L430" s="322"/>
      <c r="M430" s="323"/>
      <c r="N430" s="323"/>
      <c r="O430" s="323">
        <v>0.55712451861360701</v>
      </c>
      <c r="P430" s="325">
        <v>0.10840890354493</v>
      </c>
      <c r="Q430" s="323">
        <v>-0.41316474525845998</v>
      </c>
      <c r="R430" s="323">
        <v>-0.17743979721166001</v>
      </c>
      <c r="S430" s="323">
        <v>0.268104776579353</v>
      </c>
      <c r="T430" s="323">
        <v>9.8420413122721803E-2</v>
      </c>
      <c r="U430" s="323">
        <v>-0.18694690265486699</v>
      </c>
      <c r="V430" s="323">
        <v>0.183673469387755</v>
      </c>
      <c r="W430" s="322">
        <v>0.109195402298851</v>
      </c>
      <c r="X430" s="323">
        <f>+(X429-W429)/W429</f>
        <v>-0.13410404624277455</v>
      </c>
      <c r="Y430" s="323">
        <f>+(Y429-X429)/X429</f>
        <v>-1.4686248331108143E-2</v>
      </c>
    </row>
    <row r="431" spans="1:25" s="337" customFormat="1" ht="15" customHeight="1" x14ac:dyDescent="0.3">
      <c r="A431" s="326"/>
      <c r="B431" s="70" t="s">
        <v>18</v>
      </c>
      <c r="C431" s="328"/>
      <c r="D431" s="328"/>
      <c r="E431" s="328"/>
      <c r="F431" s="328"/>
      <c r="G431" s="328"/>
      <c r="H431" s="329"/>
      <c r="I431" s="330"/>
      <c r="J431" s="329"/>
      <c r="K431" s="331"/>
      <c r="L431" s="331"/>
      <c r="M431" s="334"/>
      <c r="N431" s="334"/>
      <c r="O431" s="433">
        <v>6040</v>
      </c>
      <c r="P431" s="541"/>
      <c r="Q431" s="336"/>
      <c r="R431" s="336"/>
      <c r="S431" s="336"/>
      <c r="T431" s="336"/>
      <c r="U431" s="336"/>
      <c r="V431" s="336"/>
      <c r="W431" s="336"/>
      <c r="X431" s="336"/>
      <c r="Y431" s="336"/>
    </row>
    <row r="432" spans="1:25" ht="15" customHeight="1" x14ac:dyDescent="0.3">
      <c r="A432" s="51"/>
      <c r="B432" s="338"/>
      <c r="C432" s="227"/>
      <c r="D432" s="227"/>
      <c r="E432" s="227"/>
      <c r="F432" s="227"/>
      <c r="G432" s="296"/>
      <c r="H432" s="339"/>
      <c r="I432" s="340"/>
      <c r="J432" s="339"/>
      <c r="K432" s="341"/>
      <c r="L432" s="130"/>
      <c r="M432" s="542"/>
      <c r="N432" s="542"/>
      <c r="O432" s="344"/>
      <c r="P432" s="543"/>
      <c r="Q432" s="336"/>
      <c r="R432" s="343"/>
      <c r="S432" s="343"/>
      <c r="T432" s="343"/>
      <c r="U432" s="343"/>
      <c r="V432" s="343"/>
      <c r="W432" s="346"/>
      <c r="X432" s="342"/>
      <c r="Y432" s="342"/>
    </row>
    <row r="433" spans="1:25" ht="15" customHeight="1" x14ac:dyDescent="0.3">
      <c r="A433" s="51"/>
      <c r="B433" s="70" t="s">
        <v>286</v>
      </c>
      <c r="C433" s="227"/>
      <c r="D433" s="227"/>
      <c r="E433" s="227"/>
      <c r="F433" s="227"/>
      <c r="G433" s="296"/>
      <c r="H433" s="339"/>
      <c r="I433" s="340"/>
      <c r="J433" s="339"/>
      <c r="K433" s="341"/>
      <c r="L433" s="130"/>
      <c r="M433" s="542"/>
      <c r="N433" s="542"/>
      <c r="O433" s="344">
        <v>121300</v>
      </c>
      <c r="P433" s="113">
        <v>134450</v>
      </c>
      <c r="Q433" s="72">
        <v>78900</v>
      </c>
      <c r="R433" s="72">
        <v>64900</v>
      </c>
      <c r="S433" s="72">
        <v>82300</v>
      </c>
      <c r="T433" s="72">
        <v>90400</v>
      </c>
      <c r="U433" s="72">
        <v>73500</v>
      </c>
      <c r="V433" s="72">
        <v>87000</v>
      </c>
      <c r="W433" s="540">
        <v>96500</v>
      </c>
      <c r="X433" s="72"/>
      <c r="Y433" s="72"/>
    </row>
    <row r="434" spans="1:25" ht="15" customHeight="1" x14ac:dyDescent="0.3">
      <c r="A434" s="51"/>
      <c r="B434" s="70" t="s">
        <v>277</v>
      </c>
      <c r="C434" s="227"/>
      <c r="D434" s="227"/>
      <c r="E434" s="227"/>
      <c r="F434" s="227"/>
      <c r="G434" s="296"/>
      <c r="H434" s="339"/>
      <c r="I434" s="340"/>
      <c r="J434" s="339"/>
      <c r="K434" s="341"/>
      <c r="L434" s="130"/>
      <c r="M434" s="542"/>
      <c r="N434" s="542"/>
      <c r="O434" s="344">
        <v>143300</v>
      </c>
      <c r="P434" s="113">
        <v>182450</v>
      </c>
      <c r="Q434" s="544">
        <v>109900</v>
      </c>
      <c r="R434" s="544">
        <v>74850</v>
      </c>
      <c r="S434" s="544">
        <v>92300</v>
      </c>
      <c r="T434" s="544">
        <v>100400</v>
      </c>
      <c r="U434" s="544">
        <v>78500</v>
      </c>
      <c r="V434" s="544">
        <v>92000</v>
      </c>
      <c r="W434" s="545">
        <v>111500</v>
      </c>
      <c r="X434" s="544">
        <v>100000</v>
      </c>
      <c r="Y434" s="544"/>
    </row>
    <row r="435" spans="1:25" ht="15" customHeight="1" x14ac:dyDescent="0.3">
      <c r="A435" s="51"/>
      <c r="B435" s="70"/>
      <c r="C435" s="227"/>
      <c r="D435" s="227"/>
      <c r="E435" s="227"/>
      <c r="F435" s="227"/>
      <c r="G435" s="296"/>
      <c r="H435" s="339"/>
      <c r="I435" s="340"/>
      <c r="J435" s="339"/>
      <c r="K435" s="341"/>
      <c r="L435" s="130"/>
      <c r="M435" s="542"/>
      <c r="N435" s="542"/>
      <c r="O435" s="344"/>
      <c r="P435" s="113"/>
      <c r="Q435" s="544"/>
      <c r="R435" s="544"/>
      <c r="S435" s="544"/>
      <c r="T435" s="544"/>
      <c r="U435" s="544"/>
      <c r="V435" s="544"/>
      <c r="W435" s="106"/>
      <c r="X435" s="544"/>
      <c r="Y435" s="544"/>
    </row>
    <row r="436" spans="1:25" s="2" customFormat="1" ht="15.75" customHeight="1" x14ac:dyDescent="0.3">
      <c r="A436" s="35"/>
      <c r="B436" s="116" t="s">
        <v>278</v>
      </c>
      <c r="C436" s="208"/>
      <c r="D436" s="208"/>
      <c r="E436" s="208"/>
      <c r="F436" s="208"/>
      <c r="G436" s="208"/>
      <c r="H436" s="208"/>
      <c r="I436" s="208"/>
      <c r="J436" s="208"/>
      <c r="K436" s="65"/>
      <c r="L436" s="65"/>
      <c r="M436" s="66"/>
      <c r="N436" s="66"/>
      <c r="O436" s="66">
        <v>400</v>
      </c>
      <c r="P436" s="68">
        <v>400</v>
      </c>
      <c r="Q436" s="67">
        <v>3300</v>
      </c>
      <c r="R436" s="67">
        <v>5600</v>
      </c>
      <c r="S436" s="67">
        <v>3700</v>
      </c>
      <c r="T436" s="67">
        <v>1800</v>
      </c>
      <c r="U436" s="106"/>
      <c r="V436" s="106"/>
      <c r="W436" s="106"/>
      <c r="X436" s="106"/>
      <c r="Y436" s="106"/>
    </row>
    <row r="437" spans="1:25" ht="15" customHeight="1" x14ac:dyDescent="0.3">
      <c r="A437" s="53"/>
      <c r="B437" s="70"/>
      <c r="C437" s="114"/>
      <c r="D437" s="115"/>
      <c r="E437" s="115"/>
      <c r="F437" s="220"/>
      <c r="G437" s="89"/>
      <c r="H437" s="205"/>
      <c r="I437" s="299"/>
      <c r="J437" s="347"/>
      <c r="K437" s="163"/>
      <c r="L437" s="297"/>
      <c r="M437" s="291"/>
      <c r="N437" s="291"/>
      <c r="O437" s="291"/>
      <c r="P437" s="300"/>
      <c r="Q437" s="291"/>
      <c r="R437" s="291"/>
      <c r="S437" s="292"/>
      <c r="T437" s="292"/>
      <c r="U437" s="546"/>
      <c r="V437" s="546"/>
      <c r="W437" s="547"/>
      <c r="X437" s="548"/>
      <c r="Y437" s="548"/>
    </row>
    <row r="438" spans="1:25" ht="15" customHeight="1" x14ac:dyDescent="0.25">
      <c r="A438" s="53"/>
      <c r="B438" s="52" t="s">
        <v>135</v>
      </c>
      <c r="C438" s="227"/>
      <c r="D438" s="227"/>
      <c r="E438" s="227"/>
      <c r="F438" s="227"/>
      <c r="G438" s="227"/>
      <c r="H438" s="227"/>
      <c r="I438" s="227"/>
      <c r="J438" s="227"/>
      <c r="K438" s="122"/>
      <c r="L438" s="122"/>
      <c r="M438" s="125"/>
      <c r="N438" s="125"/>
      <c r="O438" s="125"/>
      <c r="P438" s="126"/>
      <c r="Q438" s="125"/>
      <c r="R438" s="125"/>
      <c r="S438" s="272"/>
      <c r="T438" s="272"/>
      <c r="U438" s="124"/>
      <c r="V438" s="124"/>
      <c r="W438" s="549"/>
      <c r="X438" s="123"/>
      <c r="Y438" s="123"/>
    </row>
    <row r="439" spans="1:25" ht="15" customHeight="1" x14ac:dyDescent="0.25">
      <c r="A439" s="53"/>
      <c r="B439" s="92" t="s">
        <v>136</v>
      </c>
      <c r="C439" s="227"/>
      <c r="D439" s="227"/>
      <c r="E439" s="227"/>
      <c r="F439" s="227"/>
      <c r="G439" s="227"/>
      <c r="H439" s="227"/>
      <c r="I439" s="227"/>
      <c r="J439" s="227"/>
      <c r="K439" s="122"/>
      <c r="L439" s="55"/>
      <c r="M439" s="58"/>
      <c r="N439" s="58"/>
      <c r="O439" s="58"/>
      <c r="P439" s="59"/>
      <c r="Q439" s="58"/>
      <c r="R439" s="58"/>
      <c r="S439" s="93"/>
      <c r="T439" s="93"/>
      <c r="U439" s="57"/>
      <c r="V439" s="57"/>
      <c r="W439" s="231"/>
      <c r="X439" s="56"/>
      <c r="Y439" s="56"/>
    </row>
    <row r="440" spans="1:25" ht="15" customHeight="1" x14ac:dyDescent="0.25">
      <c r="A440" s="53"/>
      <c r="B440" s="92" t="s">
        <v>137</v>
      </c>
      <c r="C440" s="227"/>
      <c r="D440" s="227"/>
      <c r="E440" s="227"/>
      <c r="F440" s="227"/>
      <c r="G440" s="227"/>
      <c r="H440" s="227"/>
      <c r="I440" s="227"/>
      <c r="J440" s="227"/>
      <c r="K440" s="122"/>
      <c r="L440" s="122"/>
      <c r="M440" s="125"/>
      <c r="N440" s="125"/>
      <c r="O440" s="125"/>
      <c r="P440" s="59"/>
      <c r="Q440" s="58"/>
      <c r="R440" s="58"/>
      <c r="S440" s="58"/>
      <c r="T440" s="58"/>
      <c r="U440" s="56"/>
      <c r="V440" s="56"/>
      <c r="W440" s="550"/>
      <c r="X440" s="56"/>
      <c r="Y440" s="56"/>
    </row>
    <row r="441" spans="1:25" ht="15" customHeight="1" x14ac:dyDescent="0.25">
      <c r="A441" s="53"/>
      <c r="B441" s="92" t="s">
        <v>138</v>
      </c>
      <c r="C441" s="227"/>
      <c r="D441" s="227"/>
      <c r="E441" s="227"/>
      <c r="F441" s="227"/>
      <c r="G441" s="227"/>
      <c r="H441" s="227"/>
      <c r="I441" s="227"/>
      <c r="J441" s="227"/>
      <c r="K441" s="122"/>
      <c r="L441" s="55"/>
      <c r="M441" s="58"/>
      <c r="N441" s="58"/>
      <c r="O441" s="58"/>
      <c r="P441" s="59"/>
      <c r="Q441" s="58"/>
      <c r="R441" s="58"/>
      <c r="S441" s="93"/>
      <c r="T441" s="93"/>
      <c r="U441" s="57"/>
      <c r="V441" s="57"/>
      <c r="W441" s="231"/>
      <c r="X441" s="56"/>
      <c r="Y441" s="56"/>
    </row>
    <row r="442" spans="1:25" ht="15" customHeight="1" x14ac:dyDescent="0.25">
      <c r="A442" s="53"/>
      <c r="B442" s="52"/>
      <c r="C442" s="227"/>
      <c r="D442" s="227"/>
      <c r="E442" s="227"/>
      <c r="F442" s="227"/>
      <c r="G442" s="227"/>
      <c r="H442" s="320"/>
      <c r="I442" s="320"/>
      <c r="J442" s="320"/>
      <c r="K442" s="341"/>
      <c r="L442" s="341"/>
      <c r="M442" s="348"/>
      <c r="N442" s="348"/>
      <c r="O442" s="348"/>
      <c r="P442" s="350"/>
      <c r="Q442" s="348"/>
      <c r="R442" s="348"/>
      <c r="S442" s="348"/>
      <c r="T442" s="349"/>
      <c r="U442" s="551"/>
      <c r="V442" s="551"/>
      <c r="W442" s="552"/>
      <c r="X442" s="553"/>
      <c r="Y442" s="553"/>
    </row>
    <row r="443" spans="1:25" s="2" customFormat="1" ht="15.75" customHeight="1" x14ac:dyDescent="0.3">
      <c r="A443" s="35"/>
      <c r="B443" s="116" t="s">
        <v>279</v>
      </c>
      <c r="C443" s="208"/>
      <c r="D443" s="208"/>
      <c r="E443" s="208"/>
      <c r="F443" s="208"/>
      <c r="G443" s="208"/>
      <c r="H443" s="208"/>
      <c r="I443" s="208"/>
      <c r="J443" s="208"/>
      <c r="K443" s="65"/>
      <c r="L443" s="65"/>
      <c r="M443" s="66"/>
      <c r="N443" s="66"/>
      <c r="O443" s="66">
        <v>13000</v>
      </c>
      <c r="P443" s="68">
        <v>25500</v>
      </c>
      <c r="Q443" s="65">
        <v>21300</v>
      </c>
      <c r="R443" s="118">
        <f>14500-1000</f>
        <v>13500</v>
      </c>
      <c r="S443" s="118">
        <f>22500+1000+15000</f>
        <v>38500</v>
      </c>
      <c r="T443" s="105">
        <f>29000+10000</f>
        <v>39000</v>
      </c>
      <c r="U443" s="105">
        <f>20000+5000</f>
        <v>25000</v>
      </c>
      <c r="V443" s="105">
        <f>11500+5000</f>
        <v>16500</v>
      </c>
      <c r="W443" s="118">
        <f>9000+5000</f>
        <v>14000</v>
      </c>
      <c r="X443" s="105">
        <f>12500+5000</f>
        <v>17500</v>
      </c>
      <c r="Y443" s="105">
        <f>10300+5000</f>
        <v>15300</v>
      </c>
    </row>
    <row r="444" spans="1:25" s="2" customFormat="1" ht="15.75" customHeight="1" x14ac:dyDescent="0.3">
      <c r="A444" s="69"/>
      <c r="B444" s="70"/>
      <c r="C444" s="114"/>
      <c r="D444" s="115"/>
      <c r="E444" s="115"/>
      <c r="F444" s="352"/>
      <c r="G444" s="89"/>
      <c r="H444" s="205"/>
      <c r="I444" s="299"/>
      <c r="J444" s="347"/>
      <c r="K444" s="163"/>
      <c r="L444" s="98"/>
      <c r="M444" s="166"/>
      <c r="N444" s="166"/>
      <c r="O444" s="166"/>
      <c r="P444" s="247"/>
      <c r="Q444" s="166"/>
      <c r="R444" s="166"/>
      <c r="S444" s="193"/>
      <c r="T444" s="166"/>
      <c r="U444" s="166"/>
      <c r="V444" s="166"/>
      <c r="W444" s="163"/>
      <c r="X444" s="166"/>
      <c r="Y444" s="166"/>
    </row>
    <row r="445" spans="1:25" s="271" customFormat="1" ht="15.75" customHeight="1" x14ac:dyDescent="0.3">
      <c r="A445" s="353"/>
      <c r="B445" s="354" t="s">
        <v>141</v>
      </c>
      <c r="C445" s="114"/>
      <c r="D445" s="115"/>
      <c r="E445" s="115"/>
      <c r="F445" s="352"/>
      <c r="G445" s="89"/>
      <c r="H445" s="205"/>
      <c r="I445" s="299"/>
      <c r="J445" s="115"/>
      <c r="K445" s="115"/>
      <c r="L445" s="115"/>
      <c r="M445" s="85"/>
      <c r="N445" s="85"/>
      <c r="O445" s="85"/>
      <c r="P445" s="113"/>
      <c r="Q445" s="85"/>
      <c r="R445" s="85"/>
      <c r="S445" s="85"/>
      <c r="T445" s="85"/>
      <c r="U445" s="85"/>
      <c r="V445" s="85"/>
      <c r="W445" s="115"/>
      <c r="X445" s="85"/>
      <c r="Y445" s="85"/>
    </row>
    <row r="446" spans="1:25" s="271" customFormat="1" ht="15" customHeight="1" x14ac:dyDescent="0.3">
      <c r="A446" s="355"/>
      <c r="B446" s="249" t="s">
        <v>142</v>
      </c>
      <c r="C446" s="115"/>
      <c r="D446" s="220"/>
      <c r="E446" s="220"/>
      <c r="F446" s="220"/>
      <c r="G446" s="220"/>
      <c r="H446" s="220"/>
      <c r="I446" s="220"/>
      <c r="J446" s="220"/>
      <c r="K446" s="115"/>
      <c r="L446" s="115"/>
      <c r="M446" s="85"/>
      <c r="N446" s="85"/>
      <c r="O446" s="85"/>
      <c r="P446" s="113"/>
      <c r="Q446" s="85"/>
      <c r="R446" s="85"/>
      <c r="S446" s="86"/>
      <c r="T446" s="86"/>
      <c r="U446" s="86"/>
      <c r="V446" s="86"/>
      <c r="W446" s="114"/>
      <c r="X446" s="85"/>
      <c r="Y446" s="85"/>
    </row>
    <row r="447" spans="1:25" s="271" customFormat="1" ht="15.75" customHeight="1" x14ac:dyDescent="0.3">
      <c r="A447" s="356"/>
      <c r="B447" s="357" t="s">
        <v>143</v>
      </c>
      <c r="C447" s="220"/>
      <c r="D447" s="220"/>
      <c r="E447" s="220"/>
      <c r="F447" s="220"/>
      <c r="G447" s="220"/>
      <c r="H447" s="220"/>
      <c r="I447" s="220"/>
      <c r="J447" s="220"/>
      <c r="K447" s="115"/>
      <c r="L447" s="115"/>
      <c r="M447" s="85"/>
      <c r="N447" s="85"/>
      <c r="O447" s="85"/>
      <c r="P447" s="113"/>
      <c r="Q447" s="85"/>
      <c r="R447" s="85"/>
      <c r="S447" s="85"/>
      <c r="T447" s="85"/>
      <c r="U447" s="85"/>
      <c r="V447" s="85"/>
      <c r="W447" s="115"/>
      <c r="X447" s="85"/>
      <c r="Y447" s="85"/>
    </row>
    <row r="448" spans="1:25" s="2" customFormat="1" ht="15" customHeight="1" x14ac:dyDescent="0.25">
      <c r="A448" s="53"/>
      <c r="B448" s="92" t="s">
        <v>144</v>
      </c>
      <c r="C448" s="122"/>
      <c r="D448" s="227"/>
      <c r="E448" s="227"/>
      <c r="F448" s="227"/>
      <c r="G448" s="227"/>
      <c r="H448" s="227"/>
      <c r="I448" s="227"/>
      <c r="J448" s="227"/>
      <c r="K448" s="122"/>
      <c r="L448" s="122"/>
      <c r="M448" s="125"/>
      <c r="N448" s="125"/>
      <c r="O448" s="125"/>
      <c r="P448" s="126"/>
      <c r="Q448" s="125"/>
      <c r="R448" s="125"/>
      <c r="S448" s="272"/>
      <c r="T448" s="272"/>
      <c r="U448" s="272"/>
      <c r="V448" s="272"/>
      <c r="W448" s="273"/>
      <c r="X448" s="125"/>
      <c r="Y448" s="125"/>
    </row>
    <row r="449" spans="1:25" s="2" customFormat="1" ht="15" customHeight="1" x14ac:dyDescent="0.25">
      <c r="A449" s="53"/>
      <c r="B449" s="92" t="s">
        <v>145</v>
      </c>
      <c r="C449" s="122"/>
      <c r="D449" s="227"/>
      <c r="E449" s="227"/>
      <c r="F449" s="227"/>
      <c r="G449" s="227"/>
      <c r="H449" s="227"/>
      <c r="I449" s="227"/>
      <c r="J449" s="227"/>
      <c r="K449" s="122"/>
      <c r="L449" s="122"/>
      <c r="M449" s="125"/>
      <c r="N449" s="125"/>
      <c r="O449" s="125"/>
      <c r="P449" s="126"/>
      <c r="Q449" s="125"/>
      <c r="R449" s="125"/>
      <c r="S449" s="272"/>
      <c r="T449" s="272"/>
      <c r="U449" s="272"/>
      <c r="V449" s="272"/>
      <c r="W449" s="273"/>
      <c r="X449" s="125"/>
      <c r="Y449" s="125"/>
    </row>
    <row r="450" spans="1:25" s="2" customFormat="1" ht="15" customHeight="1" x14ac:dyDescent="0.25">
      <c r="A450" s="53"/>
      <c r="B450" s="92" t="s">
        <v>146</v>
      </c>
      <c r="C450" s="122"/>
      <c r="D450" s="227"/>
      <c r="E450" s="227"/>
      <c r="F450" s="227"/>
      <c r="G450" s="227"/>
      <c r="H450" s="227"/>
      <c r="I450" s="227"/>
      <c r="J450" s="227"/>
      <c r="K450" s="122"/>
      <c r="L450" s="122"/>
      <c r="M450" s="125"/>
      <c r="N450" s="125"/>
      <c r="O450" s="125"/>
      <c r="P450" s="126"/>
      <c r="Q450" s="125"/>
      <c r="R450" s="125"/>
      <c r="S450" s="272"/>
      <c r="T450" s="272"/>
      <c r="U450" s="272"/>
      <c r="V450" s="272"/>
      <c r="W450" s="273"/>
      <c r="X450" s="125"/>
      <c r="Y450" s="125"/>
    </row>
    <row r="451" spans="1:25" s="2" customFormat="1" ht="15" customHeight="1" x14ac:dyDescent="0.25">
      <c r="A451" s="53"/>
      <c r="B451" s="92" t="s">
        <v>147</v>
      </c>
      <c r="C451" s="122"/>
      <c r="D451" s="227"/>
      <c r="E451" s="227"/>
      <c r="F451" s="227"/>
      <c r="G451" s="227"/>
      <c r="H451" s="227"/>
      <c r="I451" s="227"/>
      <c r="J451" s="227"/>
      <c r="K451" s="122"/>
      <c r="L451" s="122"/>
      <c r="M451" s="125"/>
      <c r="N451" s="125"/>
      <c r="O451" s="125"/>
      <c r="P451" s="126"/>
      <c r="Q451" s="125"/>
      <c r="R451" s="125"/>
      <c r="S451" s="272"/>
      <c r="T451" s="272"/>
      <c r="U451" s="272"/>
      <c r="V451" s="272"/>
      <c r="W451" s="273"/>
      <c r="X451" s="125"/>
      <c r="Y451" s="125"/>
    </row>
    <row r="452" spans="1:25" s="2" customFormat="1" ht="15" customHeight="1" x14ac:dyDescent="0.25">
      <c r="A452" s="53"/>
      <c r="B452" s="92" t="s">
        <v>148</v>
      </c>
      <c r="C452" s="122"/>
      <c r="D452" s="227"/>
      <c r="E452" s="227"/>
      <c r="F452" s="227"/>
      <c r="G452" s="227"/>
      <c r="H452" s="227"/>
      <c r="I452" s="227"/>
      <c r="J452" s="227"/>
      <c r="K452" s="122"/>
      <c r="L452" s="122"/>
      <c r="M452" s="125"/>
      <c r="N452" s="125"/>
      <c r="O452" s="125"/>
      <c r="P452" s="126"/>
      <c r="Q452" s="125"/>
      <c r="R452" s="125"/>
      <c r="S452" s="272"/>
      <c r="T452" s="272"/>
      <c r="U452" s="272"/>
      <c r="V452" s="272"/>
      <c r="W452" s="273"/>
      <c r="X452" s="125"/>
      <c r="Y452" s="125"/>
    </row>
    <row r="453" spans="1:25" s="2" customFormat="1" ht="15" customHeight="1" x14ac:dyDescent="0.25">
      <c r="A453" s="53"/>
      <c r="B453" s="92" t="s">
        <v>149</v>
      </c>
      <c r="C453" s="122"/>
      <c r="D453" s="227"/>
      <c r="E453" s="227"/>
      <c r="F453" s="227"/>
      <c r="G453" s="227"/>
      <c r="H453" s="227"/>
      <c r="I453" s="227"/>
      <c r="J453" s="227"/>
      <c r="K453" s="122"/>
      <c r="L453" s="122"/>
      <c r="M453" s="125"/>
      <c r="N453" s="125"/>
      <c r="O453" s="125"/>
      <c r="P453" s="126"/>
      <c r="Q453" s="125"/>
      <c r="R453" s="125"/>
      <c r="S453" s="272"/>
      <c r="T453" s="272"/>
      <c r="U453" s="272"/>
      <c r="V453" s="272"/>
      <c r="W453" s="273"/>
      <c r="X453" s="125"/>
      <c r="Y453" s="125"/>
    </row>
    <row r="454" spans="1:25" s="2" customFormat="1" ht="15" customHeight="1" x14ac:dyDescent="0.25">
      <c r="A454" s="53"/>
      <c r="B454" s="92"/>
      <c r="C454" s="227"/>
      <c r="D454" s="227"/>
      <c r="E454" s="227"/>
      <c r="F454" s="227"/>
      <c r="G454" s="227"/>
      <c r="H454" s="227"/>
      <c r="I454" s="221"/>
      <c r="J454" s="222"/>
      <c r="K454" s="163"/>
      <c r="L454" s="163"/>
      <c r="M454" s="166"/>
      <c r="N454" s="166"/>
      <c r="O454" s="166"/>
      <c r="P454" s="247"/>
      <c r="Q454" s="166"/>
      <c r="R454" s="166"/>
      <c r="S454" s="193"/>
      <c r="T454" s="193"/>
      <c r="U454" s="193"/>
      <c r="V454" s="193"/>
      <c r="W454" s="248"/>
      <c r="X454" s="166"/>
      <c r="Y454" s="166"/>
    </row>
    <row r="455" spans="1:25" s="2" customFormat="1" ht="15.75" customHeight="1" x14ac:dyDescent="0.3">
      <c r="A455" s="35"/>
      <c r="B455" s="116" t="s">
        <v>280</v>
      </c>
      <c r="C455" s="208"/>
      <c r="D455" s="208"/>
      <c r="E455" s="208"/>
      <c r="F455" s="208"/>
      <c r="G455" s="208"/>
      <c r="H455" s="208"/>
      <c r="I455" s="208"/>
      <c r="J455" s="208"/>
      <c r="K455" s="65"/>
      <c r="L455" s="65"/>
      <c r="M455" s="66"/>
      <c r="N455" s="66"/>
      <c r="O455" s="66">
        <v>4200</v>
      </c>
      <c r="P455" s="68">
        <v>4500</v>
      </c>
      <c r="Q455" s="66">
        <v>4900</v>
      </c>
      <c r="R455" s="66">
        <f>5800-2000</f>
        <v>3800</v>
      </c>
      <c r="S455" s="66">
        <v>8100</v>
      </c>
      <c r="T455" s="66">
        <v>16400</v>
      </c>
      <c r="U455" s="66">
        <v>8500</v>
      </c>
      <c r="V455" s="66">
        <v>4800</v>
      </c>
      <c r="W455" s="65">
        <v>6000</v>
      </c>
      <c r="X455" s="66">
        <v>6400</v>
      </c>
      <c r="Y455" s="66">
        <v>6000</v>
      </c>
    </row>
    <row r="456" spans="1:25" s="2" customFormat="1" ht="15.75" customHeight="1" x14ac:dyDescent="0.3">
      <c r="A456" s="69"/>
      <c r="B456" s="70"/>
      <c r="C456" s="115"/>
      <c r="D456" s="115"/>
      <c r="E456" s="115"/>
      <c r="F456" s="352"/>
      <c r="G456" s="89"/>
      <c r="H456" s="205"/>
      <c r="I456" s="299"/>
      <c r="J456" s="347"/>
      <c r="K456" s="163"/>
      <c r="L456" s="98"/>
      <c r="M456" s="166"/>
      <c r="N456" s="166"/>
      <c r="O456" s="166"/>
      <c r="P456" s="280"/>
      <c r="Q456" s="278"/>
      <c r="R456" s="278"/>
      <c r="S456" s="279"/>
      <c r="T456" s="279"/>
      <c r="U456" s="279"/>
      <c r="V456" s="279"/>
      <c r="W456" s="281"/>
      <c r="X456" s="278"/>
      <c r="Y456" s="278"/>
    </row>
    <row r="457" spans="1:25" s="2" customFormat="1" ht="15.75" customHeight="1" x14ac:dyDescent="0.3">
      <c r="A457" s="69"/>
      <c r="B457" s="92" t="s">
        <v>152</v>
      </c>
      <c r="C457" s="122"/>
      <c r="D457" s="227"/>
      <c r="E457" s="227"/>
      <c r="F457" s="227"/>
      <c r="G457" s="227"/>
      <c r="H457" s="227"/>
      <c r="I457" s="227"/>
      <c r="J457" s="227"/>
      <c r="K457" s="122"/>
      <c r="L457" s="115"/>
      <c r="M457" s="85"/>
      <c r="N457" s="85"/>
      <c r="O457" s="85"/>
      <c r="P457" s="358"/>
      <c r="Q457" s="359"/>
      <c r="R457" s="359"/>
      <c r="S457" s="360"/>
      <c r="T457" s="360"/>
      <c r="U457" s="360"/>
      <c r="V457" s="360"/>
      <c r="W457" s="361"/>
      <c r="X457" s="359"/>
      <c r="Y457" s="359"/>
    </row>
    <row r="458" spans="1:25" s="2" customFormat="1" ht="15.75" customHeight="1" x14ac:dyDescent="0.3">
      <c r="A458" s="69"/>
      <c r="B458" s="92" t="s">
        <v>153</v>
      </c>
      <c r="C458" s="122"/>
      <c r="D458" s="227"/>
      <c r="E458" s="227"/>
      <c r="F458" s="227"/>
      <c r="G458" s="227"/>
      <c r="H458" s="227"/>
      <c r="I458" s="227"/>
      <c r="J458" s="227"/>
      <c r="K458" s="122"/>
      <c r="L458" s="115"/>
      <c r="M458" s="85"/>
      <c r="N458" s="85"/>
      <c r="O458" s="85"/>
      <c r="P458" s="113"/>
      <c r="Q458" s="85"/>
      <c r="R458" s="85"/>
      <c r="S458" s="85"/>
      <c r="T458" s="85"/>
      <c r="U458" s="85"/>
      <c r="V458" s="85"/>
      <c r="W458" s="115"/>
      <c r="X458" s="85"/>
      <c r="Y458" s="85"/>
    </row>
    <row r="459" spans="1:25" s="2" customFormat="1" ht="15" customHeight="1" x14ac:dyDescent="0.3">
      <c r="A459" s="53"/>
      <c r="B459" s="92" t="s">
        <v>154</v>
      </c>
      <c r="C459" s="122"/>
      <c r="D459" s="227"/>
      <c r="E459" s="227"/>
      <c r="F459" s="227"/>
      <c r="G459" s="227"/>
      <c r="H459" s="227"/>
      <c r="I459" s="227"/>
      <c r="J459" s="227"/>
      <c r="K459" s="122"/>
      <c r="L459" s="115"/>
      <c r="M459" s="85"/>
      <c r="N459" s="85"/>
      <c r="O459" s="85"/>
      <c r="P459" s="113"/>
      <c r="Q459" s="85"/>
      <c r="R459" s="85"/>
      <c r="S459" s="86"/>
      <c r="T459" s="86"/>
      <c r="U459" s="86"/>
      <c r="V459" s="86"/>
      <c r="W459" s="114"/>
      <c r="X459" s="85"/>
      <c r="Y459" s="85"/>
    </row>
    <row r="460" spans="1:25" s="2" customFormat="1" ht="15" customHeight="1" x14ac:dyDescent="0.3">
      <c r="A460" s="53"/>
      <c r="B460" s="92" t="s">
        <v>155</v>
      </c>
      <c r="C460" s="122"/>
      <c r="D460" s="227"/>
      <c r="E460" s="227"/>
      <c r="F460" s="227"/>
      <c r="G460" s="227"/>
      <c r="H460" s="227"/>
      <c r="I460" s="227"/>
      <c r="J460" s="227"/>
      <c r="K460" s="122"/>
      <c r="L460" s="115"/>
      <c r="M460" s="85"/>
      <c r="N460" s="85"/>
      <c r="O460" s="85"/>
      <c r="P460" s="113"/>
      <c r="Q460" s="85"/>
      <c r="R460" s="85"/>
      <c r="S460" s="86"/>
      <c r="T460" s="86"/>
      <c r="U460" s="86"/>
      <c r="V460" s="86"/>
      <c r="W460" s="114"/>
      <c r="X460" s="85"/>
      <c r="Y460" s="85"/>
    </row>
    <row r="461" spans="1:25" s="2" customFormat="1" ht="15" customHeight="1" x14ac:dyDescent="0.3">
      <c r="A461" s="53"/>
      <c r="B461" s="92" t="s">
        <v>156</v>
      </c>
      <c r="C461" s="122"/>
      <c r="D461" s="227"/>
      <c r="E461" s="227"/>
      <c r="F461" s="227"/>
      <c r="G461" s="227"/>
      <c r="H461" s="227"/>
      <c r="I461" s="227"/>
      <c r="J461" s="227"/>
      <c r="K461" s="122"/>
      <c r="L461" s="115"/>
      <c r="M461" s="85"/>
      <c r="N461" s="85"/>
      <c r="O461" s="85"/>
      <c r="P461" s="113"/>
      <c r="Q461" s="85"/>
      <c r="R461" s="85"/>
      <c r="S461" s="86"/>
      <c r="T461" s="86"/>
      <c r="U461" s="86"/>
      <c r="V461" s="86"/>
      <c r="W461" s="114"/>
      <c r="X461" s="85"/>
      <c r="Y461" s="85"/>
    </row>
    <row r="462" spans="1:25" s="2" customFormat="1" ht="15" customHeight="1" x14ac:dyDescent="0.3">
      <c r="A462" s="53"/>
      <c r="B462" s="92" t="s">
        <v>157</v>
      </c>
      <c r="C462" s="122"/>
      <c r="D462" s="227"/>
      <c r="E462" s="227"/>
      <c r="F462" s="227"/>
      <c r="G462" s="227"/>
      <c r="H462" s="227"/>
      <c r="I462" s="227"/>
      <c r="J462" s="227"/>
      <c r="K462" s="122"/>
      <c r="L462" s="115"/>
      <c r="M462" s="85"/>
      <c r="N462" s="85"/>
      <c r="O462" s="85"/>
      <c r="P462" s="113"/>
      <c r="Q462" s="85"/>
      <c r="R462" s="85"/>
      <c r="S462" s="86"/>
      <c r="T462" s="86"/>
      <c r="U462" s="86"/>
      <c r="V462" s="86"/>
      <c r="W462" s="114"/>
      <c r="X462" s="85"/>
      <c r="Y462" s="85"/>
    </row>
    <row r="463" spans="1:25" s="2" customFormat="1" ht="15" customHeight="1" x14ac:dyDescent="0.3">
      <c r="A463" s="53"/>
      <c r="B463" s="92" t="s">
        <v>158</v>
      </c>
      <c r="C463" s="122"/>
      <c r="D463" s="227"/>
      <c r="E463" s="227"/>
      <c r="F463" s="227"/>
      <c r="G463" s="227"/>
      <c r="H463" s="227"/>
      <c r="I463" s="227"/>
      <c r="J463" s="227"/>
      <c r="K463" s="122"/>
      <c r="L463" s="115"/>
      <c r="M463" s="85"/>
      <c r="N463" s="85"/>
      <c r="O463" s="85"/>
      <c r="P463" s="113"/>
      <c r="Q463" s="85"/>
      <c r="R463" s="85"/>
      <c r="S463" s="86"/>
      <c r="T463" s="86"/>
      <c r="U463" s="86"/>
      <c r="V463" s="86"/>
      <c r="W463" s="114"/>
      <c r="X463" s="85"/>
      <c r="Y463" s="85"/>
    </row>
    <row r="464" spans="1:25" s="2" customFormat="1" ht="15" customHeight="1" x14ac:dyDescent="0.3">
      <c r="A464" s="53"/>
      <c r="B464" s="92" t="s">
        <v>159</v>
      </c>
      <c r="C464" s="122"/>
      <c r="D464" s="227"/>
      <c r="E464" s="227"/>
      <c r="F464" s="227"/>
      <c r="G464" s="227"/>
      <c r="H464" s="227"/>
      <c r="I464" s="227"/>
      <c r="J464" s="227"/>
      <c r="K464" s="122"/>
      <c r="L464" s="115"/>
      <c r="M464" s="85"/>
      <c r="N464" s="85"/>
      <c r="O464" s="85"/>
      <c r="P464" s="113"/>
      <c r="Q464" s="85"/>
      <c r="R464" s="85"/>
      <c r="S464" s="86"/>
      <c r="T464" s="86"/>
      <c r="U464" s="86"/>
      <c r="V464" s="86"/>
      <c r="W464" s="114"/>
      <c r="X464" s="85"/>
      <c r="Y464" s="85"/>
    </row>
    <row r="465" spans="1:25" s="2" customFormat="1" ht="15" customHeight="1" x14ac:dyDescent="0.3">
      <c r="A465" s="53"/>
      <c r="B465" s="92" t="s">
        <v>160</v>
      </c>
      <c r="C465" s="122"/>
      <c r="D465" s="227"/>
      <c r="E465" s="227"/>
      <c r="F465" s="227"/>
      <c r="G465" s="227"/>
      <c r="H465" s="227"/>
      <c r="I465" s="227"/>
      <c r="J465" s="227"/>
      <c r="K465" s="122"/>
      <c r="L465" s="115"/>
      <c r="M465" s="85"/>
      <c r="N465" s="85"/>
      <c r="O465" s="85"/>
      <c r="P465" s="113"/>
      <c r="Q465" s="85"/>
      <c r="R465" s="85"/>
      <c r="S465" s="86"/>
      <c r="T465" s="86"/>
      <c r="U465" s="86"/>
      <c r="V465" s="86"/>
      <c r="W465" s="114"/>
      <c r="X465" s="85"/>
      <c r="Y465" s="85"/>
    </row>
    <row r="466" spans="1:25" s="2" customFormat="1" ht="15" customHeight="1" x14ac:dyDescent="0.3">
      <c r="A466" s="53"/>
      <c r="B466" s="92" t="s">
        <v>161</v>
      </c>
      <c r="C466" s="122"/>
      <c r="D466" s="227"/>
      <c r="E466" s="227"/>
      <c r="F466" s="227"/>
      <c r="G466" s="227"/>
      <c r="H466" s="227"/>
      <c r="I466" s="227"/>
      <c r="J466" s="227"/>
      <c r="K466" s="122"/>
      <c r="L466" s="115"/>
      <c r="M466" s="85"/>
      <c r="N466" s="85"/>
      <c r="O466" s="85"/>
      <c r="P466" s="113"/>
      <c r="Q466" s="85"/>
      <c r="R466" s="85"/>
      <c r="S466" s="86"/>
      <c r="T466" s="86"/>
      <c r="U466" s="86"/>
      <c r="V466" s="86"/>
      <c r="W466" s="114"/>
      <c r="X466" s="85"/>
      <c r="Y466" s="85"/>
    </row>
    <row r="467" spans="1:25" s="2" customFormat="1" ht="15" customHeight="1" x14ac:dyDescent="0.3">
      <c r="A467" s="53"/>
      <c r="B467" s="92" t="s">
        <v>162</v>
      </c>
      <c r="C467" s="122"/>
      <c r="D467" s="227"/>
      <c r="E467" s="227"/>
      <c r="F467" s="227"/>
      <c r="G467" s="227"/>
      <c r="H467" s="227"/>
      <c r="I467" s="227"/>
      <c r="J467" s="227"/>
      <c r="K467" s="122"/>
      <c r="L467" s="115"/>
      <c r="M467" s="85"/>
      <c r="N467" s="85"/>
      <c r="O467" s="85"/>
      <c r="P467" s="113"/>
      <c r="Q467" s="85"/>
      <c r="R467" s="85"/>
      <c r="S467" s="86"/>
      <c r="T467" s="86"/>
      <c r="U467" s="86"/>
      <c r="V467" s="86"/>
      <c r="W467" s="114"/>
      <c r="X467" s="85"/>
      <c r="Y467" s="85"/>
    </row>
    <row r="468" spans="1:25" s="2" customFormat="1" ht="15" customHeight="1" x14ac:dyDescent="0.3">
      <c r="A468" s="53"/>
      <c r="B468" s="92" t="s">
        <v>163</v>
      </c>
      <c r="C468" s="122"/>
      <c r="D468" s="227"/>
      <c r="E468" s="227"/>
      <c r="F468" s="227"/>
      <c r="G468" s="227"/>
      <c r="H468" s="227"/>
      <c r="I468" s="227"/>
      <c r="J468" s="227"/>
      <c r="K468" s="122"/>
      <c r="L468" s="115"/>
      <c r="M468" s="85"/>
      <c r="N468" s="85"/>
      <c r="O468" s="85"/>
      <c r="P468" s="113"/>
      <c r="Q468" s="85"/>
      <c r="R468" s="85"/>
      <c r="S468" s="86"/>
      <c r="T468" s="86"/>
      <c r="U468" s="86"/>
      <c r="V468" s="86"/>
      <c r="W468" s="114"/>
      <c r="X468" s="85"/>
      <c r="Y468" s="85"/>
    </row>
    <row r="469" spans="1:25" s="2" customFormat="1" ht="15" customHeight="1" x14ac:dyDescent="0.3">
      <c r="A469" s="53"/>
      <c r="B469" s="92" t="s">
        <v>164</v>
      </c>
      <c r="C469" s="122"/>
      <c r="D469" s="227"/>
      <c r="E469" s="227"/>
      <c r="F469" s="227"/>
      <c r="G469" s="227"/>
      <c r="H469" s="227"/>
      <c r="I469" s="227"/>
      <c r="J469" s="227"/>
      <c r="K469" s="122"/>
      <c r="L469" s="115"/>
      <c r="M469" s="85"/>
      <c r="N469" s="85"/>
      <c r="O469" s="85"/>
      <c r="P469" s="113"/>
      <c r="Q469" s="85"/>
      <c r="R469" s="85"/>
      <c r="S469" s="86"/>
      <c r="T469" s="86"/>
      <c r="U469" s="86"/>
      <c r="V469" s="86"/>
      <c r="W469" s="114"/>
      <c r="X469" s="85"/>
      <c r="Y469" s="85"/>
    </row>
    <row r="470" spans="1:25" s="2" customFormat="1" ht="15.75" customHeight="1" x14ac:dyDescent="0.3">
      <c r="A470" s="53"/>
      <c r="B470" s="362" t="s">
        <v>3</v>
      </c>
      <c r="C470" s="227"/>
      <c r="D470" s="227"/>
      <c r="E470" s="227"/>
      <c r="F470" s="227"/>
      <c r="G470" s="227"/>
      <c r="H470" s="227"/>
      <c r="I470" s="227"/>
      <c r="J470" s="227"/>
      <c r="K470" s="122"/>
      <c r="L470" s="163"/>
      <c r="M470" s="166"/>
      <c r="N470" s="166"/>
      <c r="O470" s="166"/>
      <c r="P470" s="247"/>
      <c r="Q470" s="166"/>
      <c r="R470" s="166"/>
      <c r="S470" s="193"/>
      <c r="T470" s="193"/>
      <c r="U470" s="193"/>
      <c r="V470" s="193"/>
      <c r="W470" s="248"/>
      <c r="X470" s="166"/>
      <c r="Y470" s="166"/>
    </row>
    <row r="471" spans="1:25" s="2" customFormat="1" ht="15.75" customHeight="1" x14ac:dyDescent="0.3">
      <c r="A471" s="35"/>
      <c r="B471" s="116" t="s">
        <v>281</v>
      </c>
      <c r="C471" s="208"/>
      <c r="D471" s="208"/>
      <c r="E471" s="208"/>
      <c r="F471" s="208"/>
      <c r="G471" s="208"/>
      <c r="H471" s="208"/>
      <c r="I471" s="208"/>
      <c r="J471" s="208"/>
      <c r="K471" s="65"/>
      <c r="L471" s="65"/>
      <c r="M471" s="66"/>
      <c r="N471" s="66"/>
      <c r="O471" s="66">
        <f>14800-3200</f>
        <v>11600</v>
      </c>
      <c r="P471" s="68">
        <v>14600</v>
      </c>
      <c r="Q471" s="65">
        <v>13200</v>
      </c>
      <c r="R471" s="65">
        <v>13800</v>
      </c>
      <c r="S471" s="65">
        <v>10800</v>
      </c>
      <c r="T471" s="65">
        <v>9400</v>
      </c>
      <c r="U471" s="65">
        <v>13600</v>
      </c>
      <c r="V471" s="66">
        <v>14000</v>
      </c>
      <c r="W471" s="65">
        <v>10200</v>
      </c>
      <c r="X471" s="66">
        <v>3000</v>
      </c>
      <c r="Y471" s="66">
        <v>3500</v>
      </c>
    </row>
    <row r="472" spans="1:25" s="2" customFormat="1" ht="15.75" customHeight="1" x14ac:dyDescent="0.3">
      <c r="A472" s="69"/>
      <c r="B472" s="70"/>
      <c r="C472" s="65"/>
      <c r="D472" s="115"/>
      <c r="E472" s="115"/>
      <c r="F472" s="352"/>
      <c r="G472" s="89"/>
      <c r="H472" s="205"/>
      <c r="I472" s="299"/>
      <c r="J472" s="347"/>
      <c r="K472" s="163"/>
      <c r="L472" s="363"/>
      <c r="M472" s="278"/>
      <c r="N472" s="278"/>
      <c r="O472" s="278"/>
      <c r="P472" s="280"/>
      <c r="Q472" s="278"/>
      <c r="R472" s="278"/>
      <c r="S472" s="279"/>
      <c r="T472" s="279"/>
      <c r="U472" s="279"/>
      <c r="V472" s="279"/>
      <c r="W472" s="281"/>
      <c r="X472" s="278"/>
      <c r="Y472" s="278"/>
    </row>
    <row r="473" spans="1:25" s="271" customFormat="1" ht="15.75" customHeight="1" x14ac:dyDescent="0.3">
      <c r="A473" s="356"/>
      <c r="B473" s="249" t="s">
        <v>167</v>
      </c>
      <c r="C473" s="220"/>
      <c r="D473" s="220"/>
      <c r="E473" s="220"/>
      <c r="F473" s="220"/>
      <c r="G473" s="220"/>
      <c r="H473" s="220"/>
      <c r="I473" s="220"/>
      <c r="J473" s="220"/>
      <c r="K473" s="115"/>
      <c r="L473" s="364"/>
      <c r="M473" s="359"/>
      <c r="N473" s="359"/>
      <c r="O473" s="359"/>
      <c r="P473" s="358"/>
      <c r="Q473" s="359"/>
      <c r="R473" s="359"/>
      <c r="S473" s="360"/>
      <c r="T473" s="360"/>
      <c r="U473" s="360"/>
      <c r="V473" s="360"/>
      <c r="W473" s="361"/>
      <c r="X473" s="359"/>
      <c r="Y473" s="359"/>
    </row>
    <row r="474" spans="1:25" s="271" customFormat="1" ht="15.75" customHeight="1" x14ac:dyDescent="0.3">
      <c r="A474" s="356"/>
      <c r="B474" s="249" t="s">
        <v>168</v>
      </c>
      <c r="C474" s="115"/>
      <c r="D474" s="220"/>
      <c r="E474" s="220"/>
      <c r="F474" s="220"/>
      <c r="G474" s="220"/>
      <c r="H474" s="220"/>
      <c r="I474" s="220"/>
      <c r="J474" s="220"/>
      <c r="K474" s="115"/>
      <c r="L474" s="115"/>
      <c r="M474" s="85"/>
      <c r="N474" s="85"/>
      <c r="O474" s="85"/>
      <c r="P474" s="113"/>
      <c r="Q474" s="85"/>
      <c r="R474" s="85"/>
      <c r="S474" s="85"/>
      <c r="T474" s="85"/>
      <c r="U474" s="85"/>
      <c r="V474" s="85"/>
      <c r="W474" s="115"/>
      <c r="X474" s="85"/>
      <c r="Y474" s="85"/>
    </row>
    <row r="475" spans="1:25" s="2" customFormat="1" ht="15" customHeight="1" x14ac:dyDescent="0.25">
      <c r="A475" s="53"/>
      <c r="B475" s="92" t="s">
        <v>169</v>
      </c>
      <c r="C475" s="227"/>
      <c r="D475" s="227"/>
      <c r="E475" s="227"/>
      <c r="F475" s="227"/>
      <c r="G475" s="227"/>
      <c r="H475" s="227"/>
      <c r="I475" s="227"/>
      <c r="J475" s="227"/>
      <c r="K475" s="122"/>
      <c r="L475" s="305"/>
      <c r="M475" s="306"/>
      <c r="N475" s="306"/>
      <c r="O475" s="306"/>
      <c r="P475" s="308"/>
      <c r="Q475" s="306"/>
      <c r="R475" s="306"/>
      <c r="S475" s="307"/>
      <c r="T475" s="307"/>
      <c r="U475" s="307"/>
      <c r="V475" s="307"/>
      <c r="W475" s="309"/>
      <c r="X475" s="306"/>
      <c r="Y475" s="306"/>
    </row>
    <row r="476" spans="1:25" s="2" customFormat="1" ht="15" customHeight="1" x14ac:dyDescent="0.25">
      <c r="A476" s="53"/>
      <c r="B476" s="92" t="s">
        <v>170</v>
      </c>
      <c r="C476" s="227"/>
      <c r="D476" s="227"/>
      <c r="E476" s="227"/>
      <c r="F476" s="227"/>
      <c r="G476" s="227"/>
      <c r="H476" s="227"/>
      <c r="I476" s="227"/>
      <c r="J476" s="227"/>
      <c r="K476" s="122"/>
      <c r="L476" s="305"/>
      <c r="M476" s="306"/>
      <c r="N476" s="306"/>
      <c r="O476" s="306"/>
      <c r="P476" s="308"/>
      <c r="Q476" s="306"/>
      <c r="R476" s="306"/>
      <c r="S476" s="307"/>
      <c r="T476" s="307"/>
      <c r="U476" s="307"/>
      <c r="V476" s="307"/>
      <c r="W476" s="309"/>
      <c r="X476" s="306"/>
      <c r="Y476" s="306"/>
    </row>
    <row r="477" spans="1:25" s="2" customFormat="1" ht="15" customHeight="1" x14ac:dyDescent="0.25">
      <c r="A477" s="53"/>
      <c r="B477" s="92" t="s">
        <v>171</v>
      </c>
      <c r="C477" s="227"/>
      <c r="D477" s="227"/>
      <c r="E477" s="227"/>
      <c r="F477" s="227"/>
      <c r="G477" s="227"/>
      <c r="H477" s="227"/>
      <c r="I477" s="227"/>
      <c r="J477" s="227"/>
      <c r="K477" s="122"/>
      <c r="L477" s="305"/>
      <c r="M477" s="306"/>
      <c r="N477" s="306"/>
      <c r="O477" s="306"/>
      <c r="P477" s="308"/>
      <c r="Q477" s="306"/>
      <c r="R477" s="306"/>
      <c r="S477" s="307"/>
      <c r="T477" s="307"/>
      <c r="U477" s="307"/>
      <c r="V477" s="307"/>
      <c r="W477" s="309"/>
      <c r="X477" s="306"/>
      <c r="Y477" s="306"/>
    </row>
    <row r="478" spans="1:25" s="2" customFormat="1" ht="15" customHeight="1" x14ac:dyDescent="0.25">
      <c r="A478" s="53"/>
      <c r="B478" s="92" t="s">
        <v>172</v>
      </c>
      <c r="C478" s="227"/>
      <c r="D478" s="227"/>
      <c r="E478" s="227"/>
      <c r="F478" s="227"/>
      <c r="G478" s="227"/>
      <c r="H478" s="227"/>
      <c r="I478" s="227"/>
      <c r="J478" s="227"/>
      <c r="K478" s="122"/>
      <c r="L478" s="305"/>
      <c r="M478" s="306"/>
      <c r="N478" s="306"/>
      <c r="O478" s="306"/>
      <c r="P478" s="308"/>
      <c r="Q478" s="306"/>
      <c r="R478" s="306"/>
      <c r="S478" s="307"/>
      <c r="T478" s="307"/>
      <c r="U478" s="307"/>
      <c r="V478" s="307"/>
      <c r="W478" s="309"/>
      <c r="X478" s="306"/>
      <c r="Y478" s="306"/>
    </row>
    <row r="479" spans="1:25" s="2" customFormat="1" ht="15" customHeight="1" x14ac:dyDescent="0.25">
      <c r="A479" s="53"/>
      <c r="B479" s="92" t="s">
        <v>173</v>
      </c>
      <c r="C479" s="227"/>
      <c r="D479" s="227"/>
      <c r="E479" s="227"/>
      <c r="F479" s="227"/>
      <c r="G479" s="227"/>
      <c r="H479" s="227"/>
      <c r="I479" s="227"/>
      <c r="J479" s="227"/>
      <c r="K479" s="122"/>
      <c r="L479" s="305"/>
      <c r="M479" s="306"/>
      <c r="N479" s="306"/>
      <c r="O479" s="306"/>
      <c r="P479" s="308"/>
      <c r="Q479" s="306"/>
      <c r="R479" s="306"/>
      <c r="S479" s="307"/>
      <c r="T479" s="307"/>
      <c r="U479" s="307"/>
      <c r="V479" s="307"/>
      <c r="W479" s="309"/>
      <c r="X479" s="306"/>
      <c r="Y479" s="306"/>
    </row>
    <row r="480" spans="1:25" s="2" customFormat="1" ht="15" customHeight="1" x14ac:dyDescent="0.25">
      <c r="A480" s="53"/>
      <c r="B480" s="92" t="s">
        <v>174</v>
      </c>
      <c r="C480" s="227"/>
      <c r="D480" s="227"/>
      <c r="E480" s="227"/>
      <c r="F480" s="227"/>
      <c r="G480" s="227"/>
      <c r="H480" s="227"/>
      <c r="I480" s="227"/>
      <c r="J480" s="227"/>
      <c r="K480" s="122"/>
      <c r="L480" s="305"/>
      <c r="M480" s="306"/>
      <c r="N480" s="306"/>
      <c r="O480" s="306"/>
      <c r="P480" s="308"/>
      <c r="Q480" s="306"/>
      <c r="R480" s="306"/>
      <c r="S480" s="307"/>
      <c r="T480" s="307"/>
      <c r="U480" s="307"/>
      <c r="V480" s="307"/>
      <c r="W480" s="309"/>
      <c r="X480" s="306"/>
      <c r="Y480" s="306"/>
    </row>
    <row r="481" spans="1:25" s="2" customFormat="1" ht="15" customHeight="1" x14ac:dyDescent="0.25">
      <c r="A481" s="53"/>
      <c r="B481" s="92" t="s">
        <v>175</v>
      </c>
      <c r="C481" s="227"/>
      <c r="D481" s="227"/>
      <c r="E481" s="227"/>
      <c r="F481" s="227"/>
      <c r="G481" s="227"/>
      <c r="H481" s="227"/>
      <c r="I481" s="227"/>
      <c r="J481" s="227"/>
      <c r="K481" s="122"/>
      <c r="L481" s="305"/>
      <c r="M481" s="306"/>
      <c r="N481" s="306"/>
      <c r="O481" s="306"/>
      <c r="P481" s="308"/>
      <c r="Q481" s="306"/>
      <c r="R481" s="306"/>
      <c r="S481" s="307"/>
      <c r="T481" s="307"/>
      <c r="U481" s="307"/>
      <c r="V481" s="307"/>
      <c r="W481" s="309"/>
      <c r="X481" s="306"/>
      <c r="Y481" s="306"/>
    </row>
    <row r="482" spans="1:25" s="2" customFormat="1" ht="15" customHeight="1" x14ac:dyDescent="0.25">
      <c r="A482" s="53"/>
      <c r="B482" s="92" t="s">
        <v>176</v>
      </c>
      <c r="C482" s="227"/>
      <c r="D482" s="227"/>
      <c r="E482" s="227"/>
      <c r="F482" s="227"/>
      <c r="G482" s="227"/>
      <c r="H482" s="227"/>
      <c r="I482" s="227"/>
      <c r="J482" s="227"/>
      <c r="K482" s="122"/>
      <c r="L482" s="305"/>
      <c r="M482" s="306"/>
      <c r="N482" s="306"/>
      <c r="O482" s="306"/>
      <c r="P482" s="308"/>
      <c r="Q482" s="306"/>
      <c r="R482" s="306"/>
      <c r="S482" s="307"/>
      <c r="T482" s="307"/>
      <c r="U482" s="307"/>
      <c r="V482" s="307"/>
      <c r="W482" s="309"/>
      <c r="X482" s="306"/>
      <c r="Y482" s="306"/>
    </row>
    <row r="483" spans="1:25" s="2" customFormat="1" ht="15" customHeight="1" x14ac:dyDescent="0.25">
      <c r="A483" s="53"/>
      <c r="B483" s="92" t="s">
        <v>177</v>
      </c>
      <c r="C483" s="227"/>
      <c r="D483" s="227"/>
      <c r="E483" s="227"/>
      <c r="F483" s="227"/>
      <c r="G483" s="227"/>
      <c r="H483" s="227"/>
      <c r="I483" s="227"/>
      <c r="J483" s="227"/>
      <c r="K483" s="122"/>
      <c r="L483" s="305"/>
      <c r="M483" s="306"/>
      <c r="N483" s="306"/>
      <c r="O483" s="306"/>
      <c r="P483" s="308"/>
      <c r="Q483" s="306"/>
      <c r="R483" s="306"/>
      <c r="S483" s="307"/>
      <c r="T483" s="307"/>
      <c r="U483" s="307"/>
      <c r="V483" s="307"/>
      <c r="W483" s="309"/>
      <c r="X483" s="306"/>
      <c r="Y483" s="306"/>
    </row>
    <row r="484" spans="1:25" s="2" customFormat="1" ht="15" customHeight="1" x14ac:dyDescent="0.25">
      <c r="A484" s="53"/>
      <c r="B484" s="92" t="s">
        <v>178</v>
      </c>
      <c r="C484" s="227"/>
      <c r="D484" s="227"/>
      <c r="E484" s="227"/>
      <c r="F484" s="227"/>
      <c r="G484" s="227"/>
      <c r="H484" s="227"/>
      <c r="I484" s="227"/>
      <c r="J484" s="227"/>
      <c r="K484" s="122"/>
      <c r="L484" s="305"/>
      <c r="M484" s="306"/>
      <c r="N484" s="306"/>
      <c r="O484" s="306"/>
      <c r="P484" s="308"/>
      <c r="Q484" s="306"/>
      <c r="R484" s="306"/>
      <c r="S484" s="307"/>
      <c r="T484" s="307"/>
      <c r="U484" s="307"/>
      <c r="V484" s="307"/>
      <c r="W484" s="309"/>
      <c r="X484" s="306"/>
      <c r="Y484" s="306"/>
    </row>
    <row r="485" spans="1:25" s="2" customFormat="1" ht="15" customHeight="1" x14ac:dyDescent="0.25">
      <c r="A485" s="53"/>
      <c r="B485" s="92" t="s">
        <v>179</v>
      </c>
      <c r="C485" s="227"/>
      <c r="D485" s="227"/>
      <c r="E485" s="227"/>
      <c r="F485" s="227"/>
      <c r="G485" s="227"/>
      <c r="H485" s="227"/>
      <c r="I485" s="227"/>
      <c r="J485" s="227"/>
      <c r="K485" s="122"/>
      <c r="L485" s="305"/>
      <c r="M485" s="306"/>
      <c r="N485" s="306"/>
      <c r="O485" s="306"/>
      <c r="P485" s="308"/>
      <c r="Q485" s="306"/>
      <c r="R485" s="306"/>
      <c r="S485" s="307"/>
      <c r="T485" s="307"/>
      <c r="U485" s="307"/>
      <c r="V485" s="307"/>
      <c r="W485" s="309"/>
      <c r="X485" s="306"/>
      <c r="Y485" s="306"/>
    </row>
    <row r="486" spans="1:25" s="2" customFormat="1" ht="15" customHeight="1" x14ac:dyDescent="0.25">
      <c r="A486" s="53"/>
      <c r="B486" s="92" t="s">
        <v>180</v>
      </c>
      <c r="C486" s="122"/>
      <c r="D486" s="227"/>
      <c r="E486" s="227"/>
      <c r="F486" s="227"/>
      <c r="G486" s="227"/>
      <c r="H486" s="227"/>
      <c r="I486" s="227"/>
      <c r="J486" s="227"/>
      <c r="K486" s="122"/>
      <c r="L486" s="305"/>
      <c r="M486" s="306"/>
      <c r="N486" s="306"/>
      <c r="O486" s="306"/>
      <c r="P486" s="308"/>
      <c r="Q486" s="306"/>
      <c r="R486" s="306"/>
      <c r="S486" s="307"/>
      <c r="T486" s="307"/>
      <c r="U486" s="307"/>
      <c r="V486" s="307"/>
      <c r="W486" s="309"/>
      <c r="X486" s="306"/>
      <c r="Y486" s="306"/>
    </row>
    <row r="487" spans="1:25" s="2" customFormat="1" ht="15" customHeight="1" x14ac:dyDescent="0.25">
      <c r="A487" s="53"/>
      <c r="B487" s="92" t="s">
        <v>181</v>
      </c>
      <c r="C487" s="122"/>
      <c r="D487" s="227"/>
      <c r="E487" s="227"/>
      <c r="F487" s="227"/>
      <c r="G487" s="227"/>
      <c r="H487" s="227"/>
      <c r="I487" s="227"/>
      <c r="J487" s="227"/>
      <c r="K487" s="122"/>
      <c r="L487" s="122"/>
      <c r="M487" s="125"/>
      <c r="N487" s="125"/>
      <c r="O487" s="125"/>
      <c r="P487" s="126"/>
      <c r="Q487" s="125"/>
      <c r="R487" s="125"/>
      <c r="S487" s="272"/>
      <c r="T487" s="272"/>
      <c r="U487" s="272"/>
      <c r="V487" s="272"/>
      <c r="W487" s="273"/>
      <c r="X487" s="125"/>
      <c r="Y487" s="125"/>
    </row>
    <row r="488" spans="1:25" s="2" customFormat="1" ht="15" customHeight="1" x14ac:dyDescent="0.25">
      <c r="A488" s="53"/>
      <c r="B488" s="92"/>
      <c r="C488" s="122"/>
      <c r="D488" s="227"/>
      <c r="E488" s="227"/>
      <c r="F488" s="227"/>
      <c r="G488" s="227"/>
      <c r="H488" s="227"/>
      <c r="I488" s="221"/>
      <c r="J488" s="222"/>
      <c r="K488" s="163"/>
      <c r="L488" s="365"/>
      <c r="M488" s="366"/>
      <c r="N488" s="366"/>
      <c r="O488" s="366"/>
      <c r="P488" s="368"/>
      <c r="Q488" s="366"/>
      <c r="R488" s="366"/>
      <c r="S488" s="367"/>
      <c r="T488" s="367"/>
      <c r="U488" s="367"/>
      <c r="V488" s="367"/>
      <c r="W488" s="369"/>
      <c r="X488" s="366"/>
      <c r="Y488" s="366"/>
    </row>
    <row r="489" spans="1:25" s="2" customFormat="1" ht="15.75" customHeight="1" x14ac:dyDescent="0.3">
      <c r="A489" s="35"/>
      <c r="B489" s="116" t="s">
        <v>282</v>
      </c>
      <c r="C489" s="208"/>
      <c r="D489" s="208"/>
      <c r="E489" s="208"/>
      <c r="F489" s="208"/>
      <c r="G489" s="208"/>
      <c r="H489" s="208"/>
      <c r="I489" s="208"/>
      <c r="J489" s="208"/>
      <c r="K489" s="65"/>
      <c r="L489" s="65"/>
      <c r="M489" s="66"/>
      <c r="N489" s="66"/>
      <c r="O489" s="66">
        <v>17600</v>
      </c>
      <c r="P489" s="68">
        <v>17500</v>
      </c>
      <c r="Q489" s="226">
        <v>7300</v>
      </c>
      <c r="R489" s="66">
        <v>9000</v>
      </c>
      <c r="S489" s="66">
        <v>11800</v>
      </c>
      <c r="T489" s="66">
        <v>15700</v>
      </c>
      <c r="U489" s="66">
        <v>11500</v>
      </c>
      <c r="V489" s="66">
        <v>19000</v>
      </c>
      <c r="W489" s="65">
        <v>13500</v>
      </c>
      <c r="X489" s="66">
        <v>4000</v>
      </c>
      <c r="Y489" s="66">
        <v>2000</v>
      </c>
    </row>
    <row r="490" spans="1:25" s="2" customFormat="1" ht="15.75" customHeight="1" x14ac:dyDescent="0.3">
      <c r="A490" s="69"/>
      <c r="B490" s="70"/>
      <c r="C490" s="65"/>
      <c r="D490" s="115"/>
      <c r="E490" s="115"/>
      <c r="F490" s="352"/>
      <c r="G490" s="89"/>
      <c r="H490" s="205"/>
      <c r="I490" s="299"/>
      <c r="J490" s="347"/>
      <c r="K490" s="163"/>
      <c r="L490" s="363"/>
      <c r="M490" s="278"/>
      <c r="N490" s="278"/>
      <c r="O490" s="278"/>
      <c r="P490" s="280"/>
      <c r="Q490" s="278"/>
      <c r="R490" s="278"/>
      <c r="S490" s="279"/>
      <c r="T490" s="279"/>
      <c r="U490" s="279"/>
      <c r="V490" s="279"/>
      <c r="W490" s="281"/>
      <c r="X490" s="278"/>
      <c r="Y490" s="278"/>
    </row>
    <row r="491" spans="1:25" s="2" customFormat="1" ht="15.75" customHeight="1" x14ac:dyDescent="0.3">
      <c r="A491" s="35"/>
      <c r="B491" s="249" t="s">
        <v>184</v>
      </c>
      <c r="C491" s="220"/>
      <c r="D491" s="220"/>
      <c r="E491" s="220"/>
      <c r="F491" s="220"/>
      <c r="G491" s="220"/>
      <c r="H491" s="220"/>
      <c r="I491" s="220"/>
      <c r="J491" s="220"/>
      <c r="K491" s="115"/>
      <c r="L491" s="115"/>
      <c r="M491" s="85"/>
      <c r="N491" s="85"/>
      <c r="O491" s="85"/>
      <c r="P491" s="126"/>
      <c r="Q491" s="125"/>
      <c r="R491" s="125"/>
      <c r="S491" s="125"/>
      <c r="T491" s="125"/>
      <c r="U491" s="125"/>
      <c r="V491" s="125"/>
      <c r="W491" s="122"/>
      <c r="X491" s="125"/>
      <c r="Y491" s="125"/>
    </row>
    <row r="492" spans="1:25" s="2" customFormat="1" ht="15.75" customHeight="1" x14ac:dyDescent="0.3">
      <c r="A492" s="35"/>
      <c r="B492" s="249" t="s">
        <v>185</v>
      </c>
      <c r="C492" s="220"/>
      <c r="D492" s="220"/>
      <c r="E492" s="220"/>
      <c r="F492" s="220"/>
      <c r="G492" s="220"/>
      <c r="H492" s="220"/>
      <c r="I492" s="220"/>
      <c r="J492" s="220"/>
      <c r="K492" s="115"/>
      <c r="L492" s="364"/>
      <c r="M492" s="359"/>
      <c r="N492" s="359"/>
      <c r="O492" s="359"/>
      <c r="P492" s="308"/>
      <c r="Q492" s="306"/>
      <c r="R492" s="306"/>
      <c r="S492" s="307"/>
      <c r="T492" s="307"/>
      <c r="U492" s="307"/>
      <c r="V492" s="307"/>
      <c r="W492" s="309"/>
      <c r="X492" s="306"/>
      <c r="Y492" s="306"/>
    </row>
    <row r="493" spans="1:25" s="2" customFormat="1" ht="15.75" customHeight="1" x14ac:dyDescent="0.3">
      <c r="A493" s="35"/>
      <c r="B493" s="370" t="s">
        <v>186</v>
      </c>
      <c r="C493" s="218"/>
      <c r="D493" s="218"/>
      <c r="E493" s="218"/>
      <c r="F493" s="218"/>
      <c r="G493" s="218"/>
      <c r="H493" s="218"/>
      <c r="I493" s="218"/>
      <c r="J493" s="371"/>
      <c r="K493" s="115"/>
      <c r="L493" s="364"/>
      <c r="M493" s="359"/>
      <c r="N493" s="359"/>
      <c r="O493" s="359"/>
      <c r="P493" s="308"/>
      <c r="Q493" s="306"/>
      <c r="R493" s="306"/>
      <c r="S493" s="307"/>
      <c r="T493" s="307"/>
      <c r="U493" s="307"/>
      <c r="V493" s="307"/>
      <c r="W493" s="309"/>
      <c r="X493" s="306"/>
      <c r="Y493" s="306"/>
    </row>
    <row r="494" spans="1:25" s="2" customFormat="1" ht="15.75" customHeight="1" x14ac:dyDescent="0.3">
      <c r="A494" s="35"/>
      <c r="B494" s="249" t="s">
        <v>187</v>
      </c>
      <c r="C494" s="115"/>
      <c r="D494" s="270"/>
      <c r="E494" s="269"/>
      <c r="F494" s="220"/>
      <c r="G494" s="220"/>
      <c r="H494" s="220"/>
      <c r="I494" s="220"/>
      <c r="J494" s="220"/>
      <c r="K494" s="115"/>
      <c r="L494" s="115"/>
      <c r="M494" s="85"/>
      <c r="N494" s="85"/>
      <c r="O494" s="85"/>
      <c r="P494" s="126"/>
      <c r="Q494" s="125"/>
      <c r="R494" s="125"/>
      <c r="S494" s="125"/>
      <c r="T494" s="125"/>
      <c r="U494" s="125"/>
      <c r="V494" s="125"/>
      <c r="W494" s="122"/>
      <c r="X494" s="125"/>
      <c r="Y494" s="125"/>
    </row>
    <row r="495" spans="1:25" s="2" customFormat="1" ht="15.75" customHeight="1" x14ac:dyDescent="0.3">
      <c r="A495" s="35"/>
      <c r="B495" s="249" t="s">
        <v>188</v>
      </c>
      <c r="C495" s="115"/>
      <c r="D495" s="220"/>
      <c r="E495" s="220"/>
      <c r="F495" s="220"/>
      <c r="G495" s="220"/>
      <c r="H495" s="220"/>
      <c r="I495" s="220"/>
      <c r="J495" s="220"/>
      <c r="K495" s="115"/>
      <c r="L495" s="364"/>
      <c r="M495" s="359"/>
      <c r="N495" s="359"/>
      <c r="O495" s="359"/>
      <c r="P495" s="308"/>
      <c r="Q495" s="306"/>
      <c r="R495" s="306"/>
      <c r="S495" s="307"/>
      <c r="T495" s="307"/>
      <c r="U495" s="307"/>
      <c r="V495" s="307"/>
      <c r="W495" s="309"/>
      <c r="X495" s="306"/>
      <c r="Y495" s="306"/>
    </row>
    <row r="496" spans="1:25" s="2" customFormat="1" ht="15.75" customHeight="1" x14ac:dyDescent="0.3">
      <c r="A496" s="35"/>
      <c r="B496" s="249" t="s">
        <v>189</v>
      </c>
      <c r="C496" s="115"/>
      <c r="D496" s="220"/>
      <c r="E496" s="220"/>
      <c r="F496" s="220"/>
      <c r="G496" s="220"/>
      <c r="H496" s="220"/>
      <c r="I496" s="220"/>
      <c r="J496" s="220"/>
      <c r="K496" s="115"/>
      <c r="L496" s="364"/>
      <c r="M496" s="359"/>
      <c r="N496" s="359"/>
      <c r="O496" s="359"/>
      <c r="P496" s="308"/>
      <c r="Q496" s="306"/>
      <c r="R496" s="306"/>
      <c r="S496" s="307"/>
      <c r="T496" s="307"/>
      <c r="U496" s="307"/>
      <c r="V496" s="307"/>
      <c r="W496" s="309"/>
      <c r="X496" s="306"/>
      <c r="Y496" s="306"/>
    </row>
    <row r="497" spans="1:25" s="2" customFormat="1" ht="15.75" customHeight="1" x14ac:dyDescent="0.3">
      <c r="A497" s="35"/>
      <c r="B497" s="249" t="s">
        <v>190</v>
      </c>
      <c r="C497" s="115"/>
      <c r="D497" s="220"/>
      <c r="E497" s="220"/>
      <c r="F497" s="220"/>
      <c r="G497" s="220"/>
      <c r="H497" s="220"/>
      <c r="I497" s="220"/>
      <c r="J497" s="220"/>
      <c r="K497" s="115"/>
      <c r="L497" s="364"/>
      <c r="M497" s="359"/>
      <c r="N497" s="359"/>
      <c r="O497" s="359"/>
      <c r="P497" s="308"/>
      <c r="Q497" s="306"/>
      <c r="R497" s="306"/>
      <c r="S497" s="307"/>
      <c r="T497" s="307"/>
      <c r="U497" s="307"/>
      <c r="V497" s="307"/>
      <c r="W497" s="309"/>
      <c r="X497" s="306"/>
      <c r="Y497" s="306"/>
    </row>
    <row r="498" spans="1:25" s="2" customFormat="1" ht="15.75" customHeight="1" x14ac:dyDescent="0.3">
      <c r="A498" s="35"/>
      <c r="B498" s="249" t="s">
        <v>191</v>
      </c>
      <c r="C498" s="115"/>
      <c r="D498" s="220"/>
      <c r="E498" s="220"/>
      <c r="F498" s="220"/>
      <c r="G498" s="220"/>
      <c r="H498" s="220"/>
      <c r="I498" s="220"/>
      <c r="J498" s="220"/>
      <c r="K498" s="115"/>
      <c r="L498" s="364"/>
      <c r="M498" s="359"/>
      <c r="N498" s="359"/>
      <c r="O498" s="359"/>
      <c r="P498" s="308"/>
      <c r="Q498" s="306"/>
      <c r="R498" s="306"/>
      <c r="S498" s="307"/>
      <c r="T498" s="307"/>
      <c r="U498" s="307"/>
      <c r="V498" s="307"/>
      <c r="W498" s="309"/>
      <c r="X498" s="306"/>
      <c r="Y498" s="306"/>
    </row>
    <row r="499" spans="1:25" s="2" customFormat="1" ht="15.75" customHeight="1" x14ac:dyDescent="0.3">
      <c r="A499" s="35"/>
      <c r="B499" s="249" t="s">
        <v>192</v>
      </c>
      <c r="C499" s="220"/>
      <c r="D499" s="220"/>
      <c r="E499" s="220"/>
      <c r="F499" s="220"/>
      <c r="G499" s="220"/>
      <c r="H499" s="220"/>
      <c r="I499" s="220"/>
      <c r="J499" s="220"/>
      <c r="K499" s="115"/>
      <c r="L499" s="364"/>
      <c r="M499" s="359"/>
      <c r="N499" s="359"/>
      <c r="O499" s="359"/>
      <c r="P499" s="308"/>
      <c r="Q499" s="306"/>
      <c r="R499" s="306"/>
      <c r="S499" s="307"/>
      <c r="T499" s="307"/>
      <c r="U499" s="307"/>
      <c r="V499" s="307"/>
      <c r="W499" s="309"/>
      <c r="X499" s="306"/>
      <c r="Y499" s="306"/>
    </row>
    <row r="500" spans="1:25" s="2" customFormat="1" ht="15.75" customHeight="1" x14ac:dyDescent="0.3">
      <c r="A500" s="35"/>
      <c r="B500" s="249" t="s">
        <v>193</v>
      </c>
      <c r="C500" s="220"/>
      <c r="D500" s="220"/>
      <c r="E500" s="220"/>
      <c r="F500" s="220"/>
      <c r="G500" s="220"/>
      <c r="H500" s="220"/>
      <c r="I500" s="220"/>
      <c r="J500" s="220"/>
      <c r="K500" s="115"/>
      <c r="L500" s="364"/>
      <c r="M500" s="359"/>
      <c r="N500" s="359"/>
      <c r="O500" s="359"/>
      <c r="P500" s="308"/>
      <c r="Q500" s="306"/>
      <c r="R500" s="306"/>
      <c r="S500" s="307"/>
      <c r="T500" s="307"/>
      <c r="U500" s="307"/>
      <c r="V500" s="307"/>
      <c r="W500" s="309"/>
      <c r="X500" s="306"/>
      <c r="Y500" s="306"/>
    </row>
    <row r="501" spans="1:25" s="2" customFormat="1" ht="15.75" customHeight="1" x14ac:dyDescent="0.3">
      <c r="A501" s="35"/>
      <c r="B501" s="370" t="s">
        <v>194</v>
      </c>
      <c r="C501" s="220"/>
      <c r="D501" s="220"/>
      <c r="E501" s="220"/>
      <c r="F501" s="220"/>
      <c r="G501" s="220"/>
      <c r="H501" s="220"/>
      <c r="I501" s="220"/>
      <c r="J501" s="220"/>
      <c r="K501" s="115"/>
      <c r="L501" s="364"/>
      <c r="M501" s="359"/>
      <c r="N501" s="359"/>
      <c r="O501" s="359"/>
      <c r="P501" s="308"/>
      <c r="Q501" s="306"/>
      <c r="R501" s="306"/>
      <c r="S501" s="307"/>
      <c r="T501" s="307"/>
      <c r="U501" s="307"/>
      <c r="V501" s="307"/>
      <c r="W501" s="309"/>
      <c r="X501" s="306"/>
      <c r="Y501" s="306"/>
    </row>
    <row r="502" spans="1:25" s="2" customFormat="1" ht="15.75" customHeight="1" x14ac:dyDescent="0.3">
      <c r="A502" s="35"/>
      <c r="B502" s="370" t="s">
        <v>195</v>
      </c>
      <c r="C502" s="220"/>
      <c r="D502" s="220"/>
      <c r="E502" s="220"/>
      <c r="F502" s="220"/>
      <c r="G502" s="220"/>
      <c r="H502" s="220"/>
      <c r="I502" s="220"/>
      <c r="J502" s="220"/>
      <c r="K502" s="115"/>
      <c r="L502" s="364"/>
      <c r="M502" s="359"/>
      <c r="N502" s="359"/>
      <c r="O502" s="359"/>
      <c r="P502" s="308"/>
      <c r="Q502" s="306"/>
      <c r="R502" s="306"/>
      <c r="S502" s="307"/>
      <c r="T502" s="307"/>
      <c r="U502" s="307"/>
      <c r="V502" s="307"/>
      <c r="W502" s="309"/>
      <c r="X502" s="306"/>
      <c r="Y502" s="306"/>
    </row>
    <row r="503" spans="1:25" s="2" customFormat="1" ht="15.75" customHeight="1" x14ac:dyDescent="0.3">
      <c r="A503" s="35"/>
      <c r="B503" s="249" t="s">
        <v>196</v>
      </c>
      <c r="C503" s="220"/>
      <c r="D503" s="220"/>
      <c r="E503" s="220"/>
      <c r="F503" s="220"/>
      <c r="G503" s="220"/>
      <c r="H503" s="220"/>
      <c r="I503" s="220"/>
      <c r="J503" s="220"/>
      <c r="K503" s="115"/>
      <c r="L503" s="364"/>
      <c r="M503" s="359"/>
      <c r="N503" s="359"/>
      <c r="O503" s="359"/>
      <c r="P503" s="308"/>
      <c r="Q503" s="306"/>
      <c r="R503" s="306"/>
      <c r="S503" s="306"/>
      <c r="T503" s="306"/>
      <c r="U503" s="306"/>
      <c r="V503" s="306"/>
      <c r="W503" s="305"/>
      <c r="X503" s="306"/>
      <c r="Y503" s="306"/>
    </row>
    <row r="504" spans="1:25" s="2" customFormat="1" ht="15.75" customHeight="1" x14ac:dyDescent="0.3">
      <c r="A504" s="35"/>
      <c r="B504" s="249" t="s">
        <v>197</v>
      </c>
      <c r="C504" s="220"/>
      <c r="D504" s="220"/>
      <c r="E504" s="220"/>
      <c r="F504" s="220"/>
      <c r="G504" s="220"/>
      <c r="H504" s="220"/>
      <c r="I504" s="220"/>
      <c r="J504" s="220"/>
      <c r="K504" s="115"/>
      <c r="L504" s="364"/>
      <c r="M504" s="359"/>
      <c r="N504" s="359"/>
      <c r="O504" s="359"/>
      <c r="P504" s="308"/>
      <c r="Q504" s="306"/>
      <c r="R504" s="306"/>
      <c r="S504" s="307"/>
      <c r="T504" s="307"/>
      <c r="U504" s="307"/>
      <c r="V504" s="307"/>
      <c r="W504" s="309"/>
      <c r="X504" s="306"/>
      <c r="Y504" s="306"/>
    </row>
    <row r="505" spans="1:25" s="2" customFormat="1" ht="15.75" customHeight="1" x14ac:dyDescent="0.3">
      <c r="A505" s="35"/>
      <c r="B505" s="70" t="s">
        <v>3</v>
      </c>
      <c r="C505" s="208"/>
      <c r="D505" s="208"/>
      <c r="E505" s="208"/>
      <c r="F505" s="208"/>
      <c r="G505" s="208"/>
      <c r="H505" s="208"/>
      <c r="I505" s="299"/>
      <c r="J505" s="244"/>
      <c r="K505" s="65"/>
      <c r="L505" s="372"/>
      <c r="M505" s="278"/>
      <c r="N505" s="278"/>
      <c r="O505" s="278"/>
      <c r="P505" s="280"/>
      <c r="Q505" s="278"/>
      <c r="R505" s="278"/>
      <c r="S505" s="279"/>
      <c r="T505" s="279"/>
      <c r="U505" s="279"/>
      <c r="V505" s="279"/>
      <c r="W505" s="281"/>
      <c r="X505" s="278"/>
      <c r="Y505" s="278"/>
    </row>
    <row r="506" spans="1:25" s="2" customFormat="1" ht="15.75" customHeight="1" x14ac:dyDescent="0.3">
      <c r="A506" s="35"/>
      <c r="B506" s="116" t="s">
        <v>283</v>
      </c>
      <c r="C506" s="208"/>
      <c r="D506" s="208"/>
      <c r="E506" s="208"/>
      <c r="F506" s="208"/>
      <c r="G506" s="208"/>
      <c r="H506" s="208"/>
      <c r="I506" s="208"/>
      <c r="J506" s="208"/>
      <c r="K506" s="65"/>
      <c r="L506" s="65"/>
      <c r="M506" s="66"/>
      <c r="N506" s="66"/>
      <c r="O506" s="66">
        <v>4000</v>
      </c>
      <c r="P506" s="68">
        <v>2100</v>
      </c>
      <c r="Q506" s="66">
        <v>4500</v>
      </c>
      <c r="R506" s="66">
        <v>3000</v>
      </c>
      <c r="S506" s="66">
        <v>3700</v>
      </c>
      <c r="T506" s="66">
        <v>1500</v>
      </c>
      <c r="U506" s="66">
        <v>100</v>
      </c>
      <c r="V506" s="66">
        <v>0</v>
      </c>
      <c r="W506" s="65">
        <v>0</v>
      </c>
      <c r="X506" s="66">
        <v>0</v>
      </c>
      <c r="Y506" s="66"/>
    </row>
    <row r="507" spans="1:25" s="2" customFormat="1" ht="15" customHeight="1" x14ac:dyDescent="0.3">
      <c r="A507" s="69"/>
      <c r="B507" s="70"/>
      <c r="C507" s="208"/>
      <c r="D507" s="208"/>
      <c r="E507" s="208"/>
      <c r="F507" s="208"/>
      <c r="G507" s="296"/>
      <c r="H507" s="373"/>
      <c r="I507" s="225"/>
      <c r="J507" s="244"/>
      <c r="K507" s="163"/>
      <c r="L507" s="98"/>
      <c r="M507" s="166"/>
      <c r="N507" s="166"/>
      <c r="O507" s="166"/>
      <c r="P507" s="247"/>
      <c r="Q507" s="166"/>
      <c r="R507" s="166"/>
      <c r="S507" s="166"/>
      <c r="T507" s="166"/>
      <c r="U507" s="166"/>
      <c r="V507" s="166"/>
      <c r="W507" s="163"/>
      <c r="X507" s="166"/>
      <c r="Y507" s="166"/>
    </row>
    <row r="508" spans="1:25" s="271" customFormat="1" ht="15.75" customHeight="1" x14ac:dyDescent="0.3">
      <c r="A508" s="353"/>
      <c r="B508" s="249" t="s">
        <v>200</v>
      </c>
      <c r="C508" s="220"/>
      <c r="D508" s="220"/>
      <c r="E508" s="220"/>
      <c r="F508" s="220"/>
      <c r="G508" s="220"/>
      <c r="H508" s="220"/>
      <c r="I508" s="220"/>
      <c r="J508" s="374"/>
      <c r="K508" s="115"/>
      <c r="L508" s="364"/>
      <c r="M508" s="359"/>
      <c r="N508" s="359"/>
      <c r="O508" s="359"/>
      <c r="P508" s="358"/>
      <c r="Q508" s="359"/>
      <c r="R508" s="359"/>
      <c r="S508" s="359"/>
      <c r="T508" s="359"/>
      <c r="U508" s="359"/>
      <c r="V508" s="359"/>
      <c r="W508" s="364"/>
      <c r="X508" s="359"/>
      <c r="Y508" s="359"/>
    </row>
    <row r="509" spans="1:25" s="271" customFormat="1" ht="15.75" customHeight="1" x14ac:dyDescent="0.3">
      <c r="A509" s="356"/>
      <c r="B509" s="249" t="s">
        <v>201</v>
      </c>
      <c r="C509" s="220"/>
      <c r="D509" s="220"/>
      <c r="E509" s="220"/>
      <c r="F509" s="220"/>
      <c r="G509" s="220"/>
      <c r="H509" s="220"/>
      <c r="I509" s="220"/>
      <c r="J509" s="374"/>
      <c r="K509" s="115"/>
      <c r="L509" s="364"/>
      <c r="M509" s="359"/>
      <c r="N509" s="359"/>
      <c r="O509" s="359"/>
      <c r="P509" s="358"/>
      <c r="Q509" s="359"/>
      <c r="R509" s="359"/>
      <c r="S509" s="359"/>
      <c r="T509" s="359"/>
      <c r="U509" s="359"/>
      <c r="V509" s="359"/>
      <c r="W509" s="364"/>
      <c r="X509" s="359"/>
      <c r="Y509" s="359"/>
    </row>
    <row r="510" spans="1:25" s="2" customFormat="1" ht="15.75" customHeight="1" x14ac:dyDescent="0.3">
      <c r="A510" s="35"/>
      <c r="B510" s="70" t="s">
        <v>3</v>
      </c>
      <c r="C510" s="208"/>
      <c r="D510" s="208"/>
      <c r="E510" s="208"/>
      <c r="F510" s="208"/>
      <c r="G510" s="208"/>
      <c r="H510" s="208"/>
      <c r="I510" s="208"/>
      <c r="J510" s="208"/>
      <c r="K510" s="65"/>
      <c r="L510" s="372"/>
      <c r="M510" s="278"/>
      <c r="N510" s="278"/>
      <c r="O510" s="278"/>
      <c r="P510" s="280"/>
      <c r="Q510" s="278"/>
      <c r="R510" s="278"/>
      <c r="S510" s="279"/>
      <c r="T510" s="279"/>
      <c r="U510" s="279"/>
      <c r="V510" s="279"/>
      <c r="W510" s="281"/>
      <c r="X510" s="278"/>
      <c r="Y510" s="278"/>
    </row>
    <row r="511" spans="1:25" s="2" customFormat="1" ht="15.75" customHeight="1" x14ac:dyDescent="0.3">
      <c r="A511" s="35"/>
      <c r="B511" s="70"/>
      <c r="C511" s="208"/>
      <c r="D511" s="208"/>
      <c r="E511" s="208"/>
      <c r="F511" s="208"/>
      <c r="G511" s="208"/>
      <c r="H511" s="208"/>
      <c r="I511" s="208"/>
      <c r="J511" s="244"/>
      <c r="K511" s="65"/>
      <c r="L511" s="363"/>
      <c r="M511" s="278"/>
      <c r="N511" s="278"/>
      <c r="O511" s="278"/>
      <c r="P511" s="280"/>
      <c r="Q511" s="278"/>
      <c r="R511" s="278"/>
      <c r="S511" s="279"/>
      <c r="T511" s="279"/>
      <c r="U511" s="279"/>
      <c r="V511" s="279"/>
      <c r="W511" s="281"/>
      <c r="X511" s="278"/>
      <c r="Y511" s="278"/>
    </row>
    <row r="512" spans="1:25" s="2" customFormat="1" ht="15.75" customHeight="1" x14ac:dyDescent="0.3">
      <c r="A512" s="376"/>
      <c r="B512" s="116" t="s">
        <v>40</v>
      </c>
      <c r="C512" s="208"/>
      <c r="D512" s="208"/>
      <c r="E512" s="208"/>
      <c r="F512" s="208"/>
      <c r="G512" s="208"/>
      <c r="H512" s="208"/>
      <c r="I512" s="208"/>
      <c r="J512" s="208"/>
      <c r="K512" s="65"/>
      <c r="L512" s="375"/>
      <c r="M512" s="274"/>
      <c r="N512" s="274"/>
      <c r="O512" s="274">
        <v>500</v>
      </c>
      <c r="P512" s="276">
        <v>1700</v>
      </c>
      <c r="Q512" s="274">
        <v>2800</v>
      </c>
      <c r="R512" s="274">
        <v>3000</v>
      </c>
      <c r="S512" s="275">
        <v>15500</v>
      </c>
      <c r="T512" s="275">
        <v>19000</v>
      </c>
      <c r="U512" s="275">
        <v>12000</v>
      </c>
      <c r="V512" s="275">
        <v>7600</v>
      </c>
      <c r="W512" s="277">
        <v>35800</v>
      </c>
      <c r="X512" s="274">
        <v>38000</v>
      </c>
      <c r="Y512" s="274">
        <v>40000</v>
      </c>
    </row>
    <row r="513" spans="1:25" s="2" customFormat="1" ht="15.75" customHeight="1" x14ac:dyDescent="0.3">
      <c r="A513" s="35"/>
      <c r="B513" s="554"/>
      <c r="C513" s="208"/>
      <c r="D513" s="208"/>
      <c r="E513" s="208"/>
      <c r="F513" s="208"/>
      <c r="G513" s="208"/>
      <c r="H513" s="208"/>
      <c r="I513" s="208"/>
      <c r="J513" s="222"/>
      <c r="K513" s="163"/>
      <c r="L513" s="363"/>
      <c r="M513" s="278"/>
      <c r="N513" s="278"/>
      <c r="O513" s="278"/>
      <c r="P513" s="280"/>
      <c r="Q513" s="278"/>
      <c r="R513" s="278"/>
      <c r="S513" s="279"/>
      <c r="T513" s="279"/>
      <c r="U513" s="279"/>
      <c r="V513" s="279"/>
      <c r="W513" s="281"/>
      <c r="X513" s="278"/>
      <c r="Y513" s="278"/>
    </row>
    <row r="514" spans="1:25" s="2" customFormat="1" ht="15.75" customHeight="1" x14ac:dyDescent="0.3">
      <c r="A514" s="33"/>
      <c r="B514" s="70"/>
      <c r="C514" s="208"/>
      <c r="D514" s="208"/>
      <c r="E514" s="208"/>
      <c r="F514" s="208"/>
      <c r="G514" s="208"/>
      <c r="H514" s="208"/>
      <c r="I514" s="208"/>
      <c r="J514" s="244"/>
      <c r="K514" s="65"/>
      <c r="L514" s="363"/>
      <c r="M514" s="274"/>
      <c r="N514" s="274"/>
      <c r="O514" s="274"/>
      <c r="P514" s="276"/>
      <c r="Q514" s="274"/>
      <c r="R514" s="274"/>
      <c r="S514" s="275"/>
      <c r="T514" s="275"/>
      <c r="U514" s="275"/>
      <c r="V514" s="275"/>
      <c r="W514" s="277"/>
      <c r="X514" s="274"/>
      <c r="Y514" s="274"/>
    </row>
    <row r="515" spans="1:25" s="2" customFormat="1" ht="15.75" customHeight="1" x14ac:dyDescent="0.3">
      <c r="A515" s="376"/>
      <c r="B515" s="471" t="s">
        <v>284</v>
      </c>
      <c r="C515" s="208"/>
      <c r="D515" s="208"/>
      <c r="E515" s="208"/>
      <c r="F515" s="208"/>
      <c r="G515" s="208"/>
      <c r="H515" s="208"/>
      <c r="I515" s="208"/>
      <c r="J515" s="244"/>
      <c r="K515" s="65"/>
      <c r="L515" s="363"/>
      <c r="M515" s="274"/>
      <c r="N515" s="274"/>
      <c r="O515" s="274">
        <v>1200</v>
      </c>
      <c r="P515" s="276">
        <v>2500</v>
      </c>
      <c r="Q515" s="274">
        <v>3000</v>
      </c>
      <c r="R515" s="274">
        <v>5300</v>
      </c>
      <c r="S515" s="275">
        <v>9000</v>
      </c>
      <c r="T515" s="275">
        <v>5800</v>
      </c>
      <c r="U515" s="275">
        <v>2500</v>
      </c>
      <c r="V515" s="275">
        <v>5000</v>
      </c>
      <c r="W515" s="277">
        <v>7000</v>
      </c>
      <c r="X515" s="274">
        <v>6000</v>
      </c>
      <c r="Y515" s="274">
        <v>7000</v>
      </c>
    </row>
    <row r="516" spans="1:25" s="2" customFormat="1" ht="15.75" customHeight="1" x14ac:dyDescent="0.3">
      <c r="A516" s="377"/>
      <c r="B516" s="103"/>
      <c r="C516" s="208"/>
      <c r="D516" s="208"/>
      <c r="E516" s="208"/>
      <c r="F516" s="245"/>
      <c r="G516" s="208"/>
      <c r="H516" s="208"/>
      <c r="I516" s="208"/>
      <c r="J516" s="244"/>
      <c r="K516" s="65"/>
      <c r="L516" s="363"/>
      <c r="M516" s="274"/>
      <c r="N516" s="274"/>
      <c r="O516" s="274"/>
      <c r="P516" s="276"/>
      <c r="Q516" s="375"/>
      <c r="R516" s="375"/>
      <c r="S516" s="375"/>
      <c r="T516" s="375"/>
      <c r="U516" s="375"/>
      <c r="V516" s="375"/>
      <c r="W516" s="375"/>
      <c r="X516" s="274"/>
      <c r="Y516" s="274"/>
    </row>
    <row r="517" spans="1:25" s="2" customFormat="1" ht="15.75" customHeight="1" x14ac:dyDescent="0.3">
      <c r="A517" s="377"/>
      <c r="B517" s="103"/>
      <c r="C517" s="208"/>
      <c r="D517" s="208"/>
      <c r="E517" s="208"/>
      <c r="F517" s="245"/>
      <c r="G517" s="208"/>
      <c r="H517" s="208"/>
      <c r="I517" s="208"/>
      <c r="J517" s="244"/>
      <c r="K517" s="65"/>
      <c r="L517" s="363"/>
      <c r="M517" s="274"/>
      <c r="N517" s="274"/>
      <c r="O517" s="274"/>
      <c r="P517" s="276"/>
      <c r="Q517" s="375"/>
      <c r="R517" s="375"/>
      <c r="S517" s="375"/>
      <c r="T517" s="375"/>
      <c r="U517" s="375"/>
      <c r="V517" s="375"/>
      <c r="W517" s="375"/>
      <c r="X517" s="274"/>
      <c r="Y517" s="274"/>
    </row>
    <row r="518" spans="1:25" ht="15.6" x14ac:dyDescent="0.3">
      <c r="A518" s="107"/>
      <c r="B518" s="555" t="s">
        <v>287</v>
      </c>
      <c r="C518" s="94"/>
      <c r="D518" s="94"/>
      <c r="E518" s="94"/>
      <c r="F518" s="94"/>
      <c r="G518" s="94"/>
      <c r="H518" s="94"/>
      <c r="I518" s="94"/>
      <c r="J518" s="94"/>
      <c r="K518" s="94"/>
      <c r="L518" s="94"/>
      <c r="M518" s="95"/>
      <c r="N518" s="95"/>
      <c r="O518" s="95">
        <f>O528+O534+O537+O540+O543+O548+O552+O520</f>
        <v>7596</v>
      </c>
      <c r="P518" s="97">
        <f t="shared" ref="P518:Y518" si="69">P528+P534+P537+P540+P543+P548+P552</f>
        <v>7800</v>
      </c>
      <c r="Q518" s="94">
        <f t="shared" si="69"/>
        <v>10100</v>
      </c>
      <c r="R518" s="94">
        <f t="shared" si="69"/>
        <v>10700</v>
      </c>
      <c r="S518" s="94">
        <f t="shared" si="69"/>
        <v>11400</v>
      </c>
      <c r="T518" s="94">
        <f t="shared" si="69"/>
        <v>11600</v>
      </c>
      <c r="U518" s="94">
        <f t="shared" si="69"/>
        <v>11600</v>
      </c>
      <c r="V518" s="94">
        <f t="shared" si="69"/>
        <v>11400</v>
      </c>
      <c r="W518" s="94">
        <f t="shared" si="69"/>
        <v>11000</v>
      </c>
      <c r="X518" s="95">
        <f t="shared" si="69"/>
        <v>11000</v>
      </c>
      <c r="Y518" s="95">
        <f t="shared" si="69"/>
        <v>12000</v>
      </c>
    </row>
    <row r="519" spans="1:25" ht="15.6" x14ac:dyDescent="0.3">
      <c r="A519" s="33"/>
      <c r="C519" s="65"/>
      <c r="D519" s="65"/>
      <c r="E519" s="65"/>
      <c r="F519" s="65"/>
      <c r="G519" s="501"/>
      <c r="H519" s="502"/>
      <c r="I519" s="503"/>
      <c r="J519" s="177"/>
      <c r="K519" s="178"/>
      <c r="L519" s="178"/>
      <c r="M519" s="179"/>
      <c r="N519" s="179"/>
      <c r="O519" s="179" t="e">
        <f t="shared" ref="O519:Y519" si="70">+(O518-N518)/N518</f>
        <v>#DIV/0!</v>
      </c>
      <c r="P519" s="181">
        <f t="shared" si="70"/>
        <v>2.6856240126382307E-2</v>
      </c>
      <c r="Q519" s="179">
        <f t="shared" si="70"/>
        <v>0.29487179487179488</v>
      </c>
      <c r="R519" s="179">
        <f t="shared" si="70"/>
        <v>5.9405940594059403E-2</v>
      </c>
      <c r="S519" s="179">
        <f t="shared" si="70"/>
        <v>6.5420560747663545E-2</v>
      </c>
      <c r="T519" s="179">
        <f t="shared" si="70"/>
        <v>1.7543859649122806E-2</v>
      </c>
      <c r="U519" s="179">
        <f t="shared" si="70"/>
        <v>0</v>
      </c>
      <c r="V519" s="179">
        <f t="shared" si="70"/>
        <v>-1.7241379310344827E-2</v>
      </c>
      <c r="W519" s="178">
        <f t="shared" si="70"/>
        <v>-3.5087719298245612E-2</v>
      </c>
      <c r="X519" s="179">
        <f t="shared" si="70"/>
        <v>0</v>
      </c>
      <c r="Y519" s="179">
        <f t="shared" si="70"/>
        <v>9.0909090909090912E-2</v>
      </c>
    </row>
    <row r="520" spans="1:25" s="337" customFormat="1" ht="15" customHeight="1" x14ac:dyDescent="0.3">
      <c r="A520" s="326"/>
      <c r="B520" s="70" t="s">
        <v>18</v>
      </c>
      <c r="C520" s="328"/>
      <c r="D520" s="328"/>
      <c r="E520" s="328"/>
      <c r="F520" s="328"/>
      <c r="G520" s="328"/>
      <c r="H520" s="329"/>
      <c r="I520" s="330"/>
      <c r="J520" s="329"/>
      <c r="K520" s="331"/>
      <c r="L520" s="331"/>
      <c r="M520" s="334"/>
      <c r="N520" s="334"/>
      <c r="O520" s="433">
        <v>1596</v>
      </c>
      <c r="P520" s="541"/>
      <c r="Q520" s="336"/>
      <c r="R520" s="336"/>
      <c r="S520" s="336"/>
      <c r="T520" s="336"/>
      <c r="U520" s="336"/>
      <c r="V520" s="336"/>
      <c r="W520" s="336"/>
      <c r="X520" s="336"/>
      <c r="Y520" s="336"/>
    </row>
    <row r="521" spans="1:25" ht="15.6" x14ac:dyDescent="0.3">
      <c r="A521" s="33"/>
      <c r="B521" s="83"/>
      <c r="C521" s="513"/>
      <c r="D521" s="513"/>
      <c r="E521" s="513"/>
      <c r="F521" s="498"/>
      <c r="G521" s="498"/>
      <c r="H521" s="200"/>
      <c r="I521" s="163"/>
      <c r="J521" s="347"/>
      <c r="K521" s="163"/>
      <c r="L521" s="98"/>
      <c r="M521" s="88"/>
      <c r="N521" s="88"/>
      <c r="O521" s="85" t="s">
        <v>3</v>
      </c>
      <c r="P521" s="113" t="s">
        <v>3</v>
      </c>
      <c r="Q521" s="85" t="s">
        <v>3</v>
      </c>
      <c r="R521" s="85" t="s">
        <v>3</v>
      </c>
      <c r="S521" s="86" t="s">
        <v>3</v>
      </c>
      <c r="T521" s="86" t="s">
        <v>3</v>
      </c>
      <c r="U521" s="86" t="s">
        <v>3</v>
      </c>
      <c r="V521" s="86" t="s">
        <v>3</v>
      </c>
      <c r="W521" s="114" t="s">
        <v>3</v>
      </c>
      <c r="X521" s="85" t="s">
        <v>3</v>
      </c>
      <c r="Y521" s="85"/>
    </row>
    <row r="522" spans="1:25" ht="15.6" x14ac:dyDescent="0.3">
      <c r="A522" s="33"/>
      <c r="B522" s="116" t="s">
        <v>278</v>
      </c>
      <c r="C522" s="178"/>
      <c r="D522" s="77"/>
      <c r="E522" s="77"/>
      <c r="F522" s="77"/>
      <c r="G522" s="65"/>
      <c r="H522" s="65"/>
      <c r="I522" s="65"/>
      <c r="J522" s="65"/>
      <c r="K522" s="65"/>
      <c r="L522" s="65"/>
      <c r="M522" s="66"/>
      <c r="N522" s="66"/>
      <c r="O522" s="66"/>
      <c r="P522" s="68"/>
      <c r="Q522" s="66"/>
      <c r="R522" s="66"/>
      <c r="S522" s="66"/>
      <c r="T522" s="66"/>
      <c r="U522" s="66"/>
      <c r="V522" s="66"/>
      <c r="W522" s="65"/>
      <c r="X522" s="66"/>
      <c r="Y522" s="66"/>
    </row>
    <row r="523" spans="1:25" ht="15.6" x14ac:dyDescent="0.3">
      <c r="A523" s="33"/>
      <c r="B523" s="70"/>
      <c r="C523" s="85"/>
      <c r="D523" s="114"/>
      <c r="E523" s="115"/>
      <c r="F523" s="220"/>
      <c r="G523" s="89"/>
      <c r="H523" s="205"/>
      <c r="I523" s="299"/>
      <c r="J523" s="347"/>
      <c r="K523" s="163"/>
      <c r="L523" s="372"/>
      <c r="M523" s="314"/>
      <c r="N523" s="314"/>
      <c r="O523" s="314"/>
      <c r="P523" s="315"/>
      <c r="Q523" s="314"/>
      <c r="R523" s="314"/>
      <c r="S523" s="316"/>
      <c r="T523" s="316"/>
      <c r="U523" s="316"/>
      <c r="V523" s="316"/>
      <c r="W523" s="317"/>
      <c r="X523" s="314"/>
      <c r="Y523" s="314"/>
    </row>
    <row r="524" spans="1:25" ht="15.6" x14ac:dyDescent="0.3">
      <c r="A524" s="33"/>
      <c r="B524" s="93" t="s">
        <v>253</v>
      </c>
      <c r="C524" s="115"/>
      <c r="D524" s="115"/>
      <c r="E524" s="115"/>
      <c r="F524" s="220"/>
      <c r="G524" s="122"/>
      <c r="H524" s="122"/>
      <c r="I524" s="122"/>
      <c r="J524" s="122"/>
      <c r="K524" s="122"/>
      <c r="L524" s="305"/>
      <c r="M524" s="306"/>
      <c r="N524" s="306"/>
      <c r="O524" s="306"/>
      <c r="P524" s="308"/>
      <c r="Q524" s="306"/>
      <c r="R524" s="306"/>
      <c r="S524" s="307"/>
      <c r="T524" s="307"/>
      <c r="U524" s="307"/>
      <c r="V524" s="307"/>
      <c r="W524" s="309"/>
      <c r="X524" s="306"/>
      <c r="Y524" s="306"/>
    </row>
    <row r="525" spans="1:25" ht="15.6" x14ac:dyDescent="0.3">
      <c r="A525" s="33"/>
      <c r="B525" s="93" t="s">
        <v>254</v>
      </c>
      <c r="C525" s="115"/>
      <c r="D525" s="115"/>
      <c r="E525" s="115"/>
      <c r="F525" s="220"/>
      <c r="G525" s="122"/>
      <c r="H525" s="122"/>
      <c r="I525" s="122"/>
      <c r="J525" s="122"/>
      <c r="K525" s="122"/>
      <c r="L525" s="305"/>
      <c r="M525" s="306"/>
      <c r="N525" s="306"/>
      <c r="O525" s="306"/>
      <c r="P525" s="308"/>
      <c r="Q525" s="306"/>
      <c r="R525" s="306"/>
      <c r="S525" s="307"/>
      <c r="T525" s="307"/>
      <c r="U525" s="307"/>
      <c r="V525" s="307"/>
      <c r="W525" s="309"/>
      <c r="X525" s="306"/>
      <c r="Y525" s="306"/>
    </row>
    <row r="526" spans="1:25" ht="15.6" x14ac:dyDescent="0.3">
      <c r="A526" s="33"/>
      <c r="B526" s="93" t="s">
        <v>255</v>
      </c>
      <c r="C526" s="115"/>
      <c r="D526" s="115"/>
      <c r="E526" s="115"/>
      <c r="F526" s="220"/>
      <c r="G526" s="122"/>
      <c r="H526" s="122"/>
      <c r="I526" s="122"/>
      <c r="J526" s="122"/>
      <c r="K526" s="122"/>
      <c r="L526" s="305"/>
      <c r="M526" s="306"/>
      <c r="N526" s="306"/>
      <c r="O526" s="306"/>
      <c r="P526" s="308"/>
      <c r="Q526" s="306"/>
      <c r="R526" s="306"/>
      <c r="S526" s="307"/>
      <c r="T526" s="307"/>
      <c r="U526" s="307"/>
      <c r="V526" s="307"/>
      <c r="W526" s="309"/>
      <c r="X526" s="306"/>
      <c r="Y526" s="306"/>
    </row>
    <row r="527" spans="1:25" ht="15.6" x14ac:dyDescent="0.3">
      <c r="A527" s="33"/>
      <c r="B527" s="443"/>
      <c r="C527" s="65"/>
      <c r="D527" s="65"/>
      <c r="E527" s="65"/>
      <c r="F527" s="65"/>
      <c r="G527" s="65"/>
      <c r="H527" s="65"/>
      <c r="I527" s="65"/>
      <c r="J527" s="65"/>
      <c r="K527" s="65"/>
      <c r="L527" s="372"/>
      <c r="M527" s="278"/>
      <c r="N527" s="278"/>
      <c r="O527" s="278"/>
      <c r="P527" s="280"/>
      <c r="Q527" s="278"/>
      <c r="R527" s="278"/>
      <c r="S527" s="279"/>
      <c r="T527" s="279"/>
      <c r="U527" s="279"/>
      <c r="V527" s="279"/>
      <c r="W527" s="281"/>
      <c r="X527" s="278"/>
      <c r="Y527" s="278"/>
    </row>
    <row r="528" spans="1:25" s="516" customFormat="1" ht="15.6" x14ac:dyDescent="0.3">
      <c r="A528" s="33"/>
      <c r="B528" s="116" t="s">
        <v>279</v>
      </c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6"/>
      <c r="N528" s="66"/>
      <c r="O528" s="66">
        <v>1000</v>
      </c>
      <c r="P528" s="68">
        <v>1500</v>
      </c>
      <c r="Q528" s="66">
        <v>4600</v>
      </c>
      <c r="R528" s="66">
        <v>3700</v>
      </c>
      <c r="S528" s="66">
        <v>5200</v>
      </c>
      <c r="T528" s="66">
        <v>6100</v>
      </c>
      <c r="U528" s="66">
        <v>2100</v>
      </c>
      <c r="V528" s="66">
        <v>1500</v>
      </c>
      <c r="W528" s="65">
        <v>2800</v>
      </c>
      <c r="X528" s="66">
        <v>3100</v>
      </c>
      <c r="Y528" s="66">
        <v>3000</v>
      </c>
    </row>
    <row r="529" spans="1:25" ht="15.6" x14ac:dyDescent="0.3">
      <c r="A529" s="33"/>
      <c r="B529" s="70"/>
      <c r="C529" s="115"/>
      <c r="D529" s="115"/>
      <c r="E529" s="115"/>
      <c r="F529" s="220"/>
      <c r="G529" s="89"/>
      <c r="H529" s="205"/>
      <c r="I529" s="299"/>
      <c r="J529" s="115"/>
      <c r="K529" s="163"/>
      <c r="L529" s="372"/>
      <c r="M529" s="314"/>
      <c r="N529" s="314"/>
      <c r="O529" s="314"/>
      <c r="P529" s="315"/>
      <c r="Q529" s="314"/>
      <c r="R529" s="314"/>
      <c r="S529" s="316"/>
      <c r="T529" s="316"/>
      <c r="U529" s="316"/>
      <c r="V529" s="316"/>
      <c r="W529" s="317"/>
      <c r="X529" s="314"/>
      <c r="Y529" s="314"/>
    </row>
    <row r="530" spans="1:25" ht="15.6" x14ac:dyDescent="0.3">
      <c r="A530" s="33"/>
      <c r="B530" s="93" t="s">
        <v>258</v>
      </c>
      <c r="C530" s="122"/>
      <c r="D530" s="122"/>
      <c r="E530" s="122"/>
      <c r="F530" s="227"/>
      <c r="G530" s="122"/>
      <c r="H530" s="122"/>
      <c r="I530" s="122"/>
      <c r="J530" s="122"/>
      <c r="K530" s="122"/>
      <c r="L530" s="305"/>
      <c r="M530" s="306"/>
      <c r="N530" s="306"/>
      <c r="O530" s="306"/>
      <c r="P530" s="308"/>
      <c r="Q530" s="306"/>
      <c r="R530" s="306"/>
      <c r="S530" s="307"/>
      <c r="T530" s="307"/>
      <c r="U530" s="307"/>
      <c r="V530" s="307"/>
      <c r="W530" s="309"/>
      <c r="X530" s="306"/>
      <c r="Y530" s="306"/>
    </row>
    <row r="531" spans="1:25" ht="15.6" x14ac:dyDescent="0.3">
      <c r="A531" s="33"/>
      <c r="B531" s="93" t="s">
        <v>259</v>
      </c>
      <c r="C531" s="122"/>
      <c r="D531" s="122"/>
      <c r="E531" s="122"/>
      <c r="F531" s="227"/>
      <c r="G531" s="122"/>
      <c r="H531" s="122"/>
      <c r="I531" s="122"/>
      <c r="J531" s="122"/>
      <c r="K531" s="122"/>
      <c r="L531" s="305"/>
      <c r="M531" s="306"/>
      <c r="N531" s="306"/>
      <c r="O531" s="306"/>
      <c r="P531" s="308"/>
      <c r="Q531" s="306"/>
      <c r="R531" s="306"/>
      <c r="S531" s="307"/>
      <c r="T531" s="307"/>
      <c r="U531" s="307"/>
      <c r="V531" s="307"/>
      <c r="W531" s="309"/>
      <c r="X531" s="306"/>
      <c r="Y531" s="306"/>
    </row>
    <row r="532" spans="1:25" ht="15.6" x14ac:dyDescent="0.3">
      <c r="A532" s="33"/>
      <c r="B532" s="93" t="s">
        <v>260</v>
      </c>
      <c r="C532" s="122"/>
      <c r="D532" s="122"/>
      <c r="E532" s="122"/>
      <c r="F532" s="227"/>
      <c r="G532" s="122"/>
      <c r="H532" s="122"/>
      <c r="I532" s="122"/>
      <c r="J532" s="122"/>
      <c r="K532" s="122"/>
      <c r="L532" s="305"/>
      <c r="M532" s="306"/>
      <c r="N532" s="306"/>
      <c r="O532" s="306"/>
      <c r="P532" s="308"/>
      <c r="Q532" s="306"/>
      <c r="R532" s="306"/>
      <c r="S532" s="307"/>
      <c r="T532" s="307"/>
      <c r="U532" s="307"/>
      <c r="V532" s="307"/>
      <c r="W532" s="309"/>
      <c r="X532" s="306"/>
      <c r="Y532" s="306"/>
    </row>
    <row r="533" spans="1:25" ht="15.6" x14ac:dyDescent="0.3">
      <c r="A533" s="33"/>
      <c r="B533" s="443"/>
      <c r="C533" s="65"/>
      <c r="D533" s="65"/>
      <c r="E533" s="65"/>
      <c r="F533" s="65"/>
      <c r="G533" s="65"/>
      <c r="H533" s="65"/>
      <c r="I533" s="65"/>
      <c r="J533" s="65"/>
      <c r="K533" s="65"/>
      <c r="L533" s="372"/>
      <c r="M533" s="278"/>
      <c r="N533" s="278"/>
      <c r="O533" s="278"/>
      <c r="P533" s="280"/>
      <c r="Q533" s="278"/>
      <c r="R533" s="278"/>
      <c r="S533" s="279"/>
      <c r="T533" s="279"/>
      <c r="U533" s="279"/>
      <c r="V533" s="279"/>
      <c r="W533" s="281"/>
      <c r="X533" s="278"/>
      <c r="Y533" s="278"/>
    </row>
    <row r="534" spans="1:25" s="516" customFormat="1" ht="15.6" x14ac:dyDescent="0.3">
      <c r="A534" s="33"/>
      <c r="B534" s="116" t="s">
        <v>280</v>
      </c>
      <c r="C534" s="65"/>
      <c r="D534" s="65"/>
      <c r="E534" s="65"/>
      <c r="F534" s="65"/>
      <c r="G534" s="65"/>
      <c r="H534" s="65"/>
      <c r="I534" s="65"/>
      <c r="J534" s="65"/>
      <c r="K534" s="65"/>
      <c r="L534" s="375"/>
      <c r="M534" s="274"/>
      <c r="N534" s="274"/>
      <c r="O534" s="274">
        <v>1100</v>
      </c>
      <c r="P534" s="556">
        <f>900+500</f>
        <v>1400</v>
      </c>
      <c r="Q534" s="274">
        <v>1800</v>
      </c>
      <c r="R534" s="274">
        <v>500</v>
      </c>
      <c r="S534" s="275">
        <v>1000</v>
      </c>
      <c r="T534" s="275">
        <v>1000</v>
      </c>
      <c r="U534" s="275">
        <v>2000</v>
      </c>
      <c r="V534" s="275">
        <v>2000</v>
      </c>
      <c r="W534" s="277">
        <v>1000</v>
      </c>
      <c r="X534" s="274">
        <v>1200</v>
      </c>
      <c r="Y534" s="274">
        <v>1500</v>
      </c>
    </row>
    <row r="535" spans="1:25" ht="15.6" x14ac:dyDescent="0.3">
      <c r="A535" s="33"/>
      <c r="B535" s="70"/>
      <c r="C535" s="115"/>
      <c r="D535" s="115"/>
      <c r="E535" s="115"/>
      <c r="F535" s="352"/>
      <c r="G535" s="89"/>
      <c r="H535" s="517"/>
      <c r="I535" s="299"/>
      <c r="J535" s="115"/>
      <c r="K535" s="163"/>
      <c r="L535" s="372"/>
      <c r="M535" s="306"/>
      <c r="N535" s="306"/>
      <c r="O535" s="306"/>
      <c r="P535" s="308"/>
      <c r="Q535" s="306"/>
      <c r="R535" s="306"/>
      <c r="S535" s="307"/>
      <c r="T535" s="307"/>
      <c r="U535" s="307"/>
      <c r="V535" s="307"/>
      <c r="W535" s="309"/>
      <c r="X535" s="306"/>
      <c r="Y535" s="306"/>
    </row>
    <row r="536" spans="1:25" ht="15.6" x14ac:dyDescent="0.3">
      <c r="A536" s="33"/>
      <c r="B536" s="443"/>
      <c r="C536" s="65"/>
      <c r="D536" s="65"/>
      <c r="E536" s="65"/>
      <c r="F536" s="65"/>
      <c r="G536" s="65"/>
      <c r="H536" s="65"/>
      <c r="I536" s="65"/>
      <c r="J536" s="65"/>
      <c r="K536" s="65"/>
      <c r="L536" s="372"/>
      <c r="M536" s="278"/>
      <c r="N536" s="278"/>
      <c r="O536" s="278"/>
      <c r="P536" s="280"/>
      <c r="Q536" s="306"/>
      <c r="R536" s="306"/>
      <c r="S536" s="307"/>
      <c r="T536" s="307"/>
      <c r="U536" s="307"/>
      <c r="V536" s="307"/>
      <c r="W536" s="309"/>
      <c r="X536" s="306"/>
      <c r="Y536" s="306"/>
    </row>
    <row r="537" spans="1:25" ht="15.6" x14ac:dyDescent="0.3">
      <c r="A537" s="33"/>
      <c r="B537" s="116" t="s">
        <v>281</v>
      </c>
      <c r="C537" s="65"/>
      <c r="D537" s="65"/>
      <c r="E537" s="65"/>
      <c r="F537" s="65"/>
      <c r="G537" s="65"/>
      <c r="H537" s="65"/>
      <c r="I537" s="65"/>
      <c r="J537" s="65"/>
      <c r="K537" s="65"/>
      <c r="L537" s="375"/>
      <c r="M537" s="274"/>
      <c r="N537" s="274"/>
      <c r="O537" s="274">
        <v>1800</v>
      </c>
      <c r="P537" s="556">
        <f>1700-100</f>
        <v>1600</v>
      </c>
      <c r="Q537" s="378">
        <f>700-600</f>
        <v>100</v>
      </c>
      <c r="R537" s="378">
        <f>1200-600</f>
        <v>600</v>
      </c>
      <c r="S537" s="379">
        <f>1000+100</f>
        <v>1100</v>
      </c>
      <c r="T537" s="379">
        <f>1050+600</f>
        <v>1650</v>
      </c>
      <c r="U537" s="379">
        <f>1800+600</f>
        <v>2400</v>
      </c>
      <c r="V537" s="275">
        <v>2800</v>
      </c>
      <c r="W537" s="277">
        <v>1300</v>
      </c>
      <c r="X537" s="274">
        <v>2200</v>
      </c>
      <c r="Y537" s="274">
        <v>500</v>
      </c>
    </row>
    <row r="538" spans="1:25" ht="15.6" x14ac:dyDescent="0.3">
      <c r="A538" s="33"/>
      <c r="B538" s="70"/>
      <c r="C538" s="115"/>
      <c r="D538" s="115"/>
      <c r="E538" s="115"/>
      <c r="F538" s="352"/>
      <c r="G538" s="89"/>
      <c r="H538" s="115"/>
      <c r="I538" s="299"/>
      <c r="J538" s="115"/>
      <c r="K538" s="115"/>
      <c r="L538" s="364"/>
      <c r="M538" s="306"/>
      <c r="N538" s="306"/>
      <c r="O538" s="306"/>
      <c r="P538" s="308"/>
      <c r="Q538" s="306"/>
      <c r="R538" s="306"/>
      <c r="S538" s="307"/>
      <c r="T538" s="307"/>
      <c r="U538" s="307"/>
      <c r="V538" s="307"/>
      <c r="W538" s="309"/>
      <c r="X538" s="306"/>
      <c r="Y538" s="306"/>
    </row>
    <row r="539" spans="1:25" ht="15.6" x14ac:dyDescent="0.3">
      <c r="A539" s="33"/>
      <c r="B539" s="443"/>
      <c r="C539" s="115"/>
      <c r="D539" s="115"/>
      <c r="E539" s="115"/>
      <c r="F539" s="220"/>
      <c r="G539" s="115"/>
      <c r="H539" s="115"/>
      <c r="I539" s="115"/>
      <c r="J539" s="115"/>
      <c r="K539" s="115"/>
      <c r="L539" s="372"/>
      <c r="M539" s="278"/>
      <c r="N539" s="278"/>
      <c r="O539" s="278"/>
      <c r="P539" s="280"/>
      <c r="Q539" s="306"/>
      <c r="R539" s="306"/>
      <c r="S539" s="307"/>
      <c r="T539" s="307"/>
      <c r="U539" s="307"/>
      <c r="V539" s="307"/>
      <c r="W539" s="309"/>
      <c r="X539" s="306"/>
      <c r="Y539" s="306"/>
    </row>
    <row r="540" spans="1:25" ht="15.6" x14ac:dyDescent="0.3">
      <c r="A540" s="33"/>
      <c r="B540" s="116" t="s">
        <v>282</v>
      </c>
      <c r="C540" s="115"/>
      <c r="D540" s="115"/>
      <c r="E540" s="65"/>
      <c r="F540" s="208"/>
      <c r="G540" s="65"/>
      <c r="H540" s="65"/>
      <c r="I540" s="65"/>
      <c r="J540" s="65"/>
      <c r="K540" s="65"/>
      <c r="L540" s="375"/>
      <c r="M540" s="274"/>
      <c r="N540" s="274"/>
      <c r="O540" s="274">
        <v>150</v>
      </c>
      <c r="P540" s="276">
        <v>100</v>
      </c>
      <c r="Q540" s="274">
        <v>500</v>
      </c>
      <c r="R540" s="274">
        <v>800</v>
      </c>
      <c r="S540" s="275">
        <v>250</v>
      </c>
      <c r="T540" s="275">
        <v>200</v>
      </c>
      <c r="U540" s="275">
        <v>1000</v>
      </c>
      <c r="V540" s="275">
        <v>1000</v>
      </c>
      <c r="W540" s="277">
        <v>1000</v>
      </c>
      <c r="X540" s="274">
        <v>200</v>
      </c>
      <c r="Y540" s="274">
        <v>500</v>
      </c>
    </row>
    <row r="541" spans="1:25" ht="15.6" x14ac:dyDescent="0.3">
      <c r="A541" s="90"/>
      <c r="B541" s="70"/>
      <c r="C541" s="115"/>
      <c r="D541" s="115"/>
      <c r="E541" s="94"/>
      <c r="F541" s="173"/>
      <c r="G541" s="89"/>
      <c r="H541" s="94"/>
      <c r="I541" s="518"/>
      <c r="J541" s="347"/>
      <c r="K541" s="94"/>
      <c r="L541" s="519"/>
      <c r="M541" s="520"/>
      <c r="N541" s="520"/>
      <c r="O541" s="520"/>
      <c r="P541" s="522"/>
      <c r="Q541" s="520"/>
      <c r="R541" s="520"/>
      <c r="S541" s="521"/>
      <c r="T541" s="521"/>
      <c r="U541" s="521"/>
      <c r="V541" s="521"/>
      <c r="W541" s="523"/>
      <c r="X541" s="520"/>
      <c r="Y541" s="520"/>
    </row>
    <row r="542" spans="1:25" ht="15.6" x14ac:dyDescent="0.3">
      <c r="A542" s="90"/>
      <c r="B542" s="524"/>
      <c r="C542" s="115"/>
      <c r="D542" s="115"/>
      <c r="E542" s="94"/>
      <c r="F542" s="173"/>
      <c r="G542" s="94"/>
      <c r="H542" s="94"/>
      <c r="I542" s="94"/>
      <c r="J542" s="94"/>
      <c r="K542" s="94"/>
      <c r="L542" s="372"/>
      <c r="M542" s="314"/>
      <c r="N542" s="314"/>
      <c r="O542" s="314"/>
      <c r="P542" s="315"/>
      <c r="Q542" s="306"/>
      <c r="R542" s="306"/>
      <c r="S542" s="307"/>
      <c r="T542" s="307"/>
      <c r="U542" s="307"/>
      <c r="V542" s="307"/>
      <c r="W542" s="309"/>
      <c r="X542" s="306"/>
      <c r="Y542" s="306"/>
    </row>
    <row r="543" spans="1:25" ht="15.6" x14ac:dyDescent="0.3">
      <c r="A543" s="33"/>
      <c r="B543" s="116" t="s">
        <v>283</v>
      </c>
      <c r="C543" s="115"/>
      <c r="D543" s="115"/>
      <c r="E543" s="65"/>
      <c r="F543" s="208"/>
      <c r="G543" s="65"/>
      <c r="H543" s="65"/>
      <c r="I543" s="65"/>
      <c r="J543" s="65"/>
      <c r="K543" s="65"/>
      <c r="L543" s="65"/>
      <c r="M543" s="274"/>
      <c r="N543" s="274"/>
      <c r="O543" s="274">
        <v>1300</v>
      </c>
      <c r="P543" s="556">
        <f>1500+1000</f>
        <v>2500</v>
      </c>
      <c r="Q543" s="274">
        <v>1600</v>
      </c>
      <c r="R543" s="274">
        <v>2000</v>
      </c>
      <c r="S543" s="274">
        <v>1350</v>
      </c>
      <c r="T543" s="275">
        <v>50</v>
      </c>
      <c r="U543" s="275">
        <v>100</v>
      </c>
      <c r="V543" s="275">
        <v>0</v>
      </c>
      <c r="W543" s="277">
        <v>0</v>
      </c>
      <c r="X543" s="274">
        <v>0</v>
      </c>
      <c r="Y543" s="274"/>
    </row>
    <row r="544" spans="1:25" ht="15.6" x14ac:dyDescent="0.3">
      <c r="A544" s="90"/>
      <c r="B544" s="70"/>
      <c r="C544" s="65"/>
      <c r="D544" s="65"/>
      <c r="E544" s="65"/>
      <c r="F544" s="298"/>
      <c r="G544" s="89"/>
      <c r="H544" s="115"/>
      <c r="I544" s="299"/>
      <c r="J544" s="200"/>
      <c r="K544" s="163"/>
      <c r="L544" s="372"/>
      <c r="M544" s="278"/>
      <c r="N544" s="278"/>
      <c r="O544" s="278"/>
      <c r="P544" s="280"/>
      <c r="Q544" s="278"/>
      <c r="R544" s="278"/>
      <c r="S544" s="278"/>
      <c r="T544" s="279"/>
      <c r="U544" s="279"/>
      <c r="V544" s="279"/>
      <c r="W544" s="281"/>
      <c r="X544" s="278"/>
      <c r="Y544" s="278"/>
    </row>
    <row r="545" spans="1:25" ht="15.6" x14ac:dyDescent="0.3">
      <c r="A545" s="90"/>
      <c r="B545" s="93" t="s">
        <v>269</v>
      </c>
      <c r="C545" s="122"/>
      <c r="D545" s="122"/>
      <c r="E545" s="94"/>
      <c r="F545" s="173"/>
      <c r="G545" s="122"/>
      <c r="H545" s="122"/>
      <c r="I545" s="122"/>
      <c r="J545" s="122"/>
      <c r="K545" s="122"/>
      <c r="L545" s="305"/>
      <c r="M545" s="306"/>
      <c r="N545" s="306"/>
      <c r="O545" s="306"/>
      <c r="P545" s="308"/>
      <c r="Q545" s="306"/>
      <c r="R545" s="306"/>
      <c r="S545" s="307"/>
      <c r="T545" s="307"/>
      <c r="U545" s="307"/>
      <c r="V545" s="307"/>
      <c r="W545" s="309"/>
      <c r="X545" s="306"/>
      <c r="Y545" s="306"/>
    </row>
    <row r="546" spans="1:25" ht="15.6" x14ac:dyDescent="0.3">
      <c r="A546" s="90"/>
      <c r="B546" s="70"/>
      <c r="C546" s="273"/>
      <c r="D546" s="122"/>
      <c r="E546" s="94"/>
      <c r="F546" s="173"/>
      <c r="G546" s="122"/>
      <c r="H546" s="122"/>
      <c r="I546" s="299"/>
      <c r="J546" s="122"/>
      <c r="K546" s="122"/>
      <c r="L546" s="372"/>
      <c r="M546" s="306"/>
      <c r="N546" s="306"/>
      <c r="O546" s="306"/>
      <c r="P546" s="308"/>
      <c r="Q546" s="306"/>
      <c r="R546" s="306"/>
      <c r="S546" s="307"/>
      <c r="T546" s="307"/>
      <c r="U546" s="307"/>
      <c r="V546" s="307"/>
      <c r="W546" s="309"/>
      <c r="X546" s="306"/>
      <c r="Y546" s="306"/>
    </row>
    <row r="547" spans="1:25" ht="15.6" x14ac:dyDescent="0.3">
      <c r="A547" s="33"/>
      <c r="B547" s="228" t="s">
        <v>270</v>
      </c>
      <c r="C547" s="226"/>
      <c r="D547" s="65"/>
      <c r="E547" s="65"/>
      <c r="F547" s="122"/>
      <c r="G547" s="122"/>
      <c r="H547" s="122"/>
      <c r="I547" s="122"/>
      <c r="J547" s="122"/>
      <c r="K547" s="122"/>
      <c r="L547" s="305"/>
      <c r="M547" s="306"/>
      <c r="N547" s="306"/>
      <c r="O547" s="306"/>
      <c r="P547" s="308"/>
      <c r="Q547" s="306"/>
      <c r="R547" s="306"/>
      <c r="S547" s="306"/>
      <c r="T547" s="307"/>
      <c r="U547" s="307"/>
      <c r="V547" s="307"/>
      <c r="W547" s="309"/>
      <c r="X547" s="306"/>
      <c r="Y547" s="306"/>
    </row>
    <row r="548" spans="1:25" ht="15.6" x14ac:dyDescent="0.3">
      <c r="A548" s="33"/>
      <c r="B548" s="116" t="s">
        <v>40</v>
      </c>
      <c r="C548" s="226"/>
      <c r="D548" s="65"/>
      <c r="E548" s="226"/>
      <c r="F548" s="122"/>
      <c r="G548" s="122"/>
      <c r="H548" s="122"/>
      <c r="I548" s="122"/>
      <c r="J548" s="122"/>
      <c r="K548" s="122"/>
      <c r="L548" s="305"/>
      <c r="M548" s="306"/>
      <c r="N548" s="306"/>
      <c r="O548" s="306">
        <v>0</v>
      </c>
      <c r="P548" s="308">
        <v>0</v>
      </c>
      <c r="Q548" s="306">
        <v>0</v>
      </c>
      <c r="R548" s="274">
        <v>0</v>
      </c>
      <c r="S548" s="274">
        <v>1000</v>
      </c>
      <c r="T548" s="275">
        <v>1200</v>
      </c>
      <c r="U548" s="275">
        <v>2000</v>
      </c>
      <c r="V548" s="275">
        <v>3000</v>
      </c>
      <c r="W548" s="277">
        <v>2500</v>
      </c>
      <c r="X548" s="274">
        <v>2700</v>
      </c>
      <c r="Y548" s="274">
        <v>3000</v>
      </c>
    </row>
    <row r="549" spans="1:25" ht="15.6" x14ac:dyDescent="0.3">
      <c r="A549" s="33"/>
      <c r="B549" s="554"/>
      <c r="C549" s="226"/>
      <c r="D549" s="65"/>
      <c r="E549" s="226"/>
      <c r="F549" s="122"/>
      <c r="G549" s="122"/>
      <c r="H549" s="122"/>
      <c r="I549" s="122"/>
      <c r="J549" s="122"/>
      <c r="K549" s="122"/>
      <c r="L549" s="305"/>
      <c r="M549" s="306"/>
      <c r="N549" s="306"/>
      <c r="O549" s="306"/>
      <c r="P549" s="308"/>
      <c r="Q549" s="306"/>
      <c r="R549" s="274"/>
      <c r="S549" s="274"/>
      <c r="T549" s="275"/>
      <c r="U549" s="275"/>
      <c r="V549" s="275"/>
      <c r="W549" s="277"/>
      <c r="X549" s="274"/>
      <c r="Y549" s="274"/>
    </row>
    <row r="550" spans="1:25" ht="15.6" x14ac:dyDescent="0.3">
      <c r="A550" s="33"/>
      <c r="B550" s="554"/>
      <c r="C550" s="226"/>
      <c r="D550" s="65"/>
      <c r="E550" s="226"/>
      <c r="F550" s="122"/>
      <c r="G550" s="122"/>
      <c r="H550" s="122"/>
      <c r="I550" s="122"/>
      <c r="J550" s="122"/>
      <c r="K550" s="122"/>
      <c r="L550" s="305"/>
      <c r="M550" s="306"/>
      <c r="N550" s="306"/>
      <c r="O550" s="306"/>
      <c r="P550" s="276"/>
      <c r="Q550" s="274"/>
      <c r="R550" s="274"/>
      <c r="S550" s="274"/>
      <c r="T550" s="275"/>
      <c r="U550" s="275"/>
      <c r="V550" s="275"/>
      <c r="W550" s="277"/>
      <c r="X550" s="274"/>
      <c r="Y550" s="274"/>
    </row>
    <row r="551" spans="1:25" ht="15.6" x14ac:dyDescent="0.3">
      <c r="A551" s="33"/>
      <c r="B551" s="557"/>
      <c r="C551" s="226"/>
      <c r="D551" s="65"/>
      <c r="E551" s="226"/>
      <c r="F551" s="122"/>
      <c r="G551" s="122"/>
      <c r="H551" s="122"/>
      <c r="I551" s="122"/>
      <c r="J551" s="122"/>
      <c r="K551" s="122"/>
      <c r="L551" s="305"/>
      <c r="M551" s="306"/>
      <c r="N551" s="306"/>
      <c r="O551" s="306"/>
      <c r="P551" s="308"/>
      <c r="Q551" s="306"/>
      <c r="R551" s="306"/>
      <c r="S551" s="306"/>
      <c r="T551" s="307"/>
      <c r="U551" s="307"/>
      <c r="V551" s="307"/>
      <c r="W551" s="309"/>
      <c r="X551" s="306"/>
      <c r="Y551" s="306"/>
    </row>
    <row r="552" spans="1:25" ht="15" customHeight="1" x14ac:dyDescent="0.3">
      <c r="A552" s="33"/>
      <c r="B552" s="471" t="s">
        <v>284</v>
      </c>
      <c r="C552" s="226"/>
      <c r="D552" s="65"/>
      <c r="E552" s="226"/>
      <c r="F552" s="65"/>
      <c r="G552" s="65"/>
      <c r="H552" s="65"/>
      <c r="I552" s="65"/>
      <c r="J552" s="65"/>
      <c r="K552" s="65"/>
      <c r="L552" s="375"/>
      <c r="M552" s="274"/>
      <c r="N552" s="274"/>
      <c r="O552" s="274">
        <v>650</v>
      </c>
      <c r="P552" s="276">
        <v>700</v>
      </c>
      <c r="Q552" s="274">
        <v>1500</v>
      </c>
      <c r="R552" s="274">
        <v>3100</v>
      </c>
      <c r="S552" s="274">
        <v>1500</v>
      </c>
      <c r="T552" s="275">
        <v>1400</v>
      </c>
      <c r="U552" s="275">
        <v>2000</v>
      </c>
      <c r="V552" s="275">
        <v>1100</v>
      </c>
      <c r="W552" s="277">
        <v>2400</v>
      </c>
      <c r="X552" s="274">
        <v>1600</v>
      </c>
      <c r="Y552" s="274">
        <v>3500</v>
      </c>
    </row>
    <row r="553" spans="1:25" ht="15" customHeight="1" x14ac:dyDescent="0.3">
      <c r="A553" s="75"/>
      <c r="B553" s="70"/>
      <c r="C553" s="74"/>
      <c r="D553" s="74"/>
      <c r="E553" s="2"/>
      <c r="F553" s="75"/>
      <c r="G553" s="75"/>
      <c r="H553" s="75"/>
      <c r="I553" s="75"/>
      <c r="J553" s="75"/>
      <c r="K553" s="76"/>
      <c r="L553" s="77"/>
      <c r="M553" s="78"/>
      <c r="N553" s="78"/>
      <c r="O553" s="558"/>
      <c r="P553" s="559"/>
      <c r="Q553" s="558"/>
      <c r="R553" s="558"/>
      <c r="S553" s="558"/>
      <c r="T553" s="558"/>
      <c r="U553" s="558"/>
      <c r="V553" s="558"/>
      <c r="W553" s="77"/>
      <c r="X553" s="558"/>
      <c r="Y553" s="558"/>
    </row>
    <row r="554" spans="1:25" ht="15" customHeight="1" x14ac:dyDescent="0.3">
      <c r="A554" s="560"/>
      <c r="B554" s="146"/>
      <c r="C554" s="561"/>
      <c r="D554" s="561"/>
      <c r="E554" s="562"/>
      <c r="F554" s="560"/>
      <c r="G554" s="560"/>
      <c r="H554" s="560"/>
      <c r="I554" s="560"/>
      <c r="J554" s="560"/>
      <c r="K554" s="563"/>
      <c r="L554" s="564"/>
      <c r="M554" s="565"/>
      <c r="N554" s="565"/>
      <c r="O554" s="566"/>
      <c r="P554" s="567"/>
      <c r="Q554" s="566"/>
      <c r="R554" s="566"/>
      <c r="S554" s="566"/>
      <c r="T554" s="566"/>
      <c r="U554" s="566"/>
      <c r="V554" s="566"/>
      <c r="W554" s="564"/>
      <c r="X554" s="566"/>
      <c r="Y554" s="566"/>
    </row>
    <row r="555" spans="1:25" ht="15" customHeight="1" x14ac:dyDescent="0.3">
      <c r="A555" s="536" t="s">
        <v>288</v>
      </c>
      <c r="B555" s="568" t="s">
        <v>289</v>
      </c>
      <c r="C555" s="74"/>
      <c r="D555" s="74"/>
      <c r="E555" s="2"/>
      <c r="F555" s="75"/>
      <c r="G555" s="75"/>
      <c r="H555" s="75"/>
      <c r="I555" s="75"/>
      <c r="J555" s="75"/>
      <c r="K555" s="76"/>
      <c r="L555" s="77"/>
      <c r="M555" s="78"/>
      <c r="N555" s="78"/>
      <c r="O555" s="558" t="e">
        <f t="shared" ref="O555:Y555" si="71">O560+O568+O576</f>
        <v>#REF!</v>
      </c>
      <c r="P555" s="559" t="e">
        <f t="shared" si="71"/>
        <v>#REF!</v>
      </c>
      <c r="Q555" s="559" t="e">
        <f t="shared" si="71"/>
        <v>#REF!</v>
      </c>
      <c r="R555" s="559" t="e">
        <f t="shared" si="71"/>
        <v>#REF!</v>
      </c>
      <c r="S555" s="559" t="e">
        <f t="shared" si="71"/>
        <v>#REF!</v>
      </c>
      <c r="T555" s="559" t="e">
        <f t="shared" si="71"/>
        <v>#REF!</v>
      </c>
      <c r="U555" s="559" t="e">
        <f t="shared" si="71"/>
        <v>#REF!</v>
      </c>
      <c r="V555" s="559" t="e">
        <f t="shared" si="71"/>
        <v>#REF!</v>
      </c>
      <c r="W555" s="559" t="e">
        <f t="shared" si="71"/>
        <v>#REF!</v>
      </c>
      <c r="X555" s="559" t="e">
        <f t="shared" si="71"/>
        <v>#REF!</v>
      </c>
      <c r="Y555" s="559" t="e">
        <f t="shared" si="71"/>
        <v>#REF!</v>
      </c>
    </row>
    <row r="556" spans="1:25" ht="15" customHeight="1" x14ac:dyDescent="0.3">
      <c r="A556" s="33"/>
      <c r="B556" s="73" t="s">
        <v>290</v>
      </c>
      <c r="C556" s="74"/>
      <c r="D556" s="74"/>
      <c r="E556" s="2"/>
      <c r="F556" s="75"/>
      <c r="G556" s="75"/>
      <c r="H556" s="75"/>
      <c r="I556" s="75"/>
      <c r="J556" s="75"/>
      <c r="K556" s="76"/>
      <c r="L556" s="77"/>
      <c r="M556" s="78"/>
      <c r="N556" s="78"/>
      <c r="O556" s="558"/>
      <c r="P556" s="80"/>
      <c r="Q556" s="81"/>
      <c r="R556" s="81"/>
      <c r="S556" s="81"/>
      <c r="T556" s="81"/>
      <c r="U556" s="81"/>
      <c r="V556" s="81"/>
      <c r="W556" s="82"/>
      <c r="X556" s="81"/>
      <c r="Y556" s="81"/>
    </row>
    <row r="557" spans="1:25" ht="15" customHeight="1" x14ac:dyDescent="0.3">
      <c r="A557" s="33"/>
      <c r="B557" s="73" t="s">
        <v>19</v>
      </c>
      <c r="C557" s="74"/>
      <c r="D557" s="74"/>
      <c r="E557" s="2"/>
      <c r="F557" s="75"/>
      <c r="G557" s="75"/>
      <c r="H557" s="75"/>
      <c r="I557" s="75"/>
      <c r="J557" s="75"/>
      <c r="K557" s="76"/>
      <c r="L557" s="77"/>
      <c r="M557" s="78"/>
      <c r="N557" s="78"/>
      <c r="O557" s="79"/>
      <c r="P557" s="80">
        <v>8100</v>
      </c>
      <c r="Q557" s="81">
        <v>12000</v>
      </c>
      <c r="R557" s="81">
        <v>12000</v>
      </c>
      <c r="S557" s="81">
        <v>8500</v>
      </c>
      <c r="T557" s="81">
        <v>9600</v>
      </c>
      <c r="U557" s="81">
        <v>13150</v>
      </c>
      <c r="V557" s="81">
        <v>10500</v>
      </c>
      <c r="W557" s="82">
        <v>11350</v>
      </c>
      <c r="X557" s="81">
        <v>11200</v>
      </c>
      <c r="Y557" s="81">
        <v>11000</v>
      </c>
    </row>
    <row r="558" spans="1:25" ht="15" customHeight="1" x14ac:dyDescent="0.3">
      <c r="A558" s="33"/>
      <c r="B558" s="73" t="s">
        <v>20</v>
      </c>
      <c r="C558" s="74"/>
      <c r="D558" s="74"/>
      <c r="E558" s="2"/>
      <c r="F558" s="75"/>
      <c r="G558" s="75"/>
      <c r="H558" s="75"/>
      <c r="I558" s="75"/>
      <c r="J558" s="75"/>
      <c r="K558" s="76"/>
      <c r="L558" s="77"/>
      <c r="M558" s="78"/>
      <c r="N558" s="78"/>
      <c r="O558" s="79"/>
      <c r="P558" s="80" t="e">
        <f t="shared" ref="P558:Y558" si="72">P555-P557</f>
        <v>#REF!</v>
      </c>
      <c r="Q558" s="81" t="e">
        <f t="shared" si="72"/>
        <v>#REF!</v>
      </c>
      <c r="R558" s="81" t="e">
        <f t="shared" si="72"/>
        <v>#REF!</v>
      </c>
      <c r="S558" s="81" t="e">
        <f t="shared" si="72"/>
        <v>#REF!</v>
      </c>
      <c r="T558" s="81" t="e">
        <f t="shared" si="72"/>
        <v>#REF!</v>
      </c>
      <c r="U558" s="81" t="e">
        <f t="shared" si="72"/>
        <v>#REF!</v>
      </c>
      <c r="V558" s="81" t="e">
        <f t="shared" si="72"/>
        <v>#REF!</v>
      </c>
      <c r="W558" s="82" t="e">
        <f t="shared" si="72"/>
        <v>#REF!</v>
      </c>
      <c r="X558" s="81" t="e">
        <f t="shared" si="72"/>
        <v>#REF!</v>
      </c>
      <c r="Y558" s="81" t="e">
        <f t="shared" si="72"/>
        <v>#REF!</v>
      </c>
    </row>
    <row r="559" spans="1:25" ht="15" customHeight="1" x14ac:dyDescent="0.3">
      <c r="A559" s="33"/>
      <c r="B559" s="569"/>
      <c r="C559" s="74"/>
      <c r="D559" s="74"/>
      <c r="E559" s="2"/>
      <c r="F559" s="75"/>
      <c r="G559" s="75"/>
      <c r="H559" s="75"/>
      <c r="I559" s="75"/>
      <c r="J559" s="75"/>
      <c r="K559" s="76"/>
      <c r="L559" s="77"/>
      <c r="M559" s="78"/>
      <c r="N559" s="78"/>
      <c r="O559" s="558"/>
      <c r="P559" s="183"/>
      <c r="Q559" s="184"/>
      <c r="R559" s="184"/>
      <c r="S559" s="184"/>
      <c r="T559" s="184"/>
      <c r="U559" s="184"/>
      <c r="V559" s="184"/>
      <c r="W559" s="185"/>
      <c r="X559" s="184"/>
      <c r="Y559" s="184"/>
    </row>
    <row r="560" spans="1:25" ht="15" customHeight="1" x14ac:dyDescent="0.3">
      <c r="A560" s="570"/>
      <c r="B560" s="571" t="s">
        <v>291</v>
      </c>
      <c r="C560" s="74"/>
      <c r="D560" s="74"/>
      <c r="E560" s="2"/>
      <c r="F560" s="75"/>
      <c r="G560" s="75"/>
      <c r="H560" s="75"/>
      <c r="I560" s="75"/>
      <c r="J560" s="75"/>
      <c r="K560" s="76"/>
      <c r="L560" s="77"/>
      <c r="M560" s="78"/>
      <c r="N560" s="78"/>
      <c r="O560" s="558" t="e">
        <f>SUM(O561,#REF!,#REF!)</f>
        <v>#REF!</v>
      </c>
      <c r="P560" s="559" t="e">
        <f>SUM(P561,#REF!,#REF!)</f>
        <v>#REF!</v>
      </c>
      <c r="Q560" s="558" t="e">
        <f>SUM(Q561,#REF!,#REF!)</f>
        <v>#REF!</v>
      </c>
      <c r="R560" s="558" t="e">
        <f>SUM(R561,#REF!,#REF!)</f>
        <v>#REF!</v>
      </c>
      <c r="S560" s="558" t="e">
        <f>SUM(S561,#REF!,#REF!)</f>
        <v>#REF!</v>
      </c>
      <c r="T560" s="558" t="e">
        <f>SUM(T561,#REF!,#REF!)</f>
        <v>#REF!</v>
      </c>
      <c r="U560" s="558" t="e">
        <f>SUM(U561,#REF!,#REF!)</f>
        <v>#REF!</v>
      </c>
      <c r="V560" s="558" t="e">
        <f>SUM(V561,#REF!,#REF!)</f>
        <v>#REF!</v>
      </c>
      <c r="W560" s="77" t="e">
        <f>SUM(W561,#REF!,#REF!)</f>
        <v>#REF!</v>
      </c>
      <c r="X560" s="558" t="e">
        <f>SUM(X561,#REF!,#REF!)</f>
        <v>#REF!</v>
      </c>
      <c r="Y560" s="558" t="e">
        <f>SUM(Y561,#REF!,#REF!)</f>
        <v>#REF!</v>
      </c>
    </row>
    <row r="561" spans="1:25" ht="15" customHeight="1" x14ac:dyDescent="0.3">
      <c r="A561" s="33"/>
      <c r="B561" s="471" t="s">
        <v>292</v>
      </c>
      <c r="C561" s="74"/>
      <c r="D561" s="74"/>
      <c r="E561" s="2"/>
      <c r="F561" s="75"/>
      <c r="G561" s="75"/>
      <c r="H561" s="75"/>
      <c r="I561" s="75"/>
      <c r="J561" s="75"/>
      <c r="K561" s="76"/>
      <c r="L561" s="77"/>
      <c r="M561" s="78"/>
      <c r="N561" s="78"/>
      <c r="O561" s="558">
        <v>500</v>
      </c>
      <c r="P561" s="559">
        <v>1200</v>
      </c>
      <c r="Q561" s="558">
        <v>3100</v>
      </c>
      <c r="R561" s="558">
        <v>600</v>
      </c>
      <c r="S561" s="558">
        <v>500</v>
      </c>
      <c r="T561" s="558">
        <v>500</v>
      </c>
      <c r="U561" s="558">
        <v>500</v>
      </c>
      <c r="V561" s="558">
        <v>500</v>
      </c>
      <c r="W561" s="77">
        <v>500</v>
      </c>
      <c r="X561" s="558">
        <v>500</v>
      </c>
      <c r="Y561" s="558">
        <v>500</v>
      </c>
    </row>
    <row r="562" spans="1:25" s="2" customFormat="1" ht="15" customHeight="1" x14ac:dyDescent="0.25">
      <c r="A562" s="51"/>
      <c r="B562" s="471" t="s">
        <v>293</v>
      </c>
      <c r="C562" s="74"/>
      <c r="D562" s="74"/>
      <c r="F562" s="75"/>
      <c r="G562" s="75"/>
      <c r="H562" s="75"/>
      <c r="I562" s="75"/>
      <c r="J562" s="75"/>
      <c r="K562" s="76"/>
      <c r="L562" s="284"/>
      <c r="M562" s="572"/>
      <c r="N562" s="572"/>
      <c r="O562" s="285">
        <v>200</v>
      </c>
      <c r="P562" s="474">
        <v>1000</v>
      </c>
      <c r="Q562" s="285">
        <v>850</v>
      </c>
      <c r="R562" s="285">
        <v>500</v>
      </c>
      <c r="S562" s="285">
        <v>200</v>
      </c>
      <c r="T562" s="285">
        <v>1600</v>
      </c>
      <c r="U562" s="285">
        <v>1700</v>
      </c>
      <c r="V562" s="285">
        <v>1800</v>
      </c>
      <c r="W562" s="284">
        <v>2000</v>
      </c>
      <c r="X562" s="285">
        <v>2000</v>
      </c>
      <c r="Y562" s="285">
        <v>1600</v>
      </c>
    </row>
    <row r="563" spans="1:25" s="2" customFormat="1" ht="15" customHeight="1" x14ac:dyDescent="0.25">
      <c r="A563" s="51"/>
      <c r="B563" s="471" t="s">
        <v>294</v>
      </c>
      <c r="C563" s="74"/>
      <c r="D563" s="74"/>
      <c r="F563" s="75"/>
      <c r="G563" s="75"/>
      <c r="H563" s="75"/>
      <c r="I563" s="75"/>
      <c r="J563" s="75"/>
      <c r="K563" s="76"/>
      <c r="L563" s="284"/>
      <c r="M563" s="572"/>
      <c r="N563" s="572"/>
      <c r="O563" s="285">
        <v>900</v>
      </c>
      <c r="P563" s="474">
        <v>600</v>
      </c>
      <c r="Q563" s="285">
        <v>450</v>
      </c>
      <c r="R563" s="285">
        <v>100</v>
      </c>
      <c r="S563" s="285">
        <v>0</v>
      </c>
      <c r="T563" s="285">
        <v>0</v>
      </c>
      <c r="U563" s="285">
        <v>0</v>
      </c>
      <c r="V563" s="285">
        <v>200</v>
      </c>
      <c r="W563" s="284">
        <v>1000</v>
      </c>
      <c r="X563" s="285">
        <v>700</v>
      </c>
      <c r="Y563" s="285"/>
    </row>
    <row r="564" spans="1:25" ht="15" customHeight="1" x14ac:dyDescent="0.3">
      <c r="A564" s="33"/>
      <c r="B564" s="471" t="s">
        <v>295</v>
      </c>
      <c r="C564" s="74"/>
      <c r="D564" s="74"/>
      <c r="E564" s="2"/>
      <c r="F564" s="75"/>
      <c r="G564" s="75"/>
      <c r="H564" s="75"/>
      <c r="I564" s="75"/>
      <c r="J564" s="75"/>
      <c r="K564" s="76"/>
      <c r="L564" s="77"/>
      <c r="M564" s="78"/>
      <c r="N564" s="78"/>
      <c r="O564" s="558">
        <v>100</v>
      </c>
      <c r="P564" s="474">
        <v>0</v>
      </c>
      <c r="Q564" s="285">
        <v>400</v>
      </c>
      <c r="R564" s="285">
        <v>0</v>
      </c>
      <c r="S564" s="285">
        <v>0</v>
      </c>
      <c r="T564" s="285">
        <v>500</v>
      </c>
      <c r="U564" s="285">
        <v>0</v>
      </c>
      <c r="V564" s="285">
        <v>0</v>
      </c>
      <c r="W564" s="284">
        <v>0</v>
      </c>
      <c r="X564" s="285">
        <v>0</v>
      </c>
      <c r="Y564" s="285"/>
    </row>
    <row r="565" spans="1:25" ht="15" customHeight="1" x14ac:dyDescent="0.3">
      <c r="A565" s="33"/>
      <c r="B565" s="471" t="s">
        <v>296</v>
      </c>
      <c r="C565" s="74"/>
      <c r="D565" s="74"/>
      <c r="E565" s="2"/>
      <c r="F565" s="75"/>
      <c r="G565" s="75"/>
      <c r="H565" s="75"/>
      <c r="I565" s="75"/>
      <c r="J565" s="75"/>
      <c r="K565" s="76"/>
      <c r="L565" s="77"/>
      <c r="M565" s="78"/>
      <c r="N565" s="78"/>
      <c r="O565" s="558">
        <v>700</v>
      </c>
      <c r="P565" s="474">
        <v>0</v>
      </c>
      <c r="Q565" s="285">
        <v>0</v>
      </c>
      <c r="R565" s="285">
        <v>0</v>
      </c>
      <c r="S565" s="285">
        <v>0</v>
      </c>
      <c r="T565" s="285">
        <v>0</v>
      </c>
      <c r="U565" s="285">
        <v>0</v>
      </c>
      <c r="V565" s="285">
        <v>100</v>
      </c>
      <c r="W565" s="284">
        <v>700</v>
      </c>
      <c r="X565" s="285">
        <v>700</v>
      </c>
      <c r="Y565" s="285">
        <v>200</v>
      </c>
    </row>
    <row r="566" spans="1:25" ht="15" customHeight="1" x14ac:dyDescent="0.3">
      <c r="A566" s="33"/>
      <c r="B566" s="573" t="s">
        <v>297</v>
      </c>
      <c r="C566" s="74"/>
      <c r="D566" s="74"/>
      <c r="E566" s="2"/>
      <c r="F566" s="75"/>
      <c r="G566" s="75"/>
      <c r="H566" s="75"/>
      <c r="I566" s="75"/>
      <c r="J566" s="75"/>
      <c r="K566" s="76"/>
      <c r="L566" s="77"/>
      <c r="M566" s="78"/>
      <c r="N566" s="78"/>
      <c r="O566" s="558">
        <v>0</v>
      </c>
      <c r="P566" s="474">
        <v>0</v>
      </c>
      <c r="Q566" s="285">
        <v>0</v>
      </c>
      <c r="R566" s="285">
        <v>0</v>
      </c>
      <c r="S566" s="482">
        <v>1000</v>
      </c>
      <c r="T566" s="285">
        <v>0</v>
      </c>
      <c r="U566" s="285">
        <v>0</v>
      </c>
      <c r="V566" s="285">
        <v>0</v>
      </c>
      <c r="W566" s="284">
        <v>1000</v>
      </c>
      <c r="X566" s="285">
        <v>0</v>
      </c>
      <c r="Y566" s="285"/>
    </row>
    <row r="567" spans="1:25" ht="15" customHeight="1" x14ac:dyDescent="0.3">
      <c r="A567" s="33"/>
      <c r="B567" s="557"/>
      <c r="C567" s="74"/>
      <c r="D567" s="74"/>
      <c r="E567" s="2"/>
      <c r="F567" s="75"/>
      <c r="G567" s="75"/>
      <c r="H567" s="75"/>
      <c r="I567" s="75"/>
      <c r="J567" s="75"/>
      <c r="K567" s="76"/>
      <c r="L567" s="77"/>
      <c r="M567" s="78"/>
      <c r="N567" s="78"/>
      <c r="O567" s="558"/>
      <c r="P567" s="559"/>
      <c r="Q567" s="558"/>
      <c r="R567" s="558"/>
      <c r="S567" s="558"/>
      <c r="T567" s="558"/>
      <c r="U567" s="558"/>
      <c r="V567" s="558"/>
      <c r="W567" s="77"/>
      <c r="X567" s="558"/>
      <c r="Y567" s="558"/>
    </row>
    <row r="568" spans="1:25" ht="15" customHeight="1" x14ac:dyDescent="0.3">
      <c r="A568" s="570"/>
      <c r="B568" s="571" t="s">
        <v>284</v>
      </c>
      <c r="C568" s="74"/>
      <c r="D568" s="74"/>
      <c r="E568" s="2"/>
      <c r="F568" s="75"/>
      <c r="G568" s="75"/>
      <c r="H568" s="75"/>
      <c r="I568" s="75"/>
      <c r="J568" s="75"/>
      <c r="K568" s="76"/>
      <c r="L568" s="77"/>
      <c r="M568" s="78"/>
      <c r="N568" s="78"/>
      <c r="O568" s="558" t="e">
        <f t="shared" ref="O568:Y568" si="73">SUM(O569:O573)</f>
        <v>#REF!</v>
      </c>
      <c r="P568" s="559" t="e">
        <f t="shared" si="73"/>
        <v>#REF!</v>
      </c>
      <c r="Q568" s="558" t="e">
        <f t="shared" si="73"/>
        <v>#REF!</v>
      </c>
      <c r="R568" s="558" t="e">
        <f t="shared" si="73"/>
        <v>#REF!</v>
      </c>
      <c r="S568" s="558" t="e">
        <f t="shared" si="73"/>
        <v>#REF!</v>
      </c>
      <c r="T568" s="558" t="e">
        <f t="shared" si="73"/>
        <v>#REF!</v>
      </c>
      <c r="U568" s="558" t="e">
        <f t="shared" si="73"/>
        <v>#REF!</v>
      </c>
      <c r="V568" s="558" t="e">
        <f t="shared" si="73"/>
        <v>#REF!</v>
      </c>
      <c r="W568" s="77" t="e">
        <f t="shared" si="73"/>
        <v>#REF!</v>
      </c>
      <c r="X568" s="558" t="e">
        <f t="shared" si="73"/>
        <v>#REF!</v>
      </c>
      <c r="Y568" s="558" t="e">
        <f t="shared" si="73"/>
        <v>#REF!</v>
      </c>
    </row>
    <row r="569" spans="1:25" ht="15" customHeight="1" x14ac:dyDescent="0.3">
      <c r="A569" s="33"/>
      <c r="B569" s="471" t="s">
        <v>292</v>
      </c>
      <c r="C569" s="74"/>
      <c r="D569" s="74"/>
      <c r="E569" s="2"/>
      <c r="F569" s="75"/>
      <c r="G569" s="75"/>
      <c r="H569" s="75"/>
      <c r="I569" s="75"/>
      <c r="J569" s="75"/>
      <c r="K569" s="76"/>
      <c r="L569" s="77"/>
      <c r="M569" s="78"/>
      <c r="N569" s="78"/>
      <c r="O569" s="558">
        <v>150</v>
      </c>
      <c r="P569" s="559">
        <v>400</v>
      </c>
      <c r="Q569" s="558">
        <v>500</v>
      </c>
      <c r="R569" s="558">
        <v>1000</v>
      </c>
      <c r="S569" s="574">
        <f>1600+1000</f>
        <v>2600</v>
      </c>
      <c r="T569" s="574">
        <f>500+1000</f>
        <v>1500</v>
      </c>
      <c r="U569" s="574">
        <f>500+1000</f>
        <v>1500</v>
      </c>
      <c r="V569" s="558">
        <v>500</v>
      </c>
      <c r="W569" s="77">
        <v>500</v>
      </c>
      <c r="X569" s="558">
        <v>500</v>
      </c>
      <c r="Y569" s="558">
        <v>2000</v>
      </c>
    </row>
    <row r="570" spans="1:25" ht="15" customHeight="1" x14ac:dyDescent="0.3">
      <c r="A570" s="33"/>
      <c r="B570" s="471" t="s">
        <v>293</v>
      </c>
      <c r="C570" s="74"/>
      <c r="D570" s="74"/>
      <c r="E570" s="2"/>
      <c r="F570" s="75"/>
      <c r="G570" s="75"/>
      <c r="H570" s="75"/>
      <c r="I570" s="75"/>
      <c r="J570" s="75"/>
      <c r="K570" s="76"/>
      <c r="L570" s="77"/>
      <c r="M570" s="78"/>
      <c r="N570" s="78"/>
      <c r="O570" s="558">
        <v>1600</v>
      </c>
      <c r="P570" s="559">
        <v>1800</v>
      </c>
      <c r="Q570" s="558">
        <v>1600</v>
      </c>
      <c r="R570" s="558">
        <f>1500+700</f>
        <v>2200</v>
      </c>
      <c r="S570" s="558">
        <v>700</v>
      </c>
      <c r="T570" s="558">
        <v>400</v>
      </c>
      <c r="U570" s="558">
        <v>1050</v>
      </c>
      <c r="V570" s="574">
        <v>2500</v>
      </c>
      <c r="W570" s="514">
        <f>2050+500</f>
        <v>2550</v>
      </c>
      <c r="X570" s="574">
        <f>2000+1000</f>
        <v>3000</v>
      </c>
      <c r="Y570" s="574">
        <f>2000+1000</f>
        <v>3000</v>
      </c>
    </row>
    <row r="571" spans="1:25" ht="15" customHeight="1" x14ac:dyDescent="0.3">
      <c r="A571" s="33"/>
      <c r="B571" s="471" t="s">
        <v>294</v>
      </c>
      <c r="C571" s="74"/>
      <c r="D571" s="74"/>
      <c r="E571" s="2"/>
      <c r="F571" s="75"/>
      <c r="G571" s="75"/>
      <c r="H571" s="75"/>
      <c r="I571" s="75"/>
      <c r="J571" s="75"/>
      <c r="K571" s="76"/>
      <c r="L571" s="77"/>
      <c r="M571" s="78"/>
      <c r="N571" s="78"/>
      <c r="O571" s="558"/>
      <c r="P571" s="559"/>
      <c r="Q571" s="558"/>
      <c r="R571" s="558"/>
      <c r="S571" s="558"/>
      <c r="T571" s="558"/>
      <c r="U571" s="558"/>
      <c r="V571" s="574"/>
      <c r="W571" s="514"/>
      <c r="X571" s="574"/>
      <c r="Y571" s="574"/>
    </row>
    <row r="572" spans="1:25" ht="15" customHeight="1" x14ac:dyDescent="0.3">
      <c r="A572" s="33"/>
      <c r="B572" s="471" t="s">
        <v>295</v>
      </c>
      <c r="C572" s="74"/>
      <c r="D572" s="74"/>
      <c r="E572" s="2"/>
      <c r="F572" s="75"/>
      <c r="G572" s="75"/>
      <c r="H572" s="75"/>
      <c r="I572" s="75"/>
      <c r="J572" s="75"/>
      <c r="K572" s="76"/>
      <c r="L572" s="77"/>
      <c r="M572" s="78"/>
      <c r="N572" s="78"/>
      <c r="O572" s="558"/>
      <c r="P572" s="559"/>
      <c r="Q572" s="558"/>
      <c r="R572" s="558"/>
      <c r="S572" s="558"/>
      <c r="T572" s="558"/>
      <c r="U572" s="558"/>
      <c r="V572" s="574"/>
      <c r="W572" s="514"/>
      <c r="X572" s="574"/>
      <c r="Y572" s="574"/>
    </row>
    <row r="573" spans="1:25" ht="15" customHeight="1" x14ac:dyDescent="0.3">
      <c r="A573" s="33"/>
      <c r="B573" s="471" t="s">
        <v>296</v>
      </c>
      <c r="C573" s="74"/>
      <c r="D573" s="74"/>
      <c r="E573" s="2"/>
      <c r="F573" s="75"/>
      <c r="G573" s="75"/>
      <c r="H573" s="75"/>
      <c r="I573" s="75"/>
      <c r="J573" s="75"/>
      <c r="K573" s="76"/>
      <c r="L573" s="77"/>
      <c r="M573" s="78"/>
      <c r="N573" s="78"/>
      <c r="O573" s="558" t="e">
        <f>SUM(O574,#REF!)</f>
        <v>#REF!</v>
      </c>
      <c r="P573" s="575" t="e">
        <f>P574+#REF!</f>
        <v>#REF!</v>
      </c>
      <c r="Q573" s="558" t="e">
        <f>Q574+#REF!</f>
        <v>#REF!</v>
      </c>
      <c r="R573" s="558" t="e">
        <f>R574+#REF!</f>
        <v>#REF!</v>
      </c>
      <c r="S573" s="558" t="e">
        <f>S574+#REF!</f>
        <v>#REF!</v>
      </c>
      <c r="T573" s="558" t="e">
        <f>T574+#REF!</f>
        <v>#REF!</v>
      </c>
      <c r="U573" s="558" t="e">
        <f>U574+#REF!</f>
        <v>#REF!</v>
      </c>
      <c r="V573" s="574" t="e">
        <f>V574+#REF!</f>
        <v>#REF!</v>
      </c>
      <c r="W573" s="514" t="e">
        <f>W574+#REF!</f>
        <v>#REF!</v>
      </c>
      <c r="X573" s="558" t="e">
        <f>X574+#REF!</f>
        <v>#REF!</v>
      </c>
      <c r="Y573" s="558" t="e">
        <f>Y574+#REF!</f>
        <v>#REF!</v>
      </c>
    </row>
    <row r="574" spans="1:25" ht="15" customHeight="1" x14ac:dyDescent="0.3">
      <c r="A574" s="33"/>
      <c r="B574" s="573" t="s">
        <v>297</v>
      </c>
      <c r="C574" s="74"/>
      <c r="D574" s="74"/>
      <c r="E574" s="2"/>
      <c r="F574" s="75"/>
      <c r="G574" s="75"/>
      <c r="H574" s="75"/>
      <c r="I574" s="75"/>
      <c r="J574" s="75"/>
      <c r="K574" s="76"/>
      <c r="L574" s="77"/>
      <c r="M574" s="78"/>
      <c r="N574" s="78"/>
      <c r="O574" s="558">
        <v>750</v>
      </c>
      <c r="P574" s="474" t="e">
        <f>#REF!+#REF!</f>
        <v>#REF!</v>
      </c>
      <c r="Q574" s="285" t="e">
        <f>#REF!+#REF!</f>
        <v>#REF!</v>
      </c>
      <c r="R574" s="285" t="e">
        <f>#REF!+#REF!</f>
        <v>#REF!</v>
      </c>
      <c r="S574" s="285" t="e">
        <f>#REF!+#REF!</f>
        <v>#REF!</v>
      </c>
      <c r="T574" s="285" t="e">
        <f>#REF!+#REF!</f>
        <v>#REF!</v>
      </c>
      <c r="U574" s="285" t="e">
        <f>#REF!+#REF!</f>
        <v>#REF!</v>
      </c>
      <c r="V574" s="285" t="e">
        <f>#REF!+#REF!</f>
        <v>#REF!</v>
      </c>
      <c r="W574" s="285" t="e">
        <f>#REF!+#REF!</f>
        <v>#REF!</v>
      </c>
      <c r="X574" s="285" t="e">
        <f>#REF!+#REF!</f>
        <v>#REF!</v>
      </c>
      <c r="Y574" s="285">
        <v>1000</v>
      </c>
    </row>
    <row r="575" spans="1:25" ht="15" customHeight="1" x14ac:dyDescent="0.3">
      <c r="A575" s="33"/>
      <c r="B575" s="557"/>
      <c r="C575" s="74"/>
      <c r="D575" s="74"/>
      <c r="E575" s="2"/>
      <c r="F575" s="75"/>
      <c r="G575" s="75"/>
      <c r="H575" s="75"/>
      <c r="I575" s="75"/>
      <c r="J575" s="75"/>
      <c r="K575" s="76"/>
      <c r="L575" s="77"/>
      <c r="M575" s="78"/>
      <c r="N575" s="78"/>
      <c r="O575" s="558"/>
      <c r="P575" s="559"/>
      <c r="Q575" s="558"/>
      <c r="R575" s="558"/>
      <c r="S575" s="558"/>
      <c r="T575" s="558"/>
      <c r="U575" s="558"/>
      <c r="V575" s="558"/>
      <c r="W575" s="77" t="s">
        <v>3</v>
      </c>
      <c r="X575" s="558"/>
      <c r="Y575" s="558"/>
    </row>
    <row r="576" spans="1:25" ht="15" customHeight="1" x14ac:dyDescent="0.3">
      <c r="A576" s="570"/>
      <c r="B576" s="571" t="s">
        <v>298</v>
      </c>
      <c r="C576" s="74"/>
      <c r="D576" s="74"/>
      <c r="E576" s="2"/>
      <c r="F576" s="75"/>
      <c r="G576" s="75"/>
      <c r="H576" s="75"/>
      <c r="I576" s="75"/>
      <c r="J576" s="75"/>
      <c r="K576" s="76"/>
      <c r="L576" s="77"/>
      <c r="M576" s="78"/>
      <c r="N576" s="78"/>
      <c r="O576" s="558" t="e">
        <f t="shared" ref="O576:Y576" si="74">SUM(O577:O581)</f>
        <v>#REF!</v>
      </c>
      <c r="P576" s="559" t="e">
        <f t="shared" si="74"/>
        <v>#REF!</v>
      </c>
      <c r="Q576" s="558" t="e">
        <f t="shared" si="74"/>
        <v>#REF!</v>
      </c>
      <c r="R576" s="558" t="e">
        <f t="shared" si="74"/>
        <v>#REF!</v>
      </c>
      <c r="S576" s="558" t="e">
        <f t="shared" si="74"/>
        <v>#REF!</v>
      </c>
      <c r="T576" s="558" t="e">
        <f t="shared" si="74"/>
        <v>#REF!</v>
      </c>
      <c r="U576" s="558" t="e">
        <f t="shared" si="74"/>
        <v>#REF!</v>
      </c>
      <c r="V576" s="558" t="e">
        <f t="shared" si="74"/>
        <v>#REF!</v>
      </c>
      <c r="W576" s="77" t="e">
        <f t="shared" si="74"/>
        <v>#REF!</v>
      </c>
      <c r="X576" s="558" t="e">
        <f t="shared" si="74"/>
        <v>#REF!</v>
      </c>
      <c r="Y576" s="558" t="e">
        <f t="shared" si="74"/>
        <v>#REF!</v>
      </c>
    </row>
    <row r="577" spans="1:25" ht="15" customHeight="1" x14ac:dyDescent="0.3">
      <c r="A577" s="33"/>
      <c r="B577" s="471" t="s">
        <v>292</v>
      </c>
      <c r="C577" s="74"/>
      <c r="D577" s="74"/>
      <c r="E577" s="2"/>
      <c r="F577" s="75"/>
      <c r="G577" s="75"/>
      <c r="H577" s="75"/>
      <c r="I577" s="75"/>
      <c r="J577" s="75"/>
      <c r="K577" s="76"/>
      <c r="L577" s="77"/>
      <c r="M577" s="78"/>
      <c r="N577" s="78"/>
      <c r="O577" s="558">
        <v>350</v>
      </c>
      <c r="P577" s="559">
        <v>400</v>
      </c>
      <c r="Q577" s="558">
        <v>1200</v>
      </c>
      <c r="R577" s="558">
        <v>2000</v>
      </c>
      <c r="S577" s="574">
        <v>3000</v>
      </c>
      <c r="T577" s="574">
        <v>2800</v>
      </c>
      <c r="U577" s="574">
        <v>2100</v>
      </c>
      <c r="V577" s="558">
        <v>500</v>
      </c>
      <c r="W577" s="514">
        <v>1000</v>
      </c>
      <c r="X577" s="574">
        <v>1000</v>
      </c>
      <c r="Y577" s="574">
        <v>1000</v>
      </c>
    </row>
    <row r="578" spans="1:25" ht="15" customHeight="1" x14ac:dyDescent="0.3">
      <c r="A578" s="33"/>
      <c r="B578" s="471" t="s">
        <v>293</v>
      </c>
      <c r="C578" s="74"/>
      <c r="D578" s="74"/>
      <c r="E578" s="2"/>
      <c r="F578" s="75"/>
      <c r="G578" s="75"/>
      <c r="H578" s="75"/>
      <c r="I578" s="75"/>
      <c r="J578" s="75"/>
      <c r="K578" s="76"/>
      <c r="L578" s="77"/>
      <c r="M578" s="78"/>
      <c r="N578" s="78"/>
      <c r="O578" s="558">
        <v>1100</v>
      </c>
      <c r="P578" s="559">
        <v>600</v>
      </c>
      <c r="Q578" s="558">
        <v>2300</v>
      </c>
      <c r="R578" s="558">
        <v>4300</v>
      </c>
      <c r="S578" s="558">
        <v>2000</v>
      </c>
      <c r="T578" s="558">
        <v>3400</v>
      </c>
      <c r="U578" s="558">
        <v>3500</v>
      </c>
      <c r="V578" s="574">
        <v>1200</v>
      </c>
      <c r="W578" s="514">
        <v>2100</v>
      </c>
      <c r="X578" s="574">
        <v>2500</v>
      </c>
      <c r="Y578" s="574">
        <v>1900</v>
      </c>
    </row>
    <row r="579" spans="1:25" ht="15" customHeight="1" x14ac:dyDescent="0.3">
      <c r="A579" s="33"/>
      <c r="B579" s="471" t="s">
        <v>294</v>
      </c>
      <c r="C579" s="74"/>
      <c r="D579" s="74"/>
      <c r="E579" s="2"/>
      <c r="F579" s="75"/>
      <c r="G579" s="75"/>
      <c r="H579" s="75"/>
      <c r="I579" s="75"/>
      <c r="J579" s="75"/>
      <c r="K579" s="76"/>
      <c r="L579" s="77"/>
      <c r="M579" s="78"/>
      <c r="N579" s="78"/>
      <c r="O579" s="558"/>
      <c r="P579" s="559"/>
      <c r="Q579" s="558"/>
      <c r="R579" s="558"/>
      <c r="S579" s="558"/>
      <c r="T579" s="558"/>
      <c r="U579" s="558"/>
      <c r="V579" s="574"/>
      <c r="W579" s="514"/>
      <c r="X579" s="574"/>
      <c r="Y579" s="574"/>
    </row>
    <row r="580" spans="1:25" ht="15" customHeight="1" x14ac:dyDescent="0.3">
      <c r="A580" s="33"/>
      <c r="B580" s="471" t="s">
        <v>295</v>
      </c>
      <c r="C580" s="74"/>
      <c r="D580" s="74"/>
      <c r="E580" s="2"/>
      <c r="F580" s="75"/>
      <c r="G580" s="75"/>
      <c r="H580" s="75"/>
      <c r="I580" s="75"/>
      <c r="J580" s="75"/>
      <c r="K580" s="76"/>
      <c r="L580" s="77"/>
      <c r="M580" s="78"/>
      <c r="N580" s="78"/>
      <c r="O580" s="558"/>
      <c r="P580" s="559"/>
      <c r="Q580" s="558"/>
      <c r="R580" s="558"/>
      <c r="S580" s="558"/>
      <c r="T580" s="558"/>
      <c r="U580" s="558"/>
      <c r="V580" s="574"/>
      <c r="W580" s="514"/>
      <c r="X580" s="574"/>
      <c r="Y580" s="574"/>
    </row>
    <row r="581" spans="1:25" ht="15" customHeight="1" x14ac:dyDescent="0.3">
      <c r="A581" s="33"/>
      <c r="B581" s="471" t="s">
        <v>296</v>
      </c>
      <c r="C581" s="74"/>
      <c r="D581" s="74"/>
      <c r="E581" s="2"/>
      <c r="F581" s="75"/>
      <c r="G581" s="75"/>
      <c r="H581" s="75"/>
      <c r="I581" s="75"/>
      <c r="J581" s="75"/>
      <c r="K581" s="76"/>
      <c r="L581" s="77"/>
      <c r="M581" s="78"/>
      <c r="N581" s="78"/>
      <c r="O581" s="558" t="e">
        <f>SUM(O582,#REF!)</f>
        <v>#REF!</v>
      </c>
      <c r="P581" s="559" t="e">
        <f>SUM(P582,#REF!)</f>
        <v>#REF!</v>
      </c>
      <c r="Q581" s="558" t="e">
        <f>SUM(Q582,#REF!)</f>
        <v>#REF!</v>
      </c>
      <c r="R581" s="558" t="e">
        <f>SUM(R582,#REF!)</f>
        <v>#REF!</v>
      </c>
      <c r="S581" s="558" t="e">
        <f>SUM(S582,#REF!)</f>
        <v>#REF!</v>
      </c>
      <c r="T581" s="558" t="e">
        <f>SUM(T582,#REF!)</f>
        <v>#REF!</v>
      </c>
      <c r="U581" s="558" t="e">
        <f>SUM(U582,#REF!)</f>
        <v>#REF!</v>
      </c>
      <c r="V581" s="558" t="e">
        <f>SUM(V582,#REF!)</f>
        <v>#REF!</v>
      </c>
      <c r="W581" s="77" t="e">
        <f>SUM(W582,#REF!)</f>
        <v>#REF!</v>
      </c>
      <c r="X581" s="558" t="e">
        <f>SUM(X582,#REF!)</f>
        <v>#REF!</v>
      </c>
      <c r="Y581" s="558" t="e">
        <f>SUM(Y582,#REF!)</f>
        <v>#REF!</v>
      </c>
    </row>
    <row r="582" spans="1:25" ht="15" customHeight="1" x14ac:dyDescent="0.3">
      <c r="A582" s="33"/>
      <c r="B582" s="573" t="s">
        <v>297</v>
      </c>
      <c r="C582" s="74"/>
      <c r="D582" s="74"/>
      <c r="E582" s="2"/>
      <c r="F582" s="75"/>
      <c r="G582" s="75"/>
      <c r="H582" s="75"/>
      <c r="I582" s="75"/>
      <c r="J582" s="75"/>
      <c r="K582" s="76"/>
      <c r="L582" s="77"/>
      <c r="M582" s="78"/>
      <c r="N582" s="78"/>
      <c r="O582" s="558" t="e">
        <f>#REF!+#REF!</f>
        <v>#REF!</v>
      </c>
      <c r="P582" s="474" t="e">
        <f>#REF!+#REF!</f>
        <v>#REF!</v>
      </c>
      <c r="Q582" s="285" t="e">
        <f>#REF!+#REF!</f>
        <v>#REF!</v>
      </c>
      <c r="R582" s="285" t="e">
        <f>#REF!+#REF!</f>
        <v>#REF!</v>
      </c>
      <c r="S582" s="285" t="e">
        <f>#REF!+#REF!</f>
        <v>#REF!</v>
      </c>
      <c r="T582" s="285" t="e">
        <f>#REF!+#REF!</f>
        <v>#REF!</v>
      </c>
      <c r="U582" s="285" t="e">
        <f>#REF!+#REF!</f>
        <v>#REF!</v>
      </c>
      <c r="V582" s="285" t="e">
        <f>#REF!+#REF!</f>
        <v>#REF!</v>
      </c>
      <c r="W582" s="285" t="e">
        <f>#REF!+#REF!</f>
        <v>#REF!</v>
      </c>
      <c r="X582" s="285" t="e">
        <f>#REF!+#REF!</f>
        <v>#REF!</v>
      </c>
      <c r="Y582" s="285"/>
    </row>
    <row r="583" spans="1:25" ht="15" customHeight="1" x14ac:dyDescent="0.3">
      <c r="A583" s="33"/>
      <c r="B583" s="103"/>
      <c r="C583" s="74"/>
      <c r="D583" s="74"/>
      <c r="E583" s="2"/>
      <c r="F583" s="75"/>
      <c r="G583" s="75"/>
      <c r="H583" s="75"/>
      <c r="I583" s="75"/>
      <c r="J583" s="75"/>
      <c r="K583" s="76"/>
      <c r="L583" s="77"/>
      <c r="M583" s="78"/>
      <c r="N583" s="78"/>
      <c r="O583" s="558"/>
      <c r="P583" s="559"/>
      <c r="Q583" s="558"/>
      <c r="R583" s="558"/>
      <c r="S583" s="558"/>
      <c r="T583" s="558"/>
      <c r="U583" s="558"/>
      <c r="V583" s="558"/>
      <c r="W583" s="77"/>
      <c r="X583" s="558"/>
      <c r="Y583" s="558"/>
    </row>
    <row r="584" spans="1:25" ht="15" customHeight="1" x14ac:dyDescent="0.3">
      <c r="A584" s="536" t="s">
        <v>299</v>
      </c>
      <c r="B584" s="576" t="s">
        <v>300</v>
      </c>
      <c r="C584" s="74"/>
      <c r="D584" s="74"/>
      <c r="E584" s="2"/>
      <c r="F584" s="75"/>
      <c r="G584" s="75"/>
      <c r="H584" s="75"/>
      <c r="I584" s="75"/>
      <c r="J584" s="75"/>
      <c r="K584" s="76"/>
      <c r="L584" s="77"/>
      <c r="M584" s="78"/>
      <c r="N584" s="78"/>
      <c r="O584" s="558">
        <f t="shared" ref="O584:Y584" si="75">O590+O595+O599</f>
        <v>163500</v>
      </c>
      <c r="P584" s="559" t="e">
        <f t="shared" si="75"/>
        <v>#REF!</v>
      </c>
      <c r="Q584" s="558" t="e">
        <f t="shared" si="75"/>
        <v>#REF!</v>
      </c>
      <c r="R584" s="558" t="e">
        <f t="shared" si="75"/>
        <v>#REF!</v>
      </c>
      <c r="S584" s="558" t="e">
        <f t="shared" si="75"/>
        <v>#REF!</v>
      </c>
      <c r="T584" s="558" t="e">
        <f t="shared" si="75"/>
        <v>#REF!</v>
      </c>
      <c r="U584" s="558" t="e">
        <f t="shared" si="75"/>
        <v>#REF!</v>
      </c>
      <c r="V584" s="558" t="e">
        <f t="shared" si="75"/>
        <v>#REF!</v>
      </c>
      <c r="W584" s="77" t="e">
        <f t="shared" si="75"/>
        <v>#REF!</v>
      </c>
      <c r="X584" s="558" t="e">
        <f t="shared" si="75"/>
        <v>#REF!</v>
      </c>
      <c r="Y584" s="558">
        <f t="shared" si="75"/>
        <v>20000</v>
      </c>
    </row>
    <row r="585" spans="1:25" ht="15" customHeight="1" x14ac:dyDescent="0.3">
      <c r="A585" s="33"/>
      <c r="B585" s="73" t="s">
        <v>19</v>
      </c>
      <c r="C585" s="74"/>
      <c r="D585" s="74"/>
      <c r="E585" s="2"/>
      <c r="F585" s="75"/>
      <c r="G585" s="75"/>
      <c r="H585" s="75"/>
      <c r="I585" s="75"/>
      <c r="J585" s="75"/>
      <c r="K585" s="76"/>
      <c r="L585" s="77"/>
      <c r="M585" s="78"/>
      <c r="N585" s="78"/>
      <c r="O585" s="79"/>
      <c r="P585" s="80">
        <v>139600</v>
      </c>
      <c r="Q585" s="81">
        <v>91800</v>
      </c>
      <c r="R585" s="81">
        <f>48600</f>
        <v>48600</v>
      </c>
      <c r="S585" s="81">
        <f>13200</f>
        <v>13200</v>
      </c>
      <c r="T585" s="81">
        <v>3200</v>
      </c>
      <c r="U585" s="81">
        <v>9100</v>
      </c>
      <c r="V585" s="81">
        <v>12800</v>
      </c>
      <c r="W585" s="82">
        <v>8500</v>
      </c>
      <c r="X585" s="81">
        <v>20100</v>
      </c>
      <c r="Y585" s="81">
        <v>20000</v>
      </c>
    </row>
    <row r="586" spans="1:25" ht="15" customHeight="1" x14ac:dyDescent="0.3">
      <c r="A586" s="33"/>
      <c r="B586" s="73" t="s">
        <v>20</v>
      </c>
      <c r="C586" s="74"/>
      <c r="D586" s="74"/>
      <c r="E586" s="2"/>
      <c r="F586" s="75"/>
      <c r="G586" s="75"/>
      <c r="H586" s="75"/>
      <c r="I586" s="75"/>
      <c r="J586" s="75"/>
      <c r="K586" s="76"/>
      <c r="L586" s="77"/>
      <c r="M586" s="78"/>
      <c r="N586" s="78"/>
      <c r="O586" s="79"/>
      <c r="P586" s="80" t="e">
        <f t="shared" ref="P586:Y586" si="76">P584-P585</f>
        <v>#REF!</v>
      </c>
      <c r="Q586" s="81" t="e">
        <f t="shared" si="76"/>
        <v>#REF!</v>
      </c>
      <c r="R586" s="81" t="e">
        <f t="shared" si="76"/>
        <v>#REF!</v>
      </c>
      <c r="S586" s="81" t="e">
        <f t="shared" si="76"/>
        <v>#REF!</v>
      </c>
      <c r="T586" s="81" t="e">
        <f t="shared" si="76"/>
        <v>#REF!</v>
      </c>
      <c r="U586" s="81" t="e">
        <f t="shared" si="76"/>
        <v>#REF!</v>
      </c>
      <c r="V586" s="81" t="e">
        <f t="shared" si="76"/>
        <v>#REF!</v>
      </c>
      <c r="W586" s="82" t="e">
        <f t="shared" si="76"/>
        <v>#REF!</v>
      </c>
      <c r="X586" s="81" t="e">
        <f t="shared" si="76"/>
        <v>#REF!</v>
      </c>
      <c r="Y586" s="81">
        <f t="shared" si="76"/>
        <v>0</v>
      </c>
    </row>
    <row r="587" spans="1:25" ht="15" customHeight="1" x14ac:dyDescent="0.3">
      <c r="A587" s="33"/>
      <c r="B587" s="182" t="s">
        <v>59</v>
      </c>
      <c r="C587" s="74"/>
      <c r="D587" s="74"/>
      <c r="E587" s="2"/>
      <c r="F587" s="75"/>
      <c r="G587" s="75"/>
      <c r="H587" s="75"/>
      <c r="I587" s="75"/>
      <c r="J587" s="75"/>
      <c r="K587" s="76"/>
      <c r="L587" s="77"/>
      <c r="M587" s="78"/>
      <c r="N587" s="78"/>
      <c r="O587" s="79"/>
      <c r="P587" s="183">
        <v>133300</v>
      </c>
      <c r="Q587" s="184">
        <v>78600</v>
      </c>
      <c r="R587" s="184">
        <v>41200</v>
      </c>
      <c r="S587" s="184">
        <v>11500</v>
      </c>
      <c r="T587" s="184">
        <v>4100</v>
      </c>
      <c r="U587" s="184">
        <v>10900</v>
      </c>
      <c r="V587" s="184">
        <v>30300</v>
      </c>
      <c r="W587" s="185">
        <v>30200</v>
      </c>
      <c r="X587" s="184">
        <v>30500</v>
      </c>
      <c r="Y587" s="184"/>
    </row>
    <row r="588" spans="1:25" ht="15" customHeight="1" x14ac:dyDescent="0.3">
      <c r="A588" s="33"/>
      <c r="B588" s="73" t="s">
        <v>20</v>
      </c>
      <c r="C588" s="74"/>
      <c r="D588" s="74"/>
      <c r="E588" s="2"/>
      <c r="F588" s="75"/>
      <c r="G588" s="75"/>
      <c r="H588" s="75"/>
      <c r="I588" s="75"/>
      <c r="J588" s="75"/>
      <c r="K588" s="76"/>
      <c r="L588" s="77"/>
      <c r="M588" s="78"/>
      <c r="N588" s="78"/>
      <c r="O588" s="79"/>
      <c r="P588" s="80" t="e">
        <f t="shared" ref="P588:Y588" si="77">P584-P587</f>
        <v>#REF!</v>
      </c>
      <c r="Q588" s="81" t="e">
        <f t="shared" si="77"/>
        <v>#REF!</v>
      </c>
      <c r="R588" s="81" t="e">
        <f t="shared" si="77"/>
        <v>#REF!</v>
      </c>
      <c r="S588" s="81" t="e">
        <f t="shared" si="77"/>
        <v>#REF!</v>
      </c>
      <c r="T588" s="81" t="e">
        <f t="shared" si="77"/>
        <v>#REF!</v>
      </c>
      <c r="U588" s="81" t="e">
        <f t="shared" si="77"/>
        <v>#REF!</v>
      </c>
      <c r="V588" s="81" t="e">
        <f t="shared" si="77"/>
        <v>#REF!</v>
      </c>
      <c r="W588" s="82" t="e">
        <f t="shared" si="77"/>
        <v>#REF!</v>
      </c>
      <c r="X588" s="81" t="e">
        <f t="shared" si="77"/>
        <v>#REF!</v>
      </c>
      <c r="Y588" s="81">
        <f t="shared" si="77"/>
        <v>20000</v>
      </c>
    </row>
    <row r="589" spans="1:25" ht="15" customHeight="1" x14ac:dyDescent="0.3">
      <c r="A589" s="33"/>
      <c r="B589" s="103"/>
      <c r="C589" s="74"/>
      <c r="D589" s="74"/>
      <c r="E589" s="2"/>
      <c r="F589" s="75"/>
      <c r="G589" s="75"/>
      <c r="H589" s="75"/>
      <c r="I589" s="75"/>
      <c r="J589" s="75"/>
      <c r="K589" s="76"/>
      <c r="L589" s="77"/>
      <c r="M589" s="78"/>
      <c r="N589" s="78"/>
      <c r="O589" s="79"/>
      <c r="P589" s="183"/>
      <c r="Q589" s="184"/>
      <c r="R589" s="184"/>
      <c r="S589" s="184"/>
      <c r="T589" s="184"/>
      <c r="U589" s="184"/>
      <c r="V589" s="184"/>
      <c r="W589" s="185"/>
      <c r="X589" s="184"/>
      <c r="Y589" s="184"/>
    </row>
    <row r="590" spans="1:25" ht="15" customHeight="1" x14ac:dyDescent="0.3">
      <c r="A590" s="570"/>
      <c r="B590" s="487" t="s">
        <v>301</v>
      </c>
      <c r="C590" s="74"/>
      <c r="D590" s="74"/>
      <c r="E590" s="2"/>
      <c r="F590" s="75"/>
      <c r="G590" s="75"/>
      <c r="H590" s="75"/>
      <c r="I590" s="75"/>
      <c r="J590" s="75"/>
      <c r="K590" s="76"/>
      <c r="L590" s="77"/>
      <c r="M590" s="78"/>
      <c r="N590" s="274"/>
      <c r="O590" s="558">
        <f t="shared" ref="O590:X590" si="78">SUM(O591:O593)</f>
        <v>99400</v>
      </c>
      <c r="P590" s="559" t="e">
        <f t="shared" si="78"/>
        <v>#REF!</v>
      </c>
      <c r="Q590" s="558" t="e">
        <f t="shared" si="78"/>
        <v>#REF!</v>
      </c>
      <c r="R590" s="558" t="e">
        <f t="shared" si="78"/>
        <v>#REF!</v>
      </c>
      <c r="S590" s="558" t="e">
        <f t="shared" si="78"/>
        <v>#REF!</v>
      </c>
      <c r="T590" s="558" t="e">
        <f t="shared" si="78"/>
        <v>#REF!</v>
      </c>
      <c r="U590" s="558" t="e">
        <f t="shared" si="78"/>
        <v>#REF!</v>
      </c>
      <c r="V590" s="558" t="e">
        <f t="shared" si="78"/>
        <v>#REF!</v>
      </c>
      <c r="W590" s="77" t="e">
        <f t="shared" si="78"/>
        <v>#REF!</v>
      </c>
      <c r="X590" s="558" t="e">
        <f t="shared" si="78"/>
        <v>#REF!</v>
      </c>
      <c r="Y590" s="558"/>
    </row>
    <row r="591" spans="1:25" ht="15" customHeight="1" x14ac:dyDescent="0.3">
      <c r="A591" s="33"/>
      <c r="B591" s="471" t="s">
        <v>302</v>
      </c>
      <c r="C591" s="74"/>
      <c r="D591" s="74"/>
      <c r="E591" s="2"/>
      <c r="F591" s="75"/>
      <c r="G591" s="75"/>
      <c r="H591" s="75"/>
      <c r="I591" s="75"/>
      <c r="J591" s="75"/>
      <c r="K591" s="76"/>
      <c r="L591" s="77"/>
      <c r="M591" s="78"/>
      <c r="N591" s="274"/>
      <c r="O591" s="558">
        <v>33300</v>
      </c>
      <c r="P591" s="559">
        <v>28000</v>
      </c>
      <c r="Q591" s="577">
        <v>15600</v>
      </c>
      <c r="R591" s="577">
        <v>9600</v>
      </c>
      <c r="S591" s="558">
        <v>1500</v>
      </c>
      <c r="T591" s="558">
        <v>300</v>
      </c>
      <c r="U591" s="558">
        <v>200</v>
      </c>
      <c r="V591" s="558">
        <v>200</v>
      </c>
      <c r="W591" s="77">
        <v>200</v>
      </c>
      <c r="X591" s="558">
        <v>200</v>
      </c>
      <c r="Y591" s="558"/>
    </row>
    <row r="592" spans="1:25" ht="15" customHeight="1" x14ac:dyDescent="0.3">
      <c r="A592" s="33"/>
      <c r="B592" s="471" t="s">
        <v>303</v>
      </c>
      <c r="C592" s="74"/>
      <c r="D592" s="74"/>
      <c r="E592" s="2"/>
      <c r="F592" s="75"/>
      <c r="G592" s="75"/>
      <c r="H592" s="75"/>
      <c r="I592" s="75"/>
      <c r="J592" s="75"/>
      <c r="K592" s="76"/>
      <c r="L592" s="77"/>
      <c r="M592" s="78"/>
      <c r="N592" s="274"/>
      <c r="O592" s="558">
        <v>28300</v>
      </c>
      <c r="P592" s="559">
        <f>15400+1400-200</f>
        <v>16600</v>
      </c>
      <c r="Q592" s="577">
        <f>25600+0</f>
        <v>25600</v>
      </c>
      <c r="R592" s="577">
        <f>12100+1600</f>
        <v>13700</v>
      </c>
      <c r="S592" s="558">
        <f>3100+100</f>
        <v>3200</v>
      </c>
      <c r="T592" s="558">
        <v>600</v>
      </c>
      <c r="U592" s="558">
        <v>300</v>
      </c>
      <c r="V592" s="558">
        <v>300</v>
      </c>
      <c r="W592" s="77">
        <v>200</v>
      </c>
      <c r="X592" s="558">
        <v>600</v>
      </c>
      <c r="Y592" s="558"/>
    </row>
    <row r="593" spans="1:25" ht="15" customHeight="1" x14ac:dyDescent="0.3">
      <c r="A593" s="33"/>
      <c r="B593" s="471" t="s">
        <v>304</v>
      </c>
      <c r="C593" s="74"/>
      <c r="D593" s="74"/>
      <c r="E593" s="2"/>
      <c r="F593" s="75"/>
      <c r="G593" s="75"/>
      <c r="H593" s="75"/>
      <c r="I593" s="75"/>
      <c r="J593" s="75"/>
      <c r="K593" s="76"/>
      <c r="L593" s="77"/>
      <c r="M593" s="78"/>
      <c r="N593" s="274"/>
      <c r="O593" s="558">
        <v>37800</v>
      </c>
      <c r="P593" s="559" t="e">
        <f>P594+#REF!</f>
        <v>#REF!</v>
      </c>
      <c r="Q593" s="577" t="e">
        <f>Q594+#REF!</f>
        <v>#REF!</v>
      </c>
      <c r="R593" s="577" t="e">
        <f>R594+#REF!</f>
        <v>#REF!</v>
      </c>
      <c r="S593" s="577" t="e">
        <f>S594+#REF!+#REF!</f>
        <v>#REF!</v>
      </c>
      <c r="T593" s="577" t="e">
        <f>T594+#REF!+#REF!</f>
        <v>#REF!</v>
      </c>
      <c r="U593" s="577" t="e">
        <f>U594+#REF!+#REF!</f>
        <v>#REF!</v>
      </c>
      <c r="V593" s="577" t="e">
        <f>V594+#REF!+#REF!</f>
        <v>#REF!</v>
      </c>
      <c r="W593" s="578" t="e">
        <f>W594+#REF!+#REF!</f>
        <v>#REF!</v>
      </c>
      <c r="X593" s="577" t="e">
        <f>X594+#REF!+#REF!</f>
        <v>#REF!</v>
      </c>
      <c r="Y593" s="558" t="e">
        <f>Y594+#REF!+#REF!</f>
        <v>#REF!</v>
      </c>
    </row>
    <row r="594" spans="1:25" ht="15" customHeight="1" x14ac:dyDescent="0.3">
      <c r="A594" s="33"/>
      <c r="B594" s="92"/>
      <c r="C594" s="74"/>
      <c r="D594" s="74"/>
      <c r="E594" s="2"/>
      <c r="F594" s="75"/>
      <c r="G594" s="75"/>
      <c r="H594" s="75"/>
      <c r="I594" s="75"/>
      <c r="J594" s="75"/>
      <c r="K594" s="76"/>
      <c r="L594" s="77"/>
      <c r="M594" s="78"/>
      <c r="N594" s="274"/>
      <c r="O594" s="558"/>
      <c r="P594" s="474">
        <v>31000</v>
      </c>
      <c r="Q594" s="285">
        <v>33300</v>
      </c>
      <c r="R594" s="285">
        <v>19200</v>
      </c>
      <c r="S594" s="285">
        <v>4700</v>
      </c>
      <c r="T594" s="285">
        <v>500</v>
      </c>
      <c r="U594" s="285">
        <v>400</v>
      </c>
      <c r="V594" s="285">
        <v>400</v>
      </c>
      <c r="W594" s="284">
        <v>300</v>
      </c>
      <c r="X594" s="285">
        <v>800</v>
      </c>
      <c r="Y594" s="558"/>
    </row>
    <row r="595" spans="1:25" ht="15" customHeight="1" x14ac:dyDescent="0.3">
      <c r="A595" s="570"/>
      <c r="B595" s="487" t="s">
        <v>305</v>
      </c>
      <c r="C595" s="74"/>
      <c r="D595" s="74"/>
      <c r="E595" s="2"/>
      <c r="F595" s="75"/>
      <c r="G595" s="75"/>
      <c r="H595" s="75"/>
      <c r="I595" s="75"/>
      <c r="J595" s="75"/>
      <c r="K595" s="76"/>
      <c r="L595" s="77"/>
      <c r="M595" s="78"/>
      <c r="N595" s="274"/>
      <c r="O595" s="558">
        <f>SUM(O596:O597)</f>
        <v>50900</v>
      </c>
      <c r="P595" s="559">
        <f>SUM(P596:P597)</f>
        <v>43500</v>
      </c>
      <c r="Q595" s="558">
        <f>SUM(Q596:Q597)</f>
        <v>8600</v>
      </c>
      <c r="R595" s="558">
        <f>SUM(R596:R597)</f>
        <v>1500</v>
      </c>
      <c r="S595" s="558">
        <v>0</v>
      </c>
      <c r="T595" s="558">
        <v>0</v>
      </c>
      <c r="U595" s="558">
        <v>0</v>
      </c>
      <c r="V595" s="558">
        <v>0</v>
      </c>
      <c r="W595" s="558">
        <v>0</v>
      </c>
      <c r="X595" s="558">
        <v>0</v>
      </c>
      <c r="Y595" s="558"/>
    </row>
    <row r="596" spans="1:25" ht="15" customHeight="1" x14ac:dyDescent="0.3">
      <c r="A596" s="33"/>
      <c r="B596" s="471" t="s">
        <v>303</v>
      </c>
      <c r="C596" s="74"/>
      <c r="D596" s="74"/>
      <c r="E596" s="2"/>
      <c r="F596" s="75"/>
      <c r="G596" s="75"/>
      <c r="H596" s="75"/>
      <c r="I596" s="75"/>
      <c r="J596" s="75"/>
      <c r="K596" s="76"/>
      <c r="L596" s="77"/>
      <c r="M596" s="78"/>
      <c r="N596" s="274"/>
      <c r="O596" s="558">
        <v>10500</v>
      </c>
      <c r="P596" s="559">
        <v>2900</v>
      </c>
      <c r="Q596" s="558">
        <v>400</v>
      </c>
      <c r="R596" s="558">
        <v>0</v>
      </c>
      <c r="S596" s="558">
        <v>0</v>
      </c>
      <c r="T596" s="558">
        <v>0</v>
      </c>
      <c r="U596" s="558">
        <v>0</v>
      </c>
      <c r="V596" s="558">
        <v>0</v>
      </c>
      <c r="W596" s="558">
        <v>0</v>
      </c>
      <c r="X596" s="558">
        <v>0</v>
      </c>
      <c r="Y596" s="558"/>
    </row>
    <row r="597" spans="1:25" ht="15" customHeight="1" x14ac:dyDescent="0.3">
      <c r="A597" s="33"/>
      <c r="B597" s="471" t="s">
        <v>304</v>
      </c>
      <c r="C597" s="74"/>
      <c r="D597" s="74"/>
      <c r="E597" s="2"/>
      <c r="F597" s="75"/>
      <c r="G597" s="75"/>
      <c r="H597" s="75"/>
      <c r="I597" s="75"/>
      <c r="J597" s="75"/>
      <c r="K597" s="76"/>
      <c r="L597" s="77"/>
      <c r="M597" s="78"/>
      <c r="N597" s="274"/>
      <c r="O597" s="558">
        <v>40400</v>
      </c>
      <c r="P597" s="559">
        <v>40600</v>
      </c>
      <c r="Q597" s="558">
        <v>8200</v>
      </c>
      <c r="R597" s="558">
        <v>1500</v>
      </c>
      <c r="S597" s="558">
        <v>0</v>
      </c>
      <c r="T597" s="558">
        <v>0</v>
      </c>
      <c r="U597" s="558">
        <v>0</v>
      </c>
      <c r="V597" s="558">
        <v>0</v>
      </c>
      <c r="W597" s="558">
        <v>0</v>
      </c>
      <c r="X597" s="558">
        <v>0</v>
      </c>
      <c r="Y597" s="558"/>
    </row>
    <row r="598" spans="1:25" ht="15" customHeight="1" x14ac:dyDescent="0.3">
      <c r="A598" s="33"/>
      <c r="B598" s="103"/>
      <c r="C598" s="74"/>
      <c r="D598" s="74"/>
      <c r="E598" s="2"/>
      <c r="F598" s="75"/>
      <c r="G598" s="75"/>
      <c r="H598" s="75"/>
      <c r="I598" s="75"/>
      <c r="J598" s="75"/>
      <c r="K598" s="76"/>
      <c r="L598" s="77"/>
      <c r="M598" s="78"/>
      <c r="N598" s="274"/>
      <c r="O598" s="558"/>
      <c r="P598" s="559"/>
      <c r="Q598" s="558"/>
      <c r="R598" s="558"/>
      <c r="S598" s="558"/>
      <c r="T598" s="558"/>
      <c r="U598" s="558"/>
      <c r="V598" s="558"/>
      <c r="W598" s="77"/>
      <c r="X598" s="558"/>
      <c r="Y598" s="558"/>
    </row>
    <row r="599" spans="1:25" ht="15" customHeight="1" x14ac:dyDescent="0.3">
      <c r="A599" s="570"/>
      <c r="B599" s="487" t="s">
        <v>306</v>
      </c>
      <c r="C599" s="74"/>
      <c r="D599" s="74"/>
      <c r="E599" s="2"/>
      <c r="F599" s="75"/>
      <c r="G599" s="75"/>
      <c r="H599" s="75"/>
      <c r="I599" s="75"/>
      <c r="J599" s="75"/>
      <c r="K599" s="76"/>
      <c r="L599" s="77"/>
      <c r="M599" s="78"/>
      <c r="N599" s="274"/>
      <c r="O599" s="558">
        <v>13200</v>
      </c>
      <c r="P599" s="559">
        <f>20500</f>
        <v>20500</v>
      </c>
      <c r="Q599" s="558">
        <v>8700</v>
      </c>
      <c r="R599" s="558">
        <v>800</v>
      </c>
      <c r="S599" s="558">
        <v>0</v>
      </c>
      <c r="T599" s="558">
        <v>0</v>
      </c>
      <c r="U599" s="558">
        <v>0</v>
      </c>
      <c r="V599" s="558">
        <v>0</v>
      </c>
      <c r="W599" s="77">
        <v>1000</v>
      </c>
      <c r="X599" s="558">
        <v>15000</v>
      </c>
      <c r="Y599" s="558">
        <v>20000</v>
      </c>
    </row>
    <row r="600" spans="1:25" ht="15" customHeight="1" x14ac:dyDescent="0.25">
      <c r="A600" s="75"/>
      <c r="B600" s="92"/>
      <c r="C600" s="74"/>
      <c r="D600" s="74"/>
      <c r="E600" s="2"/>
      <c r="F600" s="75"/>
      <c r="G600" s="75"/>
      <c r="H600" s="75"/>
      <c r="I600" s="75"/>
      <c r="J600" s="75"/>
      <c r="K600" s="76"/>
      <c r="L600" s="77"/>
      <c r="M600" s="78"/>
      <c r="N600" s="78"/>
      <c r="O600" s="558"/>
      <c r="P600" s="559"/>
      <c r="Q600" s="558"/>
      <c r="R600" s="558"/>
      <c r="S600" s="558"/>
      <c r="T600" s="558"/>
      <c r="U600" s="558"/>
      <c r="V600" s="558"/>
      <c r="W600" s="77"/>
      <c r="X600" s="558"/>
      <c r="Y600" s="558"/>
    </row>
    <row r="601" spans="1:25" ht="15" customHeight="1" x14ac:dyDescent="0.3">
      <c r="A601" s="75"/>
      <c r="B601" s="140"/>
      <c r="C601" s="74"/>
      <c r="D601" s="74"/>
      <c r="E601" s="2"/>
      <c r="F601" s="75"/>
      <c r="G601" s="75"/>
      <c r="H601" s="75"/>
      <c r="I601" s="75"/>
      <c r="J601" s="75"/>
      <c r="K601" s="76"/>
      <c r="L601" s="77"/>
      <c r="M601" s="78"/>
      <c r="N601" s="78"/>
      <c r="O601" s="558"/>
      <c r="P601" s="559"/>
      <c r="Q601" s="558"/>
      <c r="R601" s="558"/>
      <c r="S601" s="558"/>
      <c r="T601" s="558"/>
      <c r="U601" s="558"/>
      <c r="V601" s="558"/>
      <c r="W601" s="77"/>
      <c r="X601" s="558"/>
      <c r="Y601" s="558"/>
    </row>
    <row r="602" spans="1:25" ht="15" customHeight="1" x14ac:dyDescent="0.3">
      <c r="A602" s="75"/>
      <c r="B602" s="140"/>
      <c r="C602" s="74"/>
      <c r="D602" s="74"/>
      <c r="E602" s="2"/>
      <c r="F602" s="75"/>
      <c r="G602" s="75"/>
      <c r="H602" s="75"/>
      <c r="I602" s="75"/>
      <c r="J602" s="75"/>
      <c r="K602" s="76"/>
      <c r="L602" s="77"/>
      <c r="M602" s="78"/>
      <c r="N602" s="78"/>
      <c r="O602" s="558"/>
      <c r="P602" s="559"/>
      <c r="Q602" s="558"/>
      <c r="R602" s="558"/>
      <c r="S602" s="558"/>
      <c r="T602" s="558"/>
      <c r="U602" s="558"/>
      <c r="V602" s="558"/>
      <c r="W602" s="77"/>
      <c r="X602" s="558"/>
      <c r="Y602" s="558"/>
    </row>
    <row r="603" spans="1:25" ht="15" customHeight="1" x14ac:dyDescent="0.3">
      <c r="A603" s="75"/>
      <c r="B603" s="140"/>
      <c r="C603" s="74"/>
      <c r="D603" s="74"/>
      <c r="E603" s="2"/>
      <c r="F603" s="75"/>
      <c r="G603" s="75"/>
      <c r="H603" s="75"/>
      <c r="I603" s="75"/>
      <c r="J603" s="75"/>
      <c r="K603" s="76"/>
      <c r="L603" s="77"/>
      <c r="M603" s="78"/>
      <c r="N603" s="78"/>
      <c r="O603" s="558"/>
      <c r="P603" s="559"/>
      <c r="Q603" s="558"/>
      <c r="R603" s="558"/>
      <c r="S603" s="558"/>
      <c r="T603" s="558"/>
      <c r="U603" s="558"/>
      <c r="V603" s="558"/>
      <c r="W603" s="77"/>
      <c r="X603" s="558"/>
      <c r="Y603" s="558"/>
    </row>
    <row r="604" spans="1:25" ht="15" customHeight="1" x14ac:dyDescent="0.3">
      <c r="A604" s="75"/>
      <c r="B604" s="140"/>
      <c r="C604" s="74"/>
      <c r="D604" s="74"/>
      <c r="E604" s="2"/>
      <c r="F604" s="75"/>
      <c r="G604" s="75"/>
      <c r="H604" s="75"/>
      <c r="I604" s="75"/>
      <c r="J604" s="75"/>
      <c r="K604" s="76"/>
      <c r="L604" s="77"/>
      <c r="M604" s="78"/>
      <c r="N604" s="78"/>
      <c r="O604" s="558"/>
      <c r="P604" s="559"/>
      <c r="Q604" s="558"/>
      <c r="R604" s="558"/>
      <c r="S604" s="558"/>
      <c r="T604" s="558"/>
      <c r="U604" s="558"/>
      <c r="V604" s="558"/>
      <c r="W604" s="77"/>
      <c r="X604" s="558"/>
      <c r="Y604" s="558"/>
    </row>
    <row r="605" spans="1:25" ht="15" customHeight="1" x14ac:dyDescent="0.3">
      <c r="A605" s="75"/>
      <c r="B605" s="140"/>
      <c r="C605" s="74"/>
      <c r="D605" s="74"/>
      <c r="E605" s="2"/>
      <c r="F605" s="75"/>
      <c r="G605" s="75"/>
      <c r="H605" s="75"/>
      <c r="I605" s="75"/>
      <c r="J605" s="75"/>
      <c r="K605" s="76"/>
      <c r="L605" s="77"/>
      <c r="M605" s="78"/>
      <c r="N605" s="78"/>
      <c r="O605" s="558"/>
      <c r="P605" s="559"/>
      <c r="Q605" s="558"/>
      <c r="R605" s="558"/>
      <c r="S605" s="558"/>
      <c r="T605" s="558"/>
      <c r="U605" s="558"/>
      <c r="V605" s="558"/>
      <c r="W605" s="77"/>
      <c r="X605" s="558"/>
      <c r="Y605" s="558"/>
    </row>
    <row r="606" spans="1:25" ht="15" customHeight="1" x14ac:dyDescent="0.3">
      <c r="A606" s="75"/>
      <c r="B606" s="140"/>
      <c r="C606" s="74"/>
      <c r="D606" s="74"/>
      <c r="E606" s="2"/>
      <c r="F606" s="75"/>
      <c r="G606" s="75"/>
      <c r="H606" s="75"/>
      <c r="I606" s="75"/>
      <c r="J606" s="75"/>
      <c r="K606" s="76"/>
      <c r="L606" s="77"/>
      <c r="M606" s="78"/>
      <c r="N606" s="78"/>
      <c r="O606" s="558"/>
      <c r="P606" s="559"/>
      <c r="Q606" s="558"/>
      <c r="R606" s="558"/>
      <c r="S606" s="558"/>
      <c r="T606" s="558"/>
      <c r="U606" s="558"/>
      <c r="V606" s="558"/>
      <c r="W606" s="77"/>
      <c r="X606" s="558"/>
      <c r="Y606" s="558"/>
    </row>
    <row r="607" spans="1:25" ht="15" customHeight="1" x14ac:dyDescent="0.3">
      <c r="A607" s="579" t="s">
        <v>307</v>
      </c>
      <c r="B607" s="580"/>
      <c r="C607" s="581">
        <f>SUM(C186+C351)</f>
        <v>211.26702</v>
      </c>
      <c r="D607" s="581">
        <f>SUM(D186+D351)</f>
        <v>156.83828</v>
      </c>
      <c r="E607" s="411">
        <f t="shared" ref="E607:Y607" si="79">E12+E56+E313+E401+E555+E584</f>
        <v>130361</v>
      </c>
      <c r="F607" s="582">
        <f t="shared" si="79"/>
        <v>123869</v>
      </c>
      <c r="G607" s="582" t="e">
        <f t="shared" si="79"/>
        <v>#REF!</v>
      </c>
      <c r="H607" s="582">
        <f t="shared" si="79"/>
        <v>157724</v>
      </c>
      <c r="I607" s="582">
        <f t="shared" si="79"/>
        <v>199216</v>
      </c>
      <c r="J607" s="582">
        <f t="shared" si="79"/>
        <v>219285</v>
      </c>
      <c r="K607" s="583" t="e">
        <f t="shared" si="79"/>
        <v>#REF!</v>
      </c>
      <c r="L607" s="583">
        <f t="shared" si="79"/>
        <v>287546</v>
      </c>
      <c r="M607" s="584">
        <f t="shared" si="79"/>
        <v>345796.79723999999</v>
      </c>
      <c r="N607" s="584">
        <f t="shared" si="79"/>
        <v>294624.75667000003</v>
      </c>
      <c r="O607" s="584" t="e">
        <f t="shared" si="79"/>
        <v>#REF!</v>
      </c>
      <c r="P607" s="585" t="e">
        <f t="shared" si="79"/>
        <v>#REF!</v>
      </c>
      <c r="Q607" s="584" t="e">
        <f t="shared" si="79"/>
        <v>#REF!</v>
      </c>
      <c r="R607" s="584" t="e">
        <f t="shared" si="79"/>
        <v>#REF!</v>
      </c>
      <c r="S607" s="584" t="e">
        <f t="shared" si="79"/>
        <v>#REF!</v>
      </c>
      <c r="T607" s="584" t="e">
        <f t="shared" si="79"/>
        <v>#REF!</v>
      </c>
      <c r="U607" s="584" t="e">
        <f t="shared" si="79"/>
        <v>#REF!</v>
      </c>
      <c r="V607" s="584" t="e">
        <f t="shared" si="79"/>
        <v>#REF!</v>
      </c>
      <c r="W607" s="583" t="e">
        <f t="shared" si="79"/>
        <v>#REF!</v>
      </c>
      <c r="X607" s="584" t="e">
        <f t="shared" si="79"/>
        <v>#REF!</v>
      </c>
      <c r="Y607" s="584" t="e">
        <f t="shared" si="79"/>
        <v>#REF!</v>
      </c>
    </row>
    <row r="608" spans="1:25" ht="15" customHeight="1" x14ac:dyDescent="0.25">
      <c r="A608" s="586" t="s">
        <v>308</v>
      </c>
      <c r="B608" s="587"/>
      <c r="C608" s="588" t="s">
        <v>3</v>
      </c>
      <c r="D608" s="588">
        <f>(D607-C607)/C607*100</f>
        <v>-25.763008348392475</v>
      </c>
      <c r="E608" s="589" t="s">
        <v>3</v>
      </c>
      <c r="F608" s="590" t="s">
        <v>3</v>
      </c>
      <c r="G608" s="590" t="e">
        <f t="shared" ref="G608:Y608" si="80">(G607-F607)/F607*100</f>
        <v>#REF!</v>
      </c>
      <c r="H608" s="590" t="e">
        <f t="shared" si="80"/>
        <v>#REF!</v>
      </c>
      <c r="I608" s="590">
        <f t="shared" si="80"/>
        <v>26.306712992315688</v>
      </c>
      <c r="J608" s="590">
        <f t="shared" si="80"/>
        <v>10.073990040960565</v>
      </c>
      <c r="K608" s="591" t="e">
        <f t="shared" si="80"/>
        <v>#REF!</v>
      </c>
      <c r="L608" s="591" t="e">
        <f t="shared" si="80"/>
        <v>#REF!</v>
      </c>
      <c r="M608" s="592">
        <f t="shared" si="80"/>
        <v>20.257905601190764</v>
      </c>
      <c r="N608" s="592">
        <f t="shared" si="80"/>
        <v>-14.798298011558517</v>
      </c>
      <c r="O608" s="592" t="e">
        <f t="shared" si="80"/>
        <v>#REF!</v>
      </c>
      <c r="P608" s="593" t="e">
        <f t="shared" si="80"/>
        <v>#REF!</v>
      </c>
      <c r="Q608" s="594" t="e">
        <f t="shared" si="80"/>
        <v>#REF!</v>
      </c>
      <c r="R608" s="594" t="e">
        <f t="shared" si="80"/>
        <v>#REF!</v>
      </c>
      <c r="S608" s="594" t="e">
        <f t="shared" si="80"/>
        <v>#REF!</v>
      </c>
      <c r="T608" s="594" t="e">
        <f t="shared" si="80"/>
        <v>#REF!</v>
      </c>
      <c r="U608" s="594" t="e">
        <f t="shared" si="80"/>
        <v>#REF!</v>
      </c>
      <c r="V608" s="594" t="e">
        <f t="shared" si="80"/>
        <v>#REF!</v>
      </c>
      <c r="W608" s="595" t="e">
        <f t="shared" si="80"/>
        <v>#REF!</v>
      </c>
      <c r="X608" s="592" t="e">
        <f t="shared" si="80"/>
        <v>#REF!</v>
      </c>
      <c r="Y608" s="592" t="e">
        <f t="shared" si="80"/>
        <v>#REF!</v>
      </c>
    </row>
    <row r="609" spans="2:25" x14ac:dyDescent="0.25">
      <c r="O609" s="3">
        <v>416700</v>
      </c>
      <c r="P609" s="5">
        <v>397900</v>
      </c>
      <c r="Q609" s="5">
        <v>375200</v>
      </c>
      <c r="R609" s="5">
        <v>374900</v>
      </c>
      <c r="S609" s="5">
        <v>385550</v>
      </c>
      <c r="T609" s="5">
        <v>386050</v>
      </c>
      <c r="U609" s="5">
        <v>353100</v>
      </c>
      <c r="V609" s="5">
        <v>373700</v>
      </c>
      <c r="W609" s="5">
        <v>375100</v>
      </c>
      <c r="X609" s="5">
        <v>372000</v>
      </c>
    </row>
    <row r="610" spans="2:25" x14ac:dyDescent="0.25">
      <c r="P610" s="596" t="e">
        <f t="shared" ref="P610:X610" si="81">P609-P607</f>
        <v>#REF!</v>
      </c>
      <c r="Q610" s="596" t="e">
        <f t="shared" si="81"/>
        <v>#REF!</v>
      </c>
      <c r="R610" s="596" t="e">
        <f t="shared" si="81"/>
        <v>#REF!</v>
      </c>
      <c r="S610" s="596" t="e">
        <f t="shared" si="81"/>
        <v>#REF!</v>
      </c>
      <c r="T610" s="596" t="e">
        <f t="shared" si="81"/>
        <v>#REF!</v>
      </c>
      <c r="U610" s="596" t="e">
        <f t="shared" si="81"/>
        <v>#REF!</v>
      </c>
      <c r="V610" s="596" t="e">
        <f t="shared" si="81"/>
        <v>#REF!</v>
      </c>
      <c r="W610" s="596" t="e">
        <f t="shared" si="81"/>
        <v>#REF!</v>
      </c>
      <c r="X610" s="596" t="e">
        <f t="shared" si="81"/>
        <v>#REF!</v>
      </c>
    </row>
    <row r="611" spans="2:25" x14ac:dyDescent="0.25">
      <c r="B611" t="s">
        <v>309</v>
      </c>
      <c r="P611" s="596">
        <f t="shared" ref="P611:X611" si="82">P609-P401</f>
        <v>274900</v>
      </c>
      <c r="Q611" s="596">
        <f t="shared" si="82"/>
        <v>247650</v>
      </c>
      <c r="R611" s="596">
        <f t="shared" si="82"/>
        <v>233600</v>
      </c>
      <c r="S611" s="596">
        <f t="shared" si="82"/>
        <v>163150</v>
      </c>
      <c r="T611" s="596">
        <f t="shared" si="82"/>
        <v>164850</v>
      </c>
      <c r="U611" s="596">
        <f t="shared" si="82"/>
        <v>183150</v>
      </c>
      <c r="V611" s="596">
        <f t="shared" si="82"/>
        <v>204700</v>
      </c>
      <c r="W611" s="596">
        <f t="shared" si="82"/>
        <v>204250</v>
      </c>
      <c r="X611" s="596">
        <f t="shared" si="82"/>
        <v>212700</v>
      </c>
      <c r="Y611" s="596"/>
    </row>
    <row r="612" spans="2:25" x14ac:dyDescent="0.25">
      <c r="B612" t="s">
        <v>310</v>
      </c>
      <c r="O612" s="288"/>
      <c r="P612" s="596">
        <v>271700</v>
      </c>
      <c r="Q612" s="596">
        <v>245700</v>
      </c>
      <c r="R612" s="596">
        <v>232300</v>
      </c>
      <c r="S612" s="596">
        <v>185700</v>
      </c>
      <c r="T612" s="596">
        <v>179100</v>
      </c>
      <c r="U612" s="596">
        <v>190650</v>
      </c>
      <c r="V612" s="596">
        <v>211700</v>
      </c>
      <c r="W612" s="596">
        <v>211150</v>
      </c>
      <c r="X612" s="596">
        <v>219700</v>
      </c>
      <c r="Y612" s="596">
        <v>217700</v>
      </c>
    </row>
    <row r="613" spans="2:25" x14ac:dyDescent="0.25">
      <c r="B613" t="s">
        <v>311</v>
      </c>
      <c r="P613" s="596">
        <v>127200</v>
      </c>
      <c r="Q613" s="596">
        <v>131450</v>
      </c>
      <c r="R613" s="596">
        <v>144600</v>
      </c>
      <c r="S613" s="596">
        <v>201800</v>
      </c>
      <c r="T613" s="596">
        <v>208900</v>
      </c>
      <c r="U613" s="596">
        <v>164350</v>
      </c>
      <c r="V613" s="596">
        <v>164000</v>
      </c>
      <c r="W613" s="596">
        <v>165850</v>
      </c>
      <c r="X613" s="596">
        <v>154300</v>
      </c>
      <c r="Y613" s="596">
        <v>160300</v>
      </c>
    </row>
    <row r="614" spans="2:25" x14ac:dyDescent="0.25">
      <c r="B614" s="197" t="s">
        <v>312</v>
      </c>
      <c r="P614" s="597">
        <f t="shared" ref="P614:Y614" si="83">SUM(P612:P613)</f>
        <v>398900</v>
      </c>
      <c r="Q614" s="597">
        <f t="shared" si="83"/>
        <v>377150</v>
      </c>
      <c r="R614" s="597">
        <f t="shared" si="83"/>
        <v>376900</v>
      </c>
      <c r="S614" s="597">
        <f t="shared" si="83"/>
        <v>387500</v>
      </c>
      <c r="T614" s="597">
        <f t="shared" si="83"/>
        <v>388000</v>
      </c>
      <c r="U614" s="597">
        <f t="shared" si="83"/>
        <v>355000</v>
      </c>
      <c r="V614" s="597">
        <f t="shared" si="83"/>
        <v>375700</v>
      </c>
      <c r="W614" s="597">
        <f t="shared" si="83"/>
        <v>377000</v>
      </c>
      <c r="X614" s="597">
        <f t="shared" si="83"/>
        <v>374000</v>
      </c>
      <c r="Y614" s="597">
        <f t="shared" si="83"/>
        <v>378000</v>
      </c>
    </row>
    <row r="615" spans="2:25" x14ac:dyDescent="0.25">
      <c r="B615" s="2" t="s">
        <v>313</v>
      </c>
      <c r="P615" s="288" t="e">
        <f t="shared" ref="P615:Y615" si="84">P607-P614</f>
        <v>#REF!</v>
      </c>
      <c r="Q615" s="288" t="e">
        <f t="shared" si="84"/>
        <v>#REF!</v>
      </c>
      <c r="R615" s="288" t="e">
        <f t="shared" si="84"/>
        <v>#REF!</v>
      </c>
      <c r="S615" s="288" t="e">
        <f t="shared" si="84"/>
        <v>#REF!</v>
      </c>
      <c r="T615" s="288" t="e">
        <f t="shared" si="84"/>
        <v>#REF!</v>
      </c>
      <c r="U615" s="288" t="e">
        <f t="shared" si="84"/>
        <v>#REF!</v>
      </c>
      <c r="V615" s="288" t="e">
        <f t="shared" si="84"/>
        <v>#REF!</v>
      </c>
      <c r="W615" s="288" t="e">
        <f t="shared" si="84"/>
        <v>#REF!</v>
      </c>
      <c r="X615" s="288" t="e">
        <f t="shared" si="84"/>
        <v>#REF!</v>
      </c>
      <c r="Y615" s="288" t="e">
        <f t="shared" si="84"/>
        <v>#REF!</v>
      </c>
    </row>
    <row r="616" spans="2:25" x14ac:dyDescent="0.25">
      <c r="B616" s="2"/>
      <c r="P616" s="288"/>
      <c r="Q616" s="288"/>
      <c r="R616" s="288"/>
      <c r="S616" s="288"/>
      <c r="T616" s="288"/>
      <c r="U616" s="288"/>
      <c r="V616" s="288"/>
      <c r="W616" s="288"/>
      <c r="X616" s="288"/>
      <c r="Y616" s="288"/>
    </row>
    <row r="617" spans="2:25" x14ac:dyDescent="0.25">
      <c r="M617" s="16"/>
      <c r="N617" s="16"/>
      <c r="O617" s="16"/>
      <c r="P617" s="597"/>
      <c r="Q617" s="597"/>
      <c r="R617" s="597"/>
      <c r="S617" s="597"/>
      <c r="T617" s="597"/>
      <c r="U617" s="597"/>
      <c r="V617" s="597"/>
      <c r="W617" s="597"/>
      <c r="X617" s="597"/>
      <c r="Y617" s="597"/>
    </row>
    <row r="618" spans="2:25" x14ac:dyDescent="0.25">
      <c r="B618" s="197" t="s">
        <v>314</v>
      </c>
      <c r="E618" s="598">
        <v>2012</v>
      </c>
      <c r="F618" s="598">
        <v>2013</v>
      </c>
      <c r="G618" s="598">
        <v>2014</v>
      </c>
      <c r="H618" s="598">
        <v>2015</v>
      </c>
      <c r="I618" s="598">
        <v>2016</v>
      </c>
      <c r="J618" s="598">
        <v>2017</v>
      </c>
      <c r="K618" s="598">
        <v>2018</v>
      </c>
      <c r="L618" s="598">
        <v>2019</v>
      </c>
      <c r="M618" s="598">
        <v>2020</v>
      </c>
      <c r="N618" s="598">
        <v>2021</v>
      </c>
      <c r="O618" s="598">
        <v>2022</v>
      </c>
      <c r="P618" s="598">
        <v>2023</v>
      </c>
      <c r="Q618" s="598">
        <v>2024</v>
      </c>
      <c r="R618" s="598">
        <v>2025</v>
      </c>
      <c r="S618" s="598">
        <v>2026</v>
      </c>
      <c r="T618" s="598">
        <v>2027</v>
      </c>
      <c r="U618" s="598">
        <v>2028</v>
      </c>
      <c r="V618" s="598">
        <v>2029</v>
      </c>
      <c r="W618" s="598">
        <v>2030</v>
      </c>
      <c r="X618" s="598">
        <v>2031</v>
      </c>
      <c r="Y618" s="598">
        <v>2032</v>
      </c>
    </row>
    <row r="619" spans="2:25" x14ac:dyDescent="0.25">
      <c r="B619" t="s">
        <v>315</v>
      </c>
      <c r="E619" s="288">
        <f t="shared" ref="E619:Y619" si="85">E321</f>
        <v>2438</v>
      </c>
      <c r="F619" s="288">
        <f t="shared" si="85"/>
        <v>4863</v>
      </c>
      <c r="G619" s="288">
        <f t="shared" si="85"/>
        <v>7925</v>
      </c>
      <c r="H619" s="288">
        <f t="shared" si="85"/>
        <v>3304</v>
      </c>
      <c r="I619" s="288">
        <f t="shared" si="85"/>
        <v>4340</v>
      </c>
      <c r="J619" s="288">
        <f t="shared" si="85"/>
        <v>4949</v>
      </c>
      <c r="K619" s="288">
        <f t="shared" si="85"/>
        <v>6517</v>
      </c>
      <c r="L619" s="288">
        <f t="shared" si="85"/>
        <v>192</v>
      </c>
      <c r="M619" s="288">
        <f t="shared" si="85"/>
        <v>18888.017</v>
      </c>
      <c r="N619" s="288">
        <f t="shared" si="85"/>
        <v>11167.324289999999</v>
      </c>
      <c r="O619" s="288">
        <f t="shared" si="85"/>
        <v>14400</v>
      </c>
      <c r="P619" s="288">
        <f t="shared" si="85"/>
        <v>6200</v>
      </c>
      <c r="Q619" s="288">
        <f t="shared" si="85"/>
        <v>13000</v>
      </c>
      <c r="R619" s="288">
        <f t="shared" si="85"/>
        <v>13000</v>
      </c>
      <c r="S619" s="288">
        <f t="shared" si="85"/>
        <v>12400</v>
      </c>
      <c r="T619" s="288">
        <f t="shared" si="85"/>
        <v>9800</v>
      </c>
      <c r="U619" s="288">
        <f t="shared" si="85"/>
        <v>16800</v>
      </c>
      <c r="V619" s="288">
        <f t="shared" si="85"/>
        <v>39600</v>
      </c>
      <c r="W619" s="288">
        <f t="shared" si="85"/>
        <v>41200</v>
      </c>
      <c r="X619" s="288">
        <f t="shared" si="85"/>
        <v>15200</v>
      </c>
      <c r="Y619" s="288">
        <f t="shared" si="85"/>
        <v>1000</v>
      </c>
    </row>
    <row r="620" spans="2:25" x14ac:dyDescent="0.25">
      <c r="B620" t="s">
        <v>316</v>
      </c>
      <c r="E620" s="288">
        <f t="shared" ref="E620:Y620" si="86">E349</f>
        <v>14020</v>
      </c>
      <c r="F620" s="288">
        <f t="shared" si="86"/>
        <v>14182</v>
      </c>
      <c r="G620" s="288">
        <f t="shared" si="86"/>
        <v>10841</v>
      </c>
      <c r="H620" s="288">
        <f t="shared" si="86"/>
        <v>10473</v>
      </c>
      <c r="I620" s="288">
        <f t="shared" si="86"/>
        <v>8498</v>
      </c>
      <c r="J620" s="288">
        <f t="shared" si="86"/>
        <v>7128</v>
      </c>
      <c r="K620" s="288">
        <f t="shared" si="86"/>
        <v>7024</v>
      </c>
      <c r="L620" s="288">
        <f t="shared" si="86"/>
        <v>11428</v>
      </c>
      <c r="M620" s="288">
        <f t="shared" si="86"/>
        <v>9659.27</v>
      </c>
      <c r="N620" s="288">
        <f t="shared" si="86"/>
        <v>8070.6435199999996</v>
      </c>
      <c r="O620" s="288">
        <f t="shared" si="86"/>
        <v>17500</v>
      </c>
      <c r="P620" s="288">
        <f t="shared" si="86"/>
        <v>14600</v>
      </c>
      <c r="Q620" s="288">
        <f t="shared" si="86"/>
        <v>9800</v>
      </c>
      <c r="R620" s="288">
        <f t="shared" si="86"/>
        <v>8800</v>
      </c>
      <c r="S620" s="288">
        <f t="shared" si="86"/>
        <v>9000</v>
      </c>
      <c r="T620" s="288">
        <f t="shared" si="86"/>
        <v>9300</v>
      </c>
      <c r="U620" s="288">
        <f t="shared" si="86"/>
        <v>7600</v>
      </c>
      <c r="V620" s="288">
        <f t="shared" si="86"/>
        <v>5000</v>
      </c>
      <c r="W620" s="288">
        <f t="shared" si="86"/>
        <v>8100</v>
      </c>
      <c r="X620" s="288">
        <f t="shared" si="86"/>
        <v>9300</v>
      </c>
      <c r="Y620" s="288">
        <f t="shared" si="86"/>
        <v>10000</v>
      </c>
    </row>
    <row r="621" spans="2:25" x14ac:dyDescent="0.25">
      <c r="B621" s="2" t="s">
        <v>317</v>
      </c>
      <c r="E621" s="288">
        <f t="shared" ref="E621:N621" si="87">E518+E364</f>
        <v>2511</v>
      </c>
      <c r="F621" s="288">
        <f t="shared" si="87"/>
        <v>1529</v>
      </c>
      <c r="G621" s="288">
        <f t="shared" si="87"/>
        <v>1797</v>
      </c>
      <c r="H621" s="288">
        <f t="shared" si="87"/>
        <v>6224</v>
      </c>
      <c r="I621" s="288">
        <f t="shared" si="87"/>
        <v>3830</v>
      </c>
      <c r="J621" s="288">
        <f t="shared" si="87"/>
        <v>3750</v>
      </c>
      <c r="K621" s="288">
        <f t="shared" si="87"/>
        <v>9695</v>
      </c>
      <c r="L621" s="288">
        <f t="shared" si="87"/>
        <v>11458</v>
      </c>
      <c r="M621" s="288">
        <f t="shared" si="87"/>
        <v>8856.6890000000003</v>
      </c>
      <c r="N621" s="288">
        <f t="shared" si="87"/>
        <v>4355.4908700000005</v>
      </c>
      <c r="O621" s="288">
        <f t="shared" ref="O621:Y621" si="88">O518</f>
        <v>7596</v>
      </c>
      <c r="P621" s="288">
        <f t="shared" si="88"/>
        <v>7800</v>
      </c>
      <c r="Q621" s="288">
        <f t="shared" si="88"/>
        <v>10100</v>
      </c>
      <c r="R621" s="288">
        <f t="shared" si="88"/>
        <v>10700</v>
      </c>
      <c r="S621" s="288">
        <f t="shared" si="88"/>
        <v>11400</v>
      </c>
      <c r="T621" s="288">
        <f t="shared" si="88"/>
        <v>11600</v>
      </c>
      <c r="U621" s="288">
        <f t="shared" si="88"/>
        <v>11600</v>
      </c>
      <c r="V621" s="288">
        <f t="shared" si="88"/>
        <v>11400</v>
      </c>
      <c r="W621" s="288">
        <f t="shared" si="88"/>
        <v>11000</v>
      </c>
      <c r="X621" s="288">
        <f t="shared" si="88"/>
        <v>11000</v>
      </c>
      <c r="Y621" s="288">
        <f t="shared" si="88"/>
        <v>12000</v>
      </c>
    </row>
    <row r="622" spans="2:25" x14ac:dyDescent="0.25">
      <c r="B622" s="2" t="s">
        <v>318</v>
      </c>
      <c r="E622" s="288" t="e">
        <f>#REF!+E573+E581</f>
        <v>#REF!</v>
      </c>
      <c r="F622" s="288" t="e">
        <f>#REF!+F573+F581</f>
        <v>#REF!</v>
      </c>
      <c r="G622" s="288" t="e">
        <f>#REF!+G573+G581</f>
        <v>#REF!</v>
      </c>
      <c r="H622" s="288" t="e">
        <f>#REF!+H573+H581</f>
        <v>#REF!</v>
      </c>
      <c r="I622" s="288" t="e">
        <f>#REF!+I573+I581</f>
        <v>#REF!</v>
      </c>
      <c r="J622" s="288" t="e">
        <f>#REF!+J573+J581</f>
        <v>#REF!</v>
      </c>
      <c r="K622" s="288" t="e">
        <f>#REF!+K573+K581</f>
        <v>#REF!</v>
      </c>
      <c r="L622" s="288" t="e">
        <f>#REF!+L573+L581</f>
        <v>#REF!</v>
      </c>
      <c r="M622" s="288" t="e">
        <f>#REF!+M573+M581</f>
        <v>#REF!</v>
      </c>
      <c r="N622" s="288" t="e">
        <f>#REF!+N573+N581</f>
        <v>#REF!</v>
      </c>
      <c r="O622" s="288" t="e">
        <f>#REF!+O573+O581</f>
        <v>#REF!</v>
      </c>
      <c r="P622" s="288" t="e">
        <f>#REF!+P573+P581</f>
        <v>#REF!</v>
      </c>
      <c r="Q622" s="288" t="e">
        <f>#REF!+Q573+Q581</f>
        <v>#REF!</v>
      </c>
      <c r="R622" s="288" t="e">
        <f>#REF!+R573+R581</f>
        <v>#REF!</v>
      </c>
      <c r="S622" s="288" t="e">
        <f>#REF!+S573+S581</f>
        <v>#REF!</v>
      </c>
      <c r="T622" s="288" t="e">
        <f>#REF!+T573+T581</f>
        <v>#REF!</v>
      </c>
      <c r="U622" s="288" t="e">
        <f>#REF!+U573+U581</f>
        <v>#REF!</v>
      </c>
      <c r="V622" s="288" t="e">
        <f>#REF!+V573+V581</f>
        <v>#REF!</v>
      </c>
      <c r="W622" s="288" t="e">
        <f>#REF!+W573+W581</f>
        <v>#REF!</v>
      </c>
      <c r="X622" s="288" t="e">
        <f>#REF!+X573+X581</f>
        <v>#REF!</v>
      </c>
      <c r="Y622" s="288" t="e">
        <f>#REF!+Y573+Y581</f>
        <v>#REF!</v>
      </c>
    </row>
    <row r="623" spans="2:25" s="197" customFormat="1" x14ac:dyDescent="0.25">
      <c r="B623" s="197" t="s">
        <v>319</v>
      </c>
      <c r="E623" s="597" t="e">
        <f>E321+E349+E364+E518+#REF!+E573+E581</f>
        <v>#REF!</v>
      </c>
      <c r="F623" s="597" t="e">
        <f>F321+F349+F364+F518+#REF!+F573+F581</f>
        <v>#REF!</v>
      </c>
      <c r="G623" s="597" t="e">
        <f>G321+G349+G364+G518+#REF!+G573+G581</f>
        <v>#REF!</v>
      </c>
      <c r="H623" s="597" t="e">
        <f>H321+H349+H364+H518+#REF!+H573+H581</f>
        <v>#REF!</v>
      </c>
      <c r="I623" s="597" t="e">
        <f>I321+I349+I364+I518+#REF!+I573+I581</f>
        <v>#REF!</v>
      </c>
      <c r="J623" s="597" t="e">
        <f>J321+J349+J364+J518+#REF!+J573+J581</f>
        <v>#REF!</v>
      </c>
      <c r="K623" s="597" t="e">
        <f>K321+K349+K364+K518+#REF!+K573+K581</f>
        <v>#REF!</v>
      </c>
      <c r="L623" s="597" t="e">
        <f>L321+L349+L364+L518+#REF!+L573+L581</f>
        <v>#REF!</v>
      </c>
      <c r="M623" s="597" t="e">
        <f>M321+M349+M364+M518+#REF!+M573+M581</f>
        <v>#REF!</v>
      </c>
      <c r="N623" s="597" t="e">
        <f>N321+N349+N364+N518+#REF!+N573+N581</f>
        <v>#REF!</v>
      </c>
      <c r="O623" s="597" t="e">
        <f>O321+O349+O364+O518+#REF!+O573+O581</f>
        <v>#REF!</v>
      </c>
      <c r="P623" s="597" t="e">
        <f>P321+P349+P364+P518+#REF!+P573+P581</f>
        <v>#REF!</v>
      </c>
      <c r="Q623" s="597" t="e">
        <f>Q321+Q349+Q364+Q518+#REF!+Q573+Q581</f>
        <v>#REF!</v>
      </c>
      <c r="R623" s="597" t="e">
        <f>R321+R349+R364+R518+#REF!+R573+R581</f>
        <v>#REF!</v>
      </c>
      <c r="S623" s="597" t="e">
        <f>S321+S349+S364+S518+#REF!+S573+S581</f>
        <v>#REF!</v>
      </c>
      <c r="T623" s="597" t="e">
        <f>T321+T349+T364+T518+#REF!+T573+T581</f>
        <v>#REF!</v>
      </c>
      <c r="U623" s="597" t="e">
        <f>U321+U349+U364+U518+#REF!+U573+U581</f>
        <v>#REF!</v>
      </c>
      <c r="V623" s="597" t="e">
        <f>V321+V349+V364+V518+#REF!+V573+V581</f>
        <v>#REF!</v>
      </c>
      <c r="W623" s="597" t="e">
        <f>W321+W349+W364+W518+#REF!+W573+W581</f>
        <v>#REF!</v>
      </c>
      <c r="X623" s="597" t="e">
        <f>X321+X349+X364+X518+#REF!+X573+X581</f>
        <v>#REF!</v>
      </c>
      <c r="Y623" s="597" t="e">
        <f>Y321+Y349+Y364+Y518+#REF!+Y573+Y581</f>
        <v>#REF!</v>
      </c>
    </row>
    <row r="624" spans="2:25" x14ac:dyDescent="0.25">
      <c r="B624" s="2" t="s">
        <v>320</v>
      </c>
      <c r="M624" s="475" t="e">
        <f>SUM(M619:M622)</f>
        <v>#REF!</v>
      </c>
      <c r="N624" s="475" t="e">
        <f>SUM(N619:N622)</f>
        <v>#REF!</v>
      </c>
      <c r="O624" s="475">
        <v>40600</v>
      </c>
      <c r="P624" s="475">
        <v>25200</v>
      </c>
      <c r="Q624" s="475">
        <v>30000</v>
      </c>
      <c r="R624" s="475">
        <v>28900</v>
      </c>
      <c r="S624" s="475">
        <v>29800</v>
      </c>
      <c r="T624" s="475">
        <v>32650</v>
      </c>
      <c r="U624" s="475">
        <v>32600</v>
      </c>
      <c r="V624" s="475">
        <v>33400</v>
      </c>
      <c r="W624" s="475">
        <v>33000</v>
      </c>
      <c r="X624" s="475">
        <v>33000</v>
      </c>
      <c r="Y624" s="475"/>
    </row>
    <row r="625" spans="2:25" x14ac:dyDescent="0.25">
      <c r="B625" s="2"/>
      <c r="M625" s="475"/>
      <c r="N625" s="475"/>
      <c r="O625" s="475"/>
      <c r="P625" s="475" t="e">
        <f t="shared" ref="P625:X625" si="89">P623-P624</f>
        <v>#REF!</v>
      </c>
      <c r="Q625" s="475" t="e">
        <f t="shared" si="89"/>
        <v>#REF!</v>
      </c>
      <c r="R625" s="475" t="e">
        <f t="shared" si="89"/>
        <v>#REF!</v>
      </c>
      <c r="S625" s="475" t="e">
        <f t="shared" si="89"/>
        <v>#REF!</v>
      </c>
      <c r="T625" s="475" t="e">
        <f t="shared" si="89"/>
        <v>#REF!</v>
      </c>
      <c r="U625" s="475" t="e">
        <f t="shared" si="89"/>
        <v>#REF!</v>
      </c>
      <c r="V625" s="475" t="e">
        <f t="shared" si="89"/>
        <v>#REF!</v>
      </c>
      <c r="W625" s="475" t="e">
        <f t="shared" si="89"/>
        <v>#REF!</v>
      </c>
      <c r="X625" s="475" t="e">
        <f t="shared" si="89"/>
        <v>#REF!</v>
      </c>
      <c r="Y625" s="475"/>
    </row>
    <row r="626" spans="2:25" x14ac:dyDescent="0.25">
      <c r="B626" s="2"/>
      <c r="M626" s="475"/>
      <c r="N626" s="475"/>
      <c r="O626" s="475"/>
      <c r="P626" s="475"/>
      <c r="Q626" s="475"/>
      <c r="R626" s="475"/>
      <c r="S626" s="475"/>
      <c r="T626" s="475"/>
      <c r="U626" s="475"/>
      <c r="V626" s="475"/>
      <c r="W626" s="475"/>
      <c r="X626" s="475"/>
      <c r="Y626" s="475"/>
    </row>
    <row r="627" spans="2:25" x14ac:dyDescent="0.25">
      <c r="B627" s="2"/>
    </row>
    <row r="628" spans="2:25" x14ac:dyDescent="0.25">
      <c r="B628" s="197" t="s">
        <v>321</v>
      </c>
      <c r="P628" s="598">
        <v>2023</v>
      </c>
      <c r="Q628" s="598">
        <v>2024</v>
      </c>
      <c r="R628" s="598">
        <v>2025</v>
      </c>
      <c r="S628" s="598">
        <v>2026</v>
      </c>
      <c r="T628" s="598">
        <v>2027</v>
      </c>
      <c r="U628" s="598">
        <v>2028</v>
      </c>
      <c r="V628" s="598">
        <v>2029</v>
      </c>
      <c r="W628" s="598">
        <v>2030</v>
      </c>
      <c r="X628" s="598">
        <v>2031</v>
      </c>
      <c r="Y628" s="598">
        <v>2032</v>
      </c>
    </row>
    <row r="629" spans="2:25" x14ac:dyDescent="0.25">
      <c r="B629" s="2" t="s">
        <v>322</v>
      </c>
      <c r="P629" s="596" t="e">
        <f t="shared" ref="P629:Y629" si="90">P12+P56+P313+P555+P584</f>
        <v>#REF!</v>
      </c>
      <c r="Q629" s="596" t="e">
        <f t="shared" si="90"/>
        <v>#REF!</v>
      </c>
      <c r="R629" s="596" t="e">
        <f t="shared" si="90"/>
        <v>#REF!</v>
      </c>
      <c r="S629" s="596" t="e">
        <f t="shared" si="90"/>
        <v>#REF!</v>
      </c>
      <c r="T629" s="596" t="e">
        <f t="shared" si="90"/>
        <v>#REF!</v>
      </c>
      <c r="U629" s="596" t="e">
        <f t="shared" si="90"/>
        <v>#REF!</v>
      </c>
      <c r="V629" s="596" t="e">
        <f t="shared" si="90"/>
        <v>#REF!</v>
      </c>
      <c r="W629" s="596" t="e">
        <f t="shared" si="90"/>
        <v>#REF!</v>
      </c>
      <c r="X629" s="596" t="e">
        <f t="shared" si="90"/>
        <v>#REF!</v>
      </c>
      <c r="Y629" s="596" t="e">
        <f t="shared" si="90"/>
        <v>#REF!</v>
      </c>
    </row>
    <row r="630" spans="2:25" x14ac:dyDescent="0.25">
      <c r="B630" s="2" t="s">
        <v>323</v>
      </c>
      <c r="P630" s="596">
        <f t="shared" ref="P630:Y630" si="91">P401</f>
        <v>123000</v>
      </c>
      <c r="Q630" s="596">
        <f t="shared" si="91"/>
        <v>127550</v>
      </c>
      <c r="R630" s="596">
        <f t="shared" si="91"/>
        <v>141300</v>
      </c>
      <c r="S630" s="596">
        <f t="shared" si="91"/>
        <v>222400</v>
      </c>
      <c r="T630" s="596">
        <f t="shared" si="91"/>
        <v>221200</v>
      </c>
      <c r="U630" s="596">
        <f t="shared" si="91"/>
        <v>169950</v>
      </c>
      <c r="V630" s="596">
        <f t="shared" si="91"/>
        <v>169000</v>
      </c>
      <c r="W630" s="596">
        <f t="shared" si="91"/>
        <v>170850</v>
      </c>
      <c r="X630" s="596">
        <f t="shared" si="91"/>
        <v>159300</v>
      </c>
      <c r="Y630" s="596">
        <f t="shared" si="91"/>
        <v>165300</v>
      </c>
    </row>
    <row r="631" spans="2:25" s="197" customFormat="1" x14ac:dyDescent="0.25">
      <c r="B631" s="197" t="s">
        <v>324</v>
      </c>
      <c r="E631" s="395"/>
      <c r="K631" s="16"/>
      <c r="L631" s="16"/>
      <c r="M631" s="11"/>
      <c r="N631" s="11"/>
      <c r="O631" s="16"/>
      <c r="P631" s="597" t="e">
        <f t="shared" ref="P631:Y631" si="92">SUM(P629:P630)</f>
        <v>#REF!</v>
      </c>
      <c r="Q631" s="597" t="e">
        <f t="shared" si="92"/>
        <v>#REF!</v>
      </c>
      <c r="R631" s="597" t="e">
        <f t="shared" si="92"/>
        <v>#REF!</v>
      </c>
      <c r="S631" s="597" t="e">
        <f t="shared" si="92"/>
        <v>#REF!</v>
      </c>
      <c r="T631" s="597" t="e">
        <f t="shared" si="92"/>
        <v>#REF!</v>
      </c>
      <c r="U631" s="597" t="e">
        <f t="shared" si="92"/>
        <v>#REF!</v>
      </c>
      <c r="V631" s="597" t="e">
        <f t="shared" si="92"/>
        <v>#REF!</v>
      </c>
      <c r="W631" s="597" t="e">
        <f t="shared" si="92"/>
        <v>#REF!</v>
      </c>
      <c r="X631" s="597" t="e">
        <f t="shared" si="92"/>
        <v>#REF!</v>
      </c>
      <c r="Y631" s="597" t="e">
        <f t="shared" si="92"/>
        <v>#REF!</v>
      </c>
    </row>
    <row r="633" spans="2:25" ht="14.4" x14ac:dyDescent="0.3">
      <c r="B633" s="599" t="s">
        <v>325</v>
      </c>
      <c r="P633" s="598">
        <v>2023</v>
      </c>
      <c r="Q633" s="598">
        <v>2024</v>
      </c>
      <c r="R633" s="598">
        <v>2025</v>
      </c>
      <c r="S633" s="598">
        <v>2026</v>
      </c>
      <c r="T633" s="598">
        <v>2027</v>
      </c>
      <c r="U633" s="598">
        <v>2028</v>
      </c>
      <c r="V633" s="598">
        <v>2029</v>
      </c>
      <c r="W633" s="598">
        <v>2030</v>
      </c>
      <c r="X633" s="598">
        <v>2031</v>
      </c>
      <c r="Y633" s="598">
        <v>2032</v>
      </c>
    </row>
    <row r="634" spans="2:25" x14ac:dyDescent="0.25">
      <c r="P634" s="596" t="e">
        <f>P56+P429+#REF!+P570+P578+P584</f>
        <v>#REF!</v>
      </c>
      <c r="Q634" s="596" t="e">
        <f>Q56+Q429+#REF!+Q570+Q578+Q584</f>
        <v>#REF!</v>
      </c>
      <c r="R634" s="596" t="e">
        <f>R56+R429+#REF!+R570+R578+R584</f>
        <v>#REF!</v>
      </c>
      <c r="S634" s="596" t="e">
        <f>S56+S429+#REF!+S570+S578+S584</f>
        <v>#REF!</v>
      </c>
      <c r="T634" s="596" t="e">
        <f>T56+T429+#REF!+T570+T578+T584</f>
        <v>#REF!</v>
      </c>
      <c r="U634" s="596" t="e">
        <f>U56+U429+#REF!+U570+U578+U584</f>
        <v>#REF!</v>
      </c>
      <c r="V634" s="596" t="e">
        <f>V56+V429+#REF!+V570+V578+V584</f>
        <v>#REF!</v>
      </c>
      <c r="W634" s="596" t="e">
        <f>W56+W429+#REF!+W570+W578+W584</f>
        <v>#REF!</v>
      </c>
      <c r="X634" s="596" t="e">
        <f>X56+X429+#REF!+X570+X578+X584</f>
        <v>#REF!</v>
      </c>
      <c r="Y634" s="596" t="e">
        <f>Y56+Y429+#REF!+Y570+Y578+Y584</f>
        <v>#REF!</v>
      </c>
    </row>
    <row r="635" spans="2:25" x14ac:dyDescent="0.25">
      <c r="P635" s="596"/>
      <c r="Q635" s="596"/>
      <c r="R635" s="596"/>
      <c r="S635" s="596"/>
      <c r="T635" s="596"/>
      <c r="U635" s="596"/>
      <c r="V635" s="596"/>
      <c r="W635" s="596"/>
      <c r="X635" s="596"/>
      <c r="Y635" s="596"/>
    </row>
    <row r="636" spans="2:25" x14ac:dyDescent="0.25">
      <c r="B636" t="s">
        <v>326</v>
      </c>
      <c r="P636" s="596" t="e">
        <f>P12+P65+P286+P325+P401+P562+P564+#REF!+#REF!+P570+P584</f>
        <v>#REF!</v>
      </c>
      <c r="Q636" s="596" t="e">
        <f>Q12+Q65+Q286+Q325+Q401+Q562+Q564+#REF!+#REF!+Q570+Q584</f>
        <v>#REF!</v>
      </c>
      <c r="R636" s="596" t="e">
        <f>R12+R65+R286+R325+R401+R562+R564+#REF!+#REF!+R570+R584</f>
        <v>#REF!</v>
      </c>
      <c r="S636" s="596" t="e">
        <f>S12+S65+S286+S325+S401+S562+S564+#REF!+#REF!+S570+S584</f>
        <v>#REF!</v>
      </c>
      <c r="T636" s="596" t="e">
        <f>T12+T65+T286+T325+T401+T562+T564+#REF!+#REF!+T570+T584</f>
        <v>#REF!</v>
      </c>
      <c r="U636" s="596" t="e">
        <f>U12+U65+U286+U325+U401+U562+U564+#REF!+#REF!+U570+U584</f>
        <v>#REF!</v>
      </c>
      <c r="V636" s="596" t="e">
        <f>V12+V65+V286+V325+V401+V562+V564+#REF!+#REF!+V570+V584</f>
        <v>#REF!</v>
      </c>
      <c r="W636" s="596" t="e">
        <f>W12+W65+W286+W325+W401+W562+W564+#REF!+#REF!+W570+W584</f>
        <v>#REF!</v>
      </c>
      <c r="X636" s="596" t="e">
        <f>X12+X65+X286+X325+X401+X562+X564+#REF!+#REF!+X570+X584</f>
        <v>#REF!</v>
      </c>
      <c r="Y636" s="596" t="e">
        <f>Y12+Y65+Y286+Y325+Y401+Y562+Y564+#REF!+#REF!+Y570+Y584</f>
        <v>#REF!</v>
      </c>
    </row>
    <row r="637" spans="2:25" x14ac:dyDescent="0.25">
      <c r="P637" s="600" t="e">
        <f t="shared" ref="P637:Y637" si="93">P636/P607</f>
        <v>#REF!</v>
      </c>
      <c r="Q637" s="600" t="e">
        <f t="shared" si="93"/>
        <v>#REF!</v>
      </c>
      <c r="R637" s="600" t="e">
        <f t="shared" si="93"/>
        <v>#REF!</v>
      </c>
      <c r="S637" s="600" t="e">
        <f t="shared" si="93"/>
        <v>#REF!</v>
      </c>
      <c r="T637" s="600" t="e">
        <f t="shared" si="93"/>
        <v>#REF!</v>
      </c>
      <c r="U637" s="600" t="e">
        <f t="shared" si="93"/>
        <v>#REF!</v>
      </c>
      <c r="V637" s="600" t="e">
        <f t="shared" si="93"/>
        <v>#REF!</v>
      </c>
      <c r="W637" s="600" t="e">
        <f t="shared" si="93"/>
        <v>#REF!</v>
      </c>
      <c r="X637" s="600" t="e">
        <f t="shared" si="93"/>
        <v>#REF!</v>
      </c>
      <c r="Y637" s="600" t="e">
        <f t="shared" si="93"/>
        <v>#REF!</v>
      </c>
    </row>
    <row r="639" spans="2:25" x14ac:dyDescent="0.25">
      <c r="B639" s="197" t="s">
        <v>327</v>
      </c>
      <c r="P639" s="598">
        <v>2023</v>
      </c>
      <c r="Q639" s="598">
        <v>2024</v>
      </c>
      <c r="R639" s="598">
        <v>2025</v>
      </c>
      <c r="S639" s="598">
        <v>2026</v>
      </c>
      <c r="T639" s="598">
        <v>2027</v>
      </c>
      <c r="U639" s="598">
        <v>2028</v>
      </c>
      <c r="V639" s="598">
        <v>2029</v>
      </c>
      <c r="W639" s="598">
        <v>2030</v>
      </c>
      <c r="X639" s="598">
        <v>2031</v>
      </c>
      <c r="Y639" s="598">
        <v>2032</v>
      </c>
    </row>
    <row r="640" spans="2:25" x14ac:dyDescent="0.25">
      <c r="B640" s="2" t="s">
        <v>292</v>
      </c>
      <c r="U640" s="5">
        <v>2000</v>
      </c>
      <c r="V640" s="5">
        <v>2000</v>
      </c>
      <c r="W640" s="5">
        <v>1000</v>
      </c>
    </row>
    <row r="641" spans="2:25" x14ac:dyDescent="0.25">
      <c r="B641" s="2" t="s">
        <v>328</v>
      </c>
      <c r="S641" s="5">
        <v>2000</v>
      </c>
      <c r="T641" s="5">
        <v>3000</v>
      </c>
      <c r="U641" s="5">
        <v>5000</v>
      </c>
      <c r="V641" s="5">
        <v>5000</v>
      </c>
      <c r="W641" s="5">
        <v>5000</v>
      </c>
      <c r="X641" s="5">
        <v>5000</v>
      </c>
    </row>
    <row r="642" spans="2:25" x14ac:dyDescent="0.25">
      <c r="B642" s="2" t="s">
        <v>329</v>
      </c>
      <c r="U642" s="5">
        <v>3000</v>
      </c>
      <c r="V642" s="5">
        <v>13000</v>
      </c>
      <c r="W642" s="5">
        <v>14000</v>
      </c>
    </row>
    <row r="643" spans="2:25" x14ac:dyDescent="0.25">
      <c r="B643" s="2" t="s">
        <v>324</v>
      </c>
      <c r="S643" s="5">
        <f t="shared" ref="S643:Y643" si="94">SUM(S640:S642)</f>
        <v>2000</v>
      </c>
      <c r="T643" s="5">
        <f t="shared" si="94"/>
        <v>3000</v>
      </c>
      <c r="U643" s="5">
        <f t="shared" si="94"/>
        <v>10000</v>
      </c>
      <c r="V643" s="5">
        <f t="shared" si="94"/>
        <v>20000</v>
      </c>
      <c r="W643" s="5">
        <f t="shared" si="94"/>
        <v>20000</v>
      </c>
      <c r="X643" s="5">
        <f t="shared" si="94"/>
        <v>5000</v>
      </c>
      <c r="Y643" s="5">
        <f t="shared" si="94"/>
        <v>0</v>
      </c>
    </row>
  </sheetData>
  <mergeCells count="2">
    <mergeCell ref="Q6:R6"/>
    <mergeCell ref="S6:Y6"/>
  </mergeCells>
  <pageMargins left="0.23611111111111099" right="0.23611111111111099" top="0.15763888888888899" bottom="0.55138888888888904" header="0.511811023622047" footer="0.31527777777777799"/>
  <pageSetup paperSize="9" fitToHeight="0" orientation="landscape" horizontalDpi="300" verticalDpi="300"/>
  <headerFooter>
    <oddFooter>&amp;C&amp;P(&amp;N)&amp;R&amp;F</oddFooter>
  </headerFooter>
  <rowBreaks count="4" manualBreakCount="4">
    <brk id="54" max="16383" man="1"/>
    <brk id="285" max="16383" man="1"/>
    <brk id="312" max="16383" man="1"/>
    <brk id="348" max="16383" man="1"/>
  </rowBreaks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33"/>
  <sheetViews>
    <sheetView zoomScale="55" zoomScaleNormal="55" workbookViewId="0">
      <selection activeCell="B27" sqref="B27"/>
    </sheetView>
  </sheetViews>
  <sheetFormatPr defaultColWidth="8.44140625" defaultRowHeight="13.2" x14ac:dyDescent="0.25"/>
  <cols>
    <col min="2" max="2" width="37.6640625" customWidth="1"/>
    <col min="3" max="6" width="15.5546875" hidden="1" customWidth="1"/>
    <col min="7" max="7" width="11.5546875" hidden="1" customWidth="1"/>
  </cols>
  <sheetData>
    <row r="1" spans="1:19" ht="15.6" x14ac:dyDescent="0.3">
      <c r="A1" s="6" t="s">
        <v>0</v>
      </c>
      <c r="B1" s="6"/>
      <c r="C1" s="6">
        <f>OHJELMOINTINÄKYMÄ!C1</f>
        <v>0</v>
      </c>
      <c r="D1" s="6"/>
      <c r="E1" s="6"/>
      <c r="F1" s="6"/>
      <c r="G1" s="2"/>
      <c r="H1" s="8"/>
      <c r="I1" s="8"/>
    </row>
    <row r="2" spans="1:19" ht="15.6" x14ac:dyDescent="0.3">
      <c r="A2" s="6" t="s">
        <v>452</v>
      </c>
      <c r="B2" s="6"/>
      <c r="C2" s="6"/>
      <c r="D2" s="6"/>
      <c r="E2" s="6"/>
      <c r="F2" s="6"/>
      <c r="G2" s="6"/>
      <c r="H2" s="6"/>
      <c r="I2" s="6"/>
    </row>
    <row r="3" spans="1:19" ht="15.6" x14ac:dyDescent="0.3">
      <c r="A3" s="6" t="s">
        <v>453</v>
      </c>
      <c r="B3" s="6"/>
      <c r="C3" s="14" t="str">
        <f>OHJELMOINTINÄKYMÄ!C3</f>
        <v xml:space="preserve"> </v>
      </c>
      <c r="D3" s="14"/>
      <c r="E3" s="6"/>
      <c r="F3" s="6"/>
      <c r="G3" s="2"/>
      <c r="H3" s="16"/>
      <c r="I3" s="15"/>
    </row>
    <row r="4" spans="1:19" ht="15.6" x14ac:dyDescent="0.3">
      <c r="A4" s="22"/>
      <c r="B4" s="22"/>
      <c r="C4" s="22"/>
      <c r="D4" s="22"/>
      <c r="E4" s="22"/>
      <c r="F4" s="22"/>
      <c r="G4" s="663"/>
      <c r="H4" s="664"/>
      <c r="I4" s="664"/>
    </row>
    <row r="5" spans="1:19" ht="17.399999999999999" x14ac:dyDescent="0.3">
      <c r="A5" s="665" t="s">
        <v>485</v>
      </c>
      <c r="B5" s="22"/>
      <c r="C5" s="22"/>
      <c r="D5" s="22"/>
      <c r="E5" s="22"/>
      <c r="F5" s="22"/>
      <c r="G5" s="22"/>
      <c r="H5" s="664"/>
      <c r="I5" s="664"/>
    </row>
    <row r="6" spans="1:19" ht="15.6" x14ac:dyDescent="0.3">
      <c r="A6" s="557" t="s">
        <v>436</v>
      </c>
      <c r="B6" s="668"/>
      <c r="C6" s="22"/>
      <c r="D6" s="22"/>
      <c r="E6" s="22"/>
      <c r="F6" s="22"/>
      <c r="G6" s="22"/>
      <c r="H6" s="664"/>
      <c r="I6" s="664"/>
    </row>
    <row r="7" spans="1:19" ht="15.6" x14ac:dyDescent="0.3">
      <c r="A7" s="557"/>
      <c r="B7" s="6"/>
      <c r="C7" s="22"/>
      <c r="D7" s="22"/>
      <c r="E7" s="22"/>
      <c r="F7" s="22"/>
      <c r="G7" s="22"/>
      <c r="H7" s="664"/>
      <c r="I7" s="664"/>
    </row>
    <row r="8" spans="1:19" ht="15.6" x14ac:dyDescent="0.3">
      <c r="A8" s="24" t="s">
        <v>6</v>
      </c>
      <c r="B8" s="25"/>
      <c r="C8" s="671" t="s">
        <v>7</v>
      </c>
      <c r="D8" s="28" t="s">
        <v>7</v>
      </c>
      <c r="E8" s="671" t="s">
        <v>7</v>
      </c>
      <c r="F8" s="672" t="s">
        <v>7</v>
      </c>
      <c r="G8" s="671" t="s">
        <v>7</v>
      </c>
      <c r="H8" s="671" t="s">
        <v>7</v>
      </c>
      <c r="I8" s="671" t="s">
        <v>8</v>
      </c>
      <c r="J8" s="671" t="s">
        <v>9</v>
      </c>
      <c r="K8" s="671" t="s">
        <v>10</v>
      </c>
      <c r="L8" s="671" t="s">
        <v>10</v>
      </c>
      <c r="M8" s="671" t="s">
        <v>425</v>
      </c>
      <c r="N8" s="671" t="s">
        <v>425</v>
      </c>
      <c r="O8" s="671" t="s">
        <v>425</v>
      </c>
      <c r="P8" s="671" t="s">
        <v>425</v>
      </c>
      <c r="Q8" s="671" t="s">
        <v>425</v>
      </c>
      <c r="R8" s="671" t="s">
        <v>425</v>
      </c>
      <c r="S8" s="671" t="s">
        <v>425</v>
      </c>
    </row>
    <row r="9" spans="1:19" ht="15.6" x14ac:dyDescent="0.3">
      <c r="A9" s="33" t="s">
        <v>12</v>
      </c>
      <c r="B9" s="34" t="s">
        <v>426</v>
      </c>
      <c r="C9" s="675">
        <f>OHJELMOINTINÄKYMÄ!C7</f>
        <v>2010</v>
      </c>
      <c r="D9" s="675">
        <f>OHJELMOINTINÄKYMÄ!D7</f>
        <v>2011</v>
      </c>
      <c r="E9" s="675">
        <f>OHJELMOINTINÄKYMÄ!E7</f>
        <v>2012</v>
      </c>
      <c r="F9" s="675">
        <f>OHJELMOINTINÄKYMÄ!F7</f>
        <v>2013</v>
      </c>
      <c r="G9" s="675">
        <f>OHJELMOINTINÄKYMÄ!G7</f>
        <v>2014</v>
      </c>
      <c r="H9" s="675">
        <f>OHJELMOINTINÄKYMÄ!H7</f>
        <v>2015</v>
      </c>
      <c r="I9" s="675">
        <f>OHJELMOINTINÄKYMÄ!I7</f>
        <v>2016</v>
      </c>
      <c r="J9" s="675">
        <f>OHJELMOINTINÄKYMÄ!J7</f>
        <v>2017</v>
      </c>
      <c r="K9" s="675">
        <f>OHJELMOINTINÄKYMÄ!K7</f>
        <v>2018</v>
      </c>
      <c r="L9" s="675">
        <f>OHJELMOINTINÄKYMÄ!L7</f>
        <v>2019</v>
      </c>
      <c r="M9" s="675">
        <f>OHJELMOINTINÄKYMÄ!M7</f>
        <v>2020</v>
      </c>
      <c r="N9" s="675">
        <f>OHJELMOINTINÄKYMÄ!O7</f>
        <v>2022</v>
      </c>
      <c r="O9" s="675">
        <f>OHJELMOINTINÄKYMÄ!P7</f>
        <v>2023</v>
      </c>
      <c r="P9" s="675">
        <f>OHJELMOINTINÄKYMÄ!Q7</f>
        <v>2024</v>
      </c>
      <c r="Q9" s="675">
        <f>OHJELMOINTINÄKYMÄ!R7</f>
        <v>2025</v>
      </c>
      <c r="R9" s="675">
        <f>OHJELMOINTINÄKYMÄ!S7</f>
        <v>2026</v>
      </c>
      <c r="S9" s="675">
        <f>OHJELMOINTINÄKYMÄ!T7</f>
        <v>2027</v>
      </c>
    </row>
    <row r="10" spans="1:19" ht="15" x14ac:dyDescent="0.25">
      <c r="A10" s="42"/>
      <c r="B10" s="43"/>
      <c r="C10" s="679" t="s">
        <v>428</v>
      </c>
      <c r="D10" s="679" t="s">
        <v>428</v>
      </c>
      <c r="E10" s="679" t="s">
        <v>428</v>
      </c>
      <c r="F10" s="679" t="s">
        <v>428</v>
      </c>
      <c r="G10" s="679" t="s">
        <v>428</v>
      </c>
      <c r="H10" s="679" t="s">
        <v>428</v>
      </c>
      <c r="I10" s="679" t="s">
        <v>428</v>
      </c>
      <c r="J10" s="679" t="s">
        <v>428</v>
      </c>
      <c r="K10" s="679" t="s">
        <v>428</v>
      </c>
      <c r="L10" s="679" t="s">
        <v>428</v>
      </c>
      <c r="M10" s="679" t="s">
        <v>428</v>
      </c>
      <c r="N10" s="679" t="s">
        <v>428</v>
      </c>
      <c r="O10" s="679" t="s">
        <v>428</v>
      </c>
      <c r="P10" s="679" t="s">
        <v>428</v>
      </c>
      <c r="Q10" s="679" t="s">
        <v>428</v>
      </c>
      <c r="R10" s="679" t="s">
        <v>428</v>
      </c>
      <c r="S10" s="679" t="s">
        <v>428</v>
      </c>
    </row>
    <row r="11" spans="1:19" ht="15" x14ac:dyDescent="0.25">
      <c r="A11" s="51"/>
      <c r="B11" s="684"/>
      <c r="C11" s="685"/>
      <c r="D11" s="686"/>
      <c r="E11" s="685"/>
      <c r="F11" s="685"/>
      <c r="G11" s="685"/>
      <c r="H11" s="685"/>
      <c r="I11" s="685"/>
      <c r="J11" s="685"/>
      <c r="K11" s="685"/>
      <c r="L11" s="685"/>
      <c r="M11" s="685"/>
      <c r="N11" s="685"/>
      <c r="O11" s="685"/>
      <c r="P11" s="685"/>
      <c r="Q11" s="685"/>
      <c r="R11" s="685"/>
      <c r="S11" s="685"/>
    </row>
    <row r="12" spans="1:19" ht="15.6" x14ac:dyDescent="0.3">
      <c r="A12" s="692" t="s">
        <v>486</v>
      </c>
      <c r="B12" s="693" t="s">
        <v>487</v>
      </c>
      <c r="C12" s="694">
        <f>OHJELMOINTINÄKYMÄ!C65/1000</f>
        <v>25.450591220000003</v>
      </c>
      <c r="D12" s="694">
        <f>OHJELMOINTINÄKYMÄ!D65/1000</f>
        <v>27.704363000000001</v>
      </c>
      <c r="E12" s="694">
        <f>OHJELMOINTINÄKYMÄ!E65/1000</f>
        <v>21.495999999999999</v>
      </c>
      <c r="F12" s="694">
        <f>OHJELMOINTINÄKYMÄ!F65/1000</f>
        <v>21.895</v>
      </c>
      <c r="G12" s="694">
        <f>OHJELMOINTINÄKYMÄ!G65/1000</f>
        <v>16.562999999999999</v>
      </c>
      <c r="H12" s="694">
        <f>OHJELMOINTINÄKYMÄ!H65/1000+H24</f>
        <v>48.318999999999988</v>
      </c>
      <c r="I12" s="694">
        <f>OHJELMOINTINÄKYMÄ!I65/1000+I24</f>
        <v>64.75200000000001</v>
      </c>
      <c r="J12" s="694" t="e">
        <f>OHJELMOINTINÄKYMÄ!J65/1000+J24</f>
        <v>#REF!</v>
      </c>
      <c r="K12" s="694" t="e">
        <f>OHJELMOINTINÄKYMÄ!K65/1000+K24</f>
        <v>#REF!</v>
      </c>
      <c r="L12" s="694" t="e">
        <f>OHJELMOINTINÄKYMÄ!L65/1000+L24</f>
        <v>#VALUE!</v>
      </c>
      <c r="M12" s="694" t="e">
        <f>OHJELMOINTINÄKYMÄ!M65/1000+M24</f>
        <v>#REF!</v>
      </c>
      <c r="N12" s="694" t="e">
        <f>OHJELMOINTINÄKYMÄ!O65/1000+N24</f>
        <v>#REF!</v>
      </c>
      <c r="O12" s="694" t="e">
        <f>OHJELMOINTINÄKYMÄ!P65/1000+O24</f>
        <v>#REF!</v>
      </c>
      <c r="P12" s="694" t="e">
        <f>OHJELMOINTINÄKYMÄ!Q65/1000+P24</f>
        <v>#REF!</v>
      </c>
      <c r="Q12" s="694" t="e">
        <f>OHJELMOINTINÄKYMÄ!R65/1000+Q24</f>
        <v>#REF!</v>
      </c>
      <c r="R12" s="694" t="e">
        <f>OHJELMOINTINÄKYMÄ!S65/1000+R24</f>
        <v>#REF!</v>
      </c>
      <c r="S12" s="694" t="e">
        <f>OHJELMOINTINÄKYMÄ!T65/1000+S24</f>
        <v>#REF!</v>
      </c>
    </row>
    <row r="13" spans="1:19" ht="15.6" x14ac:dyDescent="0.3">
      <c r="A13" s="69" t="s">
        <v>488</v>
      </c>
      <c r="B13" s="693" t="s">
        <v>489</v>
      </c>
      <c r="C13" s="694" t="e">
        <f>OHJELMOINTINÄKYMÄ!C93/1000</f>
        <v>#REF!</v>
      </c>
      <c r="D13" s="694" t="e">
        <f>OHJELMOINTINÄKYMÄ!D93/1000</f>
        <v>#REF!</v>
      </c>
      <c r="E13" s="694">
        <f>OHJELMOINTINÄKYMÄ!E93/1000</f>
        <v>16.488</v>
      </c>
      <c r="F13" s="694">
        <f>OHJELMOINTINÄKYMÄ!F93/1000</f>
        <v>22.585999999999999</v>
      </c>
      <c r="G13" s="694" t="e">
        <f>OHJELMOINTINÄKYMÄ!G93/1000</f>
        <v>#REF!</v>
      </c>
      <c r="H13" s="694">
        <f>OHJELMOINTINÄKYMÄ!H93/1000</f>
        <v>28.099</v>
      </c>
      <c r="I13" s="694">
        <f>OHJELMOINTINÄKYMÄ!I93/1000</f>
        <v>30.012</v>
      </c>
      <c r="J13" s="694">
        <f>OHJELMOINTINÄKYMÄ!J93/1000</f>
        <v>36.481000000000002</v>
      </c>
      <c r="K13" s="694" t="e">
        <f>OHJELMOINTINÄKYMÄ!K93/1000</f>
        <v>#REF!</v>
      </c>
      <c r="L13" s="694">
        <f>OHJELMOINTINÄKYMÄ!L93/1000</f>
        <v>49.956000000000003</v>
      </c>
      <c r="M13" s="694">
        <f>OHJELMOINTINÄKYMÄ!M93/1000</f>
        <v>66.202769000000004</v>
      </c>
      <c r="N13" s="694" t="e">
        <f>OHJELMOINTINÄKYMÄ!O93/1000</f>
        <v>#REF!</v>
      </c>
      <c r="O13" s="694" t="e">
        <f>OHJELMOINTINÄKYMÄ!P93/1000</f>
        <v>#REF!</v>
      </c>
      <c r="P13" s="694" t="e">
        <f>OHJELMOINTINÄKYMÄ!Q93/1000</f>
        <v>#REF!</v>
      </c>
      <c r="Q13" s="694" t="e">
        <f>OHJELMOINTINÄKYMÄ!R93/1000</f>
        <v>#REF!</v>
      </c>
      <c r="R13" s="694" t="e">
        <f>OHJELMOINTINÄKYMÄ!S93/1000</f>
        <v>#REF!</v>
      </c>
      <c r="S13" s="694" t="e">
        <f>OHJELMOINTINÄKYMÄ!T93/1000</f>
        <v>#REF!</v>
      </c>
    </row>
    <row r="14" spans="1:19" ht="15.6" x14ac:dyDescent="0.3">
      <c r="A14" s="69"/>
      <c r="B14" s="721" t="s">
        <v>490</v>
      </c>
      <c r="C14" s="694"/>
      <c r="D14" s="694"/>
      <c r="E14" s="694"/>
      <c r="F14" s="694"/>
      <c r="G14" s="731">
        <f>OHJELMOINTINÄKYMÄ!G97/1000</f>
        <v>4.0110000000000001</v>
      </c>
      <c r="H14" s="731">
        <f>OHJELMOINTINÄKYMÄ!H97/1000</f>
        <v>1.794</v>
      </c>
      <c r="I14" s="731">
        <f>OHJELMOINTINÄKYMÄ!I97/1000</f>
        <v>2.58</v>
      </c>
      <c r="J14" s="731">
        <f>OHJELMOINTINÄKYMÄ!J97/1000</f>
        <v>7.72</v>
      </c>
      <c r="K14" s="731" t="e">
        <f>OHJELMOINTINÄKYMÄ!K97/1000</f>
        <v>#REF!</v>
      </c>
      <c r="L14" s="731">
        <f>OHJELMOINTINÄKYMÄ!L97/1000</f>
        <v>10.542</v>
      </c>
      <c r="M14" s="731">
        <f>OHJELMOINTINÄKYMÄ!M97/1000</f>
        <v>9.6391090000000013</v>
      </c>
      <c r="N14" s="731" t="e">
        <f>OHJELMOINTINÄKYMÄ!O97/1000</f>
        <v>#REF!</v>
      </c>
      <c r="O14" s="731" t="e">
        <f>OHJELMOINTINÄKYMÄ!P97/1000</f>
        <v>#REF!</v>
      </c>
      <c r="P14" s="731" t="e">
        <f>OHJELMOINTINÄKYMÄ!Q97/1000</f>
        <v>#REF!</v>
      </c>
      <c r="Q14" s="731" t="e">
        <f>OHJELMOINTINÄKYMÄ!R97/1000</f>
        <v>#REF!</v>
      </c>
      <c r="R14" s="731" t="e">
        <f>OHJELMOINTINÄKYMÄ!S97/1000</f>
        <v>#REF!</v>
      </c>
      <c r="S14" s="731" t="e">
        <f>OHJELMOINTINÄKYMÄ!T97/1000</f>
        <v>#REF!</v>
      </c>
    </row>
    <row r="15" spans="1:19" ht="15.6" x14ac:dyDescent="0.3">
      <c r="A15" s="69"/>
      <c r="B15" s="721" t="s">
        <v>94</v>
      </c>
      <c r="C15" s="694"/>
      <c r="D15" s="694"/>
      <c r="E15" s="694"/>
      <c r="F15" s="694"/>
      <c r="G15" s="731">
        <f>OHJELMOINTINÄKYMÄ!G110/1000</f>
        <v>5.2389999999999999</v>
      </c>
      <c r="H15" s="731">
        <f>OHJELMOINTINÄKYMÄ!H110/1000</f>
        <v>5.27</v>
      </c>
      <c r="I15" s="731">
        <f>OHJELMOINTINÄKYMÄ!I110/1000</f>
        <v>7.6230000000000002</v>
      </c>
      <c r="J15" s="731">
        <f>OHJELMOINTINÄKYMÄ!J110/1000</f>
        <v>3.331</v>
      </c>
      <c r="K15" s="731">
        <f>OHJELMOINTINÄKYMÄ!K110/1000</f>
        <v>8.8849999999999998</v>
      </c>
      <c r="L15" s="731">
        <f>OHJELMOINTINÄKYMÄ!L110/1000</f>
        <v>10.622999999999999</v>
      </c>
      <c r="M15" s="731">
        <f>OHJELMOINTINÄKYMÄ!M110/1000</f>
        <v>15.914662</v>
      </c>
      <c r="N15" s="731">
        <f>OHJELMOINTINÄKYMÄ!O110/1000</f>
        <v>4.9000000000000004</v>
      </c>
      <c r="O15" s="731">
        <f>OHJELMOINTINÄKYMÄ!P110/1000</f>
        <v>8.1</v>
      </c>
      <c r="P15" s="731">
        <f>OHJELMOINTINÄKYMÄ!Q110/1000</f>
        <v>15.3</v>
      </c>
      <c r="Q15" s="731">
        <f>OHJELMOINTINÄKYMÄ!R110/1000</f>
        <v>32</v>
      </c>
      <c r="R15" s="731">
        <f>OHJELMOINTINÄKYMÄ!S110/1000</f>
        <v>27.65</v>
      </c>
      <c r="S15" s="731">
        <f>OHJELMOINTINÄKYMÄ!T110/1000</f>
        <v>17.899999999999999</v>
      </c>
    </row>
    <row r="16" spans="1:19" ht="15.6" x14ac:dyDescent="0.3">
      <c r="A16" s="69"/>
      <c r="B16" s="721" t="s">
        <v>491</v>
      </c>
      <c r="C16" s="694"/>
      <c r="D16" s="694"/>
      <c r="E16" s="694"/>
      <c r="F16" s="694"/>
      <c r="G16" s="731" t="e">
        <f>OHJELMOINTINÄKYMÄ!#REF!/1000</f>
        <v>#REF!</v>
      </c>
      <c r="H16" s="731">
        <v>0</v>
      </c>
      <c r="I16" s="731">
        <v>0</v>
      </c>
      <c r="J16" s="731" t="e">
        <f>OHJELMOINTINÄKYMÄ!#REF!/1000</f>
        <v>#REF!</v>
      </c>
      <c r="K16" s="731" t="e">
        <f>OHJELMOINTINÄKYMÄ!#REF!/1000</f>
        <v>#REF!</v>
      </c>
      <c r="L16" s="731" t="e">
        <f>OHJELMOINTINÄKYMÄ!#REF!/1000</f>
        <v>#REF!</v>
      </c>
      <c r="M16" s="731" t="e">
        <f>OHJELMOINTINÄKYMÄ!#REF!/1000</f>
        <v>#REF!</v>
      </c>
      <c r="N16" s="731" t="e">
        <f>OHJELMOINTINÄKYMÄ!#REF!/1000</f>
        <v>#REF!</v>
      </c>
      <c r="O16" s="731" t="e">
        <f>OHJELMOINTINÄKYMÄ!#REF!/1000</f>
        <v>#REF!</v>
      </c>
      <c r="P16" s="731" t="e">
        <f>OHJELMOINTINÄKYMÄ!#REF!/1000</f>
        <v>#REF!</v>
      </c>
      <c r="Q16" s="731" t="e">
        <f>OHJELMOINTINÄKYMÄ!#REF!/1000</f>
        <v>#REF!</v>
      </c>
      <c r="R16" s="731" t="e">
        <f>OHJELMOINTINÄKYMÄ!#REF!/1000</f>
        <v>#REF!</v>
      </c>
      <c r="S16" s="731" t="e">
        <f>OHJELMOINTINÄKYMÄ!#REF!/1000</f>
        <v>#REF!</v>
      </c>
    </row>
    <row r="17" spans="1:20" ht="15.6" x14ac:dyDescent="0.3">
      <c r="A17" s="69"/>
      <c r="B17" s="721" t="s">
        <v>108</v>
      </c>
      <c r="C17" s="694"/>
      <c r="D17" s="694"/>
      <c r="E17" s="694"/>
      <c r="F17" s="694"/>
      <c r="G17" s="731">
        <f>OHJELMOINTINÄKYMÄ!G136/1000</f>
        <v>5.1230000000000002</v>
      </c>
      <c r="H17" s="731">
        <f>OHJELMOINTINÄKYMÄ!H136/1000</f>
        <v>5.0060000000000002</v>
      </c>
      <c r="I17" s="731">
        <f>OHJELMOINTINÄKYMÄ!I136/1000</f>
        <v>4.875</v>
      </c>
      <c r="J17" s="731">
        <f>OHJELMOINTINÄKYMÄ!J136/1000</f>
        <v>4.1849999999999996</v>
      </c>
      <c r="K17" s="731">
        <f>OHJELMOINTINÄKYMÄ!K136/1000</f>
        <v>4.218</v>
      </c>
      <c r="L17" s="731">
        <f>OHJELMOINTINÄKYMÄ!L136/1000</f>
        <v>4.226</v>
      </c>
      <c r="M17" s="731">
        <f>OHJELMOINTINÄKYMÄ!M136/1000</f>
        <v>4.3615820000000003</v>
      </c>
      <c r="N17" s="731">
        <f>OHJELMOINTINÄKYMÄ!O136/1000</f>
        <v>4.5</v>
      </c>
      <c r="O17" s="731">
        <f>OHJELMOINTINÄKYMÄ!P136/1000</f>
        <v>5</v>
      </c>
      <c r="P17" s="731">
        <f>OHJELMOINTINÄKYMÄ!Q136/1000</f>
        <v>5</v>
      </c>
      <c r="Q17" s="731">
        <f>OHJELMOINTINÄKYMÄ!R136/1000</f>
        <v>5</v>
      </c>
      <c r="R17" s="731">
        <f>OHJELMOINTINÄKYMÄ!S136/1000</f>
        <v>5</v>
      </c>
      <c r="S17" s="731">
        <f>OHJELMOINTINÄKYMÄ!T136/1000</f>
        <v>5</v>
      </c>
    </row>
    <row r="18" spans="1:20" ht="15.6" x14ac:dyDescent="0.3">
      <c r="A18" s="69"/>
      <c r="B18" s="721" t="s">
        <v>112</v>
      </c>
      <c r="C18" s="694"/>
      <c r="D18" s="694"/>
      <c r="E18" s="694"/>
      <c r="F18" s="694"/>
      <c r="G18" s="731">
        <f>OHJELMOINTINÄKYMÄ!G150/1000</f>
        <v>3.9140000000000001</v>
      </c>
      <c r="H18" s="731">
        <f>OHJELMOINTINÄKYMÄ!H150/1000</f>
        <v>2.3540000000000001</v>
      </c>
      <c r="I18" s="731">
        <f>OHJELMOINTINÄKYMÄ!I150/1000</f>
        <v>2.3239999999999998</v>
      </c>
      <c r="J18" s="731">
        <f>OHJELMOINTINÄKYMÄ!J150/1000</f>
        <v>3.3109999999999999</v>
      </c>
      <c r="K18" s="731">
        <f>OHJELMOINTINÄKYMÄ!K150/1000</f>
        <v>3.1880000000000002</v>
      </c>
      <c r="L18" s="731">
        <f>OHJELMOINTINÄKYMÄ!L150/1000</f>
        <v>8.1389999999999993</v>
      </c>
      <c r="M18" s="731">
        <f>OHJELMOINTINÄKYMÄ!M150/1000</f>
        <v>10.718579</v>
      </c>
      <c r="N18" s="731">
        <f>OHJELMOINTINÄKYMÄ!O150/1000</f>
        <v>4.7</v>
      </c>
      <c r="O18" s="731">
        <f>OHJELMOINTINÄKYMÄ!P150/1000</f>
        <v>9</v>
      </c>
      <c r="P18" s="731">
        <f>OHJELMOINTINÄKYMÄ!Q150/1000</f>
        <v>6</v>
      </c>
      <c r="Q18" s="731">
        <f>OHJELMOINTINÄKYMÄ!R150/1000</f>
        <v>6.5</v>
      </c>
      <c r="R18" s="731">
        <f>OHJELMOINTINÄKYMÄ!S150/1000</f>
        <v>5.6</v>
      </c>
      <c r="S18" s="731">
        <f>OHJELMOINTINÄKYMÄ!T150/1000</f>
        <v>4.5</v>
      </c>
    </row>
    <row r="19" spans="1:20" ht="15.6" x14ac:dyDescent="0.3">
      <c r="A19" s="69"/>
      <c r="B19" s="721" t="s">
        <v>114</v>
      </c>
      <c r="C19" s="694"/>
      <c r="D19" s="694"/>
      <c r="E19" s="694"/>
      <c r="F19" s="694"/>
      <c r="G19" s="731" t="e">
        <f>OHJELMOINTINÄKYMÄ!G160/1000</f>
        <v>#REF!</v>
      </c>
      <c r="H19" s="731">
        <f>OHJELMOINTINÄKYMÄ!H160/1000</f>
        <v>7.532</v>
      </c>
      <c r="I19" s="731">
        <f>OHJELMOINTINÄKYMÄ!I160/1000</f>
        <v>10.992000000000001</v>
      </c>
      <c r="J19" s="731">
        <f>OHJELMOINTINÄKYMÄ!J160/1000</f>
        <v>14.205</v>
      </c>
      <c r="K19" s="731">
        <f>OHJELMOINTINÄKYMÄ!K160/1000</f>
        <v>12.592000000000001</v>
      </c>
      <c r="L19" s="731">
        <f>OHJELMOINTINÄKYMÄ!L160/1000</f>
        <v>13.9</v>
      </c>
      <c r="M19" s="731">
        <f>OHJELMOINTINÄKYMÄ!M160/1000</f>
        <v>24.42473</v>
      </c>
      <c r="N19" s="731">
        <f>OHJELMOINTINÄKYMÄ!O160/1000</f>
        <v>25.5</v>
      </c>
      <c r="O19" s="731">
        <f>OHJELMOINTINÄKYMÄ!P160/1000</f>
        <v>23.5</v>
      </c>
      <c r="P19" s="731">
        <f>OHJELMOINTINÄKYMÄ!Q160/1000</f>
        <v>19</v>
      </c>
      <c r="Q19" s="731">
        <f>OHJELMOINTINÄKYMÄ!R160/1000</f>
        <v>19</v>
      </c>
      <c r="R19" s="731">
        <f>OHJELMOINTINÄKYMÄ!S160/1000</f>
        <v>19.5</v>
      </c>
      <c r="S19" s="731">
        <f>OHJELMOINTINÄKYMÄ!T160/1000</f>
        <v>19.5</v>
      </c>
    </row>
    <row r="20" spans="1:20" ht="15.6" x14ac:dyDescent="0.3">
      <c r="A20" s="69"/>
      <c r="B20" s="721" t="s">
        <v>492</v>
      </c>
      <c r="C20" s="694"/>
      <c r="D20" s="694"/>
      <c r="E20" s="694"/>
      <c r="F20" s="694"/>
      <c r="G20" s="731"/>
      <c r="H20" s="731"/>
      <c r="I20" s="731"/>
      <c r="J20" s="731"/>
      <c r="K20" s="731"/>
      <c r="L20" s="731" t="e">
        <f>OHJELMOINTINÄKYMÄ!#REF!/1000</f>
        <v>#REF!</v>
      </c>
      <c r="M20" s="731" t="e">
        <f>OHJELMOINTINÄKYMÄ!#REF!/1000</f>
        <v>#REF!</v>
      </c>
      <c r="N20" s="731" t="e">
        <f>OHJELMOINTINÄKYMÄ!#REF!/1000</f>
        <v>#REF!</v>
      </c>
      <c r="O20" s="731" t="e">
        <f>OHJELMOINTINÄKYMÄ!#REF!/1000</f>
        <v>#REF!</v>
      </c>
      <c r="P20" s="731"/>
      <c r="Q20" s="731"/>
      <c r="R20" s="731"/>
      <c r="S20" s="731"/>
    </row>
    <row r="21" spans="1:20" ht="15.6" x14ac:dyDescent="0.3">
      <c r="A21" s="69" t="s">
        <v>493</v>
      </c>
      <c r="B21" s="693" t="s">
        <v>494</v>
      </c>
      <c r="C21" s="694">
        <f>OHJELMOINTINÄKYMÄ!C286/1000</f>
        <v>4.01</v>
      </c>
      <c r="D21" s="694">
        <f>OHJELMOINTINÄKYMÄ!D286/1000</f>
        <v>2.4889999999999999</v>
      </c>
      <c r="E21" s="694">
        <f>OHJELMOINTINÄKYMÄ!E286/1000</f>
        <v>0.56399999999999995</v>
      </c>
      <c r="F21" s="694">
        <f>OHJELMOINTINÄKYMÄ!F286/1000</f>
        <v>1.9</v>
      </c>
      <c r="G21" s="694">
        <f>OHJELMOINTINÄKYMÄ!G286/1000</f>
        <v>2.746</v>
      </c>
      <c r="H21" s="694">
        <f>OHJELMOINTINÄKYMÄ!H286/1000</f>
        <v>8.7840000000000007</v>
      </c>
      <c r="I21" s="694">
        <f>OHJELMOINTINÄKYMÄ!I286/1000</f>
        <v>8.7750000000000004</v>
      </c>
      <c r="J21" s="694">
        <f>OHJELMOINTINÄKYMÄ!J286/1000</f>
        <v>1.121</v>
      </c>
      <c r="K21" s="694">
        <f>OHJELMOINTINÄKYMÄ!K286/1000</f>
        <v>1.65</v>
      </c>
      <c r="L21" s="694">
        <f>OHJELMOINTINÄKYMÄ!L286/1000</f>
        <v>0.91900000000000004</v>
      </c>
      <c r="M21" s="694">
        <f>OHJELMOINTINÄKYMÄ!M286/1000</f>
        <v>0.87262400000000007</v>
      </c>
      <c r="N21" s="694">
        <f>OHJELMOINTINÄKYMÄ!O286/1000</f>
        <v>2.09</v>
      </c>
      <c r="O21" s="694">
        <f>OHJELMOINTINÄKYMÄ!P286/1000</f>
        <v>0.9</v>
      </c>
      <c r="P21" s="694">
        <f>OHJELMOINTINÄKYMÄ!Q286/1000</f>
        <v>0.6</v>
      </c>
      <c r="Q21" s="694">
        <f>OHJELMOINTINÄKYMÄ!R286/1000</f>
        <v>1.1000000000000001</v>
      </c>
      <c r="R21" s="694">
        <f>OHJELMOINTINÄKYMÄ!S286/1000</f>
        <v>7.8</v>
      </c>
      <c r="S21" s="694">
        <f>OHJELMOINTINÄKYMÄ!T286/1000</f>
        <v>21.7</v>
      </c>
    </row>
    <row r="22" spans="1:20" ht="15.6" x14ac:dyDescent="0.3">
      <c r="A22" s="69" t="s">
        <v>495</v>
      </c>
      <c r="B22" s="693" t="s">
        <v>496</v>
      </c>
      <c r="C22" s="694" t="e">
        <f>OHJELMOINTINÄKYMÄ!#REF!/1000</f>
        <v>#REF!</v>
      </c>
      <c r="D22" s="694" t="e">
        <f>OHJELMOINTINÄKYMÄ!#REF!/1000</f>
        <v>#REF!</v>
      </c>
      <c r="E22" s="694" t="e">
        <f>OHJELMOINTINÄKYMÄ!#REF!/1000</f>
        <v>#REF!</v>
      </c>
      <c r="F22" s="694" t="e">
        <f>OHJELMOINTINÄKYMÄ!#REF!/1000</f>
        <v>#REF!</v>
      </c>
      <c r="G22" s="694" t="e">
        <f>OHJELMOINTINÄKYMÄ!#REF!/1000</f>
        <v>#REF!</v>
      </c>
      <c r="H22" s="694" t="e">
        <f>OHJELMOINTINÄKYMÄ!#REF!/1000</f>
        <v>#REF!</v>
      </c>
      <c r="I22" s="694" t="e">
        <f>OHJELMOINTINÄKYMÄ!#REF!/1000</f>
        <v>#REF!</v>
      </c>
      <c r="J22" s="694" t="e">
        <f>OHJELMOINTINÄKYMÄ!#REF!/1000</f>
        <v>#REF!</v>
      </c>
      <c r="K22" s="694" t="e">
        <f>OHJELMOINTINÄKYMÄ!#REF!/1000</f>
        <v>#REF!</v>
      </c>
      <c r="L22" s="694" t="e">
        <f>OHJELMOINTINÄKYMÄ!#REF!/1000</f>
        <v>#REF!</v>
      </c>
      <c r="M22" s="694" t="e">
        <f>OHJELMOINTINÄKYMÄ!#REF!/1000</f>
        <v>#REF!</v>
      </c>
      <c r="N22" s="694" t="e">
        <f>OHJELMOINTINÄKYMÄ!#REF!/1000</f>
        <v>#REF!</v>
      </c>
      <c r="O22" s="694" t="e">
        <f>OHJELMOINTINÄKYMÄ!#REF!/1000</f>
        <v>#REF!</v>
      </c>
      <c r="P22" s="694" t="e">
        <f>OHJELMOINTINÄKYMÄ!#REF!/1000</f>
        <v>#REF!</v>
      </c>
      <c r="Q22" s="694" t="e">
        <f>OHJELMOINTINÄKYMÄ!#REF!/1000</f>
        <v>#REF!</v>
      </c>
      <c r="R22" s="694" t="e">
        <f>OHJELMOINTINÄKYMÄ!#REF!/1000</f>
        <v>#REF!</v>
      </c>
      <c r="S22" s="694" t="e">
        <f>OHJELMOINTINÄKYMÄ!#REF!/1000</f>
        <v>#REF!</v>
      </c>
    </row>
    <row r="23" spans="1:20" ht="15.6" x14ac:dyDescent="0.3">
      <c r="A23" s="90" t="s">
        <v>497</v>
      </c>
      <c r="B23" s="34" t="s">
        <v>498</v>
      </c>
      <c r="C23" s="694">
        <f>OHJELMOINTINÄKYMÄ!C271/1000</f>
        <v>0</v>
      </c>
      <c r="D23" s="694">
        <f>OHJELMOINTINÄKYMÄ!D271/1000</f>
        <v>0</v>
      </c>
      <c r="E23" s="694">
        <f>OHJELMOINTINÄKYMÄ!E271/1000</f>
        <v>0.35299999999999998</v>
      </c>
      <c r="F23" s="694" t="e">
        <f>OHJELMOINTINÄKYMÄ!#REF!/1000</f>
        <v>#REF!</v>
      </c>
      <c r="G23" s="694" t="e">
        <f>OHJELMOINTINÄKYMÄ!#REF!/1000</f>
        <v>#REF!</v>
      </c>
      <c r="H23" s="694" t="e">
        <f>OHJELMOINTINÄKYMÄ!#REF!/1000</f>
        <v>#REF!</v>
      </c>
      <c r="I23" s="694" t="e">
        <f>OHJELMOINTINÄKYMÄ!#REF!/1000</f>
        <v>#REF!</v>
      </c>
      <c r="J23" s="694" t="e">
        <f>OHJELMOINTINÄKYMÄ!#REF!/1000</f>
        <v>#REF!</v>
      </c>
      <c r="K23" s="694" t="e">
        <f>OHJELMOINTINÄKYMÄ!#REF!/1000</f>
        <v>#REF!</v>
      </c>
      <c r="L23" s="694" t="e">
        <f>OHJELMOINTINÄKYMÄ!#REF!/1000</f>
        <v>#REF!</v>
      </c>
      <c r="M23" s="694" t="e">
        <f>OHJELMOINTINÄKYMÄ!#REF!/1000</f>
        <v>#REF!</v>
      </c>
      <c r="N23" s="694" t="e">
        <f>OHJELMOINTINÄKYMÄ!#REF!/1000</f>
        <v>#REF!</v>
      </c>
      <c r="O23" s="694" t="e">
        <f>OHJELMOINTINÄKYMÄ!#REF!/1000</f>
        <v>#REF!</v>
      </c>
      <c r="P23" s="694" t="e">
        <f>OHJELMOINTINÄKYMÄ!#REF!/1000</f>
        <v>#REF!</v>
      </c>
      <c r="Q23" s="694" t="e">
        <f>OHJELMOINTINÄKYMÄ!#REF!/1000</f>
        <v>#REF!</v>
      </c>
      <c r="R23" s="694" t="e">
        <f>OHJELMOINTINÄKYMÄ!#REF!/1000</f>
        <v>#REF!</v>
      </c>
      <c r="S23" s="694" t="e">
        <f>OHJELMOINTINÄKYMÄ!#REF!/1000</f>
        <v>#REF!</v>
      </c>
      <c r="T23" s="694" t="s">
        <v>3</v>
      </c>
    </row>
    <row r="24" spans="1:20" ht="15.6" x14ac:dyDescent="0.3">
      <c r="A24" s="69" t="s">
        <v>499</v>
      </c>
      <c r="B24" s="34" t="s">
        <v>431</v>
      </c>
      <c r="C24" s="694"/>
      <c r="D24" s="694"/>
      <c r="E24" s="694"/>
      <c r="F24" s="694">
        <f>SUM(F25:F30)</f>
        <v>22.094000000000001</v>
      </c>
      <c r="G24" s="694">
        <f>SUM(G25:G31)</f>
        <v>26.298769999999998</v>
      </c>
      <c r="H24" s="694">
        <f>SUM(H25:H31)</f>
        <v>33.560999999999993</v>
      </c>
      <c r="I24" s="694">
        <f>SUM(I25:I31)</f>
        <v>50.173000000000002</v>
      </c>
      <c r="J24" s="694" t="e">
        <f t="shared" ref="J24:S24" si="0">SUM(J25:J33)</f>
        <v>#REF!</v>
      </c>
      <c r="K24" s="694" t="e">
        <f t="shared" si="0"/>
        <v>#REF!</v>
      </c>
      <c r="L24" s="694" t="e">
        <f t="shared" si="0"/>
        <v>#VALUE!</v>
      </c>
      <c r="M24" s="694" t="e">
        <f t="shared" si="0"/>
        <v>#REF!</v>
      </c>
      <c r="N24" s="694" t="e">
        <f t="shared" si="0"/>
        <v>#REF!</v>
      </c>
      <c r="O24" s="694" t="e">
        <f t="shared" si="0"/>
        <v>#REF!</v>
      </c>
      <c r="P24" s="694" t="e">
        <f t="shared" si="0"/>
        <v>#REF!</v>
      </c>
      <c r="Q24" s="694" t="e">
        <f t="shared" si="0"/>
        <v>#REF!</v>
      </c>
      <c r="R24" s="694" t="e">
        <f t="shared" si="0"/>
        <v>#REF!</v>
      </c>
      <c r="S24" s="694" t="e">
        <f t="shared" si="0"/>
        <v>#REF!</v>
      </c>
    </row>
    <row r="25" spans="1:20" ht="15.6" x14ac:dyDescent="0.3">
      <c r="A25" s="69"/>
      <c r="B25" s="721" t="s">
        <v>432</v>
      </c>
      <c r="C25" s="731">
        <f>OHJELMOINTINÄKYMÄ!C206/1000</f>
        <v>0.66496892000000007</v>
      </c>
      <c r="D25" s="731">
        <f>OHJELMOINTINÄKYMÄ!D206/1000</f>
        <v>0</v>
      </c>
      <c r="E25" s="731">
        <f>OHJELMOINTINÄKYMÄ!E206/1000</f>
        <v>0.33100000000000002</v>
      </c>
      <c r="F25" s="731">
        <f>OHJELMOINTINÄKYMÄ!F206/1000+OHJELMOINTINÄKYMÄ!F207/1000</f>
        <v>0.33</v>
      </c>
      <c r="G25" s="731">
        <f>OHJELMOINTINÄKYMÄ!G206/1000+OHJELMOINTINÄKYMÄ!G207/1000</f>
        <v>3.0539999999999998</v>
      </c>
      <c r="H25" s="694">
        <f>OHJELMOINTINÄKYMÄ!H203/1000</f>
        <v>0.14099999999999999</v>
      </c>
      <c r="I25" s="731">
        <f>OHJELMOINTINÄKYMÄ!I203/1000</f>
        <v>0.28199999999999997</v>
      </c>
      <c r="J25" s="731">
        <f>OHJELMOINTINÄKYMÄ!J203/1000</f>
        <v>0.23499999999999999</v>
      </c>
      <c r="K25" s="731">
        <f>OHJELMOINTINÄKYMÄ!K203/1000</f>
        <v>4.83</v>
      </c>
      <c r="L25" s="731">
        <f>OHJELMOINTINÄKYMÄ!L203/1000</f>
        <v>2.617</v>
      </c>
      <c r="M25" s="731">
        <f>OHJELMOINTINÄKYMÄ!M203/1000</f>
        <v>0.188606</v>
      </c>
      <c r="N25" s="731">
        <f>OHJELMOINTINÄKYMÄ!O203/1000</f>
        <v>0</v>
      </c>
      <c r="O25" s="731">
        <f>OHJELMOINTINÄKYMÄ!P203/1000</f>
        <v>0</v>
      </c>
      <c r="P25" s="731">
        <f>OHJELMOINTINÄKYMÄ!Q203/1000</f>
        <v>0</v>
      </c>
      <c r="Q25" s="731">
        <f>OHJELMOINTINÄKYMÄ!R203/1000</f>
        <v>0</v>
      </c>
      <c r="R25" s="731">
        <f>OHJELMOINTINÄKYMÄ!S203/1000</f>
        <v>0</v>
      </c>
      <c r="S25" s="731">
        <f>OHJELMOINTINÄKYMÄ!T203/1000</f>
        <v>0</v>
      </c>
    </row>
    <row r="26" spans="1:20" ht="15.6" x14ac:dyDescent="0.3">
      <c r="A26" s="90"/>
      <c r="B26" s="52" t="s">
        <v>367</v>
      </c>
      <c r="C26" s="731">
        <f>OHJELMOINTINÄKYMÄ!C210/1000</f>
        <v>17.993877600000001</v>
      </c>
      <c r="D26" s="731">
        <f>OHJELMOINTINÄKYMÄ!D210/1000</f>
        <v>13.061999999999999</v>
      </c>
      <c r="E26" s="731">
        <f>OHJELMOINTINÄKYMÄ!E210/1000</f>
        <v>5.2729999999999997</v>
      </c>
      <c r="F26" s="731">
        <f>OHJELMOINTINÄKYMÄ!F210/1000</f>
        <v>4.7389999999999999</v>
      </c>
      <c r="G26" s="731">
        <f>OHJELMOINTINÄKYMÄ!G210/1000</f>
        <v>3.8450000000000002</v>
      </c>
      <c r="H26" s="694">
        <f>OHJELMOINTINÄKYMÄ!H210/1000</f>
        <v>2.7949999999999999</v>
      </c>
      <c r="I26" s="731">
        <f>OHJELMOINTINÄKYMÄ!I210/1000</f>
        <v>6.024</v>
      </c>
      <c r="J26" s="731">
        <f>OHJELMOINTINÄKYMÄ!J210/1000</f>
        <v>22.12</v>
      </c>
      <c r="K26" s="731">
        <f>OHJELMOINTINÄKYMÄ!K210/1000</f>
        <v>13.27</v>
      </c>
      <c r="L26" s="731">
        <f>OHJELMOINTINÄKYMÄ!L210/1000</f>
        <v>16.920000000000002</v>
      </c>
      <c r="M26" s="731">
        <f>OHJELMOINTINÄKYMÄ!M210/1000</f>
        <v>22.806918000000003</v>
      </c>
      <c r="N26" s="731">
        <f>OHJELMOINTINÄKYMÄ!O210/1000</f>
        <v>0</v>
      </c>
      <c r="O26" s="731">
        <f>OHJELMOINTINÄKYMÄ!P210/1000</f>
        <v>0</v>
      </c>
      <c r="P26" s="731">
        <f>OHJELMOINTINÄKYMÄ!Q210/1000</f>
        <v>0</v>
      </c>
      <c r="Q26" s="731">
        <f>OHJELMOINTINÄKYMÄ!R210/1000</f>
        <v>0</v>
      </c>
      <c r="R26" s="731">
        <f>OHJELMOINTINÄKYMÄ!S210/1000</f>
        <v>0</v>
      </c>
      <c r="S26" s="731">
        <f>OHJELMOINTINÄKYMÄ!T210/1000</f>
        <v>0</v>
      </c>
    </row>
    <row r="27" spans="1:20" ht="15.6" x14ac:dyDescent="0.3">
      <c r="A27" s="90"/>
      <c r="B27" s="52" t="s">
        <v>151</v>
      </c>
      <c r="C27" s="731">
        <f>OHJELMOINTINÄKYMÄ!C222/1000</f>
        <v>4.0102876199999997</v>
      </c>
      <c r="D27" s="731">
        <f>OHJELMOINTINÄKYMÄ!D222/1000</f>
        <v>8.6724960800000002</v>
      </c>
      <c r="E27" s="731">
        <f>OHJELMOINTINÄKYMÄ!E222/1000</f>
        <v>10.507</v>
      </c>
      <c r="F27" s="731">
        <f>OHJELMOINTINÄKYMÄ!F222/1000</f>
        <v>9.2639999999999993</v>
      </c>
      <c r="G27" s="731">
        <f>OHJELMOINTINÄKYMÄ!G222/1000</f>
        <v>4.1369999999999996</v>
      </c>
      <c r="H27" s="694">
        <f>OHJELMOINTINÄKYMÄ!H222/1000</f>
        <v>9.1</v>
      </c>
      <c r="I27" s="731">
        <f>OHJELMOINTINÄKYMÄ!I222/1000</f>
        <v>13.21</v>
      </c>
      <c r="J27" s="731">
        <f>OHJELMOINTINÄKYMÄ!J222/1000</f>
        <v>18.262</v>
      </c>
      <c r="K27" s="731">
        <f>OHJELMOINTINÄKYMÄ!K222/1000</f>
        <v>14.964</v>
      </c>
      <c r="L27" s="731">
        <f>OHJELMOINTINÄKYMÄ!L222/1000</f>
        <v>15.704000000000001</v>
      </c>
      <c r="M27" s="731">
        <f>OHJELMOINTINÄKYMÄ!M222/1000</f>
        <v>14.397551</v>
      </c>
      <c r="N27" s="731">
        <f>OHJELMOINTINÄKYMÄ!O222/1000</f>
        <v>0</v>
      </c>
      <c r="O27" s="731">
        <f>OHJELMOINTINÄKYMÄ!P222/1000</f>
        <v>0</v>
      </c>
      <c r="P27" s="731">
        <f>OHJELMOINTINÄKYMÄ!Q222/1000</f>
        <v>0</v>
      </c>
      <c r="Q27" s="731">
        <f>OHJELMOINTINÄKYMÄ!R222/1000</f>
        <v>0</v>
      </c>
      <c r="R27" s="731">
        <f>OHJELMOINTINÄKYMÄ!S222/1000</f>
        <v>0</v>
      </c>
      <c r="S27" s="731">
        <f>OHJELMOINTINÄKYMÄ!T222/1000</f>
        <v>0</v>
      </c>
    </row>
    <row r="28" spans="1:20" ht="15.6" x14ac:dyDescent="0.3">
      <c r="A28" s="90"/>
      <c r="B28" s="52" t="s">
        <v>166</v>
      </c>
      <c r="C28" s="731">
        <f>OHJELMOINTINÄKYMÄ!C238/1000</f>
        <v>1.2020620500000001</v>
      </c>
      <c r="D28" s="731">
        <f>OHJELMOINTINÄKYMÄ!D238/1000</f>
        <v>0.88986321999999995</v>
      </c>
      <c r="E28" s="731">
        <f>OHJELMOINTINÄKYMÄ!E238/1000</f>
        <v>1.1259999999999999</v>
      </c>
      <c r="F28" s="731">
        <f>OHJELMOINTINÄKYMÄ!F238/1000</f>
        <v>4.3440000000000003</v>
      </c>
      <c r="G28" s="731">
        <f>OHJELMOINTINÄKYMÄ!G238/1000</f>
        <v>5.343</v>
      </c>
      <c r="H28" s="694">
        <f>OHJELMOINTINÄKYMÄ!H238/1000</f>
        <v>5.524</v>
      </c>
      <c r="I28" s="731">
        <f>OHJELMOINTINÄKYMÄ!I238/1000</f>
        <v>7.2460000000000004</v>
      </c>
      <c r="J28" s="731">
        <f>OHJELMOINTINÄKYMÄ!J238/1000</f>
        <v>6.5880000000000001</v>
      </c>
      <c r="K28" s="731">
        <f>OHJELMOINTINÄKYMÄ!K238/1000</f>
        <v>6.1619999999999999</v>
      </c>
      <c r="L28" s="731">
        <f>OHJELMOINTINÄKYMÄ!L238/1000</f>
        <v>2.91</v>
      </c>
      <c r="M28" s="731">
        <f>OHJELMOINTINÄKYMÄ!M238/1000</f>
        <v>7.8985510000000003</v>
      </c>
      <c r="N28" s="731">
        <f>OHJELMOINTINÄKYMÄ!O238/1000</f>
        <v>0</v>
      </c>
      <c r="O28" s="731">
        <f>OHJELMOINTINÄKYMÄ!P238/1000</f>
        <v>0</v>
      </c>
      <c r="P28" s="731">
        <f>OHJELMOINTINÄKYMÄ!Q238/1000</f>
        <v>0</v>
      </c>
      <c r="Q28" s="731">
        <f>OHJELMOINTINÄKYMÄ!R238/1000</f>
        <v>0</v>
      </c>
      <c r="R28" s="731">
        <f>OHJELMOINTINÄKYMÄ!S238/1000</f>
        <v>0</v>
      </c>
      <c r="S28" s="731">
        <f>OHJELMOINTINÄKYMÄ!T238/1000</f>
        <v>0</v>
      </c>
    </row>
    <row r="29" spans="1:20" ht="15.6" x14ac:dyDescent="0.3">
      <c r="A29" s="90"/>
      <c r="B29" s="52" t="s">
        <v>183</v>
      </c>
      <c r="C29" s="731">
        <f>OHJELMOINTINÄKYMÄ!C256/1000</f>
        <v>0.38600000000000001</v>
      </c>
      <c r="D29" s="731">
        <f>OHJELMOINTINÄKYMÄ!D256/1000</f>
        <v>1.8725732399999999</v>
      </c>
      <c r="E29" s="731">
        <f>OHJELMOINTINÄKYMÄ!E256/1000</f>
        <v>1.615</v>
      </c>
      <c r="F29" s="731">
        <f>OHJELMOINTINÄKYMÄ!F256/1000</f>
        <v>3.4169999999999998</v>
      </c>
      <c r="G29" s="731">
        <f>OHJELMOINTINÄKYMÄ!G256/1000</f>
        <v>9.9019999999999992</v>
      </c>
      <c r="H29" s="694">
        <f>OHJELMOINTINÄKYMÄ!H256/1000</f>
        <v>13.35</v>
      </c>
      <c r="I29" s="731">
        <f>OHJELMOINTINÄKYMÄ!I256/1000</f>
        <v>18.609000000000002</v>
      </c>
      <c r="J29" s="731">
        <f>OHJELMOINTINÄKYMÄ!J256/1000</f>
        <v>26.158000000000001</v>
      </c>
      <c r="K29" s="731">
        <f>OHJELMOINTINÄKYMÄ!K256/1000</f>
        <v>33.095999999999997</v>
      </c>
      <c r="L29" s="731">
        <f>OHJELMOINTINÄKYMÄ!L256/1000</f>
        <v>34.896999999999998</v>
      </c>
      <c r="M29" s="731">
        <f>OHJELMOINTINÄKYMÄ!M256/1000</f>
        <v>18.964599</v>
      </c>
      <c r="N29" s="731">
        <f>OHJELMOINTINÄKYMÄ!O256/1000</f>
        <v>0</v>
      </c>
      <c r="O29" s="731">
        <f>OHJELMOINTINÄKYMÄ!P256/1000</f>
        <v>0</v>
      </c>
      <c r="P29" s="731">
        <f>OHJELMOINTINÄKYMÄ!Q256/1000</f>
        <v>0</v>
      </c>
      <c r="Q29" s="731">
        <f>OHJELMOINTINÄKYMÄ!R256/1000</f>
        <v>0</v>
      </c>
      <c r="R29" s="731">
        <f>OHJELMOINTINÄKYMÄ!S256/1000</f>
        <v>0</v>
      </c>
      <c r="S29" s="731">
        <f>OHJELMOINTINÄKYMÄ!T256/1000</f>
        <v>0</v>
      </c>
    </row>
    <row r="30" spans="1:20" ht="15.6" x14ac:dyDescent="0.3">
      <c r="A30" s="90"/>
      <c r="B30" s="52" t="s">
        <v>199</v>
      </c>
      <c r="C30" s="731">
        <f>OHJELMOINTINÄKYMÄ!C257/1000</f>
        <v>0</v>
      </c>
      <c r="D30" s="731">
        <f>OHJELMOINTINÄKYMÄ!D257/1000</f>
        <v>0</v>
      </c>
      <c r="E30" s="731">
        <f>OHJELMOINTINÄKYMÄ!E273/1000</f>
        <v>0</v>
      </c>
      <c r="F30" s="731">
        <v>0</v>
      </c>
      <c r="G30" s="731">
        <f>OHJELMOINTINÄKYMÄ!G273/100000</f>
        <v>1.7770000000000001E-2</v>
      </c>
      <c r="H30" s="694">
        <f>OHJELMOINTINÄKYMÄ!H273/1000</f>
        <v>2.6509999999999998</v>
      </c>
      <c r="I30" s="731">
        <f>OHJELMOINTINÄKYMÄ!I273/1000</f>
        <v>4.1130000000000004</v>
      </c>
      <c r="J30" s="731">
        <f>OHJELMOINTINÄKYMÄ!J273/1000</f>
        <v>3.101</v>
      </c>
      <c r="K30" s="731">
        <f>OHJELMOINTINÄKYMÄ!K273/1000</f>
        <v>2.2269999999999999</v>
      </c>
      <c r="L30" s="731">
        <f>OHJELMOINTINÄKYMÄ!L273/1000</f>
        <v>5.9130000000000003</v>
      </c>
      <c r="M30" s="731">
        <f>OHJELMOINTINÄKYMÄ!M273/1000</f>
        <v>3.835464</v>
      </c>
      <c r="N30" s="731">
        <f>OHJELMOINTINÄKYMÄ!O273/1000</f>
        <v>0</v>
      </c>
      <c r="O30" s="731">
        <f>OHJELMOINTINÄKYMÄ!P273/1000</f>
        <v>0</v>
      </c>
      <c r="P30" s="731">
        <f>OHJELMOINTINÄKYMÄ!Q273/1000</f>
        <v>0</v>
      </c>
      <c r="Q30" s="731">
        <f>OHJELMOINTINÄKYMÄ!R273/1000</f>
        <v>0</v>
      </c>
      <c r="R30" s="731">
        <f>OHJELMOINTINÄKYMÄ!S273/1000</f>
        <v>0</v>
      </c>
      <c r="S30" s="731">
        <f>OHJELMOINTINÄKYMÄ!T273/1000</f>
        <v>0</v>
      </c>
    </row>
    <row r="31" spans="1:20" ht="15" x14ac:dyDescent="0.25">
      <c r="B31" s="52" t="s">
        <v>205</v>
      </c>
      <c r="I31" s="731">
        <f>OHJELMOINTINÄKYMÄ!I280/1000</f>
        <v>0.68899999999999995</v>
      </c>
      <c r="J31" s="731">
        <f>OHJELMOINTINÄKYMÄ!J280/1000</f>
        <v>2.0379999999999998</v>
      </c>
      <c r="K31" s="731">
        <f>OHJELMOINTINÄKYMÄ!K280/1000</f>
        <v>3.093</v>
      </c>
      <c r="L31" s="731" t="e">
        <f>OHJELMOINTINÄKYMÄ!L274/1000</f>
        <v>#VALUE!</v>
      </c>
      <c r="M31" s="731">
        <f>OHJELMOINTINÄKYMÄ!M280/1000</f>
        <v>0.35628199999999999</v>
      </c>
      <c r="N31" s="731">
        <f>OHJELMOINTINÄKYMÄ!O280/1000</f>
        <v>0</v>
      </c>
      <c r="O31" s="731">
        <f>OHJELMOINTINÄKYMÄ!P280/1000</f>
        <v>0</v>
      </c>
      <c r="P31" s="731">
        <f>OHJELMOINTINÄKYMÄ!Q280/1000</f>
        <v>0</v>
      </c>
      <c r="Q31" s="731">
        <f>OHJELMOINTINÄKYMÄ!R280/1000</f>
        <v>0</v>
      </c>
      <c r="R31" s="731">
        <f>OHJELMOINTINÄKYMÄ!S280/1000</f>
        <v>0</v>
      </c>
      <c r="S31" s="731">
        <f>OHJELMOINTINÄKYMÄ!T280/1000</f>
        <v>0</v>
      </c>
    </row>
    <row r="32" spans="1:20" ht="15" x14ac:dyDescent="0.25">
      <c r="B32" s="52" t="s">
        <v>206</v>
      </c>
    </row>
    <row r="33" spans="2:19" ht="15" x14ac:dyDescent="0.25">
      <c r="B33" s="52" t="s">
        <v>301</v>
      </c>
      <c r="J33" s="731" t="e">
        <f>OHJELMOINTINÄKYMÄ!#REF!/1000</f>
        <v>#REF!</v>
      </c>
      <c r="K33" s="731" t="e">
        <f>OHJELMOINTINÄKYMÄ!#REF!/1000</f>
        <v>#REF!</v>
      </c>
      <c r="L33" s="731" t="e">
        <f>OHJELMOINTINÄKYMÄ!#REF!/1000</f>
        <v>#REF!</v>
      </c>
      <c r="M33" s="731" t="e">
        <f>OHJELMOINTINÄKYMÄ!#REF!/1000</f>
        <v>#REF!</v>
      </c>
      <c r="N33" s="731" t="e">
        <f>OHJELMOINTINÄKYMÄ!#REF!/1000</f>
        <v>#REF!</v>
      </c>
      <c r="O33" s="731" t="e">
        <f>OHJELMOINTINÄKYMÄ!#REF!/1000</f>
        <v>#REF!</v>
      </c>
      <c r="P33" s="731" t="e">
        <f>OHJELMOINTINÄKYMÄ!#REF!/1000</f>
        <v>#REF!</v>
      </c>
      <c r="Q33" s="731" t="e">
        <f>OHJELMOINTINÄKYMÄ!#REF!/1000</f>
        <v>#REF!</v>
      </c>
      <c r="R33" s="731" t="e">
        <f>OHJELMOINTINÄKYMÄ!#REF!/1000</f>
        <v>#REF!</v>
      </c>
      <c r="S33" s="731" t="e">
        <f>OHJELMOINTINÄKYMÄ!#REF!/1000</f>
        <v>#REF!</v>
      </c>
    </row>
  </sheetData>
  <pageMargins left="0.7" right="0.7" top="0.75" bottom="0.75" header="0.511811023622047" footer="0.511811023622047"/>
  <pageSetup paperSize="9" scale="51"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94"/>
  <sheetViews>
    <sheetView zoomScale="55" zoomScaleNormal="55" workbookViewId="0">
      <selection activeCell="K6" sqref="K6"/>
    </sheetView>
  </sheetViews>
  <sheetFormatPr defaultColWidth="8.44140625" defaultRowHeight="13.2" x14ac:dyDescent="0.25"/>
  <cols>
    <col min="1" max="1" width="9.6640625" customWidth="1"/>
    <col min="2" max="2" width="48.6640625" customWidth="1"/>
    <col min="3" max="6" width="9.6640625" hidden="1" customWidth="1"/>
    <col min="7" max="9" width="9.6640625" customWidth="1"/>
  </cols>
  <sheetData>
    <row r="1" spans="1:19" ht="15.6" x14ac:dyDescent="0.3">
      <c r="A1" s="6" t="s">
        <v>0</v>
      </c>
      <c r="B1" s="6"/>
      <c r="C1" s="6">
        <f>OHJELMOINTINÄKYMÄ!C1</f>
        <v>0</v>
      </c>
      <c r="D1" s="6"/>
      <c r="E1" s="6"/>
      <c r="F1" s="6"/>
      <c r="G1" s="2"/>
      <c r="H1" s="8"/>
      <c r="I1" s="8"/>
    </row>
    <row r="2" spans="1:19" ht="15.6" x14ac:dyDescent="0.3">
      <c r="A2" s="6" t="s">
        <v>452</v>
      </c>
      <c r="B2" s="6"/>
      <c r="C2" s="6"/>
      <c r="D2" s="6"/>
      <c r="E2" s="6"/>
      <c r="F2" s="6"/>
      <c r="G2" s="6"/>
      <c r="H2" s="6"/>
      <c r="I2" s="6"/>
    </row>
    <row r="3" spans="1:19" ht="15.6" x14ac:dyDescent="0.3">
      <c r="A3" s="6" t="s">
        <v>453</v>
      </c>
      <c r="B3" s="6"/>
      <c r="C3" s="14" t="str">
        <f>OHJELMOINTINÄKYMÄ!C3</f>
        <v xml:space="preserve"> </v>
      </c>
      <c r="D3" s="14"/>
      <c r="E3" s="6"/>
      <c r="F3" s="6"/>
      <c r="G3" s="2"/>
      <c r="H3" s="16"/>
      <c r="I3" s="15"/>
    </row>
    <row r="4" spans="1:19" ht="15.6" x14ac:dyDescent="0.3">
      <c r="A4" s="22"/>
      <c r="B4" s="22"/>
      <c r="C4" s="22"/>
      <c r="D4" s="22"/>
      <c r="E4" s="22"/>
      <c r="F4" s="22"/>
      <c r="G4" s="663"/>
      <c r="H4" s="664"/>
      <c r="I4" s="664"/>
    </row>
    <row r="5" spans="1:19" ht="33" x14ac:dyDescent="0.6">
      <c r="A5" s="665" t="s">
        <v>500</v>
      </c>
      <c r="B5" s="22"/>
      <c r="C5" s="22"/>
      <c r="D5" s="22"/>
      <c r="E5" s="22"/>
      <c r="F5" s="22"/>
      <c r="G5" s="22"/>
      <c r="H5" s="664"/>
      <c r="I5" s="7"/>
      <c r="J5" s="877" t="s">
        <v>501</v>
      </c>
      <c r="K5" s="877"/>
      <c r="L5" s="877"/>
    </row>
    <row r="6" spans="1:19" ht="15.6" x14ac:dyDescent="0.3">
      <c r="A6" s="557" t="s">
        <v>502</v>
      </c>
      <c r="B6" s="668"/>
      <c r="C6" s="22"/>
      <c r="D6" s="22"/>
      <c r="E6" s="22"/>
      <c r="F6" s="22"/>
      <c r="G6" s="22"/>
      <c r="H6" s="22"/>
      <c r="I6" s="664"/>
    </row>
    <row r="7" spans="1:19" ht="15.6" x14ac:dyDescent="0.3">
      <c r="A7" s="557"/>
      <c r="B7" s="6"/>
      <c r="C7" s="22"/>
      <c r="D7" s="22"/>
      <c r="E7" s="22"/>
      <c r="F7" s="22"/>
      <c r="G7" s="22"/>
      <c r="H7" s="22"/>
      <c r="I7" s="664"/>
    </row>
    <row r="8" spans="1:19" ht="15.6" x14ac:dyDescent="0.3">
      <c r="A8" s="24" t="s">
        <v>6</v>
      </c>
      <c r="B8" s="25"/>
      <c r="C8" s="671" t="s">
        <v>7</v>
      </c>
      <c r="D8" s="28" t="s">
        <v>7</v>
      </c>
      <c r="E8" s="671" t="s">
        <v>7</v>
      </c>
      <c r="F8" s="672" t="s">
        <v>424</v>
      </c>
      <c r="G8" s="671" t="s">
        <v>7</v>
      </c>
      <c r="H8" s="671" t="s">
        <v>7</v>
      </c>
      <c r="I8" s="671" t="s">
        <v>8</v>
      </c>
      <c r="J8" s="671" t="s">
        <v>10</v>
      </c>
      <c r="K8" s="671" t="s">
        <v>10</v>
      </c>
      <c r="L8" s="671" t="s">
        <v>10</v>
      </c>
      <c r="M8" s="671" t="s">
        <v>425</v>
      </c>
      <c r="N8" s="671" t="s">
        <v>425</v>
      </c>
      <c r="O8" s="671" t="s">
        <v>425</v>
      </c>
      <c r="P8" s="671" t="s">
        <v>425</v>
      </c>
      <c r="Q8" s="671" t="s">
        <v>425</v>
      </c>
      <c r="R8" s="671" t="s">
        <v>425</v>
      </c>
      <c r="S8" s="671" t="s">
        <v>425</v>
      </c>
    </row>
    <row r="9" spans="1:19" ht="15.6" x14ac:dyDescent="0.3">
      <c r="A9" s="33" t="s">
        <v>12</v>
      </c>
      <c r="B9" s="34" t="s">
        <v>426</v>
      </c>
      <c r="C9" s="675">
        <f>OHJELMOINTINÄKYMÄ!C7</f>
        <v>2010</v>
      </c>
      <c r="D9" s="675">
        <f>OHJELMOINTINÄKYMÄ!D7</f>
        <v>2011</v>
      </c>
      <c r="E9" s="675">
        <f>OHJELMOINTINÄKYMÄ!E7</f>
        <v>2012</v>
      </c>
      <c r="F9" s="675">
        <f>OHJELMOINTINÄKYMÄ!F7</f>
        <v>2013</v>
      </c>
      <c r="G9" s="675">
        <f>OHJELMOINTINÄKYMÄ!G7</f>
        <v>2014</v>
      </c>
      <c r="H9" s="675">
        <f>OHJELMOINTINÄKYMÄ!H7</f>
        <v>2015</v>
      </c>
      <c r="I9" s="675">
        <f>OHJELMOINTINÄKYMÄ!I7</f>
        <v>2016</v>
      </c>
      <c r="J9" s="675">
        <f>OHJELMOINTINÄKYMÄ!J7</f>
        <v>2017</v>
      </c>
      <c r="K9" s="675">
        <f>OHJELMOINTINÄKYMÄ!K7</f>
        <v>2018</v>
      </c>
      <c r="L9" s="675">
        <f>OHJELMOINTINÄKYMÄ!L7</f>
        <v>2019</v>
      </c>
      <c r="M9" s="675">
        <f>OHJELMOINTINÄKYMÄ!M7</f>
        <v>2020</v>
      </c>
      <c r="N9" s="675">
        <f>OHJELMOINTINÄKYMÄ!O7</f>
        <v>2022</v>
      </c>
      <c r="O9" s="675">
        <f>OHJELMOINTINÄKYMÄ!P7</f>
        <v>2023</v>
      </c>
      <c r="P9" s="675">
        <f>OHJELMOINTINÄKYMÄ!Q7</f>
        <v>2024</v>
      </c>
      <c r="Q9" s="675">
        <f>OHJELMOINTINÄKYMÄ!R7</f>
        <v>2025</v>
      </c>
      <c r="R9" s="675">
        <f>OHJELMOINTINÄKYMÄ!S7</f>
        <v>2026</v>
      </c>
      <c r="S9" s="675">
        <f>OHJELMOINTINÄKYMÄ!T7</f>
        <v>2027</v>
      </c>
    </row>
    <row r="10" spans="1:19" ht="15" x14ac:dyDescent="0.25">
      <c r="A10" s="42"/>
      <c r="B10" s="43"/>
      <c r="C10" s="44" t="s">
        <v>428</v>
      </c>
      <c r="D10" s="44" t="s">
        <v>428</v>
      </c>
      <c r="E10" s="44" t="s">
        <v>428</v>
      </c>
      <c r="F10" s="44" t="s">
        <v>428</v>
      </c>
      <c r="G10" s="44" t="s">
        <v>428</v>
      </c>
      <c r="H10" s="44" t="s">
        <v>428</v>
      </c>
      <c r="I10" s="679" t="s">
        <v>428</v>
      </c>
      <c r="J10" s="679" t="s">
        <v>428</v>
      </c>
      <c r="K10" s="679" t="s">
        <v>428</v>
      </c>
      <c r="L10" s="679" t="s">
        <v>428</v>
      </c>
      <c r="M10" s="679" t="s">
        <v>428</v>
      </c>
      <c r="N10" s="679" t="s">
        <v>428</v>
      </c>
      <c r="O10" s="679" t="s">
        <v>428</v>
      </c>
      <c r="P10" s="679" t="s">
        <v>428</v>
      </c>
      <c r="Q10" s="679" t="s">
        <v>428</v>
      </c>
      <c r="R10" s="679" t="s">
        <v>428</v>
      </c>
      <c r="S10" s="679" t="s">
        <v>428</v>
      </c>
    </row>
    <row r="11" spans="1:19" ht="15" x14ac:dyDescent="0.25">
      <c r="A11" s="51"/>
      <c r="B11" s="52"/>
      <c r="C11" s="687"/>
      <c r="D11" s="686"/>
      <c r="E11" s="688"/>
      <c r="F11" s="685"/>
      <c r="G11" s="685"/>
      <c r="H11" s="685"/>
      <c r="I11" s="685"/>
      <c r="J11" s="685"/>
      <c r="K11" s="685"/>
      <c r="L11" s="685"/>
      <c r="M11" s="685"/>
      <c r="N11" s="685"/>
      <c r="O11" s="685"/>
      <c r="P11" s="685"/>
      <c r="Q11" s="685"/>
      <c r="R11" s="685"/>
      <c r="S11" s="685"/>
    </row>
    <row r="12" spans="1:19" ht="15.6" x14ac:dyDescent="0.3">
      <c r="A12" s="720" t="s">
        <v>503</v>
      </c>
      <c r="B12" s="34" t="s">
        <v>64</v>
      </c>
      <c r="C12" s="694">
        <f>OHJELMOINTINÄKYMÄ!C325/1000</f>
        <v>8.4433129999999998</v>
      </c>
      <c r="D12" s="694">
        <f>OHJELMOINTINÄKYMÄ!D325/1000</f>
        <v>4.5495489999999998</v>
      </c>
      <c r="E12" s="694">
        <f>OHJELMOINTINÄKYMÄ!E325/1000</f>
        <v>1.546</v>
      </c>
      <c r="F12" s="694" t="e">
        <f>OHJELMOINTINÄKYMÄ!F325/1000+0.5*OHJELMOINTINÄKYMÄ!#REF!/1000</f>
        <v>#REF!</v>
      </c>
      <c r="G12" s="694">
        <f>OHJELMOINTINÄKYMÄ!G325/1000+OHJELMOINTINÄKYMÄ!G326/1000</f>
        <v>6.5720000000000001</v>
      </c>
      <c r="H12" s="694">
        <f>OHJELMOINTINÄKYMÄ!H325/1000</f>
        <v>1.51</v>
      </c>
      <c r="I12" s="694">
        <f>OHJELMOINTINÄKYMÄ!I325/1000</f>
        <v>2.3239999999999998</v>
      </c>
      <c r="J12" s="694">
        <f>OHJELMOINTINÄKYMÄ!J325/1000</f>
        <v>2.5938183799999996</v>
      </c>
      <c r="K12" s="694">
        <f>OHJELMOINTINÄKYMÄ!K325/1000</f>
        <v>3.1237299700000003</v>
      </c>
      <c r="L12" s="694">
        <f>OHJELMOINTINÄKYMÄ!L325/1000</f>
        <v>0</v>
      </c>
      <c r="M12" s="694">
        <f>OHJELMOINTINÄKYMÄ!M325/1000</f>
        <v>8.0760916399999996</v>
      </c>
      <c r="N12" s="694">
        <f>OHJELMOINTINÄKYMÄ!O325/1000</f>
        <v>0</v>
      </c>
      <c r="O12" s="694">
        <f>OHJELMOINTINÄKYMÄ!P325/1000</f>
        <v>2.5</v>
      </c>
      <c r="P12" s="694">
        <f>OHJELMOINTINÄKYMÄ!Q325/1000</f>
        <v>5.9</v>
      </c>
      <c r="Q12" s="694">
        <f>OHJELMOINTINÄKYMÄ!R325/1000</f>
        <v>4.9000000000000004</v>
      </c>
      <c r="R12" s="694">
        <f>OHJELMOINTINÄKYMÄ!S325/1000</f>
        <v>4.9000000000000004</v>
      </c>
      <c r="S12" s="694">
        <f>OHJELMOINTINÄKYMÄ!T325/1000</f>
        <v>4.0999999999999996</v>
      </c>
    </row>
    <row r="13" spans="1:19" ht="15.6" x14ac:dyDescent="0.3">
      <c r="A13" s="720"/>
      <c r="B13" s="34" t="s">
        <v>504</v>
      </c>
      <c r="C13" s="694">
        <f>OHJELMOINTINÄKYMÄ!C337/1000</f>
        <v>3.3456120000000005</v>
      </c>
      <c r="D13" s="694">
        <f>OHJELMOINTINÄKYMÄ!D337/1000</f>
        <v>0.64068399999999992</v>
      </c>
      <c r="E13" s="694">
        <f>OHJELMOINTINÄKYMÄ!E337/1000</f>
        <v>0.89200000000000002</v>
      </c>
      <c r="F13" s="694" t="e">
        <f>OHJELMOINTINÄKYMÄ!F337/1000+0.5*OHJELMOINTINÄKYMÄ!#REF!/1000</f>
        <v>#REF!</v>
      </c>
      <c r="G13" s="694">
        <f>OHJELMOINTINÄKYMÄ!G337/1000+OHJELMOINTINÄKYMÄ!G338/1000</f>
        <v>6.6690000000000005</v>
      </c>
      <c r="H13" s="694">
        <f>OHJELMOINTINÄKYMÄ!H337/1000</f>
        <v>1.794</v>
      </c>
      <c r="I13" s="694">
        <f>OHJELMOINTINÄKYMÄ!I337/1000</f>
        <v>2.016</v>
      </c>
      <c r="J13" s="694">
        <f>OHJELMOINTINÄKYMÄ!J337/1000</f>
        <v>2.3551816200000002</v>
      </c>
      <c r="K13" s="694">
        <f>OHJELMOINTINÄKYMÄ!K337/1000</f>
        <v>3.3928615399999997</v>
      </c>
      <c r="L13" s="694">
        <f>OHJELMOINTINÄKYMÄ!L337/1000</f>
        <v>0.192</v>
      </c>
      <c r="M13" s="694">
        <f>OHJELMOINTINÄKYMÄ!M337/1000</f>
        <v>10.811464599999999</v>
      </c>
      <c r="N13" s="694">
        <f>OHJELMOINTINÄKYMÄ!O337/1000</f>
        <v>0</v>
      </c>
      <c r="O13" s="694">
        <f>OHJELMOINTINÄKYMÄ!P337/1000</f>
        <v>3.7</v>
      </c>
      <c r="P13" s="694">
        <f>OHJELMOINTINÄKYMÄ!Q337/1000</f>
        <v>7.1</v>
      </c>
      <c r="Q13" s="694">
        <f>OHJELMOINTINÄKYMÄ!R337/1000</f>
        <v>8.1</v>
      </c>
      <c r="R13" s="694">
        <f>OHJELMOINTINÄKYMÄ!S337/1000</f>
        <v>7.5</v>
      </c>
      <c r="S13" s="694">
        <f>OHJELMOINTINÄKYMÄ!T337/1000</f>
        <v>5.7</v>
      </c>
    </row>
    <row r="14" spans="1:19" ht="15.6" x14ac:dyDescent="0.3">
      <c r="A14" s="35" t="s">
        <v>505</v>
      </c>
      <c r="B14" s="34" t="s">
        <v>365</v>
      </c>
      <c r="C14" s="694">
        <f>OHJELMOINTINÄKYMÄ!C369/1000</f>
        <v>0.45100000000000001</v>
      </c>
      <c r="D14" s="694">
        <f>OHJELMOINTINÄKYMÄ!D369/1000</f>
        <v>1.5209999999999999</v>
      </c>
      <c r="E14" s="694">
        <f>OHJELMOINTINÄKYMÄ!E369/1000</f>
        <v>1.502</v>
      </c>
      <c r="F14" s="694" t="e">
        <f>OHJELMOINTINÄKYMÄ!F369/1000+OHJELMOINTINÄKYMÄ!F370/1000</f>
        <v>#VALUE!</v>
      </c>
      <c r="G14" s="694">
        <f>OHJELMOINTINÄKYMÄ!G369/1000</f>
        <v>0.56699999999999995</v>
      </c>
      <c r="H14" s="694">
        <f>OHJELMOINTINÄKYMÄ!H369/1000</f>
        <v>5.3979999999999997</v>
      </c>
      <c r="I14" s="694">
        <f>OHJELMOINTINÄKYMÄ!I369/1000</f>
        <v>0.45700000000000002</v>
      </c>
      <c r="J14" s="694">
        <f>OHJELMOINTINÄKYMÄ!J369/1000</f>
        <v>0.25</v>
      </c>
      <c r="K14" s="694">
        <f>OHJELMOINTINÄKYMÄ!K369/1000</f>
        <v>5</v>
      </c>
      <c r="L14" s="694">
        <f>OHJELMOINTINÄKYMÄ!L369/1000</f>
        <v>2.496</v>
      </c>
      <c r="M14" s="694">
        <f>OHJELMOINTINÄKYMÄ!M369/1000</f>
        <v>0.19914999999999999</v>
      </c>
      <c r="N14" s="694">
        <f>OHJELMOINTINÄKYMÄ!O369/1000</f>
        <v>0</v>
      </c>
      <c r="O14" s="694">
        <f>OHJELMOINTINÄKYMÄ!P369/1000</f>
        <v>0</v>
      </c>
      <c r="P14" s="694">
        <f>OHJELMOINTINÄKYMÄ!Q369/1000</f>
        <v>0</v>
      </c>
      <c r="Q14" s="694">
        <f>OHJELMOINTINÄKYMÄ!R369/1000</f>
        <v>0</v>
      </c>
      <c r="R14" s="694">
        <f>OHJELMOINTINÄKYMÄ!S369/1000</f>
        <v>0</v>
      </c>
      <c r="S14" s="694">
        <f>OHJELMOINTINÄKYMÄ!T369/1000</f>
        <v>0</v>
      </c>
    </row>
    <row r="15" spans="1:19" ht="15.6" x14ac:dyDescent="0.3">
      <c r="A15" s="35" t="s">
        <v>506</v>
      </c>
      <c r="B15" s="34" t="s">
        <v>367</v>
      </c>
      <c r="C15" s="694">
        <f>OHJELMOINTINÄKYMÄ!C375/1000</f>
        <v>4.9999929999999998E-2</v>
      </c>
      <c r="D15" s="694">
        <f>OHJELMOINTINÄKYMÄ!D375/1000</f>
        <v>0.70016676</v>
      </c>
      <c r="E15" s="694">
        <f>OHJELMOINTINÄKYMÄ!E375/1000</f>
        <v>1.0089999999999999</v>
      </c>
      <c r="F15" s="694" t="e">
        <f>OHJELMOINTINÄKYMÄ!F375/1000+OHJELMOINTINÄKYMÄ!F376/1000</f>
        <v>#VALUE!</v>
      </c>
      <c r="G15" s="694">
        <f>OHJELMOINTINÄKYMÄ!G375/1000</f>
        <v>1.1259999999999999</v>
      </c>
      <c r="H15" s="694">
        <f>OHJELMOINTINÄKYMÄ!H375/1000</f>
        <v>0.34899999999999998</v>
      </c>
      <c r="I15" s="694">
        <f>OHJELMOINTINÄKYMÄ!I375/1000</f>
        <v>1.5820000000000001</v>
      </c>
      <c r="J15" s="694">
        <f>OHJELMOINTINÄKYMÄ!J375/1000</f>
        <v>1.355</v>
      </c>
      <c r="K15" s="694">
        <f>OHJELMOINTINÄKYMÄ!K375/1000</f>
        <v>2.879</v>
      </c>
      <c r="L15" s="694">
        <f>OHJELMOINTINÄKYMÄ!L375/1000</f>
        <v>6.4409999999999998</v>
      </c>
      <c r="M15" s="694">
        <f>OHJELMOINTINÄKYMÄ!M375/1000</f>
        <v>4.1460499999999998</v>
      </c>
      <c r="N15" s="694">
        <f>OHJELMOINTINÄKYMÄ!O375/1000</f>
        <v>0</v>
      </c>
      <c r="O15" s="694">
        <f>OHJELMOINTINÄKYMÄ!P375/1000</f>
        <v>0</v>
      </c>
      <c r="P15" s="694">
        <f>OHJELMOINTINÄKYMÄ!Q375/1000</f>
        <v>0</v>
      </c>
      <c r="Q15" s="694">
        <f>OHJELMOINTINÄKYMÄ!R375/1000</f>
        <v>0</v>
      </c>
      <c r="R15" s="694">
        <f>OHJELMOINTINÄKYMÄ!S375/1000</f>
        <v>0</v>
      </c>
      <c r="S15" s="694">
        <f>OHJELMOINTINÄKYMÄ!T375/1000</f>
        <v>0</v>
      </c>
    </row>
    <row r="16" spans="1:19" ht="15.6" x14ac:dyDescent="0.3">
      <c r="A16" s="35" t="s">
        <v>507</v>
      </c>
      <c r="B16" s="34" t="s">
        <v>508</v>
      </c>
      <c r="C16" s="694">
        <f>OHJELMOINTINÄKYMÄ!C381/1000</f>
        <v>0</v>
      </c>
      <c r="D16" s="694">
        <f>OHJELMOINTINÄKYMÄ!D381/1000</f>
        <v>0</v>
      </c>
      <c r="E16" s="694">
        <f>OHJELMOINTINÄKYMÄ!E381/1000</f>
        <v>0</v>
      </c>
      <c r="F16" s="694" t="e">
        <f>OHJELMOINTINÄKYMÄ!F381/1000+OHJELMOINTINÄKYMÄ!F382/1000</f>
        <v>#VALUE!</v>
      </c>
      <c r="G16" s="694">
        <f>OHJELMOINTINÄKYMÄ!G381/1000</f>
        <v>0.104</v>
      </c>
      <c r="H16" s="694">
        <f>OHJELMOINTINÄKYMÄ!H381/1000</f>
        <v>0.41799999999999998</v>
      </c>
      <c r="I16" s="694">
        <f>OHJELMOINTINÄKYMÄ!I381/1000</f>
        <v>1.3680000000000001</v>
      </c>
      <c r="J16" s="694">
        <f>OHJELMOINTINÄKYMÄ!J381/1000</f>
        <v>1.0880000000000001</v>
      </c>
      <c r="K16" s="694">
        <f>OHJELMOINTINÄKYMÄ!K381/1000</f>
        <v>0.42199999999999999</v>
      </c>
      <c r="L16" s="694">
        <f>OHJELMOINTINÄKYMÄ!L381/1000</f>
        <v>1.2929999999999999</v>
      </c>
      <c r="M16" s="694">
        <f>OHJELMOINTINÄKYMÄ!M381/1000</f>
        <v>1.58283</v>
      </c>
      <c r="N16" s="694">
        <f>OHJELMOINTINÄKYMÄ!O381/1000</f>
        <v>0</v>
      </c>
      <c r="O16" s="694">
        <f>OHJELMOINTINÄKYMÄ!P381/1000</f>
        <v>0</v>
      </c>
      <c r="P16" s="694">
        <f>OHJELMOINTINÄKYMÄ!Q381/1000</f>
        <v>0</v>
      </c>
      <c r="Q16" s="694">
        <f>OHJELMOINTINÄKYMÄ!R381/1000</f>
        <v>0</v>
      </c>
      <c r="R16" s="694">
        <f>OHJELMOINTINÄKYMÄ!S381/1000</f>
        <v>0</v>
      </c>
      <c r="S16" s="694">
        <f>OHJELMOINTINÄKYMÄ!T381/1000</f>
        <v>0</v>
      </c>
    </row>
    <row r="17" spans="1:19" ht="15.6" x14ac:dyDescent="0.3">
      <c r="A17" s="35" t="s">
        <v>509</v>
      </c>
      <c r="B17" s="34" t="s">
        <v>166</v>
      </c>
      <c r="C17" s="694">
        <f>OHJELMOINTINÄKYMÄ!C384/1000</f>
        <v>0</v>
      </c>
      <c r="D17" s="694">
        <f>OHJELMOINTINÄKYMÄ!D384/1000</f>
        <v>0</v>
      </c>
      <c r="E17" s="694">
        <f>OHJELMOINTINÄKYMÄ!E384/1000</f>
        <v>0</v>
      </c>
      <c r="F17" s="694" t="e">
        <f>OHJELMOINTINÄKYMÄ!F384/1000+OHJELMOINTINÄKYMÄ!F385/1000</f>
        <v>#VALUE!</v>
      </c>
      <c r="G17" s="694">
        <f>OHJELMOINTINÄKYMÄ!G384/1000</f>
        <v>0</v>
      </c>
      <c r="H17" s="694">
        <f>OHJELMOINTINÄKYMÄ!H384/1000</f>
        <v>0</v>
      </c>
      <c r="I17" s="694">
        <f>OHJELMOINTINÄKYMÄ!I384/1000</f>
        <v>0</v>
      </c>
      <c r="J17" s="694">
        <f>OHJELMOINTINÄKYMÄ!J384/1000</f>
        <v>0.12</v>
      </c>
      <c r="K17" s="694">
        <f>OHJELMOINTINÄKYMÄ!K384/1000</f>
        <v>0.26800000000000002</v>
      </c>
      <c r="L17" s="694">
        <f>OHJELMOINTINÄKYMÄ!L384/1000</f>
        <v>0.47099999999999997</v>
      </c>
      <c r="M17" s="694">
        <f>OHJELMOINTINÄKYMÄ!M384/1000</f>
        <v>1.036373</v>
      </c>
      <c r="N17" s="694">
        <f>OHJELMOINTINÄKYMÄ!O384/1000</f>
        <v>0</v>
      </c>
      <c r="O17" s="694">
        <f>OHJELMOINTINÄKYMÄ!P384/1000</f>
        <v>0</v>
      </c>
      <c r="P17" s="694">
        <f>OHJELMOINTINÄKYMÄ!Q384/1000</f>
        <v>0</v>
      </c>
      <c r="Q17" s="694">
        <f>OHJELMOINTINÄKYMÄ!R384/1000</f>
        <v>0</v>
      </c>
      <c r="R17" s="694">
        <f>OHJELMOINTINÄKYMÄ!S384/1000</f>
        <v>0</v>
      </c>
      <c r="S17" s="694">
        <f>OHJELMOINTINÄKYMÄ!T384/1000</f>
        <v>0</v>
      </c>
    </row>
    <row r="18" spans="1:19" ht="15.6" x14ac:dyDescent="0.3">
      <c r="A18" s="35" t="s">
        <v>510</v>
      </c>
      <c r="B18" s="34" t="s">
        <v>183</v>
      </c>
      <c r="C18" s="694">
        <f>OHJELMOINTINÄKYMÄ!C385/1000</f>
        <v>0</v>
      </c>
      <c r="D18" s="694">
        <f>OHJELMOINTINÄKYMÄ!D385/1000</f>
        <v>0</v>
      </c>
      <c r="E18" s="694">
        <f>OHJELMOINTINÄKYMÄ!E385/1000</f>
        <v>0</v>
      </c>
      <c r="F18" s="694" t="e">
        <f>OHJELMOINTINÄKYMÄ!F385/1000+OHJELMOINTINÄKYMÄ!F387/1000</f>
        <v>#VALUE!</v>
      </c>
      <c r="G18" s="694">
        <f>OHJELMOINTINÄKYMÄ!G387/1000</f>
        <v>0</v>
      </c>
      <c r="H18" s="694">
        <f>OHJELMOINTINÄKYMÄ!H387/1000</f>
        <v>0</v>
      </c>
      <c r="I18" s="694">
        <f>OHJELMOINTINÄKYMÄ!I387/1000</f>
        <v>9.5000000000000001E-2</v>
      </c>
      <c r="J18" s="694">
        <f>OHJELMOINTINÄKYMÄ!J387/1000</f>
        <v>0.19500000000000001</v>
      </c>
      <c r="K18" s="694">
        <f>OHJELMOINTINÄKYMÄ!K387/1000</f>
        <v>0.89600000000000002</v>
      </c>
      <c r="L18" s="694">
        <f>OHJELMOINTINÄKYMÄ!L387/1000</f>
        <v>5.0999999999999997E-2</v>
      </c>
      <c r="M18" s="694">
        <f>OHJELMOINTINÄKYMÄ!M387/1000</f>
        <v>0.11430800000000001</v>
      </c>
      <c r="N18" s="694">
        <f>OHJELMOINTINÄKYMÄ!O387/1000</f>
        <v>0</v>
      </c>
      <c r="O18" s="694">
        <f>OHJELMOINTINÄKYMÄ!P387/1000</f>
        <v>0</v>
      </c>
      <c r="P18" s="694">
        <f>OHJELMOINTINÄKYMÄ!Q387/1000</f>
        <v>0</v>
      </c>
      <c r="Q18" s="694">
        <f>OHJELMOINTINÄKYMÄ!R387/1000</f>
        <v>0</v>
      </c>
      <c r="R18" s="694">
        <f>OHJELMOINTINÄKYMÄ!S387/1000</f>
        <v>0</v>
      </c>
      <c r="S18" s="694">
        <f>OHJELMOINTINÄKYMÄ!T387/1000</f>
        <v>0</v>
      </c>
    </row>
    <row r="19" spans="1:19" ht="15.6" x14ac:dyDescent="0.3">
      <c r="A19" s="35" t="s">
        <v>511</v>
      </c>
      <c r="B19" s="34" t="s">
        <v>512</v>
      </c>
      <c r="C19" s="694">
        <f>OHJELMOINTINÄKYMÄ!C386/1000</f>
        <v>0</v>
      </c>
      <c r="D19" s="694">
        <f>OHJELMOINTINÄKYMÄ!D386/1000</f>
        <v>0</v>
      </c>
      <c r="E19" s="694">
        <f>OHJELMOINTINÄKYMÄ!E386/1000</f>
        <v>0</v>
      </c>
      <c r="F19" s="694">
        <f>OHJELMOINTINÄKYMÄ!F386/1000+OHJELMOINTINÄKYMÄ!F389/1000</f>
        <v>0</v>
      </c>
      <c r="G19" s="694">
        <f>OHJELMOINTINÄKYMÄ!G390/1000</f>
        <v>0</v>
      </c>
      <c r="H19" s="694">
        <f>OHJELMOINTINÄKYMÄ!H390/1000</f>
        <v>5.8999999999999997E-2</v>
      </c>
      <c r="I19" s="694">
        <f>OHJELMOINTINÄKYMÄ!I390/1000</f>
        <v>0.32800000000000001</v>
      </c>
      <c r="J19" s="694">
        <f>OHJELMOINTINÄKYMÄ!J390/1000</f>
        <v>0.74199999999999999</v>
      </c>
      <c r="K19" s="694">
        <f>OHJELMOINTINÄKYMÄ!K390/1000</f>
        <v>0.23</v>
      </c>
      <c r="L19" s="694">
        <f>OHJELMOINTINÄKYMÄ!L390/1000</f>
        <v>0.70599999999999996</v>
      </c>
      <c r="M19" s="694">
        <f>OHJELMOINTINÄKYMÄ!M390/1000</f>
        <v>1.6882929999999998</v>
      </c>
      <c r="N19" s="694">
        <f>OHJELMOINTINÄKYMÄ!O390/1000</f>
        <v>0</v>
      </c>
      <c r="O19" s="694">
        <f>OHJELMOINTINÄKYMÄ!P390/1000</f>
        <v>0</v>
      </c>
      <c r="P19" s="694">
        <f>OHJELMOINTINÄKYMÄ!Q390/1000</f>
        <v>0</v>
      </c>
      <c r="Q19" s="694">
        <f>OHJELMOINTINÄKYMÄ!R390/1000</f>
        <v>0</v>
      </c>
      <c r="R19" s="694">
        <f>OHJELMOINTINÄKYMÄ!S390/1000</f>
        <v>0</v>
      </c>
      <c r="S19" s="694">
        <f>OHJELMOINTINÄKYMÄ!T390/1000</f>
        <v>0</v>
      </c>
    </row>
    <row r="86" spans="1:9" ht="17.399999999999999" x14ac:dyDescent="0.3">
      <c r="A86" s="665" t="s">
        <v>513</v>
      </c>
      <c r="B86" s="22"/>
      <c r="C86" s="22"/>
      <c r="D86" s="22"/>
      <c r="E86" s="22"/>
      <c r="F86" s="22"/>
      <c r="G86" s="22"/>
      <c r="H86" s="664"/>
      <c r="I86" s="664"/>
    </row>
    <row r="87" spans="1:9" ht="15.6" x14ac:dyDescent="0.3">
      <c r="A87" s="557" t="s">
        <v>502</v>
      </c>
      <c r="B87" s="668"/>
      <c r="C87" s="22"/>
      <c r="D87" s="22"/>
      <c r="E87" s="22"/>
      <c r="F87" s="22"/>
      <c r="G87" s="22"/>
      <c r="H87" s="664"/>
      <c r="I87" s="664"/>
    </row>
    <row r="88" spans="1:9" ht="15.6" x14ac:dyDescent="0.3">
      <c r="A88" s="557" t="s">
        <v>514</v>
      </c>
      <c r="B88" s="6"/>
      <c r="C88" s="22"/>
      <c r="D88" s="22"/>
      <c r="E88" s="22"/>
      <c r="F88" s="22"/>
      <c r="G88" s="22"/>
      <c r="H88" s="664"/>
      <c r="I88" s="664"/>
    </row>
    <row r="89" spans="1:9" ht="15.6" x14ac:dyDescent="0.3">
      <c r="A89" s="24" t="s">
        <v>6</v>
      </c>
      <c r="B89" s="25"/>
      <c r="C89" s="672"/>
      <c r="D89" s="671"/>
      <c r="E89" s="671"/>
      <c r="F89" s="707"/>
      <c r="G89" s="707"/>
    </row>
    <row r="90" spans="1:9" ht="15.6" x14ac:dyDescent="0.3">
      <c r="A90" s="33" t="s">
        <v>12</v>
      </c>
      <c r="B90" s="34" t="s">
        <v>426</v>
      </c>
      <c r="C90" s="708">
        <f>OHJELMOINTINÄKYMÄ!E7</f>
        <v>2012</v>
      </c>
      <c r="D90" s="708">
        <f>OHJELMOINTINÄKYMÄ!F7</f>
        <v>2013</v>
      </c>
      <c r="E90" s="708">
        <f>OHJELMOINTINÄKYMÄ!G7</f>
        <v>2014</v>
      </c>
      <c r="F90" s="708">
        <f>OHJELMOINTINÄKYMÄ!H7</f>
        <v>2015</v>
      </c>
      <c r="G90" s="708">
        <f>OHJELMOINTINÄKYMÄ!I7</f>
        <v>2016</v>
      </c>
    </row>
    <row r="91" spans="1:9" ht="15" x14ac:dyDescent="0.25">
      <c r="A91" s="42"/>
      <c r="B91" s="43"/>
      <c r="C91" s="709" t="s">
        <v>428</v>
      </c>
      <c r="D91" s="709" t="s">
        <v>428</v>
      </c>
      <c r="E91" s="709" t="s">
        <v>428</v>
      </c>
      <c r="F91" s="709" t="s">
        <v>428</v>
      </c>
      <c r="G91" s="709" t="s">
        <v>428</v>
      </c>
    </row>
    <row r="92" spans="1:9" ht="15" x14ac:dyDescent="0.25">
      <c r="A92" s="51"/>
      <c r="B92" s="684"/>
      <c r="C92" s="688"/>
      <c r="D92" s="685"/>
      <c r="E92" s="685"/>
      <c r="F92" s="685"/>
      <c r="G92" s="685"/>
    </row>
    <row r="93" spans="1:9" ht="15.6" x14ac:dyDescent="0.3">
      <c r="A93" s="692" t="s">
        <v>515</v>
      </c>
      <c r="B93" s="693" t="s">
        <v>438</v>
      </c>
      <c r="C93" s="694">
        <f>OHJELMOINTINÄKYMÄ!E313/1000</f>
        <v>18.969000000000001</v>
      </c>
      <c r="D93" s="694">
        <f>OHJELMOINTINÄKYMÄ!F313/1000</f>
        <v>20.574000000000002</v>
      </c>
      <c r="E93" s="694">
        <f>OHJELMOINTINÄKYMÄ!G313/1000</f>
        <v>20.562999999999999</v>
      </c>
      <c r="F93" s="694">
        <f>OHJELMOINTINÄKYMÄ!H313/1000</f>
        <v>20.001000000000001</v>
      </c>
      <c r="G93" s="694">
        <f>OHJELMOINTINÄKYMÄ!I313/1000</f>
        <v>16.667999999999999</v>
      </c>
    </row>
    <row r="94" spans="1:9" ht="15.6" x14ac:dyDescent="0.3">
      <c r="A94" s="69" t="s">
        <v>515</v>
      </c>
      <c r="B94" s="693" t="s">
        <v>439</v>
      </c>
      <c r="C94" s="695">
        <v>20</v>
      </c>
      <c r="D94" s="695">
        <v>27.2</v>
      </c>
      <c r="E94" s="695">
        <v>23.1</v>
      </c>
      <c r="F94" s="695">
        <v>28.3</v>
      </c>
      <c r="G94" s="695"/>
    </row>
  </sheetData>
  <pageMargins left="0.75" right="0.75" top="1" bottom="1" header="0.511811023622047" footer="0.511811023622047"/>
  <pageSetup paperSize="9" orientation="portrait" horizontalDpi="3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3"/>
  <sheetViews>
    <sheetView topLeftCell="A4" zoomScale="55" zoomScaleNormal="55" workbookViewId="0">
      <selection activeCell="B50" sqref="B50"/>
    </sheetView>
  </sheetViews>
  <sheetFormatPr defaultColWidth="9.33203125" defaultRowHeight="13.2" x14ac:dyDescent="0.25"/>
  <cols>
    <col min="1" max="1" width="32.33203125" style="2" customWidth="1"/>
    <col min="2" max="2" width="12.6640625" style="2" customWidth="1"/>
    <col min="3" max="3" width="11" style="2" customWidth="1"/>
    <col min="4" max="4" width="12.6640625" style="2" customWidth="1"/>
    <col min="5" max="16384" width="9.33203125" style="2"/>
  </cols>
  <sheetData>
    <row r="1" spans="1:6" x14ac:dyDescent="0.25">
      <c r="A1" s="197" t="s">
        <v>516</v>
      </c>
      <c r="B1" s="197" t="s">
        <v>517</v>
      </c>
      <c r="C1" s="197"/>
      <c r="E1" s="197"/>
      <c r="F1" s="197"/>
    </row>
    <row r="2" spans="1:6" x14ac:dyDescent="0.25">
      <c r="A2" s="197"/>
      <c r="B2" s="197"/>
      <c r="C2" s="197"/>
      <c r="E2" s="197"/>
      <c r="F2" s="197"/>
    </row>
    <row r="3" spans="1:6" x14ac:dyDescent="0.25">
      <c r="A3" s="197" t="s">
        <v>518</v>
      </c>
      <c r="B3" s="878" t="str">
        <f>OHJELMOINTINÄKYMÄ!C3</f>
        <v xml:space="preserve"> </v>
      </c>
      <c r="C3" s="197"/>
      <c r="E3" s="197"/>
      <c r="F3" s="197"/>
    </row>
    <row r="4" spans="1:6" x14ac:dyDescent="0.25">
      <c r="A4" s="197"/>
      <c r="B4" s="197"/>
      <c r="C4" s="197"/>
      <c r="D4" s="197"/>
      <c r="E4" s="197"/>
      <c r="F4" s="197"/>
    </row>
    <row r="5" spans="1:6" x14ac:dyDescent="0.25">
      <c r="A5" s="197"/>
      <c r="B5" s="197"/>
      <c r="C5" s="197"/>
      <c r="D5" s="197"/>
      <c r="E5" s="197"/>
      <c r="F5" s="197"/>
    </row>
    <row r="6" spans="1:6" x14ac:dyDescent="0.25">
      <c r="A6" s="197"/>
      <c r="B6" s="197"/>
      <c r="C6" s="197"/>
      <c r="D6" s="197"/>
      <c r="E6" s="197"/>
      <c r="F6" s="197"/>
    </row>
    <row r="7" spans="1:6" x14ac:dyDescent="0.25">
      <c r="A7" s="197" t="s">
        <v>519</v>
      </c>
      <c r="B7" s="197"/>
      <c r="C7" s="197"/>
      <c r="D7" s="197"/>
      <c r="E7" s="197"/>
      <c r="F7" s="197"/>
    </row>
    <row r="10" spans="1:6" x14ac:dyDescent="0.25">
      <c r="A10" s="197" t="s">
        <v>6</v>
      </c>
      <c r="B10" s="639" t="s">
        <v>520</v>
      </c>
      <c r="C10" s="197" t="s">
        <v>521</v>
      </c>
      <c r="D10" s="197"/>
    </row>
    <row r="11" spans="1:6" x14ac:dyDescent="0.25">
      <c r="A11" s="879"/>
      <c r="B11" s="880">
        <v>1000</v>
      </c>
      <c r="C11" s="881" t="s">
        <v>522</v>
      </c>
      <c r="D11" s="880">
        <v>1000</v>
      </c>
    </row>
    <row r="13" spans="1:6" x14ac:dyDescent="0.25">
      <c r="A13" s="197" t="s">
        <v>523</v>
      </c>
      <c r="B13" s="882">
        <f>OHJELMOINTINÄKYMÄ!F65</f>
        <v>21895</v>
      </c>
      <c r="C13" s="883">
        <v>0.1</v>
      </c>
      <c r="D13" s="882">
        <f t="shared" ref="D13:D30" si="0">C13*B13</f>
        <v>2189.5</v>
      </c>
    </row>
    <row r="14" spans="1:6" x14ac:dyDescent="0.25">
      <c r="A14" s="197" t="s">
        <v>490</v>
      </c>
      <c r="B14" s="882">
        <f>OHJELMOINTINÄKYMÄ!F97</f>
        <v>2587</v>
      </c>
      <c r="C14" s="883">
        <v>1</v>
      </c>
      <c r="D14" s="882">
        <f t="shared" si="0"/>
        <v>2587</v>
      </c>
    </row>
    <row r="15" spans="1:6" x14ac:dyDescent="0.25">
      <c r="A15" s="197" t="s">
        <v>94</v>
      </c>
      <c r="B15" s="882">
        <f>OHJELMOINTINÄKYMÄ!F110</f>
        <v>9850</v>
      </c>
      <c r="C15" s="883">
        <v>1</v>
      </c>
      <c r="D15" s="882">
        <f t="shared" si="0"/>
        <v>9850</v>
      </c>
    </row>
    <row r="16" spans="1:6" x14ac:dyDescent="0.25">
      <c r="A16" s="197" t="s">
        <v>524</v>
      </c>
      <c r="B16" s="882">
        <f>OHJELMOINTINÄKYMÄ!F136</f>
        <v>5158</v>
      </c>
      <c r="C16" s="883">
        <v>1</v>
      </c>
      <c r="D16" s="882">
        <f t="shared" si="0"/>
        <v>5158</v>
      </c>
    </row>
    <row r="17" spans="1:4" x14ac:dyDescent="0.25">
      <c r="A17" s="197" t="s">
        <v>112</v>
      </c>
      <c r="B17" s="882">
        <f>OHJELMOINTINÄKYMÄ!F150</f>
        <v>2276</v>
      </c>
      <c r="C17" s="883">
        <v>0.65</v>
      </c>
      <c r="D17" s="882">
        <f t="shared" si="0"/>
        <v>1479.4</v>
      </c>
    </row>
    <row r="18" spans="1:4" x14ac:dyDescent="0.25">
      <c r="A18" s="197" t="s">
        <v>525</v>
      </c>
      <c r="B18" s="882">
        <f>OHJELMOINTINÄKYMÄ!F160</f>
        <v>2715</v>
      </c>
      <c r="C18" s="883">
        <v>0.5</v>
      </c>
      <c r="D18" s="882">
        <f t="shared" si="0"/>
        <v>1357.5</v>
      </c>
    </row>
    <row r="19" spans="1:4" x14ac:dyDescent="0.25">
      <c r="A19" s="197" t="s">
        <v>526</v>
      </c>
      <c r="B19" s="882" t="e">
        <f>OHJELMOINTINÄKYMÄ!#REF!</f>
        <v>#REF!</v>
      </c>
      <c r="C19" s="883">
        <v>0.1</v>
      </c>
      <c r="D19" s="882" t="e">
        <f t="shared" si="0"/>
        <v>#REF!</v>
      </c>
    </row>
    <row r="20" spans="1:4" x14ac:dyDescent="0.25">
      <c r="A20" s="197" t="s">
        <v>527</v>
      </c>
      <c r="B20" s="882" t="e">
        <f>OHJELMOINTINÄKYMÄ!#REF!</f>
        <v>#REF!</v>
      </c>
      <c r="C20" s="883">
        <v>0.75</v>
      </c>
      <c r="D20" s="882" t="e">
        <f t="shared" si="0"/>
        <v>#REF!</v>
      </c>
    </row>
    <row r="21" spans="1:4" x14ac:dyDescent="0.25">
      <c r="A21" s="197" t="s">
        <v>528</v>
      </c>
      <c r="B21" s="882" t="e">
        <f>OHJELMOINTINÄKYMÄ!#REF!</f>
        <v>#REF!</v>
      </c>
      <c r="C21" s="883">
        <v>0.25</v>
      </c>
      <c r="D21" s="882" t="e">
        <f t="shared" si="0"/>
        <v>#REF!</v>
      </c>
    </row>
    <row r="22" spans="1:4" x14ac:dyDescent="0.25">
      <c r="A22" s="197" t="s">
        <v>529</v>
      </c>
      <c r="B22" s="882" t="e">
        <f>OHJELMOINTINÄKYMÄ!#REF!</f>
        <v>#REF!</v>
      </c>
      <c r="C22" s="883">
        <v>0.75</v>
      </c>
      <c r="D22" s="882" t="e">
        <f t="shared" si="0"/>
        <v>#REF!</v>
      </c>
    </row>
    <row r="23" spans="1:4" x14ac:dyDescent="0.25">
      <c r="A23" s="197" t="s">
        <v>530</v>
      </c>
      <c r="B23" s="882">
        <f>OHJELMOINTINÄKYMÄ!F286</f>
        <v>1900</v>
      </c>
      <c r="C23" s="883">
        <v>0.5</v>
      </c>
      <c r="D23" s="882">
        <f t="shared" si="0"/>
        <v>950</v>
      </c>
    </row>
    <row r="24" spans="1:4" x14ac:dyDescent="0.25">
      <c r="A24" s="197" t="s">
        <v>531</v>
      </c>
      <c r="B24" s="882">
        <f>OHJELMOINTINÄKYMÄ!F203</f>
        <v>330</v>
      </c>
      <c r="C24" s="883">
        <v>0.5</v>
      </c>
      <c r="D24" s="882">
        <f t="shared" si="0"/>
        <v>165</v>
      </c>
    </row>
    <row r="25" spans="1:4" x14ac:dyDescent="0.25">
      <c r="A25" s="197" t="s">
        <v>479</v>
      </c>
      <c r="B25" s="882" t="e">
        <f>OHJELMOINTINÄKYMÄ!#REF!</f>
        <v>#REF!</v>
      </c>
      <c r="C25" s="883">
        <v>0</v>
      </c>
      <c r="D25" s="882" t="e">
        <f t="shared" si="0"/>
        <v>#REF!</v>
      </c>
    </row>
    <row r="26" spans="1:4" x14ac:dyDescent="0.25">
      <c r="A26" s="197" t="s">
        <v>532</v>
      </c>
      <c r="B26" s="882">
        <f>OHJELMOINTINÄKYMÄ!F210</f>
        <v>4739</v>
      </c>
      <c r="C26" s="883">
        <v>0.1</v>
      </c>
      <c r="D26" s="882">
        <f t="shared" si="0"/>
        <v>473.90000000000003</v>
      </c>
    </row>
    <row r="27" spans="1:4" x14ac:dyDescent="0.25">
      <c r="A27" s="197" t="s">
        <v>280</v>
      </c>
      <c r="B27" s="882">
        <f>OHJELMOINTINÄKYMÄ!F222</f>
        <v>9264</v>
      </c>
      <c r="C27" s="883">
        <v>0.1</v>
      </c>
      <c r="D27" s="882">
        <f t="shared" si="0"/>
        <v>926.40000000000009</v>
      </c>
    </row>
    <row r="28" spans="1:4" x14ac:dyDescent="0.25">
      <c r="A28" s="197" t="s">
        <v>281</v>
      </c>
      <c r="B28" s="882">
        <f>OHJELMOINTINÄKYMÄ!F238</f>
        <v>4344</v>
      </c>
      <c r="C28" s="883">
        <v>0.1</v>
      </c>
      <c r="D28" s="882">
        <f t="shared" si="0"/>
        <v>434.40000000000003</v>
      </c>
    </row>
    <row r="29" spans="1:4" x14ac:dyDescent="0.25">
      <c r="A29" s="197" t="s">
        <v>282</v>
      </c>
      <c r="B29" s="882">
        <f>OHJELMOINTINÄKYMÄ!F256</f>
        <v>3417</v>
      </c>
      <c r="C29" s="883">
        <v>0.1</v>
      </c>
      <c r="D29" s="882">
        <f t="shared" si="0"/>
        <v>341.70000000000005</v>
      </c>
    </row>
    <row r="30" spans="1:4" x14ac:dyDescent="0.25">
      <c r="A30" s="879" t="s">
        <v>533</v>
      </c>
      <c r="B30" s="884" t="e">
        <f>OHJELMOINTINÄKYMÄ!#REF!</f>
        <v>#REF!</v>
      </c>
      <c r="C30" s="885">
        <v>0.1</v>
      </c>
      <c r="D30" s="884" t="e">
        <f t="shared" si="0"/>
        <v>#REF!</v>
      </c>
    </row>
    <row r="31" spans="1:4" x14ac:dyDescent="0.25">
      <c r="A31" s="16" t="s">
        <v>324</v>
      </c>
      <c r="B31" s="882" t="e">
        <f>SUM(B13:B30)</f>
        <v>#REF!</v>
      </c>
      <c r="C31" s="883"/>
      <c r="D31" s="886" t="e">
        <f>SUM(D13:D30)</f>
        <v>#REF!</v>
      </c>
    </row>
    <row r="32" spans="1:4" x14ac:dyDescent="0.25">
      <c r="A32" s="197"/>
      <c r="B32" s="882"/>
      <c r="C32" s="883"/>
      <c r="D32" s="882"/>
    </row>
    <row r="33" spans="1:4" x14ac:dyDescent="0.25">
      <c r="A33" s="197" t="s">
        <v>534</v>
      </c>
      <c r="B33" s="886">
        <v>40000</v>
      </c>
      <c r="C33" s="883" t="s">
        <v>535</v>
      </c>
      <c r="D33" s="887" t="s">
        <v>536</v>
      </c>
    </row>
    <row r="34" spans="1:4" x14ac:dyDescent="0.25">
      <c r="A34" s="197"/>
      <c r="B34" s="882"/>
      <c r="C34" s="883"/>
      <c r="D34" s="882"/>
    </row>
    <row r="35" spans="1:4" x14ac:dyDescent="0.25">
      <c r="A35" s="197" t="s">
        <v>537</v>
      </c>
      <c r="B35" s="882"/>
      <c r="C35" s="888" t="e">
        <f>D31/B33</f>
        <v>#REF!</v>
      </c>
      <c r="D35" s="882"/>
    </row>
    <row r="36" spans="1:4" x14ac:dyDescent="0.25">
      <c r="A36" s="197"/>
      <c r="B36" s="882"/>
      <c r="C36" s="883"/>
      <c r="D36" s="882"/>
    </row>
    <row r="37" spans="1:4" x14ac:dyDescent="0.25">
      <c r="A37" s="889"/>
      <c r="B37" s="882"/>
      <c r="C37" s="890"/>
      <c r="D37" s="882"/>
    </row>
    <row r="38" spans="1:4" x14ac:dyDescent="0.25">
      <c r="A38" s="197"/>
      <c r="B38" s="882"/>
      <c r="C38" s="883"/>
      <c r="D38" s="882"/>
    </row>
    <row r="39" spans="1:4" x14ac:dyDescent="0.25">
      <c r="A39" s="197"/>
      <c r="B39" s="882"/>
      <c r="C39" s="883"/>
      <c r="D39" s="882"/>
    </row>
    <row r="40" spans="1:4" x14ac:dyDescent="0.25">
      <c r="A40" s="197"/>
      <c r="B40" s="882"/>
      <c r="C40" s="197"/>
      <c r="D40" s="882"/>
    </row>
    <row r="41" spans="1:4" x14ac:dyDescent="0.25">
      <c r="A41" s="197"/>
      <c r="B41" s="882"/>
      <c r="C41" s="197"/>
      <c r="D41" s="882"/>
    </row>
    <row r="42" spans="1:4" x14ac:dyDescent="0.25">
      <c r="D42" s="891"/>
    </row>
    <row r="43" spans="1:4" x14ac:dyDescent="0.25">
      <c r="D43" s="891"/>
    </row>
  </sheetData>
  <pageMargins left="0.75" right="0.75" top="1" bottom="1" header="0.511811023622047" footer="0.511811023622047"/>
  <pageSetup paperSize="9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59"/>
  <sheetViews>
    <sheetView zoomScale="55" zoomScaleNormal="55" workbookViewId="0">
      <selection activeCell="AH8" sqref="AH8"/>
    </sheetView>
  </sheetViews>
  <sheetFormatPr defaultColWidth="8.44140625" defaultRowHeight="13.2" x14ac:dyDescent="0.25"/>
  <cols>
    <col min="1" max="1" width="15.33203125" style="112" customWidth="1"/>
    <col min="2" max="2" width="94.109375" customWidth="1"/>
    <col min="3" max="3" width="13.33203125" hidden="1" customWidth="1"/>
    <col min="4" max="4" width="11.33203125" hidden="1" customWidth="1"/>
    <col min="5" max="5" width="9.6640625" style="1" hidden="1" customWidth="1"/>
    <col min="6" max="6" width="9.6640625" hidden="1" customWidth="1"/>
    <col min="7" max="8" width="12.33203125" hidden="1" customWidth="1"/>
    <col min="9" max="9" width="12.33203125" style="2" hidden="1" customWidth="1"/>
    <col min="10" max="10" width="9.6640625" hidden="1" customWidth="1"/>
    <col min="11" max="11" width="11" style="3" hidden="1" customWidth="1"/>
    <col min="12" max="12" width="10.33203125" style="3" hidden="1" customWidth="1"/>
    <col min="13" max="14" width="9.6640625" style="4" hidden="1" customWidth="1"/>
    <col min="15" max="15" width="9.6640625" style="3" hidden="1" customWidth="1"/>
    <col min="16" max="16" width="12.6640625" style="5" hidden="1" customWidth="1"/>
    <col min="17" max="17" width="9.6640625" style="5" hidden="1" customWidth="1"/>
    <col min="18" max="18" width="10" style="5" hidden="1" customWidth="1"/>
    <col min="19" max="22" width="10.44140625" style="5" hidden="1" customWidth="1"/>
    <col min="23" max="23" width="11.88671875" style="5" hidden="1" customWidth="1"/>
    <col min="24" max="25" width="10.44140625" style="5" hidden="1" customWidth="1"/>
    <col min="26" max="32" width="8.6640625" hidden="1" customWidth="1"/>
    <col min="33" max="33" width="18" customWidth="1"/>
    <col min="34" max="43" width="8.6640625" customWidth="1"/>
  </cols>
  <sheetData>
    <row r="1" spans="1:36" ht="15.6" x14ac:dyDescent="0.3">
      <c r="A1" s="102" t="s">
        <v>3</v>
      </c>
      <c r="B1" s="52"/>
      <c r="C1" s="53"/>
      <c r="D1" s="54"/>
      <c r="E1" s="53"/>
      <c r="F1" s="53"/>
      <c r="G1" s="53"/>
      <c r="H1" s="53"/>
      <c r="I1" s="53"/>
      <c r="J1" s="53"/>
      <c r="K1" s="55"/>
      <c r="L1" s="55"/>
      <c r="M1" s="56"/>
      <c r="N1" s="57"/>
      <c r="O1" s="58"/>
      <c r="P1" s="59"/>
      <c r="Q1" s="58"/>
      <c r="R1" s="58"/>
      <c r="S1" s="60"/>
      <c r="T1" s="60"/>
      <c r="U1" s="60"/>
      <c r="V1" s="60"/>
      <c r="W1" s="61"/>
      <c r="X1" s="60"/>
      <c r="Y1" s="60"/>
    </row>
    <row r="2" spans="1:36" ht="15.6" x14ac:dyDescent="0.3">
      <c r="A2" s="601" t="s">
        <v>16</v>
      </c>
      <c r="B2" s="64" t="s">
        <v>17</v>
      </c>
      <c r="C2" s="53">
        <f t="shared" ref="C2:K2" si="0">C6+C24</f>
        <v>42460</v>
      </c>
      <c r="D2" s="54">
        <f t="shared" si="0"/>
        <v>53901</v>
      </c>
      <c r="E2" s="53">
        <f t="shared" si="0"/>
        <v>50899</v>
      </c>
      <c r="F2" s="53">
        <f t="shared" si="0"/>
        <v>33043</v>
      </c>
      <c r="G2" s="53">
        <f t="shared" si="0"/>
        <v>28308</v>
      </c>
      <c r="H2" s="53">
        <f t="shared" si="0"/>
        <v>46281</v>
      </c>
      <c r="I2" s="53">
        <f t="shared" si="0"/>
        <v>73343</v>
      </c>
      <c r="J2" s="53">
        <f t="shared" si="0"/>
        <v>66704</v>
      </c>
      <c r="K2" s="65">
        <f t="shared" si="0"/>
        <v>64458</v>
      </c>
      <c r="L2" s="65">
        <f>L6+L24+L4</f>
        <v>105749</v>
      </c>
      <c r="M2" s="66">
        <f>M6+M24+M4</f>
        <v>135180.41499999998</v>
      </c>
      <c r="N2" s="67">
        <f>N6+N24+N4</f>
        <v>112026.40974000002</v>
      </c>
      <c r="O2" s="66" t="e">
        <f>O6+O24+O4</f>
        <v>#REF!</v>
      </c>
      <c r="P2" s="68">
        <f t="shared" ref="P2:Y2" si="1">P4+P24</f>
        <v>32200</v>
      </c>
      <c r="Q2" s="66">
        <f t="shared" si="1"/>
        <v>28900</v>
      </c>
      <c r="R2" s="66">
        <f t="shared" si="1"/>
        <v>35400</v>
      </c>
      <c r="S2" s="66">
        <f t="shared" si="1"/>
        <v>42600</v>
      </c>
      <c r="T2" s="66">
        <f t="shared" si="1"/>
        <v>45300</v>
      </c>
      <c r="U2" s="66">
        <f t="shared" si="1"/>
        <v>43900</v>
      </c>
      <c r="V2" s="66">
        <f t="shared" si="1"/>
        <v>52400</v>
      </c>
      <c r="W2" s="65">
        <f t="shared" si="1"/>
        <v>51500</v>
      </c>
      <c r="X2" s="66">
        <f t="shared" si="1"/>
        <v>46900</v>
      </c>
      <c r="Y2" s="66">
        <f t="shared" si="1"/>
        <v>46800</v>
      </c>
      <c r="AH2" s="111"/>
      <c r="AI2" s="112" t="s">
        <v>44</v>
      </c>
      <c r="AJ2" s="2" t="s">
        <v>45</v>
      </c>
    </row>
    <row r="3" spans="1:36" ht="15.6" x14ac:dyDescent="0.3">
      <c r="A3" s="602"/>
      <c r="B3" s="318"/>
      <c r="C3" s="53"/>
      <c r="D3" s="54"/>
      <c r="E3" s="53"/>
      <c r="F3" s="53"/>
      <c r="G3" s="53"/>
      <c r="H3" s="53"/>
      <c r="I3" s="53"/>
      <c r="J3" s="53"/>
      <c r="K3" s="65"/>
      <c r="L3" s="65"/>
      <c r="M3" s="66"/>
      <c r="N3" s="67"/>
      <c r="O3" s="66"/>
      <c r="P3" s="68"/>
      <c r="Q3" s="66"/>
      <c r="R3" s="66"/>
      <c r="S3" s="66"/>
      <c r="T3" s="66"/>
      <c r="U3" s="66"/>
      <c r="V3" s="66"/>
      <c r="W3" s="65"/>
      <c r="X3" s="66"/>
      <c r="Y3" s="66"/>
    </row>
    <row r="4" spans="1:36" ht="15.6" x14ac:dyDescent="0.3">
      <c r="A4" s="603" t="s">
        <v>21</v>
      </c>
      <c r="B4" s="108" t="s">
        <v>22</v>
      </c>
      <c r="C4" s="53"/>
      <c r="D4" s="54"/>
      <c r="E4" s="53"/>
      <c r="F4" s="53"/>
      <c r="G4" s="53"/>
      <c r="H4" s="53"/>
      <c r="I4" s="53"/>
      <c r="J4" s="53"/>
      <c r="K4" s="55"/>
      <c r="L4" s="65">
        <v>20109</v>
      </c>
      <c r="M4" s="66">
        <v>10215</v>
      </c>
      <c r="N4" s="67">
        <f>7989745.77/1000</f>
        <v>7989.7457699999995</v>
      </c>
      <c r="O4" s="66" t="e">
        <f>13500+#REF!</f>
        <v>#REF!</v>
      </c>
      <c r="P4" s="68">
        <v>13500</v>
      </c>
      <c r="Q4" s="66">
        <v>13500</v>
      </c>
      <c r="R4" s="66">
        <v>17500</v>
      </c>
      <c r="S4" s="66">
        <v>15500</v>
      </c>
      <c r="T4" s="66">
        <v>15500</v>
      </c>
      <c r="U4" s="66">
        <v>15500</v>
      </c>
      <c r="V4" s="66">
        <v>16500</v>
      </c>
      <c r="W4" s="65">
        <v>16500</v>
      </c>
      <c r="X4" s="66">
        <v>16500</v>
      </c>
      <c r="Y4" s="66">
        <v>16500</v>
      </c>
      <c r="AH4" s="119"/>
      <c r="AI4" s="112" t="s">
        <v>44</v>
      </c>
      <c r="AJ4" s="2" t="s">
        <v>47</v>
      </c>
    </row>
    <row r="5" spans="1:36" ht="15" x14ac:dyDescent="0.25">
      <c r="A5" s="53"/>
      <c r="B5" s="92"/>
      <c r="C5" s="53"/>
      <c r="D5" s="54"/>
      <c r="E5" s="53"/>
      <c r="F5" s="71"/>
      <c r="G5" s="53"/>
      <c r="H5" s="53"/>
      <c r="I5" s="53"/>
      <c r="J5" s="53"/>
      <c r="K5" s="55"/>
      <c r="L5" s="55"/>
      <c r="M5" s="58"/>
      <c r="N5" s="93"/>
      <c r="O5" s="58"/>
      <c r="P5" s="59"/>
      <c r="Q5" s="93"/>
      <c r="R5" s="93"/>
      <c r="S5" s="93"/>
      <c r="T5" s="60"/>
      <c r="U5" s="60"/>
      <c r="V5" s="60"/>
      <c r="W5" s="61"/>
      <c r="X5" s="60"/>
      <c r="Y5" s="60"/>
      <c r="AH5" s="2"/>
      <c r="AI5" s="2"/>
      <c r="AJ5" s="2"/>
    </row>
    <row r="6" spans="1:36" ht="15.6" x14ac:dyDescent="0.3">
      <c r="A6" s="603" t="s">
        <v>24</v>
      </c>
      <c r="B6" s="108" t="s">
        <v>25</v>
      </c>
      <c r="C6" s="94">
        <f t="shared" ref="C6:L6" si="2">SUM(C8+C10+C12+C14+C16+C18+C20)</f>
        <v>27097</v>
      </c>
      <c r="D6" s="94">
        <f t="shared" si="2"/>
        <v>38476</v>
      </c>
      <c r="E6" s="94">
        <f t="shared" si="2"/>
        <v>36243</v>
      </c>
      <c r="F6" s="94">
        <f t="shared" si="2"/>
        <v>21087</v>
      </c>
      <c r="G6" s="94">
        <f t="shared" si="2"/>
        <v>16210</v>
      </c>
      <c r="H6" s="94">
        <f t="shared" si="2"/>
        <v>33797</v>
      </c>
      <c r="I6" s="94">
        <f t="shared" si="2"/>
        <v>54107</v>
      </c>
      <c r="J6" s="94">
        <f t="shared" si="2"/>
        <v>52707</v>
      </c>
      <c r="K6" s="94">
        <f t="shared" si="2"/>
        <v>44021</v>
      </c>
      <c r="L6" s="94">
        <f t="shared" si="2"/>
        <v>55557</v>
      </c>
      <c r="M6" s="95">
        <f>SUM(M8+M10+M12+M14+M16+M18+M20+M22)</f>
        <v>96405.285999999993</v>
      </c>
      <c r="N6" s="96">
        <f>SUM(N8+N10+N12+N14+N16+N18+N20+N22)</f>
        <v>68244.746540000022</v>
      </c>
      <c r="O6" s="95">
        <f t="shared" ref="O6:X6" si="3">SUM(O10:O22)</f>
        <v>0</v>
      </c>
      <c r="P6" s="97">
        <f t="shared" si="3"/>
        <v>0</v>
      </c>
      <c r="Q6" s="95">
        <f t="shared" si="3"/>
        <v>0</v>
      </c>
      <c r="R6" s="95">
        <f t="shared" si="3"/>
        <v>0</v>
      </c>
      <c r="S6" s="95">
        <f t="shared" si="3"/>
        <v>0</v>
      </c>
      <c r="T6" s="95">
        <f t="shared" si="3"/>
        <v>0</v>
      </c>
      <c r="U6" s="95">
        <f t="shared" si="3"/>
        <v>0</v>
      </c>
      <c r="V6" s="95">
        <f t="shared" si="3"/>
        <v>0</v>
      </c>
      <c r="W6" s="94">
        <f t="shared" si="3"/>
        <v>0</v>
      </c>
      <c r="X6" s="95">
        <f t="shared" si="3"/>
        <v>0</v>
      </c>
      <c r="Y6" s="95"/>
      <c r="AH6" s="127"/>
      <c r="AI6" s="112" t="s">
        <v>44</v>
      </c>
      <c r="AJ6" s="2" t="s">
        <v>49</v>
      </c>
    </row>
    <row r="7" spans="1:36" ht="15.6" x14ac:dyDescent="0.3">
      <c r="A7" s="35"/>
      <c r="B7" s="70"/>
      <c r="C7" s="53"/>
      <c r="D7" s="54"/>
      <c r="E7" s="53"/>
      <c r="F7" s="53"/>
      <c r="G7" s="53"/>
      <c r="H7" s="53"/>
      <c r="I7" s="53"/>
      <c r="J7" s="53"/>
      <c r="K7" s="65"/>
      <c r="L7" s="98"/>
      <c r="M7" s="85"/>
      <c r="N7" s="86"/>
      <c r="O7" s="85"/>
      <c r="P7" s="87"/>
      <c r="Q7" s="88"/>
      <c r="R7" s="88"/>
      <c r="S7" s="88"/>
      <c r="T7" s="88"/>
      <c r="U7" s="88"/>
      <c r="V7" s="88"/>
      <c r="W7" s="88"/>
      <c r="X7" s="88"/>
      <c r="Y7" s="88"/>
    </row>
    <row r="8" spans="1:36" ht="15.6" x14ac:dyDescent="0.3">
      <c r="A8" s="604" t="s">
        <v>27</v>
      </c>
      <c r="B8" s="605" t="s">
        <v>28</v>
      </c>
      <c r="C8" s="101">
        <v>12</v>
      </c>
      <c r="D8" s="101">
        <v>2987</v>
      </c>
      <c r="E8" s="101">
        <v>3900</v>
      </c>
      <c r="F8" s="101">
        <v>2632</v>
      </c>
      <c r="G8" s="35">
        <v>950</v>
      </c>
      <c r="H8" s="35">
        <v>676</v>
      </c>
      <c r="I8" s="35">
        <v>2058</v>
      </c>
      <c r="J8" s="35">
        <v>119</v>
      </c>
      <c r="K8" s="65">
        <v>424</v>
      </c>
      <c r="L8" s="65">
        <v>153</v>
      </c>
      <c r="M8" s="66">
        <f>4209/1000</f>
        <v>4.2089999999999996</v>
      </c>
      <c r="N8" s="67"/>
      <c r="O8" s="66"/>
      <c r="P8" s="68"/>
      <c r="Q8" s="66"/>
      <c r="R8" s="66"/>
      <c r="S8" s="66"/>
      <c r="T8" s="66"/>
      <c r="U8" s="66"/>
      <c r="V8" s="66"/>
      <c r="W8" s="65"/>
      <c r="X8" s="66"/>
      <c r="Y8" s="66"/>
      <c r="AH8" s="606"/>
      <c r="AI8" s="112" t="s">
        <v>54</v>
      </c>
      <c r="AJ8" s="2" t="s">
        <v>330</v>
      </c>
    </row>
    <row r="9" spans="1:36" ht="15.6" x14ac:dyDescent="0.3">
      <c r="A9" s="35"/>
      <c r="B9" s="70"/>
      <c r="C9" s="101"/>
      <c r="D9" s="101"/>
      <c r="E9" s="101"/>
      <c r="F9" s="101"/>
      <c r="G9" s="102"/>
      <c r="H9" s="102"/>
      <c r="I9" s="102"/>
      <c r="J9" s="102"/>
      <c r="K9" s="65"/>
      <c r="L9" s="98" t="s">
        <v>3</v>
      </c>
      <c r="M9" s="66"/>
      <c r="N9" s="67"/>
      <c r="O9" s="66"/>
      <c r="P9" s="68"/>
      <c r="Q9" s="66"/>
      <c r="R9" s="66"/>
      <c r="S9" s="66"/>
      <c r="T9" s="66"/>
      <c r="U9" s="66"/>
      <c r="V9" s="66"/>
      <c r="W9" s="65"/>
      <c r="X9" s="66"/>
      <c r="Y9" s="66"/>
    </row>
    <row r="10" spans="1:36" ht="15.6" x14ac:dyDescent="0.3">
      <c r="A10" s="604" t="s">
        <v>29</v>
      </c>
      <c r="B10" s="605" t="s">
        <v>30</v>
      </c>
      <c r="C10" s="101">
        <v>13160</v>
      </c>
      <c r="D10" s="101">
        <v>18215</v>
      </c>
      <c r="E10" s="101">
        <v>12921</v>
      </c>
      <c r="F10" s="101">
        <v>10948</v>
      </c>
      <c r="G10" s="102">
        <v>5876</v>
      </c>
      <c r="H10" s="102">
        <v>9018</v>
      </c>
      <c r="I10" s="102">
        <v>22120</v>
      </c>
      <c r="J10" s="102">
        <v>18499</v>
      </c>
      <c r="K10" s="65">
        <v>17759</v>
      </c>
      <c r="L10" s="65">
        <v>16234</v>
      </c>
      <c r="M10" s="66">
        <f>24567518/1000</f>
        <v>24567.518</v>
      </c>
      <c r="N10" s="67">
        <f>11518131.75/1000</f>
        <v>11518.13175</v>
      </c>
      <c r="O10" s="66"/>
      <c r="P10" s="68"/>
      <c r="Q10" s="66"/>
      <c r="R10" s="66"/>
      <c r="S10" s="66"/>
      <c r="T10" s="66"/>
      <c r="U10" s="66"/>
      <c r="V10" s="66"/>
      <c r="W10" s="65"/>
      <c r="X10" s="66"/>
      <c r="Y10" s="66"/>
      <c r="AH10" s="607"/>
      <c r="AI10" s="112" t="s">
        <v>54</v>
      </c>
      <c r="AJ10" s="2" t="s">
        <v>331</v>
      </c>
    </row>
    <row r="11" spans="1:36" ht="15.6" x14ac:dyDescent="0.3">
      <c r="A11" s="35"/>
      <c r="B11" s="70"/>
      <c r="C11" s="101"/>
      <c r="D11" s="101"/>
      <c r="E11" s="101"/>
      <c r="F11" s="101"/>
      <c r="G11" s="102"/>
      <c r="H11" s="102"/>
      <c r="I11" s="102"/>
      <c r="J11" s="102"/>
      <c r="K11" s="65"/>
      <c r="L11" s="98" t="s">
        <v>3</v>
      </c>
      <c r="M11" s="66"/>
      <c r="N11" s="67"/>
      <c r="O11" s="66"/>
      <c r="P11" s="68"/>
      <c r="Q11" s="66"/>
      <c r="R11" s="66"/>
      <c r="S11" s="66"/>
      <c r="T11" s="66"/>
      <c r="U11" s="66"/>
      <c r="V11" s="66"/>
      <c r="W11" s="65"/>
      <c r="X11" s="66"/>
      <c r="Y11" s="66"/>
    </row>
    <row r="12" spans="1:36" ht="15.6" x14ac:dyDescent="0.3">
      <c r="A12" s="604" t="s">
        <v>31</v>
      </c>
      <c r="B12" s="605" t="s">
        <v>32</v>
      </c>
      <c r="C12" s="101">
        <v>12398</v>
      </c>
      <c r="D12" s="101">
        <v>15795</v>
      </c>
      <c r="E12" s="101">
        <v>16748</v>
      </c>
      <c r="F12" s="101">
        <v>5271</v>
      </c>
      <c r="G12" s="102">
        <v>3840</v>
      </c>
      <c r="H12" s="102">
        <v>13910</v>
      </c>
      <c r="I12" s="102">
        <v>14037</v>
      </c>
      <c r="J12" s="102">
        <v>30439</v>
      </c>
      <c r="K12" s="65">
        <v>20282</v>
      </c>
      <c r="L12" s="65">
        <v>26404</v>
      </c>
      <c r="M12" s="66">
        <f>63084921/1000</f>
        <v>63084.921000000002</v>
      </c>
      <c r="N12" s="67">
        <f>44869587.07/1000</f>
        <v>44869.587070000001</v>
      </c>
      <c r="O12" s="66"/>
      <c r="P12" s="68"/>
      <c r="Q12" s="66"/>
      <c r="R12" s="66"/>
      <c r="S12" s="66"/>
      <c r="T12" s="66"/>
      <c r="U12" s="66"/>
      <c r="V12" s="66"/>
      <c r="W12" s="65"/>
      <c r="X12" s="66"/>
      <c r="Y12" s="66"/>
      <c r="AH12" s="608"/>
      <c r="AI12" s="202" t="s">
        <v>54</v>
      </c>
      <c r="AJ12" t="s">
        <v>332</v>
      </c>
    </row>
    <row r="13" spans="1:36" ht="15.6" x14ac:dyDescent="0.3">
      <c r="A13" s="35"/>
      <c r="B13" s="70"/>
      <c r="C13" s="101"/>
      <c r="D13" s="101"/>
      <c r="E13" s="101"/>
      <c r="F13" s="101"/>
      <c r="G13" s="102"/>
      <c r="H13" s="102"/>
      <c r="I13" s="102"/>
      <c r="J13" s="102"/>
      <c r="K13" s="65"/>
      <c r="L13" s="98" t="s">
        <v>3</v>
      </c>
      <c r="M13" s="66"/>
      <c r="N13" s="67"/>
      <c r="O13" s="66"/>
      <c r="P13" s="68"/>
      <c r="Q13" s="66"/>
      <c r="R13" s="66"/>
      <c r="S13" s="66"/>
      <c r="T13" s="66"/>
      <c r="U13" s="66"/>
      <c r="V13" s="66"/>
      <c r="W13" s="65"/>
      <c r="X13" s="66"/>
      <c r="Y13" s="66"/>
    </row>
    <row r="14" spans="1:36" ht="15.6" x14ac:dyDescent="0.3">
      <c r="A14" s="604" t="s">
        <v>33</v>
      </c>
      <c r="B14" s="605" t="s">
        <v>34</v>
      </c>
      <c r="C14" s="101">
        <v>0</v>
      </c>
      <c r="D14" s="101">
        <v>112</v>
      </c>
      <c r="E14" s="101">
        <v>1812</v>
      </c>
      <c r="F14" s="101">
        <v>1685</v>
      </c>
      <c r="G14" s="102">
        <v>1836</v>
      </c>
      <c r="H14" s="102">
        <v>1908</v>
      </c>
      <c r="I14" s="102">
        <v>2651</v>
      </c>
      <c r="J14" s="102">
        <v>1122</v>
      </c>
      <c r="K14" s="65">
        <v>1928</v>
      </c>
      <c r="L14" s="65">
        <v>10930</v>
      </c>
      <c r="M14" s="66">
        <f>2265106/1000</f>
        <v>2265.1060000000002</v>
      </c>
      <c r="N14" s="67">
        <f>4261387.88/1000</f>
        <v>4261.3878800000002</v>
      </c>
      <c r="O14" s="66"/>
      <c r="P14" s="68"/>
      <c r="Q14" s="66"/>
      <c r="R14" s="66"/>
      <c r="S14" s="66"/>
      <c r="T14" s="66"/>
      <c r="U14" s="66"/>
      <c r="V14" s="66"/>
      <c r="W14" s="65"/>
      <c r="X14" s="66"/>
      <c r="Y14" s="66"/>
      <c r="AH14" s="609"/>
      <c r="AI14" s="202" t="s">
        <v>54</v>
      </c>
      <c r="AJ14" t="s">
        <v>333</v>
      </c>
    </row>
    <row r="15" spans="1:36" ht="15.6" x14ac:dyDescent="0.3">
      <c r="A15" s="35"/>
      <c r="B15" s="70"/>
      <c r="C15" s="101"/>
      <c r="D15" s="101"/>
      <c r="E15" s="101"/>
      <c r="F15" s="101"/>
      <c r="G15" s="102"/>
      <c r="H15" s="102"/>
      <c r="I15" s="102"/>
      <c r="J15" s="102"/>
      <c r="K15" s="65"/>
      <c r="L15" s="98" t="s">
        <v>3</v>
      </c>
      <c r="M15" s="66"/>
      <c r="N15" s="67"/>
      <c r="O15" s="66"/>
      <c r="P15" s="68"/>
      <c r="Q15" s="66"/>
      <c r="R15" s="66"/>
      <c r="S15" s="66"/>
      <c r="T15" s="66"/>
      <c r="U15" s="66"/>
      <c r="V15" s="66"/>
      <c r="W15" s="65"/>
      <c r="X15" s="66"/>
      <c r="Y15" s="66"/>
    </row>
    <row r="16" spans="1:36" ht="15.6" x14ac:dyDescent="0.3">
      <c r="A16" s="604" t="s">
        <v>35</v>
      </c>
      <c r="B16" s="605" t="s">
        <v>36</v>
      </c>
      <c r="C16" s="101">
        <v>0</v>
      </c>
      <c r="D16" s="101">
        <v>0</v>
      </c>
      <c r="E16" s="101">
        <v>0</v>
      </c>
      <c r="F16" s="101">
        <v>534</v>
      </c>
      <c r="G16" s="102">
        <v>2189</v>
      </c>
      <c r="H16" s="102">
        <v>1049</v>
      </c>
      <c r="I16" s="102">
        <v>4107</v>
      </c>
      <c r="J16" s="102">
        <v>593</v>
      </c>
      <c r="K16" s="65">
        <v>263</v>
      </c>
      <c r="L16" s="65">
        <v>228</v>
      </c>
      <c r="M16" s="66">
        <f>3221760/1000</f>
        <v>3221.76</v>
      </c>
      <c r="N16" s="67">
        <f>1412467.98/1000</f>
        <v>1412.4679799999999</v>
      </c>
      <c r="O16" s="66"/>
      <c r="P16" s="68"/>
      <c r="Q16" s="66"/>
      <c r="R16" s="66"/>
      <c r="S16" s="66"/>
      <c r="T16" s="66"/>
      <c r="U16" s="66"/>
      <c r="V16" s="66"/>
      <c r="W16" s="65"/>
      <c r="X16" s="66"/>
      <c r="Y16" s="66"/>
    </row>
    <row r="17" spans="1:25" ht="15.6" x14ac:dyDescent="0.3">
      <c r="A17" s="35" t="s">
        <v>3</v>
      </c>
      <c r="B17" s="70"/>
      <c r="C17" s="101"/>
      <c r="D17" s="101"/>
      <c r="E17" s="101"/>
      <c r="F17" s="101"/>
      <c r="G17" s="102"/>
      <c r="H17" s="102"/>
      <c r="I17" s="102"/>
      <c r="J17" s="102"/>
      <c r="K17" s="65"/>
      <c r="L17" s="98" t="s">
        <v>3</v>
      </c>
      <c r="M17" s="66"/>
      <c r="N17" s="67"/>
      <c r="O17" s="66"/>
      <c r="P17" s="68"/>
      <c r="Q17" s="66"/>
      <c r="R17" s="66"/>
      <c r="S17" s="66"/>
      <c r="T17" s="66"/>
      <c r="U17" s="66"/>
      <c r="V17" s="66"/>
      <c r="W17" s="65"/>
      <c r="X17" s="66"/>
      <c r="Y17" s="66"/>
    </row>
    <row r="18" spans="1:25" ht="15.6" x14ac:dyDescent="0.3">
      <c r="A18" s="604" t="s">
        <v>37</v>
      </c>
      <c r="B18" s="605" t="s">
        <v>38</v>
      </c>
      <c r="C18" s="101">
        <v>0</v>
      </c>
      <c r="D18" s="101">
        <v>0</v>
      </c>
      <c r="E18" s="101">
        <v>22</v>
      </c>
      <c r="F18" s="101">
        <v>17</v>
      </c>
      <c r="G18" s="102">
        <v>1519</v>
      </c>
      <c r="H18" s="102">
        <v>7236</v>
      </c>
      <c r="I18" s="102">
        <v>9134</v>
      </c>
      <c r="J18" s="102">
        <v>1935</v>
      </c>
      <c r="K18" s="65">
        <v>3025</v>
      </c>
      <c r="L18" s="65">
        <v>1257</v>
      </c>
      <c r="M18" s="66">
        <f>2598077/1000</f>
        <v>2598.0770000000002</v>
      </c>
      <c r="N18" s="67">
        <f>5091820.86/1000</f>
        <v>5091.8208600000007</v>
      </c>
      <c r="O18" s="66"/>
      <c r="P18" s="68"/>
      <c r="Q18" s="66"/>
      <c r="R18" s="66"/>
      <c r="S18" s="66"/>
      <c r="T18" s="66"/>
      <c r="U18" s="66"/>
      <c r="V18" s="66"/>
      <c r="W18" s="65"/>
      <c r="X18" s="66"/>
      <c r="Y18" s="66"/>
    </row>
    <row r="19" spans="1:25" ht="15.6" x14ac:dyDescent="0.3">
      <c r="A19" s="35"/>
      <c r="B19" s="70"/>
      <c r="C19" s="101"/>
      <c r="D19" s="101"/>
      <c r="E19" s="101"/>
      <c r="F19" s="101"/>
      <c r="G19" s="102"/>
      <c r="H19" s="102"/>
      <c r="I19" s="102"/>
      <c r="J19" s="102"/>
      <c r="K19" s="65"/>
      <c r="L19" s="98" t="s">
        <v>3</v>
      </c>
      <c r="M19" s="66"/>
      <c r="N19" s="67"/>
      <c r="O19" s="66"/>
      <c r="P19" s="68"/>
      <c r="Q19" s="66"/>
      <c r="R19" s="66"/>
      <c r="S19" s="66"/>
      <c r="T19" s="66"/>
      <c r="U19" s="66"/>
      <c r="V19" s="66"/>
      <c r="W19" s="65"/>
      <c r="X19" s="66"/>
      <c r="Y19" s="66"/>
    </row>
    <row r="20" spans="1:25" ht="15.6" x14ac:dyDescent="0.3">
      <c r="A20" s="604" t="s">
        <v>39</v>
      </c>
      <c r="B20" s="605" t="s">
        <v>40</v>
      </c>
      <c r="C20" s="101">
        <f>877+650</f>
        <v>1527</v>
      </c>
      <c r="D20" s="101">
        <f>462+905</f>
        <v>1367</v>
      </c>
      <c r="E20" s="101">
        <f>15+825</f>
        <v>840</v>
      </c>
      <c r="F20" s="101">
        <v>0</v>
      </c>
      <c r="G20" s="102">
        <v>0</v>
      </c>
      <c r="H20" s="102">
        <v>0</v>
      </c>
      <c r="I20" s="102">
        <v>0</v>
      </c>
      <c r="J20" s="102">
        <v>0</v>
      </c>
      <c r="K20" s="65">
        <v>340</v>
      </c>
      <c r="L20" s="65">
        <v>351</v>
      </c>
      <c r="M20" s="66">
        <f>166973/1000</f>
        <v>166.97300000000001</v>
      </c>
      <c r="N20" s="67">
        <f>462879.65/1000</f>
        <v>462.87965000000003</v>
      </c>
      <c r="O20" s="66"/>
      <c r="P20" s="68"/>
      <c r="Q20" s="66"/>
      <c r="R20" s="66"/>
      <c r="S20" s="66"/>
      <c r="T20" s="66"/>
      <c r="U20" s="66"/>
      <c r="V20" s="66"/>
      <c r="W20" s="65"/>
      <c r="X20" s="66"/>
      <c r="Y20" s="66"/>
    </row>
    <row r="21" spans="1:25" ht="15.6" x14ac:dyDescent="0.3">
      <c r="A21" s="35"/>
      <c r="B21" s="70"/>
      <c r="C21" s="101"/>
      <c r="D21" s="101"/>
      <c r="E21" s="101"/>
      <c r="F21" s="101"/>
      <c r="G21" s="102"/>
      <c r="H21" s="102"/>
      <c r="I21" s="102"/>
      <c r="J21" s="102"/>
      <c r="K21" s="65"/>
      <c r="L21" s="98" t="s">
        <v>3</v>
      </c>
      <c r="M21" s="66"/>
      <c r="N21" s="67"/>
      <c r="O21" s="66"/>
      <c r="P21" s="68"/>
      <c r="Q21" s="66"/>
      <c r="R21" s="66"/>
      <c r="S21" s="66"/>
      <c r="T21" s="66"/>
      <c r="U21" s="66"/>
      <c r="V21" s="66"/>
      <c r="W21" s="65"/>
      <c r="X21" s="66"/>
      <c r="Y21" s="66"/>
    </row>
    <row r="22" spans="1:25" ht="15.6" x14ac:dyDescent="0.3">
      <c r="A22" s="604" t="s">
        <v>41</v>
      </c>
      <c r="B22" s="554" t="s">
        <v>42</v>
      </c>
      <c r="C22" s="101"/>
      <c r="D22" s="101"/>
      <c r="E22" s="101"/>
      <c r="F22" s="101"/>
      <c r="G22" s="102"/>
      <c r="H22" s="102"/>
      <c r="I22" s="102"/>
      <c r="J22" s="102"/>
      <c r="K22" s="65"/>
      <c r="L22" s="98"/>
      <c r="M22" s="66">
        <f>496722/1000</f>
        <v>496.72199999999998</v>
      </c>
      <c r="N22" s="67">
        <f>628471.35/1000</f>
        <v>628.47135000000003</v>
      </c>
      <c r="O22" s="66"/>
      <c r="P22" s="68"/>
      <c r="Q22" s="66"/>
      <c r="R22" s="66"/>
      <c r="S22" s="66"/>
      <c r="T22" s="66"/>
      <c r="U22" s="66"/>
      <c r="V22" s="66"/>
      <c r="W22" s="65"/>
      <c r="X22" s="66"/>
      <c r="Y22" s="66"/>
    </row>
    <row r="23" spans="1:25" ht="15.6" x14ac:dyDescent="0.3">
      <c r="A23" s="35"/>
      <c r="B23" s="34"/>
      <c r="C23" s="102"/>
      <c r="D23" s="104"/>
      <c r="E23" s="102"/>
      <c r="F23" s="102"/>
      <c r="G23" s="102"/>
      <c r="H23" s="102"/>
      <c r="I23" s="102"/>
      <c r="J23" s="102"/>
      <c r="K23" s="65"/>
      <c r="L23" s="65"/>
      <c r="M23" s="105"/>
      <c r="N23" s="106"/>
      <c r="O23" s="66"/>
      <c r="P23" s="68"/>
      <c r="Q23" s="66"/>
      <c r="R23" s="66"/>
      <c r="S23" s="66"/>
      <c r="T23" s="66"/>
      <c r="U23" s="66"/>
      <c r="V23" s="66"/>
      <c r="W23" s="65"/>
      <c r="X23" s="66"/>
      <c r="Y23" s="66"/>
    </row>
    <row r="24" spans="1:25" ht="15.6" x14ac:dyDescent="0.3">
      <c r="A24" s="603" t="s">
        <v>334</v>
      </c>
      <c r="B24" s="108" t="s">
        <v>335</v>
      </c>
      <c r="C24" s="94">
        <f t="shared" ref="C24:M24" si="4">C26+C28</f>
        <v>15363</v>
      </c>
      <c r="D24" s="94">
        <f t="shared" si="4"/>
        <v>15425</v>
      </c>
      <c r="E24" s="94">
        <f t="shared" si="4"/>
        <v>14656</v>
      </c>
      <c r="F24" s="94">
        <f t="shared" si="4"/>
        <v>11956</v>
      </c>
      <c r="G24" s="94">
        <f t="shared" si="4"/>
        <v>12098</v>
      </c>
      <c r="H24" s="94">
        <f t="shared" si="4"/>
        <v>12484</v>
      </c>
      <c r="I24" s="94">
        <f t="shared" si="4"/>
        <v>19236</v>
      </c>
      <c r="J24" s="94">
        <f t="shared" si="4"/>
        <v>13997</v>
      </c>
      <c r="K24" s="94">
        <f t="shared" si="4"/>
        <v>20437</v>
      </c>
      <c r="L24" s="94">
        <f t="shared" si="4"/>
        <v>30083</v>
      </c>
      <c r="M24" s="95">
        <f t="shared" si="4"/>
        <v>28560.129000000001</v>
      </c>
      <c r="N24" s="96">
        <f>N26</f>
        <v>35791.917430000001</v>
      </c>
      <c r="O24" s="95">
        <f>O26+O28</f>
        <v>19900</v>
      </c>
      <c r="P24" s="97">
        <f t="shared" ref="P24:Y24" si="5">P26</f>
        <v>18700</v>
      </c>
      <c r="Q24" s="95">
        <f t="shared" si="5"/>
        <v>15400</v>
      </c>
      <c r="R24" s="109">
        <f t="shared" si="5"/>
        <v>17900</v>
      </c>
      <c r="S24" s="109">
        <f t="shared" si="5"/>
        <v>27100</v>
      </c>
      <c r="T24" s="109">
        <f t="shared" si="5"/>
        <v>29800</v>
      </c>
      <c r="U24" s="109">
        <f t="shared" si="5"/>
        <v>28400</v>
      </c>
      <c r="V24" s="109">
        <f t="shared" si="5"/>
        <v>35900</v>
      </c>
      <c r="W24" s="110">
        <f t="shared" si="5"/>
        <v>35000</v>
      </c>
      <c r="X24" s="109">
        <f t="shared" si="5"/>
        <v>30400</v>
      </c>
      <c r="Y24" s="109">
        <f t="shared" si="5"/>
        <v>30300</v>
      </c>
    </row>
    <row r="25" spans="1:25" ht="15" customHeight="1" x14ac:dyDescent="0.3">
      <c r="A25" s="35"/>
      <c r="B25" s="73"/>
      <c r="C25" s="75"/>
      <c r="D25" s="75"/>
      <c r="E25" s="2"/>
      <c r="F25" s="75"/>
      <c r="G25" s="75"/>
      <c r="H25" s="75"/>
      <c r="I25" s="75"/>
      <c r="J25" s="75"/>
      <c r="K25" s="76"/>
      <c r="L25" s="77"/>
      <c r="M25" s="78"/>
      <c r="N25" s="435"/>
      <c r="O25" s="79"/>
      <c r="P25" s="80"/>
      <c r="Q25" s="436"/>
      <c r="R25" s="436"/>
      <c r="S25" s="436"/>
      <c r="T25" s="436"/>
      <c r="U25" s="436"/>
      <c r="V25" s="436"/>
      <c r="W25" s="437"/>
      <c r="X25" s="82"/>
      <c r="Y25" s="81"/>
    </row>
    <row r="26" spans="1:25" ht="15.6" x14ac:dyDescent="0.3">
      <c r="A26" s="604" t="s">
        <v>336</v>
      </c>
      <c r="B26" s="605" t="s">
        <v>46</v>
      </c>
      <c r="C26" s="101">
        <f>7804+6285+1274</f>
        <v>15363</v>
      </c>
      <c r="D26" s="101">
        <f>8855+5074+1496</f>
        <v>15425</v>
      </c>
      <c r="E26" s="101">
        <f>3741+9223+1208</f>
        <v>14172</v>
      </c>
      <c r="F26" s="101">
        <f>3420+4997+1328</f>
        <v>9745</v>
      </c>
      <c r="G26" s="102">
        <v>9155</v>
      </c>
      <c r="H26" s="102">
        <v>11112</v>
      </c>
      <c r="I26" s="102">
        <v>18272</v>
      </c>
      <c r="J26" s="102">
        <v>13411</v>
      </c>
      <c r="K26" s="65">
        <v>20437</v>
      </c>
      <c r="L26" s="65">
        <v>26674</v>
      </c>
      <c r="M26" s="66">
        <f>28560129/1000</f>
        <v>28560.129000000001</v>
      </c>
      <c r="N26" s="67">
        <f>35791917.43/1000</f>
        <v>35791.917430000001</v>
      </c>
      <c r="O26" s="66">
        <v>19900</v>
      </c>
      <c r="P26" s="68">
        <v>18700</v>
      </c>
      <c r="Q26" s="66">
        <v>15400</v>
      </c>
      <c r="R26" s="117">
        <f>17900</f>
        <v>17900</v>
      </c>
      <c r="S26" s="117">
        <f>22100+3000+2000</f>
        <v>27100</v>
      </c>
      <c r="T26" s="105">
        <f>24800+5000</f>
        <v>29800</v>
      </c>
      <c r="U26" s="105">
        <f>26400+2000</f>
        <v>28400</v>
      </c>
      <c r="V26" s="105">
        <f>33900+2000</f>
        <v>35900</v>
      </c>
      <c r="W26" s="118">
        <f>34000+1000</f>
        <v>35000</v>
      </c>
      <c r="X26" s="118">
        <f>30400</f>
        <v>30400</v>
      </c>
      <c r="Y26" s="105">
        <v>30300</v>
      </c>
    </row>
    <row r="27" spans="1:25" s="2" customFormat="1" ht="15.6" x14ac:dyDescent="0.3">
      <c r="A27" s="53"/>
      <c r="B27" s="70"/>
      <c r="C27" s="120"/>
      <c r="D27" s="121"/>
      <c r="E27" s="120"/>
      <c r="F27" s="120"/>
      <c r="G27" s="120"/>
      <c r="H27" s="120"/>
      <c r="I27" s="120"/>
      <c r="J27" s="120"/>
      <c r="K27" s="122"/>
      <c r="L27" s="98"/>
      <c r="M27" s="123"/>
      <c r="N27" s="124"/>
      <c r="O27" s="125"/>
      <c r="P27" s="126"/>
      <c r="Q27" s="125"/>
      <c r="R27" s="125"/>
      <c r="S27" s="125"/>
      <c r="T27" s="125"/>
      <c r="U27" s="125"/>
      <c r="V27" s="125">
        <v>3000</v>
      </c>
      <c r="W27" s="122">
        <v>3000</v>
      </c>
      <c r="X27" s="125">
        <v>2000</v>
      </c>
      <c r="Y27" s="125">
        <v>1900</v>
      </c>
    </row>
    <row r="28" spans="1:25" ht="15.6" x14ac:dyDescent="0.3">
      <c r="A28" s="604" t="s">
        <v>337</v>
      </c>
      <c r="B28" s="605" t="s">
        <v>48</v>
      </c>
      <c r="C28" s="102">
        <v>0</v>
      </c>
      <c r="D28" s="104">
        <v>0</v>
      </c>
      <c r="E28" s="102">
        <v>484</v>
      </c>
      <c r="F28" s="102">
        <v>2211</v>
      </c>
      <c r="G28" s="102">
        <v>2943</v>
      </c>
      <c r="H28" s="102">
        <v>1372</v>
      </c>
      <c r="I28" s="102">
        <v>964</v>
      </c>
      <c r="J28" s="102">
        <v>586</v>
      </c>
      <c r="K28" s="65">
        <v>0</v>
      </c>
      <c r="L28" s="65">
        <v>3409</v>
      </c>
      <c r="M28" s="105"/>
      <c r="N28" s="106"/>
      <c r="O28" s="66"/>
      <c r="P28" s="68"/>
      <c r="Q28" s="66"/>
      <c r="R28" s="66"/>
      <c r="S28" s="66"/>
      <c r="T28" s="66"/>
      <c r="U28" s="66"/>
      <c r="V28" s="66"/>
      <c r="W28" s="65"/>
      <c r="X28" s="66"/>
      <c r="Y28" s="66"/>
    </row>
    <row r="29" spans="1:25" ht="15.6" x14ac:dyDescent="0.3">
      <c r="A29" s="53"/>
      <c r="B29" s="70"/>
      <c r="C29" s="53"/>
      <c r="D29" s="54"/>
      <c r="E29" s="53"/>
      <c r="F29" s="53"/>
      <c r="G29" s="53"/>
      <c r="H29" s="53"/>
      <c r="I29" s="53"/>
      <c r="J29" s="128" t="s">
        <v>3</v>
      </c>
      <c r="K29" s="129" t="s">
        <v>3</v>
      </c>
      <c r="L29" s="130" t="s">
        <v>3</v>
      </c>
      <c r="M29" s="131" t="s">
        <v>3</v>
      </c>
      <c r="N29" s="132"/>
      <c r="O29" s="133" t="s">
        <v>3</v>
      </c>
      <c r="P29" s="134" t="s">
        <v>3</v>
      </c>
      <c r="Q29" s="135" t="s">
        <v>3</v>
      </c>
      <c r="R29" s="135" t="s">
        <v>3</v>
      </c>
      <c r="S29" s="135" t="s">
        <v>3</v>
      </c>
      <c r="T29" s="135" t="s">
        <v>3</v>
      </c>
      <c r="U29" s="135" t="s">
        <v>3</v>
      </c>
      <c r="V29" s="135" t="s">
        <v>3</v>
      </c>
      <c r="W29" s="136" t="s">
        <v>3</v>
      </c>
      <c r="X29" s="135" t="s">
        <v>3</v>
      </c>
      <c r="Y29" s="135"/>
    </row>
    <row r="30" spans="1:25" ht="15.6" x14ac:dyDescent="0.3">
      <c r="A30" s="601" t="s">
        <v>56</v>
      </c>
      <c r="B30" s="64" t="s">
        <v>57</v>
      </c>
      <c r="C30" s="173" t="e">
        <f t="shared" ref="C30:H30" si="6">C32+C113+C133</f>
        <v>#REF!</v>
      </c>
      <c r="D30" s="173" t="e">
        <f t="shared" si="6"/>
        <v>#REF!</v>
      </c>
      <c r="E30" s="173" t="e">
        <f t="shared" si="6"/>
        <v>#REF!</v>
      </c>
      <c r="F30" s="173" t="e">
        <f t="shared" si="6"/>
        <v>#REF!</v>
      </c>
      <c r="G30" s="173" t="e">
        <f t="shared" si="6"/>
        <v>#REF!</v>
      </c>
      <c r="H30" s="173" t="e">
        <f t="shared" si="6"/>
        <v>#REF!</v>
      </c>
      <c r="I30" s="173" t="e">
        <f>SUM(I32+I113+I133)</f>
        <v>#REF!</v>
      </c>
      <c r="J30" s="173" t="e">
        <f t="shared" ref="J30:Y30" si="7">J32+J113+J133</f>
        <v>#REF!</v>
      </c>
      <c r="K30" s="94" t="e">
        <f t="shared" si="7"/>
        <v>#REF!</v>
      </c>
      <c r="L30" s="94" t="e">
        <f t="shared" si="7"/>
        <v>#REF!</v>
      </c>
      <c r="M30" s="95">
        <f t="shared" si="7"/>
        <v>173212.867</v>
      </c>
      <c r="N30" s="96">
        <f t="shared" si="7"/>
        <v>159004.88825000002</v>
      </c>
      <c r="O30" s="95" t="e">
        <f t="shared" si="7"/>
        <v>#REF!</v>
      </c>
      <c r="P30" s="97" t="e">
        <f t="shared" si="7"/>
        <v>#REF!</v>
      </c>
      <c r="Q30" s="94" t="e">
        <f t="shared" si="7"/>
        <v>#REF!</v>
      </c>
      <c r="R30" s="94" t="e">
        <f t="shared" si="7"/>
        <v>#REF!</v>
      </c>
      <c r="S30" s="94" t="e">
        <f t="shared" si="7"/>
        <v>#REF!</v>
      </c>
      <c r="T30" s="94" t="e">
        <f t="shared" si="7"/>
        <v>#REF!</v>
      </c>
      <c r="U30" s="94" t="e">
        <f t="shared" si="7"/>
        <v>#REF!</v>
      </c>
      <c r="V30" s="94" t="e">
        <f t="shared" si="7"/>
        <v>#REF!</v>
      </c>
      <c r="W30" s="94" t="e">
        <f t="shared" si="7"/>
        <v>#REF!</v>
      </c>
      <c r="X30" s="95" t="e">
        <f t="shared" si="7"/>
        <v>#REF!</v>
      </c>
      <c r="Y30" s="95" t="e">
        <f t="shared" si="7"/>
        <v>#REF!</v>
      </c>
    </row>
    <row r="31" spans="1:25" ht="15.6" x14ac:dyDescent="0.3">
      <c r="A31" s="53"/>
      <c r="B31" s="186" t="s">
        <v>3</v>
      </c>
      <c r="C31" s="187"/>
      <c r="D31" s="187"/>
      <c r="E31" s="65"/>
      <c r="F31" s="188"/>
      <c r="G31" s="189"/>
      <c r="H31" s="190"/>
      <c r="I31" s="191"/>
      <c r="J31" s="192" t="s">
        <v>3</v>
      </c>
      <c r="K31" s="65" t="s">
        <v>3</v>
      </c>
      <c r="L31" s="163" t="s">
        <v>3</v>
      </c>
      <c r="M31" s="166" t="s">
        <v>3</v>
      </c>
      <c r="N31" s="193"/>
      <c r="O31" s="166" t="s">
        <v>3</v>
      </c>
      <c r="P31" s="194" t="s">
        <v>3</v>
      </c>
      <c r="Q31" s="195" t="s">
        <v>3</v>
      </c>
      <c r="R31" s="195" t="s">
        <v>3</v>
      </c>
      <c r="S31" s="195" t="s">
        <v>3</v>
      </c>
      <c r="T31" s="195" t="s">
        <v>3</v>
      </c>
      <c r="U31" s="195" t="s">
        <v>3</v>
      </c>
      <c r="V31" s="169" t="s">
        <v>3</v>
      </c>
      <c r="W31" s="195" t="s">
        <v>3</v>
      </c>
      <c r="X31" s="169" t="s">
        <v>3</v>
      </c>
      <c r="Y31" s="169"/>
    </row>
    <row r="32" spans="1:25" s="197" customFormat="1" ht="15.6" x14ac:dyDescent="0.3">
      <c r="A32" s="603" t="s">
        <v>60</v>
      </c>
      <c r="B32" s="108" t="s">
        <v>61</v>
      </c>
      <c r="C32" s="65" t="e">
        <f t="shared" ref="C32:Y32" si="8">SUM(C34+C47+C92)</f>
        <v>#REF!</v>
      </c>
      <c r="D32" s="65" t="e">
        <f t="shared" si="8"/>
        <v>#REF!</v>
      </c>
      <c r="E32" s="65" t="e">
        <f t="shared" si="8"/>
        <v>#REF!</v>
      </c>
      <c r="F32" s="65" t="e">
        <f t="shared" si="8"/>
        <v>#REF!</v>
      </c>
      <c r="G32" s="65" t="e">
        <f t="shared" si="8"/>
        <v>#REF!</v>
      </c>
      <c r="H32" s="65" t="e">
        <f t="shared" si="8"/>
        <v>#REF!</v>
      </c>
      <c r="I32" s="65" t="e">
        <f t="shared" si="8"/>
        <v>#REF!</v>
      </c>
      <c r="J32" s="65" t="e">
        <f t="shared" si="8"/>
        <v>#REF!</v>
      </c>
      <c r="K32" s="65" t="e">
        <f t="shared" si="8"/>
        <v>#REF!</v>
      </c>
      <c r="L32" s="65">
        <f t="shared" si="8"/>
        <v>75895</v>
      </c>
      <c r="M32" s="66">
        <f t="shared" si="8"/>
        <v>101255.50900000001</v>
      </c>
      <c r="N32" s="67">
        <f t="shared" si="8"/>
        <v>80698.719770000011</v>
      </c>
      <c r="O32" s="66" t="e">
        <f t="shared" si="8"/>
        <v>#REF!</v>
      </c>
      <c r="P32" s="68" t="e">
        <f t="shared" si="8"/>
        <v>#REF!</v>
      </c>
      <c r="Q32" s="65" t="e">
        <f t="shared" si="8"/>
        <v>#REF!</v>
      </c>
      <c r="R32" s="65" t="e">
        <f t="shared" si="8"/>
        <v>#REF!</v>
      </c>
      <c r="S32" s="65" t="e">
        <f t="shared" si="8"/>
        <v>#REF!</v>
      </c>
      <c r="T32" s="65" t="e">
        <f t="shared" si="8"/>
        <v>#REF!</v>
      </c>
      <c r="U32" s="66" t="e">
        <f t="shared" si="8"/>
        <v>#REF!</v>
      </c>
      <c r="V32" s="66" t="e">
        <f t="shared" si="8"/>
        <v>#REF!</v>
      </c>
      <c r="W32" s="65" t="e">
        <f t="shared" si="8"/>
        <v>#REF!</v>
      </c>
      <c r="X32" s="66" t="e">
        <f t="shared" si="8"/>
        <v>#REF!</v>
      </c>
      <c r="Y32" s="66">
        <f t="shared" si="8"/>
        <v>109100</v>
      </c>
    </row>
    <row r="33" spans="1:35" ht="15.6" x14ac:dyDescent="0.3">
      <c r="A33" s="35"/>
      <c r="B33" s="70"/>
      <c r="C33" s="65"/>
      <c r="D33" s="122"/>
      <c r="E33" s="122"/>
      <c r="F33" s="122"/>
      <c r="G33" s="122"/>
      <c r="H33" s="122"/>
      <c r="I33" s="163"/>
      <c r="J33" s="198" t="s">
        <v>3</v>
      </c>
      <c r="K33" s="163" t="s">
        <v>3</v>
      </c>
      <c r="L33" s="98" t="s">
        <v>53</v>
      </c>
      <c r="M33" s="85" t="s">
        <v>3</v>
      </c>
      <c r="N33" s="86"/>
      <c r="O33" s="85" t="s">
        <v>3</v>
      </c>
      <c r="P33" s="199"/>
      <c r="Q33" s="164"/>
      <c r="R33" s="164"/>
      <c r="S33" s="164"/>
      <c r="T33" s="164"/>
      <c r="U33" s="164"/>
      <c r="V33" s="164"/>
      <c r="W33" s="200"/>
      <c r="X33" s="164"/>
      <c r="Y33" s="164"/>
    </row>
    <row r="34" spans="1:35" ht="15.6" x14ac:dyDescent="0.3">
      <c r="A34" s="610" t="s">
        <v>338</v>
      </c>
      <c r="B34" s="605" t="s">
        <v>64</v>
      </c>
      <c r="C34" s="173" t="e">
        <f t="shared" ref="C34:Y34" si="9">SUM(C36:C43)+C45</f>
        <v>#REF!</v>
      </c>
      <c r="D34" s="173" t="e">
        <f t="shared" si="9"/>
        <v>#REF!</v>
      </c>
      <c r="E34" s="173" t="e">
        <f t="shared" si="9"/>
        <v>#REF!</v>
      </c>
      <c r="F34" s="173" t="e">
        <f t="shared" si="9"/>
        <v>#REF!</v>
      </c>
      <c r="G34" s="173" t="e">
        <f t="shared" si="9"/>
        <v>#REF!</v>
      </c>
      <c r="H34" s="173" t="e">
        <f t="shared" si="9"/>
        <v>#REF!</v>
      </c>
      <c r="I34" s="173" t="e">
        <f t="shared" si="9"/>
        <v>#REF!</v>
      </c>
      <c r="J34" s="173">
        <f t="shared" si="9"/>
        <v>16263</v>
      </c>
      <c r="K34" s="94">
        <f t="shared" si="9"/>
        <v>16090</v>
      </c>
      <c r="L34" s="94">
        <f t="shared" si="9"/>
        <v>22765</v>
      </c>
      <c r="M34" s="95">
        <f t="shared" si="9"/>
        <v>31799.675999999999</v>
      </c>
      <c r="N34" s="96">
        <f t="shared" si="9"/>
        <v>27027.329320000001</v>
      </c>
      <c r="O34" s="95" t="e">
        <f t="shared" si="9"/>
        <v>#REF!</v>
      </c>
      <c r="P34" s="97" t="e">
        <f t="shared" si="9"/>
        <v>#REF!</v>
      </c>
      <c r="Q34" s="94" t="e">
        <f t="shared" si="9"/>
        <v>#REF!</v>
      </c>
      <c r="R34" s="94" t="e">
        <f t="shared" si="9"/>
        <v>#REF!</v>
      </c>
      <c r="S34" s="94" t="e">
        <f t="shared" si="9"/>
        <v>#REF!</v>
      </c>
      <c r="T34" s="94" t="e">
        <f t="shared" si="9"/>
        <v>#REF!</v>
      </c>
      <c r="U34" s="95" t="e">
        <f t="shared" si="9"/>
        <v>#REF!</v>
      </c>
      <c r="V34" s="95" t="e">
        <f t="shared" si="9"/>
        <v>#REF!</v>
      </c>
      <c r="W34" s="94" t="e">
        <f t="shared" si="9"/>
        <v>#REF!</v>
      </c>
      <c r="X34" s="95">
        <f t="shared" si="9"/>
        <v>44300</v>
      </c>
      <c r="Y34" s="95">
        <f t="shared" si="9"/>
        <v>38500</v>
      </c>
    </row>
    <row r="35" spans="1:35" ht="13.5" customHeight="1" x14ac:dyDescent="0.3">
      <c r="A35" s="53"/>
      <c r="B35" s="70"/>
      <c r="C35" s="115"/>
      <c r="D35" s="115"/>
      <c r="E35" s="115"/>
      <c r="F35" s="204"/>
      <c r="G35" s="89"/>
      <c r="H35" s="205"/>
      <c r="I35" s="206"/>
      <c r="J35" s="207"/>
      <c r="K35" s="163"/>
      <c r="L35" s="98"/>
      <c r="M35" s="166"/>
      <c r="N35" s="193"/>
      <c r="O35" s="166"/>
      <c r="P35" s="199"/>
      <c r="Q35" s="164"/>
      <c r="R35" s="164"/>
      <c r="S35" s="164"/>
      <c r="T35" s="164"/>
      <c r="U35" s="164"/>
      <c r="V35" s="164"/>
      <c r="W35" s="200"/>
      <c r="X35" s="164"/>
      <c r="Y35" s="164"/>
    </row>
    <row r="36" spans="1:35" s="2" customFormat="1" ht="15.6" x14ac:dyDescent="0.3">
      <c r="A36" s="35"/>
      <c r="B36" s="611" t="s">
        <v>65</v>
      </c>
      <c r="C36" s="208">
        <v>3973.2676700000002</v>
      </c>
      <c r="D36" s="208">
        <v>3074.3339999999998</v>
      </c>
      <c r="E36" s="208">
        <v>1552</v>
      </c>
      <c r="F36" s="208">
        <v>706</v>
      </c>
      <c r="G36" s="208">
        <v>461</v>
      </c>
      <c r="H36" s="208">
        <v>632</v>
      </c>
      <c r="I36" s="208">
        <v>222</v>
      </c>
      <c r="J36" s="208">
        <v>674</v>
      </c>
      <c r="K36" s="65">
        <v>185</v>
      </c>
      <c r="L36" s="65">
        <v>1063</v>
      </c>
      <c r="M36" s="66">
        <f>1117697/1000</f>
        <v>1117.6969999999999</v>
      </c>
      <c r="N36" s="67">
        <f>723498.77/1000</f>
        <v>723.49877000000004</v>
      </c>
      <c r="O36" s="66">
        <v>2200</v>
      </c>
      <c r="P36" s="68">
        <f>2600-400</f>
        <v>2200</v>
      </c>
      <c r="Q36" s="66">
        <f>3200-500</f>
        <v>2700</v>
      </c>
      <c r="R36" s="66">
        <f>3000+300</f>
        <v>3300</v>
      </c>
      <c r="S36" s="66">
        <f>3500-1000</f>
        <v>2500</v>
      </c>
      <c r="T36" s="66">
        <v>1500</v>
      </c>
      <c r="U36" s="66">
        <v>3200</v>
      </c>
      <c r="V36" s="66">
        <v>6200</v>
      </c>
      <c r="W36" s="65">
        <v>4200</v>
      </c>
      <c r="X36" s="66">
        <v>4200</v>
      </c>
      <c r="Y36" s="66">
        <v>4200</v>
      </c>
      <c r="AH36"/>
    </row>
    <row r="37" spans="1:35" s="2" customFormat="1" ht="15.6" x14ac:dyDescent="0.3">
      <c r="A37" s="35"/>
      <c r="B37" s="611" t="s">
        <v>67</v>
      </c>
      <c r="C37" s="208">
        <v>3190.9440100000002</v>
      </c>
      <c r="D37" s="208">
        <v>2460.8409999999999</v>
      </c>
      <c r="E37" s="208">
        <v>3893</v>
      </c>
      <c r="F37" s="208">
        <v>3719</v>
      </c>
      <c r="G37" s="208">
        <v>1490</v>
      </c>
      <c r="H37" s="208">
        <v>1225</v>
      </c>
      <c r="I37" s="208">
        <v>781</v>
      </c>
      <c r="J37" s="208">
        <v>1159</v>
      </c>
      <c r="K37" s="65">
        <v>421</v>
      </c>
      <c r="L37" s="65">
        <v>1642</v>
      </c>
      <c r="M37" s="66">
        <f>5584953/1000</f>
        <v>5584.9530000000004</v>
      </c>
      <c r="N37" s="67">
        <f>4018036.6/1000</f>
        <v>4018.0365999999999</v>
      </c>
      <c r="O37" s="66">
        <v>3600</v>
      </c>
      <c r="P37" s="68">
        <f>2900-900</f>
        <v>2000</v>
      </c>
      <c r="Q37" s="66">
        <f>3000+500</f>
        <v>3500</v>
      </c>
      <c r="R37" s="66">
        <f>3200-1500</f>
        <v>1700</v>
      </c>
      <c r="S37" s="66">
        <f>3300-1100</f>
        <v>2200</v>
      </c>
      <c r="T37" s="66">
        <f>3400+1300-1000-500</f>
        <v>3200</v>
      </c>
      <c r="U37" s="66">
        <f>2300+300</f>
        <v>2600</v>
      </c>
      <c r="V37" s="66">
        <f>2100+1000+500</f>
        <v>3600</v>
      </c>
      <c r="W37" s="65">
        <v>2100</v>
      </c>
      <c r="X37" s="66">
        <v>2300</v>
      </c>
      <c r="Y37" s="66">
        <v>2300</v>
      </c>
      <c r="AH37"/>
    </row>
    <row r="38" spans="1:35" s="2" customFormat="1" ht="15.6" x14ac:dyDescent="0.3">
      <c r="A38" s="35"/>
      <c r="B38" s="611" t="s">
        <v>68</v>
      </c>
      <c r="C38" s="208">
        <v>1935</v>
      </c>
      <c r="D38" s="208">
        <v>2533.0189999999998</v>
      </c>
      <c r="E38" s="208">
        <v>1382</v>
      </c>
      <c r="F38" s="208">
        <v>974</v>
      </c>
      <c r="G38" s="208">
        <v>1029</v>
      </c>
      <c r="H38" s="208">
        <v>395</v>
      </c>
      <c r="I38" s="208">
        <v>475</v>
      </c>
      <c r="J38" s="208">
        <v>1034</v>
      </c>
      <c r="K38" s="65">
        <v>225</v>
      </c>
      <c r="L38" s="65">
        <v>1833</v>
      </c>
      <c r="M38" s="66">
        <f>7312851/1000</f>
        <v>7312.8509999999997</v>
      </c>
      <c r="N38" s="67">
        <f>13074170.16/1000</f>
        <v>13074.17016</v>
      </c>
      <c r="O38" s="66">
        <v>1600</v>
      </c>
      <c r="P38" s="68">
        <f>2400-300</f>
        <v>2100</v>
      </c>
      <c r="Q38" s="66">
        <f>1800-800</f>
        <v>1000</v>
      </c>
      <c r="R38" s="66">
        <f>1500-1000</f>
        <v>500</v>
      </c>
      <c r="S38" s="66">
        <v>1000</v>
      </c>
      <c r="T38" s="66">
        <v>2800</v>
      </c>
      <c r="U38" s="66">
        <v>3000</v>
      </c>
      <c r="V38" s="66">
        <v>3000</v>
      </c>
      <c r="W38" s="65">
        <v>3000</v>
      </c>
      <c r="X38" s="66">
        <v>3000</v>
      </c>
      <c r="Y38" s="66">
        <v>3000</v>
      </c>
      <c r="AG38" s="197"/>
      <c r="AI38"/>
    </row>
    <row r="39" spans="1:35" s="2" customFormat="1" ht="15.6" x14ac:dyDescent="0.3">
      <c r="A39" s="35"/>
      <c r="B39" s="611" t="s">
        <v>69</v>
      </c>
      <c r="C39" s="208">
        <v>808.60706000000005</v>
      </c>
      <c r="D39" s="208">
        <v>1597.5450000000001</v>
      </c>
      <c r="E39" s="208">
        <v>1942</v>
      </c>
      <c r="F39" s="208">
        <v>2220</v>
      </c>
      <c r="G39" s="208">
        <v>983</v>
      </c>
      <c r="H39" s="208">
        <v>1595</v>
      </c>
      <c r="I39" s="208">
        <v>2294</v>
      </c>
      <c r="J39" s="208">
        <v>201</v>
      </c>
      <c r="K39" s="65">
        <v>535</v>
      </c>
      <c r="L39" s="65">
        <v>687</v>
      </c>
      <c r="M39" s="66">
        <f>1401029/1000</f>
        <v>1401.029</v>
      </c>
      <c r="N39" s="67">
        <f>378270.25/1000</f>
        <v>378.27024999999998</v>
      </c>
      <c r="O39" s="66">
        <v>2300</v>
      </c>
      <c r="P39" s="68">
        <v>2400</v>
      </c>
      <c r="Q39" s="66">
        <v>2200</v>
      </c>
      <c r="R39" s="66">
        <v>2000</v>
      </c>
      <c r="S39" s="105">
        <f>1700+2000</f>
        <v>3700</v>
      </c>
      <c r="T39" s="105">
        <f>2000+3000</f>
        <v>5000</v>
      </c>
      <c r="U39" s="105">
        <f>2000+5000</f>
        <v>7000</v>
      </c>
      <c r="V39" s="105">
        <f>2300+5000</f>
        <v>7300</v>
      </c>
      <c r="W39" s="118">
        <f>2400+5000</f>
        <v>7400</v>
      </c>
      <c r="X39" s="105">
        <f>3700+5000</f>
        <v>8700</v>
      </c>
      <c r="Y39" s="66">
        <f>3700</f>
        <v>3700</v>
      </c>
    </row>
    <row r="40" spans="1:35" s="2" customFormat="1" ht="15.6" x14ac:dyDescent="0.3">
      <c r="A40" s="35"/>
      <c r="B40" s="611" t="s">
        <v>70</v>
      </c>
      <c r="C40" s="208">
        <v>7882.45334</v>
      </c>
      <c r="D40" s="208">
        <v>8745.4240000000009</v>
      </c>
      <c r="E40" s="208">
        <v>5032</v>
      </c>
      <c r="F40" s="208">
        <v>6068</v>
      </c>
      <c r="G40" s="208">
        <v>6073</v>
      </c>
      <c r="H40" s="208">
        <v>3761</v>
      </c>
      <c r="I40" s="208">
        <v>3039</v>
      </c>
      <c r="J40" s="208">
        <v>5233</v>
      </c>
      <c r="K40" s="65">
        <v>5528</v>
      </c>
      <c r="L40" s="65">
        <v>7784</v>
      </c>
      <c r="M40" s="66">
        <f>7229700/1000</f>
        <v>7229.7</v>
      </c>
      <c r="N40" s="67">
        <f>3101243.98/1000</f>
        <v>3101.2439800000002</v>
      </c>
      <c r="O40" s="66">
        <v>2900</v>
      </c>
      <c r="P40" s="68">
        <v>3600</v>
      </c>
      <c r="Q40" s="66">
        <v>5200</v>
      </c>
      <c r="R40" s="66">
        <v>6000</v>
      </c>
      <c r="S40" s="66">
        <v>4600</v>
      </c>
      <c r="T40" s="66">
        <v>4000</v>
      </c>
      <c r="U40" s="66">
        <v>4000</v>
      </c>
      <c r="V40" s="66">
        <v>7200</v>
      </c>
      <c r="W40" s="65">
        <v>7200</v>
      </c>
      <c r="X40" s="66">
        <v>8700</v>
      </c>
      <c r="Y40" s="66">
        <v>8000</v>
      </c>
    </row>
    <row r="41" spans="1:35" s="2" customFormat="1" ht="15.6" x14ac:dyDescent="0.3">
      <c r="A41" s="35"/>
      <c r="B41" s="611" t="s">
        <v>71</v>
      </c>
      <c r="C41" s="208">
        <v>459.31914</v>
      </c>
      <c r="D41" s="208">
        <v>1179.8320000000001</v>
      </c>
      <c r="E41" s="208">
        <v>1146</v>
      </c>
      <c r="F41" s="208">
        <v>1573</v>
      </c>
      <c r="G41" s="208">
        <v>330</v>
      </c>
      <c r="H41" s="208">
        <v>1116</v>
      </c>
      <c r="I41" s="208">
        <v>1073</v>
      </c>
      <c r="J41" s="208">
        <v>1551</v>
      </c>
      <c r="K41" s="65">
        <v>1019</v>
      </c>
      <c r="L41" s="65">
        <v>2253</v>
      </c>
      <c r="M41" s="66">
        <v>3778</v>
      </c>
      <c r="N41" s="67">
        <f>1905728.26/1000</f>
        <v>1905.7282600000001</v>
      </c>
      <c r="O41" s="66">
        <v>3000</v>
      </c>
      <c r="P41" s="68">
        <v>1000</v>
      </c>
      <c r="Q41" s="66">
        <v>600</v>
      </c>
      <c r="R41" s="66">
        <v>2000</v>
      </c>
      <c r="S41" s="66">
        <v>2000</v>
      </c>
      <c r="T41" s="66">
        <v>2000</v>
      </c>
      <c r="U41" s="66">
        <v>2000</v>
      </c>
      <c r="V41" s="66">
        <v>2000</v>
      </c>
      <c r="W41" s="65">
        <v>2000</v>
      </c>
      <c r="X41" s="66">
        <v>2000</v>
      </c>
      <c r="Y41" s="66">
        <v>2000</v>
      </c>
    </row>
    <row r="42" spans="1:35" s="2" customFormat="1" ht="15.6" x14ac:dyDescent="0.3">
      <c r="A42" s="35"/>
      <c r="B42" s="611" t="s">
        <v>72</v>
      </c>
      <c r="C42" s="208">
        <v>7022</v>
      </c>
      <c r="D42" s="208">
        <v>8033.7719999999999</v>
      </c>
      <c r="E42" s="208">
        <v>6227</v>
      </c>
      <c r="F42" s="208">
        <v>5648</v>
      </c>
      <c r="G42" s="208">
        <v>5145</v>
      </c>
      <c r="H42" s="208">
        <v>5556</v>
      </c>
      <c r="I42" s="208">
        <v>5732</v>
      </c>
      <c r="J42" s="208">
        <v>4697</v>
      </c>
      <c r="K42" s="65">
        <v>4478</v>
      </c>
      <c r="L42" s="65">
        <v>6869</v>
      </c>
      <c r="M42" s="66">
        <f>4866716/1000</f>
        <v>4866.7160000000003</v>
      </c>
      <c r="N42" s="67">
        <f>3492696.12/1000</f>
        <v>3492.6961200000001</v>
      </c>
      <c r="O42" s="66">
        <v>4200</v>
      </c>
      <c r="P42" s="210">
        <f>5700-2300-500</f>
        <v>2900</v>
      </c>
      <c r="Q42" s="105">
        <f>4000+500</f>
        <v>4500</v>
      </c>
      <c r="R42" s="66">
        <f>5200+2600</f>
        <v>7800</v>
      </c>
      <c r="S42" s="105">
        <f>7000-2100</f>
        <v>4900</v>
      </c>
      <c r="T42" s="105">
        <f>3600+2100</f>
        <v>5700</v>
      </c>
      <c r="U42" s="66">
        <f>3500+8000</f>
        <v>11500</v>
      </c>
      <c r="V42" s="66">
        <f>6800+8000</f>
        <v>14800</v>
      </c>
      <c r="W42" s="65">
        <f>6800+8000</f>
        <v>14800</v>
      </c>
      <c r="X42" s="66">
        <f>6800+8000</f>
        <v>14800</v>
      </c>
      <c r="Y42" s="66">
        <v>14800</v>
      </c>
    </row>
    <row r="43" spans="1:35" s="2" customFormat="1" ht="15.6" x14ac:dyDescent="0.3">
      <c r="A43" s="35"/>
      <c r="B43" s="611" t="s">
        <v>73</v>
      </c>
      <c r="C43" s="208">
        <v>171</v>
      </c>
      <c r="D43" s="208">
        <v>79.596000000000004</v>
      </c>
      <c r="E43" s="208">
        <v>27</v>
      </c>
      <c r="F43" s="208">
        <v>13</v>
      </c>
      <c r="G43" s="208">
        <v>29</v>
      </c>
      <c r="H43" s="208">
        <v>47</v>
      </c>
      <c r="I43" s="208">
        <v>141</v>
      </c>
      <c r="J43" s="208">
        <v>334</v>
      </c>
      <c r="K43" s="65">
        <v>9</v>
      </c>
      <c r="L43" s="65">
        <v>35</v>
      </c>
      <c r="M43" s="66">
        <f>3988/1000</f>
        <v>3.988</v>
      </c>
      <c r="N43" s="67">
        <f>48628.32/1000</f>
        <v>48.628320000000002</v>
      </c>
      <c r="O43" s="66">
        <v>300</v>
      </c>
      <c r="P43" s="68">
        <v>100</v>
      </c>
      <c r="Q43" s="66">
        <v>100</v>
      </c>
      <c r="R43" s="66">
        <v>100</v>
      </c>
      <c r="S43" s="66">
        <v>300</v>
      </c>
      <c r="T43" s="66">
        <v>300</v>
      </c>
      <c r="U43" s="66">
        <v>500</v>
      </c>
      <c r="V43" s="66">
        <v>500</v>
      </c>
      <c r="W43" s="65">
        <v>500</v>
      </c>
      <c r="X43" s="66">
        <v>600</v>
      </c>
      <c r="Y43" s="66">
        <v>500</v>
      </c>
    </row>
    <row r="44" spans="1:35" s="2" customFormat="1" ht="15.6" x14ac:dyDescent="0.3">
      <c r="A44" s="35"/>
      <c r="B44" s="52"/>
      <c r="C44" s="208"/>
      <c r="D44" s="208"/>
      <c r="E44" s="208"/>
      <c r="F44" s="208"/>
      <c r="G44" s="208"/>
      <c r="H44" s="208"/>
      <c r="I44" s="208"/>
      <c r="J44" s="208"/>
      <c r="K44" s="65"/>
      <c r="L44" s="65"/>
      <c r="M44" s="66"/>
      <c r="N44" s="67"/>
      <c r="O44" s="66"/>
      <c r="P44" s="68"/>
      <c r="Q44" s="66"/>
      <c r="R44" s="66"/>
      <c r="S44" s="66"/>
      <c r="T44" s="66"/>
      <c r="U44" s="66"/>
      <c r="V44" s="66"/>
      <c r="W44" s="65"/>
      <c r="X44" s="66"/>
      <c r="Y44" s="66"/>
    </row>
    <row r="45" spans="1:35" ht="15.6" x14ac:dyDescent="0.3">
      <c r="A45" s="53"/>
      <c r="B45" s="612" t="s">
        <v>75</v>
      </c>
      <c r="C45" s="208" t="e">
        <f>SUM(#REF!)</f>
        <v>#REF!</v>
      </c>
      <c r="D45" s="208" t="e">
        <f>SUM(#REF!)</f>
        <v>#REF!</v>
      </c>
      <c r="E45" s="208" t="e">
        <f>SUM(#REF!)</f>
        <v>#REF!</v>
      </c>
      <c r="F45" s="208" t="e">
        <f>SUM(#REF!)</f>
        <v>#REF!</v>
      </c>
      <c r="G45" s="208" t="e">
        <f>SUM(#REF!)</f>
        <v>#REF!</v>
      </c>
      <c r="H45" s="208" t="e">
        <f>SUM(#REF!)</f>
        <v>#REF!</v>
      </c>
      <c r="I45" s="208" t="e">
        <f>SUM(#REF!)</f>
        <v>#REF!</v>
      </c>
      <c r="J45" s="208">
        <v>1380</v>
      </c>
      <c r="K45" s="65">
        <v>3690</v>
      </c>
      <c r="L45" s="65">
        <v>599</v>
      </c>
      <c r="M45" s="66">
        <f>504742/1000</f>
        <v>504.74200000000002</v>
      </c>
      <c r="N45" s="67">
        <f>285056.86/1000</f>
        <v>285.05685999999997</v>
      </c>
      <c r="O45" s="66" t="e">
        <f>SUM(#REF!)</f>
        <v>#REF!</v>
      </c>
      <c r="P45" s="68" t="e">
        <f>SUM(#REF!)</f>
        <v>#REF!</v>
      </c>
      <c r="Q45" s="66" t="e">
        <f>SUM(#REF!)</f>
        <v>#REF!</v>
      </c>
      <c r="R45" s="66" t="e">
        <f>SUM(#REF!)</f>
        <v>#REF!</v>
      </c>
      <c r="S45" s="66" t="e">
        <f>SUM(#REF!)</f>
        <v>#REF!</v>
      </c>
      <c r="T45" s="66" t="e">
        <f>SUM(#REF!)</f>
        <v>#REF!</v>
      </c>
      <c r="U45" s="66" t="e">
        <f>SUM(#REF!)</f>
        <v>#REF!</v>
      </c>
      <c r="V45" s="66" t="e">
        <f>SUM(#REF!)</f>
        <v>#REF!</v>
      </c>
      <c r="W45" s="65" t="e">
        <f>SUM(#REF!)</f>
        <v>#REF!</v>
      </c>
      <c r="X45" s="66">
        <f>SUM(X46:X46)</f>
        <v>0</v>
      </c>
      <c r="Y45" s="66">
        <f>SUM(Y46:Y46)</f>
        <v>0</v>
      </c>
    </row>
    <row r="46" spans="1:35" ht="15.6" x14ac:dyDescent="0.3">
      <c r="A46" s="53"/>
      <c r="B46" s="70"/>
      <c r="C46" s="208"/>
      <c r="D46" s="208"/>
      <c r="E46" s="208"/>
      <c r="F46" s="208"/>
      <c r="G46" s="208"/>
      <c r="H46" s="208"/>
      <c r="I46" s="225" t="s">
        <v>3</v>
      </c>
      <c r="J46" s="208"/>
      <c r="K46" s="65"/>
      <c r="L46" s="65"/>
      <c r="M46" s="105"/>
      <c r="N46" s="106"/>
      <c r="O46" s="66"/>
      <c r="P46" s="68"/>
      <c r="Q46" s="66"/>
      <c r="R46" s="66"/>
      <c r="S46" s="67"/>
      <c r="T46" s="67"/>
      <c r="U46" s="67"/>
      <c r="V46" s="67"/>
      <c r="W46" s="226"/>
      <c r="X46" s="66"/>
      <c r="Y46" s="66"/>
    </row>
    <row r="47" spans="1:35" s="2" customFormat="1" ht="15.6" x14ac:dyDescent="0.3">
      <c r="A47" s="604" t="s">
        <v>339</v>
      </c>
      <c r="B47" s="605" t="s">
        <v>87</v>
      </c>
      <c r="C47" s="208" t="e">
        <f>C49+C62+C64+C68+C79+#REF!</f>
        <v>#REF!</v>
      </c>
      <c r="D47" s="208" t="e">
        <f>D49+D62+D64+D68+D79+#REF!</f>
        <v>#REF!</v>
      </c>
      <c r="E47" s="208" t="e">
        <f>E49+E62+E64+E68+E79</f>
        <v>#REF!</v>
      </c>
      <c r="F47" s="208" t="e">
        <f>F49+F62+F64+F68+F79</f>
        <v>#REF!</v>
      </c>
      <c r="G47" s="208" t="e">
        <f t="shared" ref="G47:Y47" si="10">G49+G62+G64+G67+G68+G79</f>
        <v>#REF!</v>
      </c>
      <c r="H47" s="208" t="e">
        <f t="shared" si="10"/>
        <v>#REF!</v>
      </c>
      <c r="I47" s="208" t="e">
        <f t="shared" si="10"/>
        <v>#REF!</v>
      </c>
      <c r="J47" s="208" t="e">
        <f t="shared" si="10"/>
        <v>#REF!</v>
      </c>
      <c r="K47" s="65" t="e">
        <f t="shared" si="10"/>
        <v>#REF!</v>
      </c>
      <c r="L47" s="65">
        <f t="shared" si="10"/>
        <v>49956</v>
      </c>
      <c r="M47" s="66">
        <f t="shared" si="10"/>
        <v>66202.769</v>
      </c>
      <c r="N47" s="67">
        <f t="shared" si="10"/>
        <v>51230.463940000001</v>
      </c>
      <c r="O47" s="66" t="e">
        <f t="shared" si="10"/>
        <v>#REF!</v>
      </c>
      <c r="P47" s="68" t="e">
        <f t="shared" si="10"/>
        <v>#REF!</v>
      </c>
      <c r="Q47" s="65" t="e">
        <f t="shared" si="10"/>
        <v>#REF!</v>
      </c>
      <c r="R47" s="65" t="e">
        <f t="shared" si="10"/>
        <v>#REF!</v>
      </c>
      <c r="S47" s="65" t="e">
        <f t="shared" si="10"/>
        <v>#REF!</v>
      </c>
      <c r="T47" s="65" t="e">
        <f t="shared" si="10"/>
        <v>#REF!</v>
      </c>
      <c r="U47" s="65" t="e">
        <f t="shared" si="10"/>
        <v>#REF!</v>
      </c>
      <c r="V47" s="66" t="e">
        <f t="shared" si="10"/>
        <v>#REF!</v>
      </c>
      <c r="W47" s="65" t="e">
        <f t="shared" si="10"/>
        <v>#REF!</v>
      </c>
      <c r="X47" s="66" t="e">
        <f t="shared" si="10"/>
        <v>#REF!</v>
      </c>
      <c r="Y47" s="66">
        <f t="shared" si="10"/>
        <v>50500</v>
      </c>
    </row>
    <row r="48" spans="1:35" ht="15.6" x14ac:dyDescent="0.3">
      <c r="A48" s="53"/>
      <c r="B48" s="73"/>
      <c r="C48" s="115"/>
      <c r="D48" s="115"/>
      <c r="E48" s="115"/>
      <c r="F48" s="243"/>
      <c r="G48" s="89"/>
      <c r="H48" s="205"/>
      <c r="I48" s="225"/>
      <c r="J48" s="244"/>
      <c r="K48" s="163"/>
      <c r="L48" s="98"/>
      <c r="M48" s="166"/>
      <c r="N48" s="193"/>
      <c r="O48" s="166"/>
      <c r="P48" s="199"/>
      <c r="Q48" s="164"/>
      <c r="R48" s="164"/>
      <c r="S48" s="164"/>
      <c r="T48" s="164"/>
      <c r="U48" s="164"/>
      <c r="V48" s="164"/>
      <c r="W48" s="200"/>
      <c r="X48" s="164"/>
      <c r="Y48" s="166"/>
    </row>
    <row r="49" spans="1:25" s="22" customFormat="1" ht="15.6" x14ac:dyDescent="0.3">
      <c r="A49" s="35"/>
      <c r="B49" s="606" t="s">
        <v>88</v>
      </c>
      <c r="C49" s="208">
        <f t="shared" ref="C49:I49" si="11">SUM(C51:C58)</f>
        <v>8493.7849999999999</v>
      </c>
      <c r="D49" s="208">
        <f t="shared" si="11"/>
        <v>4586.8829999999998</v>
      </c>
      <c r="E49" s="208">
        <f t="shared" si="11"/>
        <v>1699</v>
      </c>
      <c r="F49" s="208">
        <f t="shared" si="11"/>
        <v>2587</v>
      </c>
      <c r="G49" s="208">
        <f t="shared" si="11"/>
        <v>4011</v>
      </c>
      <c r="H49" s="208">
        <f t="shared" si="11"/>
        <v>1794</v>
      </c>
      <c r="I49" s="208">
        <f t="shared" si="11"/>
        <v>2580</v>
      </c>
      <c r="J49" s="208">
        <v>7720</v>
      </c>
      <c r="K49" s="65" t="e">
        <f>#REF!+#REF!</f>
        <v>#REF!</v>
      </c>
      <c r="L49" s="65">
        <v>10542</v>
      </c>
      <c r="M49" s="66">
        <f>9639109/1000</f>
        <v>9639.1090000000004</v>
      </c>
      <c r="N49" s="67">
        <f>9293555.98/1000</f>
        <v>9293.555980000001</v>
      </c>
      <c r="O49" s="66" t="e">
        <f>SUM(#REF!+#REF!)</f>
        <v>#REF!</v>
      </c>
      <c r="P49" s="210" t="e">
        <f>SUM(#REF!+#REF!)</f>
        <v>#REF!</v>
      </c>
      <c r="Q49" s="66" t="e">
        <f>SUM(#REF!+#REF!)</f>
        <v>#REF!</v>
      </c>
      <c r="R49" s="66" t="e">
        <f>SUM(#REF!+#REF!)</f>
        <v>#REF!</v>
      </c>
      <c r="S49" s="66" t="e">
        <f>SUM(#REF!+#REF!)</f>
        <v>#REF!</v>
      </c>
      <c r="T49" s="66" t="e">
        <f>SUM(#REF!+#REF!)</f>
        <v>#REF!</v>
      </c>
      <c r="U49" s="105" t="e">
        <f>SUM(#REF!+#REF!)</f>
        <v>#REF!</v>
      </c>
      <c r="V49" s="105" t="e">
        <f>SUM(#REF!+#REF!)</f>
        <v>#REF!</v>
      </c>
      <c r="W49" s="118" t="e">
        <f>SUM(#REF!+#REF!)</f>
        <v>#REF!</v>
      </c>
      <c r="X49" s="66" t="e">
        <f>SUM(#REF!+#REF!)</f>
        <v>#REF!</v>
      </c>
      <c r="Y49" s="66">
        <v>15000</v>
      </c>
    </row>
    <row r="50" spans="1:25" ht="15.6" x14ac:dyDescent="0.3">
      <c r="A50" s="35"/>
      <c r="B50" s="2"/>
      <c r="C50" s="208"/>
      <c r="D50" s="208"/>
      <c r="E50" s="208"/>
      <c r="F50" s="245"/>
      <c r="G50" s="208"/>
      <c r="H50" s="208"/>
      <c r="I50" s="208"/>
      <c r="J50" s="208"/>
      <c r="K50" s="65"/>
      <c r="L50" s="65"/>
      <c r="M50" s="66"/>
      <c r="N50" s="67"/>
      <c r="O50" s="66"/>
      <c r="P50" s="210"/>
      <c r="Q50" s="66"/>
      <c r="R50" s="66"/>
      <c r="S50" s="67"/>
      <c r="T50" s="67"/>
      <c r="U50" s="106"/>
      <c r="V50" s="106"/>
      <c r="W50" s="613"/>
      <c r="X50" s="66"/>
      <c r="Y50" s="66"/>
    </row>
    <row r="51" spans="1:25" ht="15" customHeight="1" x14ac:dyDescent="0.3">
      <c r="A51" s="35"/>
      <c r="B51" s="611" t="s">
        <v>65</v>
      </c>
      <c r="C51" s="227">
        <v>5148.1729999999998</v>
      </c>
      <c r="D51" s="227">
        <v>3946.1990000000001</v>
      </c>
      <c r="E51" s="227">
        <v>807</v>
      </c>
      <c r="F51" s="227">
        <v>1504</v>
      </c>
      <c r="G51" s="227">
        <v>2658</v>
      </c>
      <c r="H51" s="227">
        <v>1066</v>
      </c>
      <c r="I51" s="227">
        <v>564</v>
      </c>
      <c r="J51" s="227">
        <v>1000</v>
      </c>
      <c r="K51" s="122" t="s">
        <v>3</v>
      </c>
      <c r="L51" s="472"/>
      <c r="M51" s="285"/>
      <c r="N51" s="473"/>
      <c r="O51" s="285">
        <v>1800</v>
      </c>
      <c r="P51" s="474">
        <v>1000</v>
      </c>
      <c r="Q51" s="285">
        <v>1300</v>
      </c>
      <c r="R51" s="285">
        <v>1700</v>
      </c>
      <c r="S51" s="286">
        <v>2000</v>
      </c>
      <c r="T51" s="286">
        <v>1000</v>
      </c>
      <c r="U51" s="286">
        <v>1200</v>
      </c>
      <c r="V51" s="286">
        <v>2000</v>
      </c>
      <c r="W51" s="288">
        <v>2000</v>
      </c>
      <c r="X51" s="285">
        <v>2500</v>
      </c>
      <c r="Y51" s="285"/>
    </row>
    <row r="52" spans="1:25" ht="15" customHeight="1" x14ac:dyDescent="0.3">
      <c r="A52" s="35"/>
      <c r="B52" s="611" t="s">
        <v>67</v>
      </c>
      <c r="C52" s="227">
        <v>619.52700000000004</v>
      </c>
      <c r="D52" s="227">
        <v>315.10599999999999</v>
      </c>
      <c r="E52" s="227">
        <v>180</v>
      </c>
      <c r="F52" s="227">
        <v>221</v>
      </c>
      <c r="G52" s="227">
        <v>495</v>
      </c>
      <c r="H52" s="227">
        <v>179</v>
      </c>
      <c r="I52" s="227">
        <v>814</v>
      </c>
      <c r="J52" s="227">
        <v>1210</v>
      </c>
      <c r="K52" s="122" t="s">
        <v>3</v>
      </c>
      <c r="L52" s="472"/>
      <c r="M52" s="285"/>
      <c r="N52" s="473"/>
      <c r="O52" s="285">
        <v>200</v>
      </c>
      <c r="P52" s="474">
        <v>100</v>
      </c>
      <c r="Q52" s="285">
        <v>700</v>
      </c>
      <c r="R52" s="285">
        <v>500</v>
      </c>
      <c r="S52" s="285">
        <v>600</v>
      </c>
      <c r="T52" s="285">
        <v>800</v>
      </c>
      <c r="U52" s="285">
        <v>1200</v>
      </c>
      <c r="V52" s="285">
        <v>1300</v>
      </c>
      <c r="W52" s="284">
        <v>1400</v>
      </c>
      <c r="X52" s="285">
        <v>1500</v>
      </c>
      <c r="Y52" s="285"/>
    </row>
    <row r="53" spans="1:25" ht="15" customHeight="1" x14ac:dyDescent="0.3">
      <c r="A53" s="35"/>
      <c r="B53" s="611" t="s">
        <v>68</v>
      </c>
      <c r="C53" s="227">
        <v>76.48</v>
      </c>
      <c r="D53" s="227">
        <v>97.004000000000005</v>
      </c>
      <c r="E53" s="227">
        <v>130</v>
      </c>
      <c r="F53" s="227">
        <v>210</v>
      </c>
      <c r="G53" s="227">
        <v>28</v>
      </c>
      <c r="H53" s="227">
        <v>51</v>
      </c>
      <c r="I53" s="227">
        <v>118</v>
      </c>
      <c r="J53" s="227">
        <v>780</v>
      </c>
      <c r="K53" s="122" t="s">
        <v>3</v>
      </c>
      <c r="L53" s="472"/>
      <c r="M53" s="285"/>
      <c r="N53" s="473"/>
      <c r="O53" s="285">
        <v>200</v>
      </c>
      <c r="P53" s="474">
        <v>400</v>
      </c>
      <c r="Q53" s="285">
        <v>900</v>
      </c>
      <c r="R53" s="285">
        <v>400</v>
      </c>
      <c r="S53" s="286">
        <v>400</v>
      </c>
      <c r="T53" s="286">
        <f>400</f>
        <v>400</v>
      </c>
      <c r="U53" s="473">
        <f>400+3000</f>
        <v>3400</v>
      </c>
      <c r="V53" s="473">
        <f>800+13000</f>
        <v>13800</v>
      </c>
      <c r="W53" s="475">
        <f>800+14000</f>
        <v>14800</v>
      </c>
      <c r="X53" s="285">
        <v>800</v>
      </c>
      <c r="Y53" s="285"/>
    </row>
    <row r="54" spans="1:25" ht="15" customHeight="1" x14ac:dyDescent="0.3">
      <c r="A54" s="35"/>
      <c r="B54" s="611" t="s">
        <v>69</v>
      </c>
      <c r="C54" s="227">
        <v>173.60400000000001</v>
      </c>
      <c r="D54" s="227">
        <v>81.593999999999994</v>
      </c>
      <c r="E54" s="227">
        <v>145</v>
      </c>
      <c r="F54" s="227">
        <v>96</v>
      </c>
      <c r="G54" s="227">
        <v>42</v>
      </c>
      <c r="H54" s="227">
        <v>111</v>
      </c>
      <c r="I54" s="227">
        <v>453</v>
      </c>
      <c r="J54" s="227">
        <v>200</v>
      </c>
      <c r="K54" s="122" t="s">
        <v>3</v>
      </c>
      <c r="L54" s="472"/>
      <c r="M54" s="285"/>
      <c r="N54" s="473"/>
      <c r="O54" s="285">
        <v>100</v>
      </c>
      <c r="P54" s="474">
        <v>400</v>
      </c>
      <c r="Q54" s="285">
        <v>600</v>
      </c>
      <c r="R54" s="285">
        <v>800</v>
      </c>
      <c r="S54" s="286">
        <v>600</v>
      </c>
      <c r="T54" s="286">
        <v>800</v>
      </c>
      <c r="U54" s="286">
        <v>800</v>
      </c>
      <c r="V54" s="286">
        <v>800</v>
      </c>
      <c r="W54" s="288">
        <v>800</v>
      </c>
      <c r="X54" s="285">
        <v>1100</v>
      </c>
      <c r="Y54" s="285"/>
    </row>
    <row r="55" spans="1:25" ht="15" customHeight="1" x14ac:dyDescent="0.3">
      <c r="A55" s="35"/>
      <c r="B55" s="611" t="s">
        <v>70</v>
      </c>
      <c r="C55" s="227">
        <f>240.569+2005.683</f>
        <v>2246.252</v>
      </c>
      <c r="D55" s="227">
        <v>93.552999999999997</v>
      </c>
      <c r="E55" s="227">
        <v>284</v>
      </c>
      <c r="F55" s="227">
        <v>207</v>
      </c>
      <c r="G55" s="227">
        <v>189</v>
      </c>
      <c r="H55" s="227">
        <v>57</v>
      </c>
      <c r="I55" s="227">
        <v>100</v>
      </c>
      <c r="J55" s="227">
        <v>420</v>
      </c>
      <c r="K55" s="122" t="s">
        <v>3</v>
      </c>
      <c r="L55" s="472"/>
      <c r="M55" s="285"/>
      <c r="N55" s="473"/>
      <c r="O55" s="285">
        <v>300</v>
      </c>
      <c r="P55" s="474">
        <v>500</v>
      </c>
      <c r="Q55" s="285">
        <v>300</v>
      </c>
      <c r="R55" s="285">
        <v>200</v>
      </c>
      <c r="S55" s="286">
        <v>900</v>
      </c>
      <c r="T55" s="286">
        <v>950</v>
      </c>
      <c r="U55" s="286">
        <v>800</v>
      </c>
      <c r="V55" s="286">
        <v>600</v>
      </c>
      <c r="W55" s="288">
        <v>600</v>
      </c>
      <c r="X55" s="285">
        <v>600</v>
      </c>
      <c r="Y55" s="285"/>
    </row>
    <row r="56" spans="1:25" ht="15" customHeight="1" x14ac:dyDescent="0.3">
      <c r="A56" s="35"/>
      <c r="B56" s="611" t="s">
        <v>71</v>
      </c>
      <c r="C56" s="227">
        <v>179.27699999999999</v>
      </c>
      <c r="D56" s="227">
        <v>16.093</v>
      </c>
      <c r="E56" s="227">
        <v>0</v>
      </c>
      <c r="F56" s="227">
        <v>38</v>
      </c>
      <c r="G56" s="227">
        <v>502</v>
      </c>
      <c r="H56" s="227">
        <v>46</v>
      </c>
      <c r="I56" s="227">
        <v>275</v>
      </c>
      <c r="J56" s="227">
        <v>200</v>
      </c>
      <c r="K56" s="122" t="s">
        <v>3</v>
      </c>
      <c r="L56" s="472"/>
      <c r="M56" s="285"/>
      <c r="N56" s="473"/>
      <c r="O56" s="285">
        <v>200</v>
      </c>
      <c r="P56" s="474">
        <v>100</v>
      </c>
      <c r="Q56" s="285">
        <v>2100</v>
      </c>
      <c r="R56" s="285">
        <v>1300</v>
      </c>
      <c r="S56" s="285">
        <v>400</v>
      </c>
      <c r="T56" s="285">
        <v>150</v>
      </c>
      <c r="U56" s="285">
        <v>200</v>
      </c>
      <c r="V56" s="285">
        <v>300</v>
      </c>
      <c r="W56" s="284">
        <v>200</v>
      </c>
      <c r="X56" s="285">
        <v>300</v>
      </c>
      <c r="Y56" s="285"/>
    </row>
    <row r="57" spans="1:25" ht="15" customHeight="1" x14ac:dyDescent="0.3">
      <c r="A57" s="35"/>
      <c r="B57" s="611" t="s">
        <v>72</v>
      </c>
      <c r="C57" s="227"/>
      <c r="D57" s="227"/>
      <c r="E57" s="227"/>
      <c r="F57" s="227"/>
      <c r="G57" s="227"/>
      <c r="H57" s="227"/>
      <c r="I57" s="227"/>
      <c r="J57" s="227"/>
      <c r="K57" s="122"/>
      <c r="L57" s="472"/>
      <c r="M57" s="285"/>
      <c r="N57" s="473"/>
      <c r="O57" s="285"/>
      <c r="P57" s="474"/>
      <c r="Q57" s="285"/>
      <c r="R57" s="285"/>
      <c r="S57" s="285"/>
      <c r="T57" s="285"/>
      <c r="U57" s="285"/>
      <c r="V57" s="285"/>
      <c r="W57" s="284"/>
      <c r="X57" s="285"/>
      <c r="Y57" s="285"/>
    </row>
    <row r="58" spans="1:25" ht="15" customHeight="1" x14ac:dyDescent="0.3">
      <c r="A58" s="35"/>
      <c r="B58" s="611" t="s">
        <v>90</v>
      </c>
      <c r="C58" s="227">
        <v>50.472000000000001</v>
      </c>
      <c r="D58" s="227">
        <v>37.334000000000003</v>
      </c>
      <c r="E58" s="227">
        <v>153</v>
      </c>
      <c r="F58" s="227">
        <v>311</v>
      </c>
      <c r="G58" s="227">
        <v>97</v>
      </c>
      <c r="H58" s="227">
        <v>284</v>
      </c>
      <c r="I58" s="227">
        <v>256</v>
      </c>
      <c r="J58" s="227">
        <v>390</v>
      </c>
      <c r="K58" s="122" t="s">
        <v>3</v>
      </c>
      <c r="L58" s="472"/>
      <c r="M58" s="285"/>
      <c r="N58" s="473"/>
      <c r="O58" s="285">
        <v>200</v>
      </c>
      <c r="P58" s="474">
        <v>200</v>
      </c>
      <c r="Q58" s="285">
        <v>200</v>
      </c>
      <c r="R58" s="285">
        <v>2200</v>
      </c>
      <c r="S58" s="285">
        <v>1600</v>
      </c>
      <c r="T58" s="285">
        <v>600</v>
      </c>
      <c r="U58" s="285">
        <v>600</v>
      </c>
      <c r="V58" s="285" t="s">
        <v>91</v>
      </c>
      <c r="W58" s="284">
        <v>600</v>
      </c>
      <c r="X58" s="285">
        <v>600</v>
      </c>
      <c r="Y58" s="285"/>
    </row>
    <row r="59" spans="1:25" ht="15" customHeight="1" x14ac:dyDescent="0.3">
      <c r="A59" s="35"/>
      <c r="B59" s="92"/>
      <c r="C59" s="227"/>
      <c r="D59" s="227"/>
      <c r="E59" s="227"/>
      <c r="F59" s="263"/>
      <c r="G59" s="227"/>
      <c r="H59" s="227"/>
      <c r="I59" s="227"/>
      <c r="J59" s="227"/>
      <c r="K59" s="122"/>
      <c r="L59" s="472"/>
      <c r="M59" s="285"/>
      <c r="N59" s="473"/>
      <c r="O59" s="285"/>
      <c r="P59" s="474"/>
      <c r="Q59" s="285"/>
      <c r="R59" s="285"/>
      <c r="S59" s="286"/>
      <c r="T59" s="286"/>
      <c r="U59" s="286"/>
      <c r="V59" s="286"/>
      <c r="W59" s="288"/>
      <c r="X59" s="285"/>
      <c r="Y59" s="285"/>
    </row>
    <row r="60" spans="1:25" ht="15.6" x14ac:dyDescent="0.3">
      <c r="A60" s="35"/>
      <c r="B60" s="608" t="s">
        <v>89</v>
      </c>
      <c r="C60" s="208"/>
      <c r="D60" s="208"/>
      <c r="E60" s="208"/>
      <c r="F60" s="245"/>
      <c r="G60" s="208"/>
      <c r="H60" s="208"/>
      <c r="I60" s="225"/>
      <c r="J60" s="221"/>
      <c r="K60" s="163"/>
      <c r="L60" s="200"/>
      <c r="M60" s="166"/>
      <c r="N60" s="165"/>
      <c r="O60" s="166"/>
      <c r="P60" s="247"/>
      <c r="Q60" s="166"/>
      <c r="R60" s="166"/>
      <c r="S60" s="193"/>
      <c r="T60" s="193"/>
      <c r="U60" s="193"/>
      <c r="V60" s="193"/>
      <c r="W60" s="248"/>
      <c r="X60" s="166"/>
      <c r="Y60" s="166"/>
    </row>
    <row r="61" spans="1:25" ht="15" customHeight="1" x14ac:dyDescent="0.3">
      <c r="A61" s="35"/>
      <c r="B61" s="92"/>
      <c r="C61" s="227"/>
      <c r="D61" s="227"/>
      <c r="E61" s="227"/>
      <c r="F61" s="263"/>
      <c r="G61" s="227"/>
      <c r="H61" s="227"/>
      <c r="I61" s="227"/>
      <c r="J61" s="227"/>
      <c r="K61" s="122"/>
      <c r="L61" s="472"/>
      <c r="M61" s="285"/>
      <c r="N61" s="473"/>
      <c r="O61" s="285"/>
      <c r="P61" s="474"/>
      <c r="Q61" s="285"/>
      <c r="R61" s="285"/>
      <c r="S61" s="286"/>
      <c r="T61" s="286"/>
      <c r="U61" s="286"/>
      <c r="V61" s="286"/>
      <c r="W61" s="288"/>
      <c r="X61" s="285"/>
      <c r="Y61" s="285"/>
    </row>
    <row r="62" spans="1:25" s="22" customFormat="1" ht="15.6" x14ac:dyDescent="0.3">
      <c r="A62" s="35"/>
      <c r="B62" s="606" t="s">
        <v>92</v>
      </c>
      <c r="C62" s="208" t="e">
        <f>SUM(C63+#REF!)</f>
        <v>#REF!</v>
      </c>
      <c r="D62" s="208" t="e">
        <f>SUM(D63+#REF!)</f>
        <v>#REF!</v>
      </c>
      <c r="E62" s="264" t="e">
        <f>SUM(E63+#REF!)</f>
        <v>#REF!</v>
      </c>
      <c r="F62" s="245" t="e">
        <f>SUM(F63+#REF!)</f>
        <v>#REF!</v>
      </c>
      <c r="G62" s="208" t="e">
        <f>SUM(G63+#REF!)</f>
        <v>#REF!</v>
      </c>
      <c r="H62" s="208" t="e">
        <f>SUM(H63+#REF!)</f>
        <v>#REF!</v>
      </c>
      <c r="I62" s="208" t="e">
        <f>SUM(I63+#REF!)</f>
        <v>#REF!</v>
      </c>
      <c r="J62" s="208" t="e">
        <f>SUM(J63+#REF!)</f>
        <v>#REF!</v>
      </c>
      <c r="K62" s="65" t="e">
        <f>SUM(K63+#REF!)</f>
        <v>#REF!</v>
      </c>
      <c r="L62" s="65">
        <v>10623</v>
      </c>
      <c r="M62" s="66">
        <f>15914662/1000</f>
        <v>15914.662</v>
      </c>
      <c r="N62" s="67">
        <f>4685121.35/1000</f>
        <v>4685.1213499999994</v>
      </c>
      <c r="O62" s="66">
        <v>4900</v>
      </c>
      <c r="P62" s="210">
        <f t="shared" ref="P62:Y62" si="12">SUM(P63:P63)</f>
        <v>0</v>
      </c>
      <c r="Q62" s="66">
        <f t="shared" si="12"/>
        <v>0</v>
      </c>
      <c r="R62" s="66">
        <f t="shared" si="12"/>
        <v>0</v>
      </c>
      <c r="S62" s="67">
        <f t="shared" si="12"/>
        <v>0</v>
      </c>
      <c r="T62" s="66">
        <f t="shared" si="12"/>
        <v>0</v>
      </c>
      <c r="U62" s="66">
        <f t="shared" si="12"/>
        <v>0</v>
      </c>
      <c r="V62" s="66">
        <f t="shared" si="12"/>
        <v>0</v>
      </c>
      <c r="W62" s="65">
        <f t="shared" si="12"/>
        <v>0</v>
      </c>
      <c r="X62" s="66">
        <f t="shared" si="12"/>
        <v>0</v>
      </c>
      <c r="Y62" s="66">
        <f t="shared" si="12"/>
        <v>0</v>
      </c>
    </row>
    <row r="63" spans="1:25" s="357" customFormat="1" ht="15.6" x14ac:dyDescent="0.3">
      <c r="A63" s="355"/>
      <c r="B63" s="614"/>
      <c r="C63" s="220"/>
      <c r="D63" s="269"/>
      <c r="E63" s="270"/>
      <c r="F63" s="269"/>
      <c r="G63" s="220"/>
      <c r="H63" s="220"/>
      <c r="I63" s="220"/>
      <c r="J63" s="220"/>
      <c r="K63" s="115"/>
      <c r="L63" s="115"/>
      <c r="M63" s="85"/>
      <c r="N63" s="86"/>
      <c r="O63" s="85"/>
      <c r="P63" s="87"/>
      <c r="Q63" s="85"/>
      <c r="R63" s="85"/>
      <c r="S63" s="86"/>
      <c r="T63" s="86"/>
      <c r="U63" s="86"/>
      <c r="V63" s="86"/>
      <c r="W63" s="114"/>
      <c r="X63" s="85"/>
      <c r="Y63" s="85"/>
    </row>
    <row r="64" spans="1:25" s="22" customFormat="1" ht="15.6" x14ac:dyDescent="0.3">
      <c r="A64" s="35"/>
      <c r="B64" s="606" t="s">
        <v>108</v>
      </c>
      <c r="C64" s="208">
        <v>5233.5859899999996</v>
      </c>
      <c r="D64" s="208">
        <v>5285.9332599999998</v>
      </c>
      <c r="E64" s="208">
        <v>4585</v>
      </c>
      <c r="F64" s="208">
        <v>5158</v>
      </c>
      <c r="G64" s="208">
        <v>5123</v>
      </c>
      <c r="H64" s="208">
        <v>5006</v>
      </c>
      <c r="I64" s="208">
        <v>4875</v>
      </c>
      <c r="J64" s="208">
        <v>4185</v>
      </c>
      <c r="K64" s="65">
        <v>4218</v>
      </c>
      <c r="L64" s="65">
        <v>4226</v>
      </c>
      <c r="M64" s="274">
        <f>4361582/1000</f>
        <v>4361.5820000000003</v>
      </c>
      <c r="N64" s="275">
        <f>3762622.46/1000</f>
        <v>3762.62246</v>
      </c>
      <c r="O64" s="274">
        <v>4500</v>
      </c>
      <c r="P64" s="276">
        <v>5000</v>
      </c>
      <c r="Q64" s="274">
        <v>5000</v>
      </c>
      <c r="R64" s="274">
        <v>5000</v>
      </c>
      <c r="S64" s="275">
        <v>5000</v>
      </c>
      <c r="T64" s="275">
        <v>5000</v>
      </c>
      <c r="U64" s="275">
        <v>6000</v>
      </c>
      <c r="V64" s="275">
        <v>6000</v>
      </c>
      <c r="W64" s="277">
        <v>6500</v>
      </c>
      <c r="X64" s="274">
        <v>6500</v>
      </c>
      <c r="Y64" s="274">
        <v>6500</v>
      </c>
    </row>
    <row r="65" spans="1:25" s="22" customFormat="1" ht="15.6" x14ac:dyDescent="0.3">
      <c r="A65" s="35"/>
      <c r="B65" s="6"/>
      <c r="C65" s="208"/>
      <c r="D65" s="208"/>
      <c r="E65" s="208"/>
      <c r="F65" s="208"/>
      <c r="G65" s="208"/>
      <c r="H65" s="208"/>
      <c r="I65" s="208"/>
      <c r="J65" s="208"/>
      <c r="K65" s="65"/>
      <c r="L65" s="65"/>
      <c r="M65" s="274"/>
      <c r="N65" s="275"/>
      <c r="O65" s="274"/>
      <c r="P65" s="276"/>
      <c r="Q65" s="274"/>
      <c r="R65" s="274"/>
      <c r="S65" s="275"/>
      <c r="T65" s="275"/>
      <c r="U65" s="275"/>
      <c r="V65" s="275"/>
      <c r="W65" s="277"/>
      <c r="X65" s="274"/>
      <c r="Y65" s="274"/>
    </row>
    <row r="66" spans="1:25" s="22" customFormat="1" ht="15.6" x14ac:dyDescent="0.3">
      <c r="A66" s="35"/>
      <c r="B66" s="606" t="s">
        <v>109</v>
      </c>
      <c r="C66" s="208"/>
      <c r="D66" s="208"/>
      <c r="E66" s="208"/>
      <c r="F66" s="208"/>
      <c r="G66" s="208"/>
      <c r="H66" s="208"/>
      <c r="I66" s="208"/>
      <c r="J66" s="208"/>
      <c r="K66" s="65"/>
      <c r="L66" s="65"/>
      <c r="M66" s="359" t="s">
        <v>3</v>
      </c>
      <c r="N66" s="360"/>
      <c r="O66" s="359"/>
      <c r="P66" s="358"/>
      <c r="Q66" s="359"/>
      <c r="R66" s="359"/>
      <c r="S66" s="360"/>
      <c r="T66" s="360"/>
      <c r="U66" s="360"/>
      <c r="V66" s="360"/>
      <c r="W66" s="361"/>
      <c r="X66" s="359"/>
      <c r="Y66" s="359"/>
    </row>
    <row r="67" spans="1:25" s="22" customFormat="1" ht="15.6" x14ac:dyDescent="0.3">
      <c r="A67" s="35"/>
      <c r="B67" s="6"/>
      <c r="C67" s="208" t="e">
        <f>SUM(#REF!)</f>
        <v>#REF!</v>
      </c>
      <c r="D67" s="208" t="e">
        <f>SUM(#REF!)</f>
        <v>#REF!</v>
      </c>
      <c r="E67" s="208" t="e">
        <f>SUM(#REF!)</f>
        <v>#REF!</v>
      </c>
      <c r="F67" s="208" t="e">
        <f>SUM(#REF!)</f>
        <v>#REF!</v>
      </c>
      <c r="G67" s="208" t="e">
        <f>SUM(#REF!)</f>
        <v>#REF!</v>
      </c>
      <c r="H67" s="208" t="e">
        <f>SUM(#REF!)</f>
        <v>#REF!</v>
      </c>
      <c r="I67" s="208" t="e">
        <f>SUM(#REF!)</f>
        <v>#REF!</v>
      </c>
      <c r="J67" s="208">
        <v>3729</v>
      </c>
      <c r="K67" s="65">
        <v>3986</v>
      </c>
      <c r="L67" s="65">
        <v>2526</v>
      </c>
      <c r="M67" s="66">
        <f>1144107/1000</f>
        <v>1144.107</v>
      </c>
      <c r="N67" s="67">
        <f>2854597.06/1000</f>
        <v>2854.5970600000001</v>
      </c>
      <c r="O67" s="66">
        <v>2500</v>
      </c>
      <c r="P67" s="68">
        <v>2000</v>
      </c>
      <c r="Q67" s="66">
        <f>2500-500</f>
        <v>2000</v>
      </c>
      <c r="R67" s="66">
        <f>2500-500</f>
        <v>2000</v>
      </c>
      <c r="S67" s="66">
        <v>2500</v>
      </c>
      <c r="T67" s="66">
        <v>2500</v>
      </c>
      <c r="U67" s="66">
        <v>3000</v>
      </c>
      <c r="V67" s="66">
        <v>3000</v>
      </c>
      <c r="W67" s="65">
        <v>3000</v>
      </c>
      <c r="X67" s="66">
        <v>3000</v>
      </c>
      <c r="Y67" s="66">
        <v>3000</v>
      </c>
    </row>
    <row r="68" spans="1:25" s="22" customFormat="1" ht="15.6" x14ac:dyDescent="0.3">
      <c r="A68" s="35"/>
      <c r="B68" s="606" t="s">
        <v>112</v>
      </c>
      <c r="C68" s="208">
        <f>SUM(C70:C76)</f>
        <v>8443.3130000000001</v>
      </c>
      <c r="D68" s="208">
        <f>SUM(D70:D76)</f>
        <v>4549.549</v>
      </c>
      <c r="E68" s="208">
        <f>SUM(E70:E76)</f>
        <v>1546</v>
      </c>
      <c r="F68" s="208">
        <f>SUM(F70:F76)</f>
        <v>2276</v>
      </c>
      <c r="G68" s="208">
        <f>SUM(G70:G76)</f>
        <v>3914</v>
      </c>
      <c r="H68" s="208">
        <v>2354</v>
      </c>
      <c r="I68" s="208">
        <f>SUM(I70:I76)</f>
        <v>2324</v>
      </c>
      <c r="J68" s="208">
        <v>3311</v>
      </c>
      <c r="K68" s="65">
        <v>3188</v>
      </c>
      <c r="L68" s="65">
        <v>8139</v>
      </c>
      <c r="M68" s="66">
        <f>10718579/1000</f>
        <v>10718.579</v>
      </c>
      <c r="N68" s="67">
        <f>5802808.69/1000</f>
        <v>5802.8086900000008</v>
      </c>
      <c r="O68" s="66">
        <v>4700</v>
      </c>
      <c r="P68" s="210">
        <f>6000+3000</f>
        <v>9000</v>
      </c>
      <c r="Q68" s="66">
        <v>6000</v>
      </c>
      <c r="R68" s="66">
        <v>6500</v>
      </c>
      <c r="S68" s="66">
        <v>5600</v>
      </c>
      <c r="T68" s="66">
        <v>4500</v>
      </c>
      <c r="U68" s="66">
        <v>6000</v>
      </c>
      <c r="V68" s="66">
        <v>6500</v>
      </c>
      <c r="W68" s="65">
        <v>6500</v>
      </c>
      <c r="X68" s="66">
        <v>6500</v>
      </c>
      <c r="Y68" s="66">
        <v>6500</v>
      </c>
    </row>
    <row r="69" spans="1:25" ht="15.6" x14ac:dyDescent="0.3">
      <c r="A69" s="35"/>
      <c r="B69" s="70"/>
      <c r="C69" s="208"/>
      <c r="D69" s="208"/>
      <c r="E69" s="208"/>
      <c r="F69" s="245"/>
      <c r="G69" s="208"/>
      <c r="H69" s="208"/>
      <c r="I69" s="208"/>
      <c r="J69" s="296"/>
      <c r="K69" s="163"/>
      <c r="L69" s="98"/>
      <c r="M69" s="166"/>
      <c r="N69" s="193"/>
      <c r="O69" s="166"/>
      <c r="P69" s="615"/>
      <c r="Q69" s="166"/>
      <c r="R69" s="166"/>
      <c r="S69" s="193"/>
      <c r="T69" s="193"/>
      <c r="U69" s="193"/>
      <c r="V69" s="193"/>
      <c r="W69" s="248"/>
      <c r="X69" s="166"/>
      <c r="Y69" s="166"/>
    </row>
    <row r="70" spans="1:25" ht="15.6" x14ac:dyDescent="0.3">
      <c r="A70" s="35"/>
      <c r="B70" s="611" t="s">
        <v>65</v>
      </c>
      <c r="C70" s="227">
        <v>5148.1729999999998</v>
      </c>
      <c r="D70" s="227">
        <v>3946.1990000000001</v>
      </c>
      <c r="E70" s="227">
        <v>807</v>
      </c>
      <c r="F70" s="227">
        <v>1504</v>
      </c>
      <c r="G70" s="227">
        <v>2658</v>
      </c>
      <c r="H70" s="227">
        <v>1066</v>
      </c>
      <c r="I70" s="227">
        <v>564</v>
      </c>
      <c r="J70" s="227">
        <v>1000</v>
      </c>
      <c r="K70" s="122" t="s">
        <v>3</v>
      </c>
      <c r="L70" s="472"/>
      <c r="M70" s="285"/>
      <c r="N70" s="473"/>
      <c r="O70" s="285">
        <v>1800</v>
      </c>
      <c r="P70" s="474">
        <v>1000</v>
      </c>
      <c r="Q70" s="285">
        <v>1300</v>
      </c>
      <c r="R70" s="285">
        <v>1700</v>
      </c>
      <c r="S70" s="286">
        <v>2000</v>
      </c>
      <c r="T70" s="286">
        <v>1000</v>
      </c>
      <c r="U70" s="286">
        <v>1200</v>
      </c>
      <c r="V70" s="286">
        <v>2000</v>
      </c>
      <c r="W70" s="288">
        <v>2000</v>
      </c>
      <c r="X70" s="285">
        <v>2500</v>
      </c>
      <c r="Y70" s="285"/>
    </row>
    <row r="71" spans="1:25" ht="15.6" x14ac:dyDescent="0.3">
      <c r="A71" s="35"/>
      <c r="B71" s="611" t="s">
        <v>67</v>
      </c>
      <c r="C71" s="227">
        <v>619.52700000000004</v>
      </c>
      <c r="D71" s="227">
        <v>315.10599999999999</v>
      </c>
      <c r="E71" s="227">
        <v>180</v>
      </c>
      <c r="F71" s="227">
        <v>221</v>
      </c>
      <c r="G71" s="227">
        <v>495</v>
      </c>
      <c r="H71" s="227">
        <v>179</v>
      </c>
      <c r="I71" s="227">
        <v>814</v>
      </c>
      <c r="J71" s="227">
        <v>1210</v>
      </c>
      <c r="K71" s="122" t="s">
        <v>3</v>
      </c>
      <c r="L71" s="472"/>
      <c r="M71" s="285"/>
      <c r="N71" s="473"/>
      <c r="O71" s="285">
        <v>200</v>
      </c>
      <c r="P71" s="474">
        <v>100</v>
      </c>
      <c r="Q71" s="285">
        <v>700</v>
      </c>
      <c r="R71" s="285">
        <v>500</v>
      </c>
      <c r="S71" s="285">
        <v>600</v>
      </c>
      <c r="T71" s="285">
        <v>800</v>
      </c>
      <c r="U71" s="285">
        <v>1200</v>
      </c>
      <c r="V71" s="285">
        <v>1300</v>
      </c>
      <c r="W71" s="284">
        <v>1400</v>
      </c>
      <c r="X71" s="285">
        <v>1500</v>
      </c>
      <c r="Y71" s="285"/>
    </row>
    <row r="72" spans="1:25" ht="15.6" x14ac:dyDescent="0.3">
      <c r="A72" s="35"/>
      <c r="B72" s="611" t="s">
        <v>68</v>
      </c>
      <c r="C72" s="227">
        <v>76.48</v>
      </c>
      <c r="D72" s="227">
        <v>97.004000000000005</v>
      </c>
      <c r="E72" s="227">
        <v>130</v>
      </c>
      <c r="F72" s="227">
        <v>210</v>
      </c>
      <c r="G72" s="227">
        <v>28</v>
      </c>
      <c r="H72" s="227">
        <v>51</v>
      </c>
      <c r="I72" s="227">
        <v>118</v>
      </c>
      <c r="J72" s="227">
        <v>780</v>
      </c>
      <c r="K72" s="122" t="s">
        <v>3</v>
      </c>
      <c r="L72" s="472"/>
      <c r="M72" s="285"/>
      <c r="N72" s="473"/>
      <c r="O72" s="285">
        <v>200</v>
      </c>
      <c r="P72" s="474">
        <v>400</v>
      </c>
      <c r="Q72" s="285">
        <v>900</v>
      </c>
      <c r="R72" s="285">
        <v>400</v>
      </c>
      <c r="S72" s="286">
        <v>400</v>
      </c>
      <c r="T72" s="286">
        <f>400</f>
        <v>400</v>
      </c>
      <c r="U72" s="473">
        <f>400+3000</f>
        <v>3400</v>
      </c>
      <c r="V72" s="473">
        <f>800+13000</f>
        <v>13800</v>
      </c>
      <c r="W72" s="475">
        <f>800+14000</f>
        <v>14800</v>
      </c>
      <c r="X72" s="285">
        <v>800</v>
      </c>
      <c r="Y72" s="285"/>
    </row>
    <row r="73" spans="1:25" ht="15.6" x14ac:dyDescent="0.3">
      <c r="A73" s="35"/>
      <c r="B73" s="611" t="s">
        <v>69</v>
      </c>
      <c r="C73" s="227">
        <v>173.60400000000001</v>
      </c>
      <c r="D73" s="227">
        <v>81.593999999999994</v>
      </c>
      <c r="E73" s="227">
        <v>145</v>
      </c>
      <c r="F73" s="227">
        <v>96</v>
      </c>
      <c r="G73" s="227">
        <v>42</v>
      </c>
      <c r="H73" s="227">
        <v>111</v>
      </c>
      <c r="I73" s="227">
        <v>453</v>
      </c>
      <c r="J73" s="227">
        <v>200</v>
      </c>
      <c r="K73" s="122" t="s">
        <v>3</v>
      </c>
      <c r="L73" s="472"/>
      <c r="M73" s="285"/>
      <c r="N73" s="473"/>
      <c r="O73" s="285">
        <v>100</v>
      </c>
      <c r="P73" s="474">
        <v>400</v>
      </c>
      <c r="Q73" s="285">
        <v>600</v>
      </c>
      <c r="R73" s="285">
        <v>800</v>
      </c>
      <c r="S73" s="286">
        <v>600</v>
      </c>
      <c r="T73" s="286">
        <v>800</v>
      </c>
      <c r="U73" s="286">
        <v>800</v>
      </c>
      <c r="V73" s="286">
        <v>800</v>
      </c>
      <c r="W73" s="288">
        <v>800</v>
      </c>
      <c r="X73" s="285">
        <v>1100</v>
      </c>
      <c r="Y73" s="285"/>
    </row>
    <row r="74" spans="1:25" ht="15.6" x14ac:dyDescent="0.3">
      <c r="A74" s="35"/>
      <c r="B74" s="611" t="s">
        <v>70</v>
      </c>
      <c r="C74" s="227">
        <f>240.569+2005.683</f>
        <v>2246.252</v>
      </c>
      <c r="D74" s="227">
        <v>93.552999999999997</v>
      </c>
      <c r="E74" s="227">
        <v>284</v>
      </c>
      <c r="F74" s="227">
        <v>207</v>
      </c>
      <c r="G74" s="227">
        <v>189</v>
      </c>
      <c r="H74" s="227">
        <v>57</v>
      </c>
      <c r="I74" s="227">
        <v>100</v>
      </c>
      <c r="J74" s="227">
        <v>420</v>
      </c>
      <c r="K74" s="122" t="s">
        <v>3</v>
      </c>
      <c r="L74" s="472"/>
      <c r="M74" s="285"/>
      <c r="N74" s="473"/>
      <c r="O74" s="285">
        <v>300</v>
      </c>
      <c r="P74" s="474">
        <v>500</v>
      </c>
      <c r="Q74" s="285">
        <v>300</v>
      </c>
      <c r="R74" s="285">
        <v>200</v>
      </c>
      <c r="S74" s="286">
        <v>900</v>
      </c>
      <c r="T74" s="286">
        <v>950</v>
      </c>
      <c r="U74" s="286">
        <v>800</v>
      </c>
      <c r="V74" s="286">
        <v>600</v>
      </c>
      <c r="W74" s="288">
        <v>600</v>
      </c>
      <c r="X74" s="285">
        <v>600</v>
      </c>
      <c r="Y74" s="285"/>
    </row>
    <row r="75" spans="1:25" ht="15.6" x14ac:dyDescent="0.3">
      <c r="A75" s="35"/>
      <c r="B75" s="611" t="s">
        <v>71</v>
      </c>
      <c r="C75" s="227">
        <v>179.27699999999999</v>
      </c>
      <c r="D75" s="227">
        <v>16.093</v>
      </c>
      <c r="E75" s="227">
        <v>0</v>
      </c>
      <c r="F75" s="227">
        <v>38</v>
      </c>
      <c r="G75" s="227">
        <v>502</v>
      </c>
      <c r="H75" s="227">
        <v>46</v>
      </c>
      <c r="I75" s="227">
        <v>275</v>
      </c>
      <c r="J75" s="227">
        <v>200</v>
      </c>
      <c r="K75" s="122" t="s">
        <v>3</v>
      </c>
      <c r="L75" s="472"/>
      <c r="M75" s="285"/>
      <c r="N75" s="473"/>
      <c r="O75" s="285">
        <v>200</v>
      </c>
      <c r="P75" s="474">
        <v>100</v>
      </c>
      <c r="Q75" s="285">
        <v>2100</v>
      </c>
      <c r="R75" s="285">
        <v>1300</v>
      </c>
      <c r="S75" s="285">
        <v>400</v>
      </c>
      <c r="T75" s="285">
        <v>150</v>
      </c>
      <c r="U75" s="285">
        <v>200</v>
      </c>
      <c r="V75" s="285">
        <v>300</v>
      </c>
      <c r="W75" s="284">
        <v>200</v>
      </c>
      <c r="X75" s="285">
        <v>300</v>
      </c>
      <c r="Y75" s="285"/>
    </row>
    <row r="76" spans="1:25" ht="15.6" x14ac:dyDescent="0.3">
      <c r="A76" s="35"/>
      <c r="B76" s="611" t="s">
        <v>72</v>
      </c>
      <c r="C76" s="227"/>
      <c r="D76" s="227"/>
      <c r="E76" s="227"/>
      <c r="F76" s="227"/>
      <c r="G76" s="227"/>
      <c r="H76" s="227"/>
      <c r="I76" s="227"/>
      <c r="J76" s="227"/>
      <c r="K76" s="122"/>
      <c r="L76" s="472"/>
      <c r="M76" s="285"/>
      <c r="N76" s="473"/>
      <c r="O76" s="285"/>
      <c r="P76" s="474"/>
      <c r="Q76" s="285"/>
      <c r="R76" s="285"/>
      <c r="S76" s="285"/>
      <c r="T76" s="285"/>
      <c r="U76" s="285"/>
      <c r="V76" s="285"/>
      <c r="W76" s="284"/>
      <c r="X76" s="285"/>
      <c r="Y76" s="285"/>
    </row>
    <row r="77" spans="1:25" ht="15.6" x14ac:dyDescent="0.3">
      <c r="A77" s="35"/>
      <c r="B77" s="611" t="s">
        <v>90</v>
      </c>
      <c r="C77" s="227">
        <v>50.472000000000001</v>
      </c>
      <c r="D77" s="227">
        <v>37.334000000000003</v>
      </c>
      <c r="E77" s="227">
        <v>153</v>
      </c>
      <c r="F77" s="227">
        <v>311</v>
      </c>
      <c r="G77" s="227">
        <v>97</v>
      </c>
      <c r="H77" s="227">
        <v>284</v>
      </c>
      <c r="I77" s="227">
        <v>256</v>
      </c>
      <c r="J77" s="227">
        <v>390</v>
      </c>
      <c r="K77" s="122" t="s">
        <v>3</v>
      </c>
      <c r="L77" s="472"/>
      <c r="M77" s="285"/>
      <c r="N77" s="473"/>
      <c r="O77" s="285">
        <v>200</v>
      </c>
      <c r="P77" s="474">
        <v>200</v>
      </c>
      <c r="Q77" s="285">
        <v>200</v>
      </c>
      <c r="R77" s="285">
        <v>2200</v>
      </c>
      <c r="S77" s="285">
        <v>1600</v>
      </c>
      <c r="T77" s="285">
        <v>600</v>
      </c>
      <c r="U77" s="285">
        <v>600</v>
      </c>
      <c r="V77" s="285" t="s">
        <v>91</v>
      </c>
      <c r="W77" s="284">
        <v>600</v>
      </c>
      <c r="X77" s="285">
        <v>600</v>
      </c>
      <c r="Y77" s="285"/>
    </row>
    <row r="78" spans="1:25" ht="15.6" x14ac:dyDescent="0.3">
      <c r="A78" s="35"/>
      <c r="B78" s="92"/>
      <c r="C78" s="227"/>
      <c r="D78" s="227"/>
      <c r="E78" s="227"/>
      <c r="F78" s="227"/>
      <c r="G78" s="227"/>
      <c r="H78" s="227"/>
      <c r="I78" s="227"/>
      <c r="J78" s="227"/>
      <c r="K78" s="122"/>
      <c r="L78" s="472"/>
      <c r="M78" s="285"/>
      <c r="N78" s="473"/>
      <c r="O78" s="285"/>
      <c r="P78" s="474"/>
      <c r="Q78" s="285"/>
      <c r="R78" s="285"/>
      <c r="S78" s="285"/>
      <c r="T78" s="285"/>
      <c r="U78" s="285"/>
      <c r="V78" s="285"/>
      <c r="W78" s="284"/>
      <c r="X78" s="285"/>
      <c r="Y78" s="285"/>
    </row>
    <row r="79" spans="1:25" s="22" customFormat="1" ht="15.6" x14ac:dyDescent="0.3">
      <c r="A79" s="35"/>
      <c r="B79" s="606" t="s">
        <v>114</v>
      </c>
      <c r="C79" s="208">
        <f>SUM(C81:C88)</f>
        <v>8493.7849999999999</v>
      </c>
      <c r="D79" s="208">
        <f>SUM(D81:D88)</f>
        <v>4586.8829999999998</v>
      </c>
      <c r="E79" s="208">
        <v>5291</v>
      </c>
      <c r="F79" s="208">
        <v>2715</v>
      </c>
      <c r="G79" s="208" t="e">
        <f>SUM(G81:G88)+#REF!</f>
        <v>#REF!</v>
      </c>
      <c r="H79" s="208">
        <v>7532</v>
      </c>
      <c r="I79" s="208">
        <v>10992</v>
      </c>
      <c r="J79" s="208">
        <v>14205</v>
      </c>
      <c r="K79" s="65">
        <v>12592</v>
      </c>
      <c r="L79" s="65">
        <v>13900</v>
      </c>
      <c r="M79" s="66">
        <f>24424730/1000</f>
        <v>24424.73</v>
      </c>
      <c r="N79" s="67">
        <f>24831758.4/1000</f>
        <v>24831.758399999999</v>
      </c>
      <c r="O79" s="66">
        <v>25500</v>
      </c>
      <c r="P79" s="210">
        <f>19000+4500</f>
        <v>23500</v>
      </c>
      <c r="Q79" s="66">
        <v>19000</v>
      </c>
      <c r="R79" s="66">
        <v>19000</v>
      </c>
      <c r="S79" s="66">
        <v>19500</v>
      </c>
      <c r="T79" s="66">
        <v>19500</v>
      </c>
      <c r="U79" s="66">
        <v>19500</v>
      </c>
      <c r="V79" s="66">
        <v>19500</v>
      </c>
      <c r="W79" s="65">
        <v>19500</v>
      </c>
      <c r="X79" s="66">
        <v>19500</v>
      </c>
      <c r="Y79" s="66">
        <v>19500</v>
      </c>
    </row>
    <row r="80" spans="1:25" ht="16.5" customHeight="1" x14ac:dyDescent="0.3">
      <c r="A80" s="35"/>
      <c r="B80" s="282"/>
    </row>
    <row r="81" spans="1:25" ht="16.5" customHeight="1" x14ac:dyDescent="0.3">
      <c r="A81" s="35"/>
      <c r="B81" s="611" t="s">
        <v>65</v>
      </c>
      <c r="C81" s="227">
        <v>5148.1729999999998</v>
      </c>
      <c r="D81" s="227">
        <v>3946.1990000000001</v>
      </c>
      <c r="E81" s="227">
        <v>807</v>
      </c>
      <c r="F81" s="227">
        <v>1504</v>
      </c>
      <c r="G81" s="227">
        <v>2658</v>
      </c>
      <c r="H81" s="227">
        <v>1066</v>
      </c>
      <c r="I81" s="227">
        <v>564</v>
      </c>
      <c r="J81" s="227">
        <v>1000</v>
      </c>
      <c r="K81" s="122" t="s">
        <v>3</v>
      </c>
      <c r="L81" s="472"/>
      <c r="M81" s="285"/>
      <c r="N81" s="473"/>
      <c r="O81" s="285">
        <v>1800</v>
      </c>
      <c r="P81" s="474">
        <v>1000</v>
      </c>
      <c r="Q81" s="285">
        <v>1300</v>
      </c>
      <c r="R81" s="285">
        <v>1700</v>
      </c>
      <c r="S81" s="286">
        <v>2000</v>
      </c>
      <c r="T81" s="286">
        <v>1000</v>
      </c>
      <c r="U81" s="286">
        <v>1200</v>
      </c>
      <c r="V81" s="286">
        <v>2000</v>
      </c>
      <c r="W81" s="288">
        <v>2000</v>
      </c>
      <c r="X81" s="285">
        <v>2500</v>
      </c>
      <c r="Y81" s="285"/>
    </row>
    <row r="82" spans="1:25" ht="15.6" x14ac:dyDescent="0.3">
      <c r="A82" s="35"/>
      <c r="B82" s="611" t="s">
        <v>67</v>
      </c>
      <c r="C82" s="227">
        <v>619.52700000000004</v>
      </c>
      <c r="D82" s="227">
        <v>315.10599999999999</v>
      </c>
      <c r="E82" s="227">
        <v>180</v>
      </c>
      <c r="F82" s="227">
        <v>221</v>
      </c>
      <c r="G82" s="227">
        <v>495</v>
      </c>
      <c r="H82" s="227">
        <v>179</v>
      </c>
      <c r="I82" s="227">
        <v>814</v>
      </c>
      <c r="J82" s="227">
        <v>1210</v>
      </c>
      <c r="K82" s="122" t="s">
        <v>3</v>
      </c>
      <c r="L82" s="472"/>
      <c r="M82" s="285"/>
      <c r="N82" s="473"/>
      <c r="O82" s="285">
        <v>200</v>
      </c>
      <c r="P82" s="474">
        <v>100</v>
      </c>
      <c r="Q82" s="285">
        <v>700</v>
      </c>
      <c r="R82" s="285">
        <v>500</v>
      </c>
      <c r="S82" s="285">
        <v>600</v>
      </c>
      <c r="T82" s="285">
        <v>800</v>
      </c>
      <c r="U82" s="285">
        <v>1200</v>
      </c>
      <c r="V82" s="285">
        <v>1300</v>
      </c>
      <c r="W82" s="284">
        <v>1400</v>
      </c>
      <c r="X82" s="285">
        <v>1500</v>
      </c>
      <c r="Y82" s="285"/>
    </row>
    <row r="83" spans="1:25" ht="15.6" x14ac:dyDescent="0.3">
      <c r="A83" s="35"/>
      <c r="B83" s="611" t="s">
        <v>68</v>
      </c>
      <c r="C83" s="227">
        <v>76.48</v>
      </c>
      <c r="D83" s="227">
        <v>97.004000000000005</v>
      </c>
      <c r="E83" s="227">
        <v>130</v>
      </c>
      <c r="F83" s="227">
        <v>210</v>
      </c>
      <c r="G83" s="227">
        <v>28</v>
      </c>
      <c r="H83" s="227">
        <v>51</v>
      </c>
      <c r="I83" s="227">
        <v>118</v>
      </c>
      <c r="J83" s="227">
        <v>780</v>
      </c>
      <c r="K83" s="122" t="s">
        <v>3</v>
      </c>
      <c r="L83" s="472"/>
      <c r="M83" s="285"/>
      <c r="N83" s="473"/>
      <c r="O83" s="285">
        <v>200</v>
      </c>
      <c r="P83" s="474">
        <v>400</v>
      </c>
      <c r="Q83" s="285">
        <v>900</v>
      </c>
      <c r="R83" s="285">
        <v>400</v>
      </c>
      <c r="S83" s="286">
        <v>400</v>
      </c>
      <c r="T83" s="286">
        <f>400</f>
        <v>400</v>
      </c>
      <c r="U83" s="473">
        <f>400+3000</f>
        <v>3400</v>
      </c>
      <c r="V83" s="473">
        <f>800+13000</f>
        <v>13800</v>
      </c>
      <c r="W83" s="475">
        <f>800+14000</f>
        <v>14800</v>
      </c>
      <c r="X83" s="285">
        <v>800</v>
      </c>
      <c r="Y83" s="285"/>
    </row>
    <row r="84" spans="1:25" ht="15.6" x14ac:dyDescent="0.3">
      <c r="A84" s="35"/>
      <c r="B84" s="611" t="s">
        <v>69</v>
      </c>
      <c r="C84" s="227">
        <v>173.60400000000001</v>
      </c>
      <c r="D84" s="227">
        <v>81.593999999999994</v>
      </c>
      <c r="E84" s="227">
        <v>145</v>
      </c>
      <c r="F84" s="227">
        <v>96</v>
      </c>
      <c r="G84" s="227">
        <v>42</v>
      </c>
      <c r="H84" s="227">
        <v>111</v>
      </c>
      <c r="I84" s="227">
        <v>453</v>
      </c>
      <c r="J84" s="227">
        <v>200</v>
      </c>
      <c r="K84" s="122" t="s">
        <v>3</v>
      </c>
      <c r="L84" s="472"/>
      <c r="M84" s="285"/>
      <c r="N84" s="473"/>
      <c r="O84" s="285">
        <v>100</v>
      </c>
      <c r="P84" s="474">
        <v>400</v>
      </c>
      <c r="Q84" s="285">
        <v>600</v>
      </c>
      <c r="R84" s="285">
        <v>800</v>
      </c>
      <c r="S84" s="286">
        <v>600</v>
      </c>
      <c r="T84" s="286">
        <v>800</v>
      </c>
      <c r="U84" s="286">
        <v>800</v>
      </c>
      <c r="V84" s="286">
        <v>800</v>
      </c>
      <c r="W84" s="288">
        <v>800</v>
      </c>
      <c r="X84" s="285">
        <v>1100</v>
      </c>
      <c r="Y84" s="285"/>
    </row>
    <row r="85" spans="1:25" ht="15.6" x14ac:dyDescent="0.3">
      <c r="A85" s="35"/>
      <c r="B85" s="611" t="s">
        <v>70</v>
      </c>
      <c r="C85" s="227">
        <f>240.569+2005.683</f>
        <v>2246.252</v>
      </c>
      <c r="D85" s="227">
        <v>93.552999999999997</v>
      </c>
      <c r="E85" s="227">
        <v>284</v>
      </c>
      <c r="F85" s="227">
        <v>207</v>
      </c>
      <c r="G85" s="227">
        <v>189</v>
      </c>
      <c r="H85" s="227">
        <v>57</v>
      </c>
      <c r="I85" s="227">
        <v>100</v>
      </c>
      <c r="J85" s="227">
        <v>420</v>
      </c>
      <c r="K85" s="122" t="s">
        <v>3</v>
      </c>
      <c r="L85" s="472"/>
      <c r="M85" s="285"/>
      <c r="N85" s="473"/>
      <c r="O85" s="285">
        <v>300</v>
      </c>
      <c r="P85" s="474">
        <v>500</v>
      </c>
      <c r="Q85" s="285">
        <v>300</v>
      </c>
      <c r="R85" s="285">
        <v>200</v>
      </c>
      <c r="S85" s="286">
        <v>900</v>
      </c>
      <c r="T85" s="286">
        <v>950</v>
      </c>
      <c r="U85" s="286">
        <v>800</v>
      </c>
      <c r="V85" s="286">
        <v>600</v>
      </c>
      <c r="W85" s="288">
        <v>600</v>
      </c>
      <c r="X85" s="285">
        <v>600</v>
      </c>
      <c r="Y85" s="285"/>
    </row>
    <row r="86" spans="1:25" ht="15.6" x14ac:dyDescent="0.3">
      <c r="A86" s="35"/>
      <c r="B86" s="611" t="s">
        <v>71</v>
      </c>
      <c r="C86" s="227">
        <v>179.27699999999999</v>
      </c>
      <c r="D86" s="227">
        <v>16.093</v>
      </c>
      <c r="E86" s="227">
        <v>0</v>
      </c>
      <c r="F86" s="227">
        <v>38</v>
      </c>
      <c r="G86" s="227">
        <v>502</v>
      </c>
      <c r="H86" s="227">
        <v>46</v>
      </c>
      <c r="I86" s="227">
        <v>275</v>
      </c>
      <c r="J86" s="227">
        <v>200</v>
      </c>
      <c r="K86" s="122" t="s">
        <v>3</v>
      </c>
      <c r="L86" s="472"/>
      <c r="M86" s="285"/>
      <c r="N86" s="473"/>
      <c r="O86" s="285">
        <v>200</v>
      </c>
      <c r="P86" s="474">
        <v>100</v>
      </c>
      <c r="Q86" s="285">
        <v>2100</v>
      </c>
      <c r="R86" s="285">
        <v>1300</v>
      </c>
      <c r="S86" s="285">
        <v>400</v>
      </c>
      <c r="T86" s="285">
        <v>150</v>
      </c>
      <c r="U86" s="285">
        <v>200</v>
      </c>
      <c r="V86" s="285">
        <v>300</v>
      </c>
      <c r="W86" s="284">
        <v>200</v>
      </c>
      <c r="X86" s="285">
        <v>300</v>
      </c>
      <c r="Y86" s="285"/>
    </row>
    <row r="87" spans="1:25" ht="15.6" x14ac:dyDescent="0.3">
      <c r="A87" s="35"/>
      <c r="B87" s="611" t="s">
        <v>72</v>
      </c>
      <c r="C87" s="227"/>
      <c r="D87" s="227"/>
      <c r="E87" s="227"/>
      <c r="F87" s="227"/>
      <c r="G87" s="227"/>
      <c r="H87" s="227"/>
      <c r="I87" s="227"/>
      <c r="J87" s="227"/>
      <c r="K87" s="122"/>
      <c r="L87" s="472"/>
      <c r="M87" s="285"/>
      <c r="N87" s="473"/>
      <c r="O87" s="285"/>
      <c r="P87" s="474"/>
      <c r="Q87" s="285"/>
      <c r="R87" s="285"/>
      <c r="S87" s="285"/>
      <c r="T87" s="285"/>
      <c r="U87" s="285"/>
      <c r="V87" s="285"/>
      <c r="W87" s="284"/>
      <c r="X87" s="285"/>
      <c r="Y87" s="285"/>
    </row>
    <row r="88" spans="1:25" ht="15.6" x14ac:dyDescent="0.3">
      <c r="A88" s="35"/>
      <c r="B88" s="611" t="s">
        <v>90</v>
      </c>
      <c r="C88" s="227">
        <v>50.472000000000001</v>
      </c>
      <c r="D88" s="227">
        <v>37.334000000000003</v>
      </c>
      <c r="E88" s="227">
        <v>153</v>
      </c>
      <c r="F88" s="227">
        <v>311</v>
      </c>
      <c r="G88" s="227">
        <v>97</v>
      </c>
      <c r="H88" s="227">
        <v>284</v>
      </c>
      <c r="I88" s="227">
        <v>256</v>
      </c>
      <c r="J88" s="227">
        <v>390</v>
      </c>
      <c r="K88" s="122" t="s">
        <v>3</v>
      </c>
      <c r="L88" s="472"/>
      <c r="M88" s="285"/>
      <c r="N88" s="473"/>
      <c r="O88" s="285">
        <v>200</v>
      </c>
      <c r="P88" s="474">
        <v>200</v>
      </c>
      <c r="Q88" s="285">
        <v>200</v>
      </c>
      <c r="R88" s="285">
        <v>2200</v>
      </c>
      <c r="S88" s="285">
        <v>1600</v>
      </c>
      <c r="T88" s="285">
        <v>600</v>
      </c>
      <c r="U88" s="285">
        <v>600</v>
      </c>
      <c r="V88" s="285" t="s">
        <v>91</v>
      </c>
      <c r="W88" s="284">
        <v>600</v>
      </c>
      <c r="X88" s="285">
        <v>600</v>
      </c>
      <c r="Y88" s="285"/>
    </row>
    <row r="89" spans="1:25" ht="15.6" x14ac:dyDescent="0.3">
      <c r="A89" s="35"/>
      <c r="B89" s="616"/>
      <c r="C89" s="227"/>
      <c r="D89" s="227"/>
      <c r="E89" s="227"/>
      <c r="F89" s="227"/>
      <c r="G89" s="227"/>
      <c r="H89" s="227"/>
      <c r="I89" s="227"/>
      <c r="J89" s="227"/>
      <c r="K89" s="122"/>
      <c r="L89" s="472"/>
      <c r="M89" s="285"/>
      <c r="N89" s="473"/>
      <c r="O89" s="285"/>
      <c r="P89" s="474"/>
      <c r="Q89" s="284"/>
      <c r="R89" s="284"/>
      <c r="S89" s="284"/>
      <c r="T89" s="284"/>
      <c r="U89" s="284"/>
      <c r="V89" s="285"/>
      <c r="W89" s="284"/>
      <c r="X89" s="285"/>
      <c r="Y89" s="285"/>
    </row>
    <row r="90" spans="1:25" ht="15.6" x14ac:dyDescent="0.3">
      <c r="A90" s="35"/>
      <c r="B90" s="608" t="s">
        <v>340</v>
      </c>
      <c r="C90" s="227"/>
      <c r="D90" s="227"/>
      <c r="E90" s="227"/>
      <c r="F90" s="227"/>
      <c r="G90" s="227"/>
      <c r="H90" s="227"/>
      <c r="I90" s="227"/>
      <c r="J90" s="227"/>
      <c r="K90" s="122"/>
      <c r="L90" s="472"/>
      <c r="M90" s="285"/>
      <c r="N90" s="473"/>
      <c r="O90" s="285"/>
      <c r="P90" s="474"/>
      <c r="Q90" s="284"/>
      <c r="R90" s="284"/>
      <c r="S90" s="284"/>
      <c r="T90" s="284"/>
      <c r="U90" s="284"/>
      <c r="V90" s="285"/>
      <c r="W90" s="284"/>
      <c r="X90" s="285"/>
      <c r="Y90" s="285"/>
    </row>
    <row r="91" spans="1:25" ht="15.6" x14ac:dyDescent="0.3">
      <c r="A91" s="35"/>
      <c r="B91" s="616"/>
      <c r="C91" s="227"/>
      <c r="D91" s="227"/>
      <c r="E91" s="227"/>
      <c r="F91" s="227"/>
      <c r="G91" s="227"/>
      <c r="H91" s="227"/>
      <c r="I91" s="227"/>
      <c r="J91" s="227"/>
      <c r="K91" s="122"/>
      <c r="L91" s="472"/>
      <c r="M91" s="285"/>
      <c r="N91" s="473"/>
      <c r="O91" s="285"/>
      <c r="P91" s="287"/>
      <c r="Q91" s="284"/>
      <c r="R91" s="284"/>
      <c r="S91" s="284"/>
      <c r="T91" s="284"/>
      <c r="U91" s="284"/>
      <c r="V91" s="285"/>
      <c r="W91" s="284"/>
      <c r="X91" s="285"/>
      <c r="Y91" s="285"/>
    </row>
    <row r="92" spans="1:25" s="2" customFormat="1" ht="15.6" x14ac:dyDescent="0.3">
      <c r="A92" s="604" t="s">
        <v>341</v>
      </c>
      <c r="B92" s="605" t="s">
        <v>342</v>
      </c>
      <c r="C92" s="208">
        <f>SUM(C94:C98)</f>
        <v>2421.4000699999997</v>
      </c>
      <c r="D92" s="208">
        <f>SUM(D94:D98)</f>
        <v>876.21288000000004</v>
      </c>
      <c r="E92" s="208">
        <f>SUM(E94:E98)</f>
        <v>944</v>
      </c>
      <c r="F92" s="208">
        <f>SUM(F94:F98)</f>
        <v>1777</v>
      </c>
      <c r="G92" s="208">
        <f>SUM(G94+G96+G98+G100+G108)</f>
        <v>5326</v>
      </c>
      <c r="H92" s="208">
        <f>SUM(H94+H96+H98+H100+H108)</f>
        <v>4084</v>
      </c>
      <c r="I92" s="208">
        <f>SUM(I94+I96+I98+I100+I108)</f>
        <v>3429</v>
      </c>
      <c r="J92" s="208">
        <f>SUM(J94+J96+J98+J100+J108)</f>
        <v>2070</v>
      </c>
      <c r="K92" s="65">
        <v>1147</v>
      </c>
      <c r="L92" s="65">
        <f>SUM(L94+L96+L98+L100+L108)</f>
        <v>3174</v>
      </c>
      <c r="M92" s="66">
        <f>SUM(M94+M96+M98+M100+M108)</f>
        <v>3253.0640000000003</v>
      </c>
      <c r="N92" s="67">
        <f t="shared" ref="N92:Y92" si="13">SUM(N94+N96+N98+N100)</f>
        <v>2440.9265099999998</v>
      </c>
      <c r="O92" s="66">
        <f t="shared" si="13"/>
        <v>4000</v>
      </c>
      <c r="P92" s="68">
        <f t="shared" si="13"/>
        <v>7300</v>
      </c>
      <c r="Q92" s="65">
        <f t="shared" si="13"/>
        <v>6200</v>
      </c>
      <c r="R92" s="65">
        <f t="shared" si="13"/>
        <v>6400</v>
      </c>
      <c r="S92" s="65">
        <f t="shared" si="13"/>
        <v>29950</v>
      </c>
      <c r="T92" s="65">
        <f t="shared" si="13"/>
        <v>29700</v>
      </c>
      <c r="U92" s="65">
        <f t="shared" si="13"/>
        <v>26000</v>
      </c>
      <c r="V92" s="66">
        <f t="shared" si="13"/>
        <v>26000</v>
      </c>
      <c r="W92" s="65">
        <f t="shared" si="13"/>
        <v>26100</v>
      </c>
      <c r="X92" s="66">
        <f t="shared" si="13"/>
        <v>20100</v>
      </c>
      <c r="Y92" s="66">
        <f t="shared" si="13"/>
        <v>20100</v>
      </c>
    </row>
    <row r="93" spans="1:25" ht="15.6" x14ac:dyDescent="0.3">
      <c r="A93" s="53"/>
      <c r="B93" s="70"/>
      <c r="C93" s="114" t="s">
        <v>3</v>
      </c>
      <c r="D93" s="115"/>
      <c r="E93" s="115"/>
      <c r="F93" s="220" t="s">
        <v>3</v>
      </c>
      <c r="G93" s="89" t="s">
        <v>3</v>
      </c>
      <c r="H93" s="298" t="s">
        <v>3</v>
      </c>
      <c r="I93" s="299" t="s">
        <v>3</v>
      </c>
      <c r="J93" s="200" t="s">
        <v>3</v>
      </c>
      <c r="K93" s="163"/>
      <c r="L93" s="297" t="s">
        <v>3</v>
      </c>
      <c r="M93" s="291" t="s">
        <v>3</v>
      </c>
      <c r="N93" s="292"/>
      <c r="O93" s="291" t="s">
        <v>3</v>
      </c>
      <c r="P93" s="300" t="s">
        <v>3</v>
      </c>
      <c r="Q93" s="291" t="s">
        <v>3</v>
      </c>
      <c r="R93" s="166" t="s">
        <v>3</v>
      </c>
      <c r="S93" s="166" t="s">
        <v>3</v>
      </c>
      <c r="T93" s="164" t="s">
        <v>3</v>
      </c>
      <c r="U93" s="164" t="s">
        <v>3</v>
      </c>
      <c r="V93" s="164" t="s">
        <v>3</v>
      </c>
      <c r="W93" s="200" t="s">
        <v>3</v>
      </c>
      <c r="X93" s="164" t="s">
        <v>3</v>
      </c>
      <c r="Y93" s="164"/>
    </row>
    <row r="94" spans="1:25" s="197" customFormat="1" ht="15.6" x14ac:dyDescent="0.3">
      <c r="A94" s="35"/>
      <c r="B94" s="606" t="s">
        <v>126</v>
      </c>
      <c r="C94" s="208">
        <v>1508.0121300000001</v>
      </c>
      <c r="D94" s="208">
        <v>523.75525000000005</v>
      </c>
      <c r="E94" s="208">
        <v>629</v>
      </c>
      <c r="F94" s="208">
        <v>1150</v>
      </c>
      <c r="G94" s="208">
        <v>535</v>
      </c>
      <c r="H94" s="208">
        <v>614</v>
      </c>
      <c r="I94" s="208">
        <v>269</v>
      </c>
      <c r="J94" s="208">
        <v>665</v>
      </c>
      <c r="K94" s="65">
        <v>390</v>
      </c>
      <c r="L94" s="65">
        <v>305</v>
      </c>
      <c r="M94" s="66">
        <f>460115/1000</f>
        <v>460.11500000000001</v>
      </c>
      <c r="N94" s="67">
        <f>883725.83/1000</f>
        <v>883.72582999999997</v>
      </c>
      <c r="O94" s="66">
        <v>750</v>
      </c>
      <c r="P94" s="301">
        <v>750</v>
      </c>
      <c r="Q94" s="302">
        <f>950-200</f>
        <v>750</v>
      </c>
      <c r="R94" s="66">
        <v>1000</v>
      </c>
      <c r="S94" s="66">
        <v>1000</v>
      </c>
      <c r="T94" s="66">
        <v>800</v>
      </c>
      <c r="U94" s="66">
        <v>1000</v>
      </c>
      <c r="V94" s="66">
        <v>1000</v>
      </c>
      <c r="W94" s="65">
        <v>1000</v>
      </c>
      <c r="X94" s="66">
        <v>1000</v>
      </c>
      <c r="Y94" s="66">
        <v>1000</v>
      </c>
    </row>
    <row r="95" spans="1:25" s="197" customFormat="1" ht="15.6" x14ac:dyDescent="0.3">
      <c r="A95" s="35"/>
      <c r="B95" s="6"/>
      <c r="C95" s="208"/>
      <c r="D95" s="208"/>
      <c r="E95" s="208"/>
      <c r="F95" s="208"/>
      <c r="G95" s="208"/>
      <c r="H95" s="208"/>
      <c r="I95" s="208"/>
      <c r="J95" s="208"/>
      <c r="K95" s="65"/>
      <c r="L95" s="65"/>
      <c r="M95" s="66"/>
      <c r="N95" s="67"/>
      <c r="O95" s="66"/>
      <c r="P95" s="617"/>
      <c r="Q95" s="302"/>
      <c r="R95" s="66"/>
      <c r="S95" s="66"/>
      <c r="T95" s="66"/>
      <c r="U95" s="66"/>
      <c r="V95" s="66"/>
      <c r="W95" s="65"/>
      <c r="X95" s="66"/>
      <c r="Y95" s="66"/>
    </row>
    <row r="96" spans="1:25" s="197" customFormat="1" ht="15.6" x14ac:dyDescent="0.3">
      <c r="A96" s="35"/>
      <c r="B96" s="606" t="s">
        <v>127</v>
      </c>
      <c r="C96" s="208">
        <v>702.12091999999996</v>
      </c>
      <c r="D96" s="208">
        <v>195.61935</v>
      </c>
      <c r="E96" s="208">
        <v>197</v>
      </c>
      <c r="F96" s="208">
        <v>558</v>
      </c>
      <c r="G96" s="208">
        <v>602</v>
      </c>
      <c r="H96" s="208">
        <v>458</v>
      </c>
      <c r="I96" s="208">
        <v>174</v>
      </c>
      <c r="J96" s="208">
        <v>167</v>
      </c>
      <c r="K96" s="65">
        <v>270</v>
      </c>
      <c r="L96" s="65">
        <v>579</v>
      </c>
      <c r="M96" s="66">
        <f>639928/1000</f>
        <v>639.928</v>
      </c>
      <c r="N96" s="67">
        <f>637688.88/1000</f>
        <v>637.68888000000004</v>
      </c>
      <c r="O96" s="66">
        <v>1500</v>
      </c>
      <c r="P96" s="301">
        <f>2000-500</f>
        <v>1500</v>
      </c>
      <c r="Q96" s="302">
        <v>2300</v>
      </c>
      <c r="R96" s="302">
        <v>2850</v>
      </c>
      <c r="S96" s="302">
        <v>850</v>
      </c>
      <c r="T96" s="302">
        <v>800</v>
      </c>
      <c r="U96" s="302">
        <v>900</v>
      </c>
      <c r="V96" s="302">
        <v>900</v>
      </c>
      <c r="W96" s="302">
        <v>1000</v>
      </c>
      <c r="X96" s="302">
        <v>3500</v>
      </c>
      <c r="Y96" s="302">
        <v>3500</v>
      </c>
    </row>
    <row r="97" spans="1:25" s="197" customFormat="1" ht="15.6" x14ac:dyDescent="0.3">
      <c r="A97" s="35"/>
      <c r="B97" s="6"/>
      <c r="C97" s="208"/>
      <c r="D97" s="208"/>
      <c r="E97" s="208"/>
      <c r="F97" s="208"/>
      <c r="G97" s="208"/>
      <c r="H97" s="208"/>
      <c r="I97" s="208"/>
      <c r="J97" s="208"/>
      <c r="K97" s="65"/>
      <c r="L97" s="65"/>
      <c r="M97" s="66"/>
      <c r="N97" s="67"/>
      <c r="O97" s="66"/>
      <c r="P97" s="617"/>
      <c r="Q97" s="302"/>
      <c r="R97" s="302"/>
      <c r="S97" s="302"/>
      <c r="T97" s="302"/>
      <c r="U97" s="302"/>
      <c r="V97" s="302"/>
      <c r="W97" s="302"/>
      <c r="X97" s="302"/>
      <c r="Y97" s="302"/>
    </row>
    <row r="98" spans="1:25" s="197" customFormat="1" ht="15.6" x14ac:dyDescent="0.3">
      <c r="A98" s="35"/>
      <c r="B98" s="606" t="s">
        <v>128</v>
      </c>
      <c r="C98" s="208">
        <v>211.26702</v>
      </c>
      <c r="D98" s="208">
        <v>156.83828</v>
      </c>
      <c r="E98" s="208">
        <v>118</v>
      </c>
      <c r="F98" s="208">
        <v>69</v>
      </c>
      <c r="G98" s="208">
        <v>275</v>
      </c>
      <c r="H98" s="208">
        <v>241</v>
      </c>
      <c r="I98" s="208">
        <v>543</v>
      </c>
      <c r="J98" s="208">
        <v>179</v>
      </c>
      <c r="K98" s="65">
        <v>60</v>
      </c>
      <c r="L98" s="65">
        <v>528</v>
      </c>
      <c r="M98" s="66">
        <f>483906/1000</f>
        <v>483.90600000000001</v>
      </c>
      <c r="N98" s="67">
        <f>247459.15/1000</f>
        <v>247.45914999999999</v>
      </c>
      <c r="O98" s="66">
        <v>450</v>
      </c>
      <c r="P98" s="301">
        <v>450</v>
      </c>
      <c r="Q98" s="302">
        <v>450</v>
      </c>
      <c r="R98" s="302">
        <v>450</v>
      </c>
      <c r="S98" s="302">
        <v>600</v>
      </c>
      <c r="T98" s="302">
        <v>600</v>
      </c>
      <c r="U98" s="302">
        <v>600</v>
      </c>
      <c r="V98" s="302">
        <v>600</v>
      </c>
      <c r="W98" s="302">
        <v>600</v>
      </c>
      <c r="X98" s="302">
        <v>600</v>
      </c>
      <c r="Y98" s="302">
        <v>600</v>
      </c>
    </row>
    <row r="99" spans="1:25" s="197" customFormat="1" ht="15.6" x14ac:dyDescent="0.3">
      <c r="A99" s="35"/>
      <c r="B99" s="6"/>
      <c r="C99" s="208"/>
      <c r="D99" s="208"/>
      <c r="E99" s="208"/>
      <c r="F99" s="208"/>
      <c r="G99" s="208"/>
      <c r="H99" s="208"/>
      <c r="I99" s="208"/>
      <c r="J99" s="208"/>
      <c r="K99" s="65"/>
      <c r="L99" s="65"/>
      <c r="M99" s="66"/>
      <c r="N99" s="67"/>
      <c r="O99" s="66"/>
      <c r="P99" s="301"/>
      <c r="Q99" s="302"/>
      <c r="R99" s="302"/>
      <c r="S99" s="302"/>
      <c r="T99" s="302"/>
      <c r="U99" s="302"/>
      <c r="V99" s="302"/>
      <c r="W99" s="618"/>
      <c r="X99" s="302"/>
      <c r="Y99" s="302"/>
    </row>
    <row r="100" spans="1:25" s="197" customFormat="1" ht="15.6" x14ac:dyDescent="0.3">
      <c r="A100" s="35"/>
      <c r="B100" s="606" t="s">
        <v>129</v>
      </c>
      <c r="C100" s="208">
        <f>SUM(C102:C107)</f>
        <v>8443.3130000000001</v>
      </c>
      <c r="D100" s="208">
        <f>SUM(D102:D107)</f>
        <v>4549.549</v>
      </c>
      <c r="E100" s="208">
        <v>643</v>
      </c>
      <c r="F100" s="208">
        <f>SUM(F102:F107)</f>
        <v>2276</v>
      </c>
      <c r="G100" s="208">
        <f>SUM(G102:G107)</f>
        <v>3914</v>
      </c>
      <c r="H100" s="208">
        <v>2771</v>
      </c>
      <c r="I100" s="208">
        <v>2443</v>
      </c>
      <c r="J100" s="208">
        <v>1059</v>
      </c>
      <c r="K100" s="65">
        <v>430</v>
      </c>
      <c r="L100" s="65">
        <v>1762</v>
      </c>
      <c r="M100" s="66">
        <f>1669115/1000</f>
        <v>1669.115</v>
      </c>
      <c r="N100" s="67">
        <f>672052.65/1000</f>
        <v>672.05264999999997</v>
      </c>
      <c r="O100" s="66">
        <v>1300</v>
      </c>
      <c r="P100" s="68">
        <f>5200-600</f>
        <v>4600</v>
      </c>
      <c r="Q100" s="66">
        <f>2300+400</f>
        <v>2700</v>
      </c>
      <c r="R100" s="117">
        <f>2100</f>
        <v>2100</v>
      </c>
      <c r="S100" s="105">
        <f>2500+5000+20000</f>
        <v>27500</v>
      </c>
      <c r="T100" s="105">
        <f>2500+5000+20000</f>
        <v>27500</v>
      </c>
      <c r="U100" s="105">
        <f>3500+5000+15000</f>
        <v>23500</v>
      </c>
      <c r="V100" s="105">
        <f>3500+5000+15000</f>
        <v>23500</v>
      </c>
      <c r="W100" s="303">
        <f>3500+15000+5000</f>
        <v>23500</v>
      </c>
      <c r="X100" s="105">
        <f>5000+10000</f>
        <v>15000</v>
      </c>
      <c r="Y100" s="105">
        <f>5000+10000</f>
        <v>15000</v>
      </c>
    </row>
    <row r="101" spans="1:25" s="197" customFormat="1" ht="15.6" x14ac:dyDescent="0.3">
      <c r="A101" s="35"/>
      <c r="B101" s="6"/>
      <c r="C101" s="208"/>
      <c r="D101" s="208"/>
      <c r="E101" s="208"/>
      <c r="F101" s="208"/>
      <c r="G101" s="208"/>
      <c r="H101" s="208"/>
      <c r="I101" s="208"/>
      <c r="J101" s="208"/>
      <c r="K101" s="65"/>
      <c r="L101" s="65"/>
      <c r="M101" s="66"/>
      <c r="N101" s="67"/>
      <c r="O101" s="66"/>
      <c r="P101" s="68"/>
      <c r="Q101" s="66"/>
      <c r="R101" s="117"/>
      <c r="S101" s="106"/>
      <c r="T101" s="106"/>
      <c r="U101" s="106"/>
      <c r="V101" s="106"/>
      <c r="W101" s="619"/>
      <c r="X101" s="105"/>
      <c r="Y101" s="105"/>
    </row>
    <row r="102" spans="1:25" ht="15" x14ac:dyDescent="0.25">
      <c r="A102" s="53"/>
      <c r="B102" s="611" t="s">
        <v>65</v>
      </c>
      <c r="C102" s="227">
        <v>5148.1729999999998</v>
      </c>
      <c r="D102" s="227">
        <v>3946.1990000000001</v>
      </c>
      <c r="E102" s="227">
        <v>807</v>
      </c>
      <c r="F102" s="227">
        <v>1504</v>
      </c>
      <c r="G102" s="227">
        <v>2658</v>
      </c>
      <c r="H102" s="227">
        <v>1066</v>
      </c>
      <c r="I102" s="227">
        <v>564</v>
      </c>
      <c r="J102" s="227">
        <v>1000</v>
      </c>
      <c r="K102" s="122" t="s">
        <v>3</v>
      </c>
      <c r="L102" s="472"/>
      <c r="M102" s="285"/>
      <c r="N102" s="473"/>
      <c r="O102" s="285">
        <v>1800</v>
      </c>
      <c r="P102" s="474">
        <v>1000</v>
      </c>
      <c r="Q102" s="285">
        <v>1300</v>
      </c>
      <c r="R102" s="285">
        <v>1700</v>
      </c>
      <c r="S102" s="286">
        <v>2000</v>
      </c>
      <c r="T102" s="286">
        <v>1000</v>
      </c>
      <c r="U102" s="286">
        <v>1200</v>
      </c>
      <c r="V102" s="286">
        <v>2000</v>
      </c>
      <c r="W102" s="288">
        <v>2000</v>
      </c>
      <c r="X102" s="285">
        <v>2500</v>
      </c>
      <c r="Y102" s="285"/>
    </row>
    <row r="103" spans="1:25" ht="15" x14ac:dyDescent="0.25">
      <c r="A103" s="53"/>
      <c r="B103" s="611" t="s">
        <v>67</v>
      </c>
      <c r="C103" s="227">
        <v>619.52700000000004</v>
      </c>
      <c r="D103" s="227">
        <v>315.10599999999999</v>
      </c>
      <c r="E103" s="227">
        <v>180</v>
      </c>
      <c r="F103" s="227">
        <v>221</v>
      </c>
      <c r="G103" s="227">
        <v>495</v>
      </c>
      <c r="H103" s="227">
        <v>179</v>
      </c>
      <c r="I103" s="227">
        <v>814</v>
      </c>
      <c r="J103" s="227">
        <v>1210</v>
      </c>
      <c r="K103" s="122" t="s">
        <v>3</v>
      </c>
      <c r="L103" s="472"/>
      <c r="M103" s="285"/>
      <c r="N103" s="473"/>
      <c r="O103" s="285">
        <v>200</v>
      </c>
      <c r="P103" s="474">
        <v>100</v>
      </c>
      <c r="Q103" s="285">
        <v>700</v>
      </c>
      <c r="R103" s="285">
        <v>500</v>
      </c>
      <c r="S103" s="285">
        <v>600</v>
      </c>
      <c r="T103" s="285">
        <v>800</v>
      </c>
      <c r="U103" s="285">
        <v>1200</v>
      </c>
      <c r="V103" s="285">
        <v>1300</v>
      </c>
      <c r="W103" s="284">
        <v>1400</v>
      </c>
      <c r="X103" s="285">
        <v>1500</v>
      </c>
      <c r="Y103" s="285"/>
    </row>
    <row r="104" spans="1:25" ht="15" x14ac:dyDescent="0.25">
      <c r="A104" s="53"/>
      <c r="B104" s="611" t="s">
        <v>68</v>
      </c>
      <c r="C104" s="227">
        <v>76.48</v>
      </c>
      <c r="D104" s="227">
        <v>97.004000000000005</v>
      </c>
      <c r="E104" s="227">
        <v>130</v>
      </c>
      <c r="F104" s="227">
        <v>210</v>
      </c>
      <c r="G104" s="227">
        <v>28</v>
      </c>
      <c r="H104" s="227">
        <v>51</v>
      </c>
      <c r="I104" s="227">
        <v>118</v>
      </c>
      <c r="J104" s="227">
        <v>780</v>
      </c>
      <c r="K104" s="122" t="s">
        <v>3</v>
      </c>
      <c r="L104" s="472"/>
      <c r="M104" s="285"/>
      <c r="N104" s="473"/>
      <c r="O104" s="285">
        <v>200</v>
      </c>
      <c r="P104" s="474">
        <v>400</v>
      </c>
      <c r="Q104" s="285">
        <v>900</v>
      </c>
      <c r="R104" s="285">
        <v>400</v>
      </c>
      <c r="S104" s="286">
        <v>400</v>
      </c>
      <c r="T104" s="286">
        <f>400</f>
        <v>400</v>
      </c>
      <c r="U104" s="473">
        <f>400+3000</f>
        <v>3400</v>
      </c>
      <c r="V104" s="473">
        <f>800+13000</f>
        <v>13800</v>
      </c>
      <c r="W104" s="475">
        <f>800+14000</f>
        <v>14800</v>
      </c>
      <c r="X104" s="285">
        <v>800</v>
      </c>
      <c r="Y104" s="285"/>
    </row>
    <row r="105" spans="1:25" ht="15" x14ac:dyDescent="0.25">
      <c r="A105" s="53"/>
      <c r="B105" s="611" t="s">
        <v>69</v>
      </c>
      <c r="C105" s="227">
        <v>173.60400000000001</v>
      </c>
      <c r="D105" s="227">
        <v>81.593999999999994</v>
      </c>
      <c r="E105" s="227">
        <v>145</v>
      </c>
      <c r="F105" s="227">
        <v>96</v>
      </c>
      <c r="G105" s="227">
        <v>42</v>
      </c>
      <c r="H105" s="227">
        <v>111</v>
      </c>
      <c r="I105" s="227">
        <v>453</v>
      </c>
      <c r="J105" s="227">
        <v>200</v>
      </c>
      <c r="K105" s="122" t="s">
        <v>3</v>
      </c>
      <c r="L105" s="472"/>
      <c r="M105" s="285"/>
      <c r="N105" s="473"/>
      <c r="O105" s="285">
        <v>100</v>
      </c>
      <c r="P105" s="474">
        <v>400</v>
      </c>
      <c r="Q105" s="285">
        <v>600</v>
      </c>
      <c r="R105" s="285">
        <v>800</v>
      </c>
      <c r="S105" s="286">
        <v>600</v>
      </c>
      <c r="T105" s="286">
        <v>800</v>
      </c>
      <c r="U105" s="286">
        <v>800</v>
      </c>
      <c r="V105" s="286">
        <v>800</v>
      </c>
      <c r="W105" s="288">
        <v>800</v>
      </c>
      <c r="X105" s="285">
        <v>1100</v>
      </c>
      <c r="Y105" s="285"/>
    </row>
    <row r="106" spans="1:25" ht="15" x14ac:dyDescent="0.25">
      <c r="A106" s="53"/>
      <c r="B106" s="611" t="s">
        <v>70</v>
      </c>
      <c r="C106" s="227">
        <f>240.569+2005.683</f>
        <v>2246.252</v>
      </c>
      <c r="D106" s="227">
        <v>93.552999999999997</v>
      </c>
      <c r="E106" s="227">
        <v>284</v>
      </c>
      <c r="F106" s="227">
        <v>207</v>
      </c>
      <c r="G106" s="227">
        <v>189</v>
      </c>
      <c r="H106" s="227">
        <v>57</v>
      </c>
      <c r="I106" s="227">
        <v>100</v>
      </c>
      <c r="J106" s="227">
        <v>420</v>
      </c>
      <c r="K106" s="122" t="s">
        <v>3</v>
      </c>
      <c r="L106" s="472"/>
      <c r="M106" s="285"/>
      <c r="N106" s="473"/>
      <c r="O106" s="285">
        <v>300</v>
      </c>
      <c r="P106" s="474">
        <v>500</v>
      </c>
      <c r="Q106" s="285">
        <v>300</v>
      </c>
      <c r="R106" s="285">
        <v>200</v>
      </c>
      <c r="S106" s="286">
        <v>900</v>
      </c>
      <c r="T106" s="286">
        <v>950</v>
      </c>
      <c r="U106" s="286">
        <v>800</v>
      </c>
      <c r="V106" s="286">
        <v>600</v>
      </c>
      <c r="W106" s="288">
        <v>600</v>
      </c>
      <c r="X106" s="285">
        <v>600</v>
      </c>
      <c r="Y106" s="285"/>
    </row>
    <row r="107" spans="1:25" ht="15" x14ac:dyDescent="0.25">
      <c r="A107" s="53"/>
      <c r="B107" s="611" t="s">
        <v>71</v>
      </c>
      <c r="C107" s="227">
        <v>179.27699999999999</v>
      </c>
      <c r="D107" s="227">
        <v>16.093</v>
      </c>
      <c r="E107" s="227">
        <v>0</v>
      </c>
      <c r="F107" s="227">
        <v>38</v>
      </c>
      <c r="G107" s="227">
        <v>502</v>
      </c>
      <c r="H107" s="227">
        <v>46</v>
      </c>
      <c r="I107" s="227">
        <v>275</v>
      </c>
      <c r="J107" s="227">
        <v>200</v>
      </c>
      <c r="K107" s="122" t="s">
        <v>3</v>
      </c>
      <c r="L107" s="472"/>
      <c r="M107" s="285"/>
      <c r="N107" s="473"/>
      <c r="O107" s="285">
        <v>200</v>
      </c>
      <c r="P107" s="474">
        <v>100</v>
      </c>
      <c r="Q107" s="285">
        <v>2100</v>
      </c>
      <c r="R107" s="285">
        <v>1300</v>
      </c>
      <c r="S107" s="285">
        <v>400</v>
      </c>
      <c r="T107" s="285">
        <v>150</v>
      </c>
      <c r="U107" s="285">
        <v>200</v>
      </c>
      <c r="V107" s="285">
        <v>300</v>
      </c>
      <c r="W107" s="284">
        <v>200</v>
      </c>
      <c r="X107" s="285">
        <v>300</v>
      </c>
      <c r="Y107" s="285"/>
    </row>
    <row r="108" spans="1:25" s="2" customFormat="1" ht="15" x14ac:dyDescent="0.25">
      <c r="A108" s="53"/>
      <c r="B108" s="611" t="s">
        <v>72</v>
      </c>
      <c r="C108" s="227"/>
      <c r="D108" s="227"/>
      <c r="E108" s="227"/>
      <c r="F108" s="227"/>
      <c r="G108" s="227"/>
      <c r="H108" s="227"/>
      <c r="I108" s="227"/>
      <c r="J108" s="227"/>
      <c r="K108" s="122"/>
      <c r="L108" s="472"/>
      <c r="M108" s="285"/>
      <c r="N108" s="473"/>
      <c r="O108" s="285"/>
      <c r="P108" s="474"/>
      <c r="Q108" s="285"/>
      <c r="R108" s="285"/>
      <c r="S108" s="285"/>
      <c r="T108" s="285"/>
      <c r="U108" s="285"/>
      <c r="V108" s="285"/>
      <c r="W108" s="284"/>
      <c r="X108" s="285"/>
      <c r="Y108" s="285"/>
    </row>
    <row r="109" spans="1:25" s="2" customFormat="1" ht="15" x14ac:dyDescent="0.25">
      <c r="A109" s="53"/>
      <c r="B109" s="611" t="s">
        <v>90</v>
      </c>
      <c r="C109" s="227">
        <v>50.472000000000001</v>
      </c>
      <c r="D109" s="227">
        <v>37.334000000000003</v>
      </c>
      <c r="E109" s="227">
        <v>153</v>
      </c>
      <c r="F109" s="227">
        <v>311</v>
      </c>
      <c r="G109" s="227">
        <v>97</v>
      </c>
      <c r="H109" s="227">
        <v>284</v>
      </c>
      <c r="I109" s="227">
        <v>256</v>
      </c>
      <c r="J109" s="227">
        <v>390</v>
      </c>
      <c r="K109" s="122" t="s">
        <v>3</v>
      </c>
      <c r="L109" s="472"/>
      <c r="M109" s="285"/>
      <c r="N109" s="473"/>
      <c r="O109" s="285">
        <v>200</v>
      </c>
      <c r="P109" s="474">
        <v>200</v>
      </c>
      <c r="Q109" s="285">
        <v>200</v>
      </c>
      <c r="R109" s="285">
        <v>2200</v>
      </c>
      <c r="S109" s="285">
        <v>1600</v>
      </c>
      <c r="T109" s="285">
        <v>600</v>
      </c>
      <c r="U109" s="285">
        <v>600</v>
      </c>
      <c r="V109" s="285" t="s">
        <v>91</v>
      </c>
      <c r="W109" s="284">
        <v>600</v>
      </c>
      <c r="X109" s="285">
        <v>600</v>
      </c>
      <c r="Y109" s="285"/>
    </row>
    <row r="110" spans="1:25" s="2" customFormat="1" ht="15.6" x14ac:dyDescent="0.3">
      <c r="A110" s="53"/>
      <c r="B110" s="92"/>
      <c r="C110" s="208"/>
      <c r="D110" s="208"/>
      <c r="E110" s="208"/>
      <c r="F110" s="208"/>
      <c r="G110" s="208"/>
      <c r="H110" s="208"/>
      <c r="I110" s="208"/>
      <c r="J110" s="208"/>
      <c r="K110" s="122"/>
      <c r="L110" s="305"/>
      <c r="M110" s="306"/>
      <c r="N110" s="307"/>
      <c r="O110" s="306"/>
      <c r="P110" s="308"/>
      <c r="Q110" s="306"/>
      <c r="R110" s="306"/>
      <c r="S110" s="307"/>
      <c r="T110" s="307"/>
      <c r="U110" s="307"/>
      <c r="V110" s="307"/>
      <c r="W110" s="309"/>
      <c r="X110" s="306"/>
      <c r="Y110" s="306"/>
    </row>
    <row r="111" spans="1:25" s="2" customFormat="1" ht="15.6" x14ac:dyDescent="0.3">
      <c r="A111" s="53"/>
      <c r="B111" s="606" t="s">
        <v>343</v>
      </c>
      <c r="C111" s="208"/>
      <c r="D111" s="208"/>
      <c r="E111" s="208"/>
      <c r="F111" s="208"/>
      <c r="G111" s="208"/>
      <c r="H111" s="208"/>
      <c r="I111" s="208"/>
      <c r="J111" s="208"/>
      <c r="K111" s="122"/>
      <c r="L111" s="305"/>
      <c r="M111" s="306"/>
      <c r="N111" s="307"/>
      <c r="O111" s="306"/>
      <c r="P111" s="308"/>
      <c r="Q111" s="306"/>
      <c r="R111" s="306"/>
      <c r="S111" s="307"/>
      <c r="T111" s="307"/>
      <c r="U111" s="307"/>
      <c r="V111" s="307"/>
      <c r="W111" s="309"/>
      <c r="X111" s="306"/>
      <c r="Y111" s="306"/>
    </row>
    <row r="112" spans="1:25" ht="15.6" x14ac:dyDescent="0.3">
      <c r="A112" s="35"/>
      <c r="B112" s="70" t="s">
        <v>3</v>
      </c>
      <c r="C112" s="208"/>
      <c r="D112" s="208"/>
      <c r="E112" s="220" t="s">
        <v>3</v>
      </c>
      <c r="F112" s="310" t="s">
        <v>3</v>
      </c>
      <c r="G112" s="296" t="s">
        <v>3</v>
      </c>
      <c r="H112" s="225" t="s">
        <v>3</v>
      </c>
      <c r="I112" s="225" t="s">
        <v>3</v>
      </c>
      <c r="J112" s="244" t="s">
        <v>3</v>
      </c>
      <c r="K112" s="65" t="s">
        <v>3</v>
      </c>
      <c r="L112" s="311"/>
      <c r="M112" s="312"/>
      <c r="N112" s="313"/>
      <c r="O112" s="314"/>
      <c r="P112" s="315"/>
      <c r="Q112" s="314"/>
      <c r="R112" s="314"/>
      <c r="S112" s="316"/>
      <c r="T112" s="316"/>
      <c r="U112" s="316"/>
      <c r="V112" s="316"/>
      <c r="W112" s="317"/>
      <c r="X112" s="314"/>
      <c r="Y112" s="314"/>
    </row>
    <row r="113" spans="1:25" ht="15.75" customHeight="1" x14ac:dyDescent="0.3">
      <c r="A113" s="242" t="s">
        <v>130</v>
      </c>
      <c r="B113" s="108" t="s">
        <v>131</v>
      </c>
      <c r="C113" s="319"/>
      <c r="D113" s="319"/>
      <c r="E113" s="173" t="e">
        <f>SUM(E115+E117+E119+E121+E123+E125)</f>
        <v>#REF!</v>
      </c>
      <c r="F113" s="173" t="e">
        <f>SUM(F115+F117+F119+F121+F123+F125)</f>
        <v>#REF!</v>
      </c>
      <c r="G113" s="173" t="e">
        <f>SUM(G115+G117+G119+G121+G123+G125+G127)</f>
        <v>#REF!</v>
      </c>
      <c r="H113" s="173" t="e">
        <f>SUM(H115+H117+H119+H121+H123+H125+H127+H129)</f>
        <v>#REF!</v>
      </c>
      <c r="I113" s="173" t="e">
        <f>SUM(I115+I117+I119+I121+I123+I125+I127+I129)</f>
        <v>#REF!</v>
      </c>
      <c r="J113" s="173" t="e">
        <f>SUM(J115+J117+J119+J121+J123+J125+J127+J129)</f>
        <v>#REF!</v>
      </c>
      <c r="K113" s="94" t="e">
        <f>SUM(K115+K117+K119+K121+K123+K125+K127+K129)</f>
        <v>#REF!</v>
      </c>
      <c r="L113" s="94">
        <f>SUM(L115+L117+L119+L121+L123+L125+L127+L129)</f>
        <v>81905</v>
      </c>
      <c r="M113" s="95">
        <f>SUM(M115+M117+M119+M121+M123+M125+M127+M129+M131)</f>
        <v>71084.733999999982</v>
      </c>
      <c r="N113" s="96">
        <f>77389925.76/1000</f>
        <v>77389.925759999998</v>
      </c>
      <c r="O113" s="95">
        <f t="shared" ref="O113:X113" si="14">O115+O117+O119+O121+O123+O125+O127+O129+O131</f>
        <v>0</v>
      </c>
      <c r="P113" s="97">
        <f t="shared" si="14"/>
        <v>0</v>
      </c>
      <c r="Q113" s="94">
        <f t="shared" si="14"/>
        <v>0</v>
      </c>
      <c r="R113" s="94">
        <f t="shared" si="14"/>
        <v>0</v>
      </c>
      <c r="S113" s="94">
        <f t="shared" si="14"/>
        <v>0</v>
      </c>
      <c r="T113" s="94">
        <f t="shared" si="14"/>
        <v>0</v>
      </c>
      <c r="U113" s="94">
        <f t="shared" si="14"/>
        <v>0</v>
      </c>
      <c r="V113" s="94">
        <f t="shared" si="14"/>
        <v>0</v>
      </c>
      <c r="W113" s="94">
        <f t="shared" si="14"/>
        <v>0</v>
      </c>
      <c r="X113" s="95">
        <f t="shared" si="14"/>
        <v>0</v>
      </c>
      <c r="Y113" s="95"/>
    </row>
    <row r="114" spans="1:25" ht="15" customHeight="1" x14ac:dyDescent="0.3">
      <c r="A114" s="53"/>
      <c r="B114" s="70"/>
      <c r="C114" s="227"/>
      <c r="D114" s="227"/>
      <c r="E114" s="227"/>
      <c r="F114" s="227"/>
      <c r="G114" s="227"/>
      <c r="H114" s="320"/>
      <c r="I114" s="177"/>
      <c r="J114" s="321"/>
      <c r="K114" s="322"/>
      <c r="L114" s="322"/>
      <c r="M114" s="323"/>
      <c r="N114" s="324"/>
      <c r="O114" s="323"/>
      <c r="P114" s="325"/>
      <c r="Q114" s="323"/>
      <c r="R114" s="323"/>
      <c r="S114" s="323"/>
      <c r="T114" s="323"/>
      <c r="U114" s="323"/>
      <c r="V114" s="323"/>
      <c r="W114" s="322"/>
      <c r="X114" s="323"/>
      <c r="Y114" s="323"/>
    </row>
    <row r="115" spans="1:25" s="2" customFormat="1" ht="15.75" customHeight="1" x14ac:dyDescent="0.3">
      <c r="A115" s="604" t="s">
        <v>133</v>
      </c>
      <c r="B115" s="605" t="s">
        <v>134</v>
      </c>
      <c r="C115" s="208" t="e">
        <f>#REF!</f>
        <v>#REF!</v>
      </c>
      <c r="D115" s="208" t="e">
        <f>#REF!</f>
        <v>#REF!</v>
      </c>
      <c r="E115" s="208" t="e">
        <f>#REF!</f>
        <v>#REF!</v>
      </c>
      <c r="F115" s="208" t="e">
        <f>#REF!</f>
        <v>#REF!</v>
      </c>
      <c r="G115" s="208" t="e">
        <f>#REF!</f>
        <v>#REF!</v>
      </c>
      <c r="H115" s="208" t="e">
        <f>#REF!</f>
        <v>#REF!</v>
      </c>
      <c r="I115" s="208" t="e">
        <f>#REF!</f>
        <v>#REF!</v>
      </c>
      <c r="J115" s="208" t="e">
        <f>#REF!</f>
        <v>#REF!</v>
      </c>
      <c r="K115" s="65" t="e">
        <f>#REF!</f>
        <v>#REF!</v>
      </c>
      <c r="L115" s="65">
        <v>2617</v>
      </c>
      <c r="M115" s="66">
        <f>188606/1000</f>
        <v>188.60599999999999</v>
      </c>
      <c r="N115" s="67"/>
      <c r="O115" s="66"/>
      <c r="P115" s="68"/>
      <c r="Q115" s="67"/>
      <c r="R115" s="67"/>
      <c r="S115" s="67"/>
      <c r="T115" s="67"/>
      <c r="U115" s="67"/>
      <c r="V115" s="67"/>
      <c r="W115" s="67"/>
      <c r="X115" s="67"/>
      <c r="Y115" s="67"/>
    </row>
    <row r="116" spans="1:25" ht="15" customHeight="1" x14ac:dyDescent="0.3">
      <c r="A116" s="53"/>
      <c r="B116" s="70"/>
      <c r="C116" s="114" t="s">
        <v>3</v>
      </c>
      <c r="D116" s="115" t="s">
        <v>3</v>
      </c>
      <c r="E116" s="115" t="s">
        <v>3</v>
      </c>
      <c r="F116" s="220" t="s">
        <v>3</v>
      </c>
      <c r="G116" s="89" t="s">
        <v>3</v>
      </c>
      <c r="H116" s="205" t="s">
        <v>3</v>
      </c>
      <c r="I116" s="299" t="s">
        <v>3</v>
      </c>
      <c r="J116" s="347" t="s">
        <v>3</v>
      </c>
      <c r="K116" s="163" t="s">
        <v>3</v>
      </c>
      <c r="L116" s="297" t="s">
        <v>3</v>
      </c>
      <c r="M116" s="291" t="s">
        <v>3</v>
      </c>
      <c r="N116" s="292"/>
      <c r="O116" s="291"/>
      <c r="P116" s="300"/>
      <c r="Q116" s="291"/>
      <c r="R116" s="291"/>
      <c r="S116" s="292"/>
      <c r="T116" s="292"/>
      <c r="U116" s="292"/>
      <c r="V116" s="292"/>
      <c r="W116" s="294"/>
      <c r="X116" s="291"/>
      <c r="Y116" s="291"/>
    </row>
    <row r="117" spans="1:25" s="2" customFormat="1" ht="15.75" customHeight="1" x14ac:dyDescent="0.3">
      <c r="A117" s="604" t="s">
        <v>139</v>
      </c>
      <c r="B117" s="605" t="s">
        <v>140</v>
      </c>
      <c r="C117" s="208" t="e">
        <f>SUM(#REF!)</f>
        <v>#REF!</v>
      </c>
      <c r="D117" s="208" t="e">
        <f>SUM(#REF!)</f>
        <v>#REF!</v>
      </c>
      <c r="E117" s="208" t="e">
        <f>SUM(#REF!)</f>
        <v>#REF!</v>
      </c>
      <c r="F117" s="208" t="e">
        <f>SUM(#REF!)</f>
        <v>#REF!</v>
      </c>
      <c r="G117" s="208" t="e">
        <f>SUM(#REF!)</f>
        <v>#REF!</v>
      </c>
      <c r="H117" s="208" t="e">
        <f>SUM(#REF!)</f>
        <v>#REF!</v>
      </c>
      <c r="I117" s="208" t="e">
        <f>SUM(#REF!)</f>
        <v>#REF!</v>
      </c>
      <c r="J117" s="208" t="e">
        <f>#REF!+#REF!</f>
        <v>#REF!</v>
      </c>
      <c r="K117" s="65" t="e">
        <f>#REF!+#REF!</f>
        <v>#REF!</v>
      </c>
      <c r="L117" s="65">
        <v>16920</v>
      </c>
      <c r="M117" s="66">
        <f>22806918/1000</f>
        <v>22806.918000000001</v>
      </c>
      <c r="N117" s="67"/>
      <c r="O117" s="66"/>
      <c r="P117" s="68"/>
      <c r="Q117" s="65"/>
      <c r="R117" s="65"/>
      <c r="S117" s="65"/>
      <c r="T117" s="66"/>
      <c r="U117" s="66"/>
      <c r="V117" s="66"/>
      <c r="W117" s="65"/>
      <c r="X117" s="66"/>
      <c r="Y117" s="66"/>
    </row>
    <row r="118" spans="1:25" s="2" customFormat="1" ht="15.75" customHeight="1" x14ac:dyDescent="0.3">
      <c r="A118" s="35"/>
      <c r="B118" s="70"/>
      <c r="C118" s="114" t="s">
        <v>3</v>
      </c>
      <c r="D118" s="115" t="s">
        <v>3</v>
      </c>
      <c r="E118" s="115" t="s">
        <v>3</v>
      </c>
      <c r="F118" s="352" t="s">
        <v>3</v>
      </c>
      <c r="G118" s="89" t="s">
        <v>3</v>
      </c>
      <c r="H118" s="205" t="s">
        <v>3</v>
      </c>
      <c r="I118" s="299" t="s">
        <v>3</v>
      </c>
      <c r="J118" s="347" t="s">
        <v>3</v>
      </c>
      <c r="K118" s="163" t="s">
        <v>3</v>
      </c>
      <c r="L118" s="98" t="s">
        <v>3</v>
      </c>
      <c r="M118" s="166" t="s">
        <v>3</v>
      </c>
      <c r="N118" s="193"/>
      <c r="O118" s="166"/>
      <c r="P118" s="247"/>
      <c r="Q118" s="166"/>
      <c r="R118" s="166"/>
      <c r="S118" s="193"/>
      <c r="T118" s="166"/>
      <c r="U118" s="166"/>
      <c r="V118" s="166"/>
      <c r="W118" s="163"/>
      <c r="X118" s="166"/>
      <c r="Y118" s="166"/>
    </row>
    <row r="119" spans="1:25" s="2" customFormat="1" ht="15.75" customHeight="1" x14ac:dyDescent="0.3">
      <c r="A119" s="604" t="s">
        <v>150</v>
      </c>
      <c r="B119" s="554" t="s">
        <v>151</v>
      </c>
      <c r="C119" s="208" t="e">
        <f>#REF!+#REF!</f>
        <v>#REF!</v>
      </c>
      <c r="D119" s="208" t="e">
        <f>#REF!+#REF!</f>
        <v>#REF!</v>
      </c>
      <c r="E119" s="208" t="e">
        <f>#REF!+#REF!</f>
        <v>#REF!</v>
      </c>
      <c r="F119" s="208" t="e">
        <f>#REF!+#REF!</f>
        <v>#REF!</v>
      </c>
      <c r="G119" s="208" t="e">
        <f>#REF!+#REF!</f>
        <v>#REF!</v>
      </c>
      <c r="H119" s="208" t="e">
        <f>#REF!+#REF!</f>
        <v>#REF!</v>
      </c>
      <c r="I119" s="208" t="e">
        <f>#REF!+#REF!</f>
        <v>#REF!</v>
      </c>
      <c r="J119" s="208" t="e">
        <f>#REF!+#REF!</f>
        <v>#REF!</v>
      </c>
      <c r="K119" s="65">
        <v>14964</v>
      </c>
      <c r="L119" s="65">
        <v>15704</v>
      </c>
      <c r="M119" s="66">
        <f>14397551/1000</f>
        <v>14397.550999999999</v>
      </c>
      <c r="N119" s="67"/>
      <c r="O119" s="66"/>
      <c r="P119" s="68"/>
      <c r="Q119" s="66"/>
      <c r="R119" s="66"/>
      <c r="S119" s="66"/>
      <c r="T119" s="66"/>
      <c r="U119" s="66"/>
      <c r="V119" s="66"/>
      <c r="W119" s="65"/>
      <c r="X119" s="66"/>
      <c r="Y119" s="66"/>
    </row>
    <row r="120" spans="1:25" s="2" customFormat="1" ht="15.75" customHeight="1" x14ac:dyDescent="0.3">
      <c r="A120" s="35"/>
      <c r="B120" s="70"/>
      <c r="C120" s="115" t="s">
        <v>3</v>
      </c>
      <c r="D120" s="115" t="s">
        <v>3</v>
      </c>
      <c r="E120" s="115" t="s">
        <v>3</v>
      </c>
      <c r="F120" s="352" t="s">
        <v>3</v>
      </c>
      <c r="G120" s="89" t="s">
        <v>3</v>
      </c>
      <c r="H120" s="205" t="s">
        <v>3</v>
      </c>
      <c r="I120" s="299" t="s">
        <v>3</v>
      </c>
      <c r="J120" s="347" t="s">
        <v>3</v>
      </c>
      <c r="K120" s="163" t="s">
        <v>3</v>
      </c>
      <c r="L120" s="98" t="s">
        <v>3</v>
      </c>
      <c r="M120" s="166" t="s">
        <v>3</v>
      </c>
      <c r="N120" s="193"/>
      <c r="O120" s="166"/>
      <c r="P120" s="247"/>
      <c r="Q120" s="166"/>
      <c r="R120" s="166"/>
      <c r="S120" s="193"/>
      <c r="T120" s="193"/>
      <c r="U120" s="193"/>
      <c r="V120" s="193"/>
      <c r="W120" s="248"/>
      <c r="X120" s="166"/>
      <c r="Y120" s="166"/>
    </row>
    <row r="121" spans="1:25" s="2" customFormat="1" ht="15.75" customHeight="1" x14ac:dyDescent="0.3">
      <c r="A121" s="604" t="s">
        <v>165</v>
      </c>
      <c r="B121" s="554" t="s">
        <v>166</v>
      </c>
      <c r="C121" s="208" t="e">
        <f>SUM(#REF!)</f>
        <v>#REF!</v>
      </c>
      <c r="D121" s="208" t="e">
        <f>SUM(#REF!)</f>
        <v>#REF!</v>
      </c>
      <c r="E121" s="208" t="e">
        <f>SUM(#REF!)</f>
        <v>#REF!</v>
      </c>
      <c r="F121" s="208" t="e">
        <f>SUM(#REF!)</f>
        <v>#REF!</v>
      </c>
      <c r="G121" s="208" t="e">
        <f>SUM(#REF!)</f>
        <v>#REF!</v>
      </c>
      <c r="H121" s="208" t="e">
        <f>SUM(#REF!)</f>
        <v>#REF!</v>
      </c>
      <c r="I121" s="208" t="e">
        <f>SUM(#REF!+#REF!)</f>
        <v>#REF!</v>
      </c>
      <c r="J121" s="208">
        <v>6588</v>
      </c>
      <c r="K121" s="65" t="e">
        <f>SUM(#REF!+#REF!)</f>
        <v>#REF!</v>
      </c>
      <c r="L121" s="65">
        <v>2910</v>
      </c>
      <c r="M121" s="66">
        <f>7898551/1000</f>
        <v>7898.5510000000004</v>
      </c>
      <c r="N121" s="67"/>
      <c r="O121" s="66"/>
      <c r="P121" s="68"/>
      <c r="Q121" s="65"/>
      <c r="R121" s="65"/>
      <c r="S121" s="65"/>
      <c r="T121" s="65"/>
      <c r="U121" s="65"/>
      <c r="V121" s="66"/>
      <c r="W121" s="65"/>
      <c r="X121" s="66"/>
      <c r="Y121" s="66"/>
    </row>
    <row r="122" spans="1:25" s="2" customFormat="1" ht="15.75" customHeight="1" x14ac:dyDescent="0.3">
      <c r="A122" s="35"/>
      <c r="B122" s="70"/>
      <c r="C122" s="65"/>
      <c r="D122" s="115" t="s">
        <v>3</v>
      </c>
      <c r="E122" s="115" t="s">
        <v>3</v>
      </c>
      <c r="F122" s="352" t="s">
        <v>3</v>
      </c>
      <c r="G122" s="89" t="s">
        <v>3</v>
      </c>
      <c r="H122" s="205" t="s">
        <v>3</v>
      </c>
      <c r="I122" s="299" t="s">
        <v>3</v>
      </c>
      <c r="J122" s="347" t="s">
        <v>3</v>
      </c>
      <c r="K122" s="163" t="s">
        <v>3</v>
      </c>
      <c r="L122" s="363" t="s">
        <v>3</v>
      </c>
      <c r="M122" s="278"/>
      <c r="N122" s="279"/>
      <c r="O122" s="278"/>
      <c r="P122" s="280"/>
      <c r="Q122" s="278"/>
      <c r="R122" s="278"/>
      <c r="S122" s="279"/>
      <c r="T122" s="279"/>
      <c r="U122" s="279"/>
      <c r="V122" s="279"/>
      <c r="W122" s="281"/>
      <c r="X122" s="278"/>
      <c r="Y122" s="278"/>
    </row>
    <row r="123" spans="1:25" s="2" customFormat="1" ht="15.75" customHeight="1" x14ac:dyDescent="0.3">
      <c r="A123" s="604" t="s">
        <v>182</v>
      </c>
      <c r="B123" s="554" t="s">
        <v>183</v>
      </c>
      <c r="C123" s="208" t="e">
        <f>+#REF!+#REF!+#REF!</f>
        <v>#REF!</v>
      </c>
      <c r="D123" s="208" t="e">
        <f>+#REF!+#REF!+#REF!+#REF!</f>
        <v>#REF!</v>
      </c>
      <c r="E123" s="208" t="e">
        <f>+#REF!+#REF!+#REF!+#REF!</f>
        <v>#REF!</v>
      </c>
      <c r="F123" s="208" t="e">
        <f>+#REF!+#REF!+#REF!+#REF!</f>
        <v>#REF!</v>
      </c>
      <c r="G123" s="208" t="e">
        <f>+#REF!+#REF!+#REF!+#REF!</f>
        <v>#REF!</v>
      </c>
      <c r="H123" s="208" t="e">
        <f>+#REF!+#REF!+#REF!+#REF!</f>
        <v>#REF!</v>
      </c>
      <c r="I123" s="208" t="e">
        <f>+#REF!+#REF!+#REF!+#REF!</f>
        <v>#REF!</v>
      </c>
      <c r="J123" s="208">
        <v>26158</v>
      </c>
      <c r="K123" s="65" t="e">
        <f>+#REF!+#REF!+#REF!+#REF!</f>
        <v>#REF!</v>
      </c>
      <c r="L123" s="65">
        <v>34897</v>
      </c>
      <c r="M123" s="66">
        <f>18964599/1000</f>
        <v>18964.598999999998</v>
      </c>
      <c r="N123" s="67"/>
      <c r="O123" s="66"/>
      <c r="P123" s="68"/>
      <c r="Q123" s="226"/>
      <c r="R123" s="66"/>
      <c r="S123" s="66"/>
      <c r="T123" s="66"/>
      <c r="U123" s="66"/>
      <c r="V123" s="66"/>
      <c r="W123" s="65"/>
      <c r="X123" s="66"/>
      <c r="Y123" s="66"/>
    </row>
    <row r="124" spans="1:25" s="2" customFormat="1" ht="15.75" customHeight="1" x14ac:dyDescent="0.3">
      <c r="A124" s="35"/>
      <c r="B124" s="70"/>
      <c r="C124" s="65"/>
      <c r="D124" s="115"/>
      <c r="E124" s="115" t="s">
        <v>3</v>
      </c>
      <c r="F124" s="352" t="s">
        <v>3</v>
      </c>
      <c r="G124" s="89" t="s">
        <v>3</v>
      </c>
      <c r="H124" s="205" t="s">
        <v>3</v>
      </c>
      <c r="I124" s="299" t="s">
        <v>3</v>
      </c>
      <c r="J124" s="347" t="s">
        <v>3</v>
      </c>
      <c r="K124" s="163" t="s">
        <v>3</v>
      </c>
      <c r="L124" s="363" t="s">
        <v>3</v>
      </c>
      <c r="M124" s="278" t="s">
        <v>3</v>
      </c>
      <c r="N124" s="279"/>
      <c r="O124" s="278"/>
      <c r="P124" s="280"/>
      <c r="Q124" s="278"/>
      <c r="R124" s="278"/>
      <c r="S124" s="279"/>
      <c r="T124" s="279"/>
      <c r="U124" s="279"/>
      <c r="V124" s="279"/>
      <c r="W124" s="281"/>
      <c r="X124" s="278"/>
      <c r="Y124" s="278"/>
    </row>
    <row r="125" spans="1:25" s="2" customFormat="1" ht="15.75" customHeight="1" x14ac:dyDescent="0.3">
      <c r="A125" s="604" t="s">
        <v>198</v>
      </c>
      <c r="B125" s="554" t="s">
        <v>199</v>
      </c>
      <c r="C125" s="208">
        <v>0</v>
      </c>
      <c r="D125" s="208">
        <v>0</v>
      </c>
      <c r="E125" s="208">
        <v>0</v>
      </c>
      <c r="F125" s="208">
        <v>0</v>
      </c>
      <c r="G125" s="208" t="e">
        <f>+#REF!+#REF!</f>
        <v>#REF!</v>
      </c>
      <c r="H125" s="208" t="e">
        <f>+#REF!+#REF!</f>
        <v>#REF!</v>
      </c>
      <c r="I125" s="208" t="e">
        <f>+#REF!+#REF!</f>
        <v>#REF!</v>
      </c>
      <c r="J125" s="208">
        <v>3101</v>
      </c>
      <c r="K125" s="65" t="e">
        <f>+#REF!+#REF!</f>
        <v>#REF!</v>
      </c>
      <c r="L125" s="65">
        <v>5913</v>
      </c>
      <c r="M125" s="66">
        <f>3835464/1000</f>
        <v>3835.4639999999999</v>
      </c>
      <c r="N125" s="67"/>
      <c r="O125" s="66"/>
      <c r="P125" s="68"/>
      <c r="Q125" s="66"/>
      <c r="R125" s="66"/>
      <c r="S125" s="66"/>
      <c r="T125" s="66"/>
      <c r="U125" s="66"/>
      <c r="V125" s="66"/>
      <c r="W125" s="65"/>
      <c r="X125" s="66"/>
      <c r="Y125" s="66"/>
    </row>
    <row r="126" spans="1:25" s="2" customFormat="1" ht="15.75" customHeight="1" x14ac:dyDescent="0.3">
      <c r="A126" s="35"/>
      <c r="B126" s="70" t="s">
        <v>3</v>
      </c>
      <c r="C126" s="208"/>
      <c r="D126" s="208"/>
      <c r="E126" s="208"/>
      <c r="F126" s="208"/>
      <c r="G126" s="208"/>
      <c r="H126" s="208"/>
      <c r="I126" s="208"/>
      <c r="J126" s="208"/>
      <c r="K126" s="65"/>
      <c r="L126" s="372" t="s">
        <v>3</v>
      </c>
      <c r="M126" s="278" t="s">
        <v>3</v>
      </c>
      <c r="N126" s="279"/>
      <c r="O126" s="278"/>
      <c r="P126" s="280"/>
      <c r="Q126" s="278"/>
      <c r="R126" s="278"/>
      <c r="S126" s="279"/>
      <c r="T126" s="279"/>
      <c r="U126" s="279"/>
      <c r="V126" s="279"/>
      <c r="W126" s="281"/>
      <c r="X126" s="278"/>
      <c r="Y126" s="278"/>
    </row>
    <row r="127" spans="1:25" s="2" customFormat="1" ht="15.75" customHeight="1" x14ac:dyDescent="0.3">
      <c r="A127" s="604" t="s">
        <v>202</v>
      </c>
      <c r="B127" s="554" t="s">
        <v>203</v>
      </c>
      <c r="C127" s="208"/>
      <c r="D127" s="208"/>
      <c r="E127" s="208"/>
      <c r="F127" s="208"/>
      <c r="G127" s="208">
        <v>1154</v>
      </c>
      <c r="H127" s="208">
        <v>2156</v>
      </c>
      <c r="I127" s="208">
        <v>2237</v>
      </c>
      <c r="J127" s="208">
        <v>2317</v>
      </c>
      <c r="K127" s="65">
        <v>1554</v>
      </c>
      <c r="L127" s="375">
        <v>508</v>
      </c>
      <c r="M127" s="274">
        <f>2472302/1000</f>
        <v>2472.3020000000001</v>
      </c>
      <c r="N127" s="275"/>
      <c r="O127" s="274"/>
      <c r="P127" s="276"/>
      <c r="Q127" s="274"/>
      <c r="R127" s="274"/>
      <c r="S127" s="275"/>
      <c r="T127" s="275"/>
      <c r="U127" s="275"/>
      <c r="V127" s="275"/>
      <c r="W127" s="277"/>
      <c r="X127" s="274"/>
      <c r="Y127" s="274"/>
    </row>
    <row r="128" spans="1:25" s="2" customFormat="1" ht="15.75" customHeight="1" x14ac:dyDescent="0.3">
      <c r="A128" s="35"/>
      <c r="B128" s="70"/>
      <c r="C128" s="208"/>
      <c r="D128" s="208"/>
      <c r="E128" s="208"/>
      <c r="F128" s="208"/>
      <c r="G128" s="208"/>
      <c r="H128" s="208"/>
      <c r="I128" s="208"/>
      <c r="J128" s="244"/>
      <c r="K128" s="65"/>
      <c r="L128" s="363" t="s">
        <v>3</v>
      </c>
      <c r="M128" s="278" t="s">
        <v>3</v>
      </c>
      <c r="N128" s="279"/>
      <c r="O128" s="278"/>
      <c r="P128" s="280"/>
      <c r="Q128" s="278"/>
      <c r="R128" s="278"/>
      <c r="S128" s="279"/>
      <c r="T128" s="279"/>
      <c r="U128" s="279"/>
      <c r="V128" s="279"/>
      <c r="W128" s="281"/>
      <c r="X128" s="278"/>
      <c r="Y128" s="278"/>
    </row>
    <row r="129" spans="1:25" s="2" customFormat="1" ht="15.75" customHeight="1" x14ac:dyDescent="0.3">
      <c r="A129" s="620" t="s">
        <v>204</v>
      </c>
      <c r="B129" s="554" t="s">
        <v>344</v>
      </c>
      <c r="C129" s="208"/>
      <c r="D129" s="208"/>
      <c r="E129" s="208"/>
      <c r="F129" s="208"/>
      <c r="G129" s="208"/>
      <c r="H129" s="208"/>
      <c r="I129" s="208">
        <v>689</v>
      </c>
      <c r="J129" s="208">
        <v>2038</v>
      </c>
      <c r="K129" s="65">
        <v>3093</v>
      </c>
      <c r="L129" s="375">
        <v>2436</v>
      </c>
      <c r="M129" s="274">
        <f>356282/1000</f>
        <v>356.28199999999998</v>
      </c>
      <c r="N129" s="275"/>
      <c r="O129" s="274"/>
      <c r="P129" s="276"/>
      <c r="Q129" s="274"/>
      <c r="R129" s="274"/>
      <c r="S129" s="275"/>
      <c r="T129" s="275"/>
      <c r="U129" s="275"/>
      <c r="V129" s="275"/>
      <c r="W129" s="277"/>
      <c r="X129" s="274"/>
      <c r="Y129" s="274"/>
    </row>
    <row r="130" spans="1:25" s="2" customFormat="1" ht="15.75" customHeight="1" x14ac:dyDescent="0.3">
      <c r="A130" s="35"/>
      <c r="B130" s="70"/>
      <c r="C130" s="208"/>
      <c r="D130" s="208"/>
      <c r="E130" s="208"/>
      <c r="F130" s="208"/>
      <c r="G130" s="208"/>
      <c r="H130" s="208"/>
      <c r="I130" s="208"/>
      <c r="J130" s="244" t="s">
        <v>3</v>
      </c>
      <c r="K130" s="65"/>
      <c r="L130" s="363" t="s">
        <v>3</v>
      </c>
      <c r="M130" s="274"/>
      <c r="N130" s="275"/>
      <c r="O130" s="274"/>
      <c r="P130" s="276"/>
      <c r="Q130" s="274"/>
      <c r="R130" s="274"/>
      <c r="S130" s="275"/>
      <c r="T130" s="275"/>
      <c r="U130" s="275"/>
      <c r="V130" s="275"/>
      <c r="W130" s="277"/>
      <c r="X130" s="274"/>
      <c r="Y130" s="274"/>
    </row>
    <row r="131" spans="1:25" s="2" customFormat="1" ht="15.75" customHeight="1" x14ac:dyDescent="0.3">
      <c r="A131" s="621" t="s">
        <v>207</v>
      </c>
      <c r="B131" s="554" t="s">
        <v>208</v>
      </c>
      <c r="C131" s="208"/>
      <c r="D131" s="208"/>
      <c r="E131" s="208"/>
      <c r="F131" s="208"/>
      <c r="G131" s="208"/>
      <c r="H131" s="208"/>
      <c r="I131" s="208"/>
      <c r="J131" s="244"/>
      <c r="K131" s="65"/>
      <c r="L131" s="363"/>
      <c r="M131" s="274">
        <f>164461/1000</f>
        <v>164.46100000000001</v>
      </c>
      <c r="N131" s="275"/>
      <c r="O131" s="274"/>
      <c r="P131" s="276"/>
      <c r="Q131" s="274"/>
      <c r="R131" s="274"/>
      <c r="S131" s="275"/>
      <c r="T131" s="275"/>
      <c r="U131" s="275"/>
      <c r="V131" s="275"/>
      <c r="W131" s="277"/>
      <c r="X131" s="274"/>
      <c r="Y131" s="274"/>
    </row>
    <row r="132" spans="1:25" s="2" customFormat="1" ht="15.75" customHeight="1" x14ac:dyDescent="0.3">
      <c r="A132" s="622"/>
      <c r="B132" s="381"/>
      <c r="C132" s="232"/>
      <c r="D132" s="232"/>
      <c r="E132" s="232"/>
      <c r="F132" s="232"/>
      <c r="G132" s="232"/>
      <c r="H132" s="232"/>
      <c r="I132" s="232"/>
      <c r="J132" s="382" t="s">
        <v>3</v>
      </c>
      <c r="K132" s="383"/>
      <c r="L132" s="384" t="s">
        <v>3</v>
      </c>
      <c r="M132" s="385" t="s">
        <v>3</v>
      </c>
      <c r="N132" s="386"/>
      <c r="O132" s="387" t="s">
        <v>3</v>
      </c>
      <c r="P132" s="388" t="s">
        <v>3</v>
      </c>
      <c r="Q132" s="389" t="s">
        <v>3</v>
      </c>
      <c r="R132" s="389" t="s">
        <v>3</v>
      </c>
      <c r="S132" s="389" t="s">
        <v>3</v>
      </c>
      <c r="T132" s="390" t="s">
        <v>3</v>
      </c>
      <c r="U132" s="390" t="s">
        <v>3</v>
      </c>
      <c r="V132" s="390" t="s">
        <v>3</v>
      </c>
      <c r="W132" s="391" t="s">
        <v>3</v>
      </c>
      <c r="X132" s="392" t="s">
        <v>3</v>
      </c>
      <c r="Y132" s="392"/>
    </row>
    <row r="133" spans="1:25" ht="15.75" customHeight="1" x14ac:dyDescent="0.3">
      <c r="A133" s="242" t="s">
        <v>345</v>
      </c>
      <c r="B133" s="108" t="s">
        <v>209</v>
      </c>
      <c r="C133" s="173">
        <v>4010</v>
      </c>
      <c r="D133" s="173">
        <v>2489</v>
      </c>
      <c r="E133" s="173" t="e">
        <f>SUM(#REF!)</f>
        <v>#REF!</v>
      </c>
      <c r="F133" s="173" t="e">
        <f>SUM(#REF!)</f>
        <v>#REF!</v>
      </c>
      <c r="G133" s="173" t="e">
        <f>SUM(#REF!)</f>
        <v>#REF!</v>
      </c>
      <c r="H133" s="173" t="e">
        <f>SUM(#REF!)</f>
        <v>#REF!</v>
      </c>
      <c r="I133" s="173" t="e">
        <f>SUM(#REF!)</f>
        <v>#REF!</v>
      </c>
      <c r="J133" s="394" t="e">
        <f>SUM(#REF!)</f>
        <v>#REF!</v>
      </c>
      <c r="K133" s="94" t="e">
        <f>SUM(#REF!)</f>
        <v>#REF!</v>
      </c>
      <c r="L133" s="94" t="e">
        <f>SUM(#REF!)</f>
        <v>#REF!</v>
      </c>
      <c r="M133" s="95">
        <f>872624/1000</f>
        <v>872.62400000000002</v>
      </c>
      <c r="N133" s="96">
        <f>916242.72/1000</f>
        <v>916.24271999999996</v>
      </c>
      <c r="O133" s="95" t="e">
        <f>SUM(#REF!)+O134</f>
        <v>#REF!</v>
      </c>
      <c r="P133" s="97" t="e">
        <f>SUM(#REF!)</f>
        <v>#REF!</v>
      </c>
      <c r="Q133" s="95" t="e">
        <f>SUM(#REF!)</f>
        <v>#REF!</v>
      </c>
      <c r="R133" s="95" t="e">
        <f>SUM(#REF!)</f>
        <v>#REF!</v>
      </c>
      <c r="S133" s="109" t="e">
        <f>SUM(#REF!)</f>
        <v>#REF!</v>
      </c>
      <c r="T133" s="109" t="e">
        <f>SUM(#REF!)</f>
        <v>#REF!</v>
      </c>
      <c r="U133" s="95" t="e">
        <f>SUM(#REF!)</f>
        <v>#REF!</v>
      </c>
      <c r="V133" s="95" t="e">
        <f>SUM(#REF!)</f>
        <v>#REF!</v>
      </c>
      <c r="W133" s="94" t="e">
        <f>SUM(#REF!)</f>
        <v>#REF!</v>
      </c>
      <c r="X133" s="95" t="e">
        <f>SUM(#REF!)</f>
        <v>#REF!</v>
      </c>
      <c r="Y133" s="95" t="e">
        <f>SUM(#REF!)</f>
        <v>#REF!</v>
      </c>
    </row>
    <row r="134" spans="1:25" ht="15.75" customHeight="1" x14ac:dyDescent="0.3">
      <c r="A134" s="35"/>
      <c r="B134" s="70"/>
      <c r="C134" s="173"/>
      <c r="D134" s="173"/>
      <c r="E134" s="396"/>
      <c r="F134" s="173"/>
      <c r="G134" s="173"/>
      <c r="H134" s="173"/>
      <c r="I134" s="173"/>
      <c r="J134" s="173"/>
      <c r="K134" s="94"/>
      <c r="L134" s="94"/>
      <c r="M134" s="95"/>
      <c r="N134" s="96"/>
      <c r="O134" s="72">
        <v>590</v>
      </c>
      <c r="P134" s="97"/>
      <c r="Q134" s="95"/>
      <c r="R134" s="95"/>
      <c r="S134" s="109"/>
      <c r="T134" s="109"/>
      <c r="U134" s="95"/>
      <c r="V134" s="95"/>
      <c r="W134" s="94"/>
      <c r="X134" s="95"/>
      <c r="Y134" s="95"/>
    </row>
    <row r="135" spans="1:25" ht="15.6" x14ac:dyDescent="0.3">
      <c r="A135" s="623" t="s">
        <v>232</v>
      </c>
      <c r="B135" s="424" t="s">
        <v>233</v>
      </c>
      <c r="C135" s="425">
        <f t="shared" ref="C135:N135" si="15">C137+C184</f>
        <v>27888.924930000005</v>
      </c>
      <c r="D135" s="425">
        <f t="shared" si="15"/>
        <v>21906.233</v>
      </c>
      <c r="E135" s="425">
        <f t="shared" si="15"/>
        <v>18969</v>
      </c>
      <c r="F135" s="425" t="e">
        <f t="shared" si="15"/>
        <v>#REF!</v>
      </c>
      <c r="G135" s="425" t="e">
        <f t="shared" si="15"/>
        <v>#REF!</v>
      </c>
      <c r="H135" s="425" t="e">
        <f t="shared" si="15"/>
        <v>#REF!</v>
      </c>
      <c r="I135" s="425" t="e">
        <f t="shared" si="15"/>
        <v>#REF!</v>
      </c>
      <c r="J135" s="425" t="e">
        <f t="shared" si="15"/>
        <v>#REF!</v>
      </c>
      <c r="K135" s="426" t="e">
        <f t="shared" si="15"/>
        <v>#REF!</v>
      </c>
      <c r="L135" s="426">
        <f t="shared" si="15"/>
        <v>23078</v>
      </c>
      <c r="M135" s="427">
        <f t="shared" si="15"/>
        <v>37403.515240000001</v>
      </c>
      <c r="N135" s="428">
        <f t="shared" si="15"/>
        <v>23593.45868</v>
      </c>
      <c r="O135" s="427" t="e">
        <f>31900+#REF!</f>
        <v>#REF!</v>
      </c>
      <c r="P135" s="429">
        <f t="shared" ref="P135:Y135" si="16">P137</f>
        <v>20800</v>
      </c>
      <c r="Q135" s="430">
        <f t="shared" si="16"/>
        <v>22800</v>
      </c>
      <c r="R135" s="431">
        <f t="shared" si="16"/>
        <v>21800</v>
      </c>
      <c r="S135" s="431">
        <f t="shared" si="16"/>
        <v>21400</v>
      </c>
      <c r="T135" s="431">
        <f t="shared" si="16"/>
        <v>19100</v>
      </c>
      <c r="U135" s="431">
        <f t="shared" si="16"/>
        <v>24400</v>
      </c>
      <c r="V135" s="431">
        <f t="shared" si="16"/>
        <v>44600</v>
      </c>
      <c r="W135" s="432">
        <f t="shared" si="16"/>
        <v>49300</v>
      </c>
      <c r="X135" s="431">
        <f t="shared" si="16"/>
        <v>24500</v>
      </c>
      <c r="Y135" s="431">
        <f t="shared" si="16"/>
        <v>11000</v>
      </c>
    </row>
    <row r="136" spans="1:25" ht="15" customHeight="1" x14ac:dyDescent="0.3">
      <c r="A136" s="35"/>
      <c r="B136" s="73"/>
      <c r="C136" s="75"/>
      <c r="D136" s="75"/>
      <c r="E136" s="2"/>
      <c r="F136" s="75"/>
      <c r="G136" s="75"/>
      <c r="H136" s="75"/>
      <c r="I136" s="75"/>
      <c r="J136" s="75"/>
      <c r="K136" s="76"/>
      <c r="L136" s="77"/>
      <c r="M136" s="78"/>
      <c r="N136" s="435"/>
      <c r="O136" s="79"/>
      <c r="P136" s="80"/>
      <c r="Q136" s="436"/>
      <c r="R136" s="436"/>
      <c r="S136" s="436"/>
      <c r="T136" s="436"/>
      <c r="U136" s="436"/>
      <c r="V136" s="436"/>
      <c r="W136" s="437"/>
      <c r="X136" s="81"/>
      <c r="Y136" s="81"/>
    </row>
    <row r="137" spans="1:25" s="1" customFormat="1" ht="15.75" customHeight="1" x14ac:dyDescent="0.3">
      <c r="A137" s="603" t="s">
        <v>346</v>
      </c>
      <c r="B137" s="108" t="s">
        <v>234</v>
      </c>
      <c r="C137" s="94">
        <f t="shared" ref="C137:M137" si="17">SUM(C141+C154+C169)</f>
        <v>27387.925000000003</v>
      </c>
      <c r="D137" s="94">
        <f t="shared" si="17"/>
        <v>18499.233</v>
      </c>
      <c r="E137" s="94">
        <f t="shared" si="17"/>
        <v>16458</v>
      </c>
      <c r="F137" s="94">
        <f t="shared" si="17"/>
        <v>19045</v>
      </c>
      <c r="G137" s="94">
        <f t="shared" si="17"/>
        <v>18766</v>
      </c>
      <c r="H137" s="94">
        <f t="shared" si="17"/>
        <v>13777</v>
      </c>
      <c r="I137" s="94">
        <f t="shared" si="17"/>
        <v>12838</v>
      </c>
      <c r="J137" s="94">
        <f t="shared" si="17"/>
        <v>12077</v>
      </c>
      <c r="K137" s="94">
        <f t="shared" si="17"/>
        <v>13540.59151</v>
      </c>
      <c r="L137" s="94">
        <f t="shared" si="17"/>
        <v>11620</v>
      </c>
      <c r="M137" s="95">
        <f t="shared" si="17"/>
        <v>28546.826239999999</v>
      </c>
      <c r="N137" s="96">
        <f t="shared" ref="N137:Y137" si="18">N139+N169</f>
        <v>19237.967809999998</v>
      </c>
      <c r="O137" s="95">
        <f t="shared" si="18"/>
        <v>31900</v>
      </c>
      <c r="P137" s="440">
        <f t="shared" si="18"/>
        <v>20800</v>
      </c>
      <c r="Q137" s="441">
        <f t="shared" si="18"/>
        <v>22800</v>
      </c>
      <c r="R137" s="96">
        <f t="shared" si="18"/>
        <v>21800</v>
      </c>
      <c r="S137" s="96">
        <f t="shared" si="18"/>
        <v>21400</v>
      </c>
      <c r="T137" s="96">
        <f t="shared" si="18"/>
        <v>19100</v>
      </c>
      <c r="U137" s="96">
        <f t="shared" si="18"/>
        <v>24400</v>
      </c>
      <c r="V137" s="96">
        <f t="shared" si="18"/>
        <v>44600</v>
      </c>
      <c r="W137" s="442">
        <f t="shared" si="18"/>
        <v>49300</v>
      </c>
      <c r="X137" s="95">
        <f t="shared" si="18"/>
        <v>24500</v>
      </c>
      <c r="Y137" s="95">
        <f t="shared" si="18"/>
        <v>11000</v>
      </c>
    </row>
    <row r="138" spans="1:25" s="1" customFormat="1" ht="15.6" x14ac:dyDescent="0.3">
      <c r="A138" s="624"/>
      <c r="B138" s="34"/>
      <c r="C138" s="115"/>
      <c r="D138" s="115"/>
      <c r="E138" s="115"/>
      <c r="F138" s="444"/>
      <c r="G138" s="115"/>
      <c r="H138" s="115"/>
      <c r="I138" s="163"/>
      <c r="J138" s="115"/>
      <c r="K138" s="115"/>
      <c r="L138" s="445"/>
      <c r="M138" s="446" t="s">
        <v>3</v>
      </c>
      <c r="N138" s="447"/>
      <c r="O138" s="446" t="s">
        <v>3</v>
      </c>
      <c r="P138" s="625" t="s">
        <v>3</v>
      </c>
      <c r="Q138" s="449" t="s">
        <v>3</v>
      </c>
      <c r="R138" s="449"/>
      <c r="S138" s="450"/>
      <c r="T138" s="450"/>
      <c r="U138" s="450"/>
      <c r="V138" s="450"/>
      <c r="W138" s="451"/>
      <c r="X138" s="449"/>
      <c r="Y138" s="449"/>
    </row>
    <row r="139" spans="1:25" s="459" customFormat="1" ht="15.6" x14ac:dyDescent="0.3">
      <c r="A139" s="626" t="s">
        <v>347</v>
      </c>
      <c r="B139" s="605" t="s">
        <v>235</v>
      </c>
      <c r="C139" s="454">
        <f t="shared" ref="C139:I139" si="19">SUM(C141+C154)</f>
        <v>11788.925000000001</v>
      </c>
      <c r="D139" s="454">
        <f t="shared" si="19"/>
        <v>5190.2330000000002</v>
      </c>
      <c r="E139" s="454">
        <f t="shared" si="19"/>
        <v>2438</v>
      </c>
      <c r="F139" s="454">
        <f t="shared" si="19"/>
        <v>4863</v>
      </c>
      <c r="G139" s="454">
        <f t="shared" si="19"/>
        <v>7925</v>
      </c>
      <c r="H139" s="454">
        <f t="shared" si="19"/>
        <v>3304</v>
      </c>
      <c r="I139" s="454">
        <f t="shared" si="19"/>
        <v>4340</v>
      </c>
      <c r="J139" s="454">
        <v>4949</v>
      </c>
      <c r="K139" s="454">
        <v>6517</v>
      </c>
      <c r="L139" s="454">
        <f>SUM(L141+L154)</f>
        <v>192</v>
      </c>
      <c r="M139" s="455">
        <f>18888017/1000</f>
        <v>18888.017</v>
      </c>
      <c r="N139" s="456">
        <f>11167324.29/1000</f>
        <v>11167.324289999999</v>
      </c>
      <c r="O139" s="455">
        <v>14400</v>
      </c>
      <c r="P139" s="457">
        <f t="shared" ref="P139:U139" si="20">P141+P154</f>
        <v>6200</v>
      </c>
      <c r="Q139" s="458">
        <f t="shared" si="20"/>
        <v>13000</v>
      </c>
      <c r="R139" s="454">
        <f t="shared" si="20"/>
        <v>13000</v>
      </c>
      <c r="S139" s="454">
        <f t="shared" si="20"/>
        <v>12400</v>
      </c>
      <c r="T139" s="454">
        <f t="shared" si="20"/>
        <v>9800</v>
      </c>
      <c r="U139" s="455">
        <f t="shared" si="20"/>
        <v>16800</v>
      </c>
      <c r="V139" s="455">
        <f>V141+V154+1000</f>
        <v>39600</v>
      </c>
      <c r="W139" s="454">
        <f>W141+W154</f>
        <v>41200</v>
      </c>
      <c r="X139" s="455">
        <f>X141+X154</f>
        <v>15200</v>
      </c>
      <c r="Y139" s="455">
        <f>Y141+Y154</f>
        <v>1000</v>
      </c>
    </row>
    <row r="140" spans="1:25" s="1" customFormat="1" ht="15.6" x14ac:dyDescent="0.3">
      <c r="A140" s="627"/>
      <c r="B140" s="99"/>
      <c r="C140" s="461"/>
      <c r="D140" s="461"/>
      <c r="E140" s="461"/>
      <c r="F140" s="462"/>
      <c r="G140" s="461"/>
      <c r="H140" s="461"/>
      <c r="I140" s="463"/>
      <c r="J140" s="464"/>
      <c r="K140" s="465"/>
      <c r="L140" s="372"/>
      <c r="M140" s="278"/>
      <c r="N140" s="279"/>
      <c r="O140" s="278"/>
      <c r="P140" s="466"/>
      <c r="Q140" s="467"/>
      <c r="R140" s="467"/>
      <c r="S140" s="468"/>
      <c r="T140" s="468"/>
      <c r="U140" s="468"/>
      <c r="V140" s="468"/>
      <c r="W140" s="469"/>
      <c r="X140" s="467"/>
      <c r="Y140" s="467"/>
    </row>
    <row r="141" spans="1:25" s="1" customFormat="1" ht="15.6" x14ac:dyDescent="0.3">
      <c r="A141" s="628" t="s">
        <v>3</v>
      </c>
      <c r="B141" s="606" t="s">
        <v>348</v>
      </c>
      <c r="C141" s="65">
        <f t="shared" ref="C141:I141" si="21">SUM(C143:C149)</f>
        <v>8443.3130000000001</v>
      </c>
      <c r="D141" s="65">
        <f t="shared" si="21"/>
        <v>4549.549</v>
      </c>
      <c r="E141" s="65">
        <f t="shared" si="21"/>
        <v>1546</v>
      </c>
      <c r="F141" s="65">
        <f t="shared" si="21"/>
        <v>2276</v>
      </c>
      <c r="G141" s="65">
        <f t="shared" si="21"/>
        <v>3914</v>
      </c>
      <c r="H141" s="65">
        <f t="shared" si="21"/>
        <v>1510</v>
      </c>
      <c r="I141" s="65">
        <f t="shared" si="21"/>
        <v>2324</v>
      </c>
      <c r="J141" s="65">
        <f>2593818.38/1000</f>
        <v>2593.8183799999997</v>
      </c>
      <c r="K141" s="65">
        <f>3123729.97/1000</f>
        <v>3123.7299700000003</v>
      </c>
      <c r="L141" s="65">
        <f>SUM(L143:L150)</f>
        <v>0</v>
      </c>
      <c r="M141" s="66">
        <f>8022091.64/1000+54</f>
        <v>8076.0916399999996</v>
      </c>
      <c r="N141" s="66">
        <f>SUM(N143:N150)</f>
        <v>0</v>
      </c>
      <c r="O141" s="67"/>
      <c r="P141" s="68">
        <f t="shared" ref="P141:Y141" si="22">SUM(P143:P149)</f>
        <v>2500</v>
      </c>
      <c r="Q141" s="105">
        <f t="shared" si="22"/>
        <v>5900</v>
      </c>
      <c r="R141" s="66">
        <f t="shared" si="22"/>
        <v>4900</v>
      </c>
      <c r="S141" s="66">
        <f t="shared" si="22"/>
        <v>4900</v>
      </c>
      <c r="T141" s="66">
        <f t="shared" si="22"/>
        <v>4100</v>
      </c>
      <c r="U141" s="66">
        <f t="shared" si="22"/>
        <v>7600</v>
      </c>
      <c r="V141" s="66">
        <f t="shared" si="22"/>
        <v>18800</v>
      </c>
      <c r="W141" s="65">
        <f t="shared" si="22"/>
        <v>19800</v>
      </c>
      <c r="X141" s="66">
        <f t="shared" si="22"/>
        <v>6800</v>
      </c>
      <c r="Y141" s="66">
        <f t="shared" si="22"/>
        <v>0</v>
      </c>
    </row>
    <row r="142" spans="1:25" s="1" customFormat="1" ht="15.6" x14ac:dyDescent="0.3">
      <c r="A142" s="628"/>
      <c r="B142" s="103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6"/>
      <c r="N142" s="67"/>
      <c r="O142" s="67"/>
      <c r="P142" s="629"/>
      <c r="Q142" s="105"/>
      <c r="R142" s="66"/>
      <c r="S142" s="67"/>
      <c r="T142" s="67"/>
      <c r="U142" s="67"/>
      <c r="V142" s="67"/>
      <c r="W142" s="226"/>
      <c r="X142" s="66"/>
      <c r="Y142" s="66"/>
    </row>
    <row r="143" spans="1:25" s="1" customFormat="1" ht="15.6" x14ac:dyDescent="0.3">
      <c r="A143" s="628" t="s">
        <v>3</v>
      </c>
      <c r="B143" s="611" t="s">
        <v>65</v>
      </c>
      <c r="C143" s="227">
        <v>5148.1729999999998</v>
      </c>
      <c r="D143" s="227">
        <v>3946.1990000000001</v>
      </c>
      <c r="E143" s="227">
        <v>807</v>
      </c>
      <c r="F143" s="227">
        <v>1504</v>
      </c>
      <c r="G143" s="227">
        <v>2658</v>
      </c>
      <c r="H143" s="227">
        <v>1066</v>
      </c>
      <c r="I143" s="227">
        <v>564</v>
      </c>
      <c r="J143" s="227">
        <v>1000</v>
      </c>
      <c r="K143" s="122" t="s">
        <v>3</v>
      </c>
      <c r="L143" s="472"/>
      <c r="M143" s="285"/>
      <c r="N143" s="473"/>
      <c r="O143" s="285">
        <v>1800</v>
      </c>
      <c r="P143" s="474">
        <v>1000</v>
      </c>
      <c r="Q143" s="285">
        <v>1300</v>
      </c>
      <c r="R143" s="285">
        <v>1700</v>
      </c>
      <c r="S143" s="286">
        <v>2000</v>
      </c>
      <c r="T143" s="286">
        <v>1000</v>
      </c>
      <c r="U143" s="286">
        <v>1200</v>
      </c>
      <c r="V143" s="286">
        <v>2000</v>
      </c>
      <c r="W143" s="288">
        <v>2000</v>
      </c>
      <c r="X143" s="285">
        <v>2500</v>
      </c>
      <c r="Y143" s="285"/>
    </row>
    <row r="144" spans="1:25" s="1" customFormat="1" ht="15.6" x14ac:dyDescent="0.3">
      <c r="A144" s="628" t="s">
        <v>3</v>
      </c>
      <c r="B144" s="611" t="s">
        <v>67</v>
      </c>
      <c r="C144" s="227">
        <v>619.52700000000004</v>
      </c>
      <c r="D144" s="227">
        <v>315.10599999999999</v>
      </c>
      <c r="E144" s="227">
        <v>180</v>
      </c>
      <c r="F144" s="227">
        <v>221</v>
      </c>
      <c r="G144" s="227">
        <v>495</v>
      </c>
      <c r="H144" s="227">
        <v>179</v>
      </c>
      <c r="I144" s="227">
        <v>814</v>
      </c>
      <c r="J144" s="227">
        <v>1210</v>
      </c>
      <c r="K144" s="122" t="s">
        <v>3</v>
      </c>
      <c r="L144" s="472"/>
      <c r="M144" s="285"/>
      <c r="N144" s="473"/>
      <c r="O144" s="285">
        <v>200</v>
      </c>
      <c r="P144" s="474">
        <v>100</v>
      </c>
      <c r="Q144" s="285">
        <v>700</v>
      </c>
      <c r="R144" s="285">
        <v>500</v>
      </c>
      <c r="S144" s="285">
        <v>600</v>
      </c>
      <c r="T144" s="285">
        <v>800</v>
      </c>
      <c r="U144" s="285">
        <v>1200</v>
      </c>
      <c r="V144" s="285">
        <v>1300</v>
      </c>
      <c r="W144" s="284">
        <v>1400</v>
      </c>
      <c r="X144" s="285">
        <v>1500</v>
      </c>
      <c r="Y144" s="285"/>
    </row>
    <row r="145" spans="1:33" s="1" customFormat="1" ht="15.6" x14ac:dyDescent="0.3">
      <c r="A145" s="628" t="s">
        <v>3</v>
      </c>
      <c r="B145" s="611" t="s">
        <v>68</v>
      </c>
      <c r="C145" s="227">
        <v>76.48</v>
      </c>
      <c r="D145" s="227">
        <v>97.004000000000005</v>
      </c>
      <c r="E145" s="227">
        <v>130</v>
      </c>
      <c r="F145" s="227">
        <v>210</v>
      </c>
      <c r="G145" s="227">
        <v>28</v>
      </c>
      <c r="H145" s="227">
        <v>51</v>
      </c>
      <c r="I145" s="227">
        <v>118</v>
      </c>
      <c r="J145" s="227">
        <v>780</v>
      </c>
      <c r="K145" s="122" t="s">
        <v>3</v>
      </c>
      <c r="L145" s="472"/>
      <c r="M145" s="285"/>
      <c r="N145" s="473"/>
      <c r="O145" s="285">
        <v>200</v>
      </c>
      <c r="P145" s="474">
        <v>400</v>
      </c>
      <c r="Q145" s="285">
        <v>900</v>
      </c>
      <c r="R145" s="285">
        <v>400</v>
      </c>
      <c r="S145" s="286">
        <v>400</v>
      </c>
      <c r="T145" s="286">
        <f>400</f>
        <v>400</v>
      </c>
      <c r="U145" s="473">
        <f>400+3000</f>
        <v>3400</v>
      </c>
      <c r="V145" s="473">
        <f>800+13000</f>
        <v>13800</v>
      </c>
      <c r="W145" s="475">
        <f>800+14000</f>
        <v>14800</v>
      </c>
      <c r="X145" s="285">
        <v>800</v>
      </c>
      <c r="Y145" s="285"/>
    </row>
    <row r="146" spans="1:33" s="1" customFormat="1" ht="15.6" x14ac:dyDescent="0.3">
      <c r="A146" s="628" t="s">
        <v>3</v>
      </c>
      <c r="B146" s="611" t="s">
        <v>69</v>
      </c>
      <c r="C146" s="227">
        <v>173.60400000000001</v>
      </c>
      <c r="D146" s="227">
        <v>81.593999999999994</v>
      </c>
      <c r="E146" s="227">
        <v>145</v>
      </c>
      <c r="F146" s="227">
        <v>96</v>
      </c>
      <c r="G146" s="227">
        <v>42</v>
      </c>
      <c r="H146" s="227">
        <v>111</v>
      </c>
      <c r="I146" s="227">
        <v>453</v>
      </c>
      <c r="J146" s="227">
        <v>200</v>
      </c>
      <c r="K146" s="122" t="s">
        <v>3</v>
      </c>
      <c r="L146" s="472"/>
      <c r="M146" s="285"/>
      <c r="N146" s="473"/>
      <c r="O146" s="285">
        <v>100</v>
      </c>
      <c r="P146" s="474">
        <v>400</v>
      </c>
      <c r="Q146" s="285">
        <v>600</v>
      </c>
      <c r="R146" s="285">
        <v>800</v>
      </c>
      <c r="S146" s="286">
        <v>600</v>
      </c>
      <c r="T146" s="286">
        <v>800</v>
      </c>
      <c r="U146" s="286">
        <v>800</v>
      </c>
      <c r="V146" s="286">
        <v>800</v>
      </c>
      <c r="W146" s="288">
        <v>800</v>
      </c>
      <c r="X146" s="285">
        <v>1100</v>
      </c>
      <c r="Y146" s="285"/>
    </row>
    <row r="147" spans="1:33" s="1" customFormat="1" ht="15.6" x14ac:dyDescent="0.3">
      <c r="A147" s="628"/>
      <c r="B147" s="611" t="s">
        <v>70</v>
      </c>
      <c r="C147" s="227">
        <f>240.569+2005.683</f>
        <v>2246.252</v>
      </c>
      <c r="D147" s="227">
        <v>93.552999999999997</v>
      </c>
      <c r="E147" s="227">
        <v>284</v>
      </c>
      <c r="F147" s="227">
        <v>207</v>
      </c>
      <c r="G147" s="227">
        <v>189</v>
      </c>
      <c r="H147" s="227">
        <v>57</v>
      </c>
      <c r="I147" s="227">
        <v>100</v>
      </c>
      <c r="J147" s="227">
        <v>420</v>
      </c>
      <c r="K147" s="122" t="s">
        <v>3</v>
      </c>
      <c r="L147" s="472"/>
      <c r="M147" s="285"/>
      <c r="N147" s="473"/>
      <c r="O147" s="285">
        <v>300</v>
      </c>
      <c r="P147" s="474">
        <v>500</v>
      </c>
      <c r="Q147" s="285">
        <v>300</v>
      </c>
      <c r="R147" s="285">
        <v>200</v>
      </c>
      <c r="S147" s="286">
        <v>900</v>
      </c>
      <c r="T147" s="286">
        <v>950</v>
      </c>
      <c r="U147" s="286">
        <v>800</v>
      </c>
      <c r="V147" s="286">
        <v>600</v>
      </c>
      <c r="W147" s="288">
        <v>600</v>
      </c>
      <c r="X147" s="285">
        <v>600</v>
      </c>
      <c r="Y147" s="285"/>
    </row>
    <row r="148" spans="1:33" s="1" customFormat="1" ht="15.6" x14ac:dyDescent="0.3">
      <c r="A148" s="628"/>
      <c r="B148" s="611" t="s">
        <v>71</v>
      </c>
      <c r="C148" s="227">
        <v>179.27699999999999</v>
      </c>
      <c r="D148" s="227">
        <v>16.093</v>
      </c>
      <c r="E148" s="227">
        <v>0</v>
      </c>
      <c r="F148" s="227">
        <v>38</v>
      </c>
      <c r="G148" s="227">
        <v>502</v>
      </c>
      <c r="H148" s="227">
        <v>46</v>
      </c>
      <c r="I148" s="227">
        <v>275</v>
      </c>
      <c r="J148" s="227">
        <v>200</v>
      </c>
      <c r="K148" s="122" t="s">
        <v>3</v>
      </c>
      <c r="L148" s="472"/>
      <c r="M148" s="285"/>
      <c r="N148" s="473"/>
      <c r="O148" s="285">
        <v>200</v>
      </c>
      <c r="P148" s="474">
        <v>100</v>
      </c>
      <c r="Q148" s="285">
        <v>2100</v>
      </c>
      <c r="R148" s="285">
        <v>1300</v>
      </c>
      <c r="S148" s="285">
        <v>400</v>
      </c>
      <c r="T148" s="285">
        <v>150</v>
      </c>
      <c r="U148" s="285">
        <v>200</v>
      </c>
      <c r="V148" s="285">
        <v>300</v>
      </c>
      <c r="W148" s="284">
        <v>200</v>
      </c>
      <c r="X148" s="285">
        <v>300</v>
      </c>
      <c r="Y148" s="285"/>
    </row>
    <row r="149" spans="1:33" s="1" customFormat="1" ht="15.6" x14ac:dyDescent="0.3">
      <c r="A149" s="628"/>
      <c r="B149" s="611" t="s">
        <v>72</v>
      </c>
      <c r="C149" s="227"/>
      <c r="D149" s="227"/>
      <c r="E149" s="227"/>
      <c r="F149" s="227"/>
      <c r="G149" s="227"/>
      <c r="H149" s="227"/>
      <c r="I149" s="227"/>
      <c r="J149" s="227"/>
      <c r="K149" s="122"/>
      <c r="L149" s="472"/>
      <c r="M149" s="285"/>
      <c r="N149" s="473"/>
      <c r="O149" s="285"/>
      <c r="P149" s="474"/>
      <c r="Q149" s="285"/>
      <c r="R149" s="285"/>
      <c r="S149" s="285"/>
      <c r="T149" s="285"/>
      <c r="U149" s="285"/>
      <c r="V149" s="285"/>
      <c r="W149" s="284"/>
      <c r="X149" s="285"/>
      <c r="Y149" s="285"/>
    </row>
    <row r="150" spans="1:33" s="1" customFormat="1" ht="15.6" x14ac:dyDescent="0.3">
      <c r="A150" s="628"/>
      <c r="B150" s="611" t="s">
        <v>90</v>
      </c>
      <c r="C150" s="227">
        <v>50.472000000000001</v>
      </c>
      <c r="D150" s="227">
        <v>37.334000000000003</v>
      </c>
      <c r="E150" s="227">
        <v>153</v>
      </c>
      <c r="F150" s="227">
        <v>311</v>
      </c>
      <c r="G150" s="227">
        <v>97</v>
      </c>
      <c r="H150" s="227">
        <v>284</v>
      </c>
      <c r="I150" s="227">
        <v>256</v>
      </c>
      <c r="J150" s="227">
        <v>390</v>
      </c>
      <c r="K150" s="122" t="s">
        <v>3</v>
      </c>
      <c r="L150" s="472"/>
      <c r="M150" s="285"/>
      <c r="N150" s="473"/>
      <c r="O150" s="285">
        <v>200</v>
      </c>
      <c r="P150" s="474">
        <v>200</v>
      </c>
      <c r="Q150" s="285">
        <v>200</v>
      </c>
      <c r="R150" s="285">
        <v>2200</v>
      </c>
      <c r="S150" s="285">
        <v>1600</v>
      </c>
      <c r="T150" s="285">
        <v>600</v>
      </c>
      <c r="U150" s="285">
        <v>600</v>
      </c>
      <c r="V150" s="285" t="s">
        <v>91</v>
      </c>
      <c r="W150" s="284">
        <v>600</v>
      </c>
      <c r="X150" s="285">
        <v>600</v>
      </c>
      <c r="Y150" s="285"/>
    </row>
    <row r="151" spans="1:33" s="1" customFormat="1" ht="15.6" x14ac:dyDescent="0.3">
      <c r="A151" s="628"/>
      <c r="B151" s="616"/>
      <c r="C151" s="227"/>
      <c r="D151" s="227"/>
      <c r="E151" s="227"/>
      <c r="F151" s="227"/>
      <c r="G151" s="227"/>
      <c r="H151" s="227"/>
      <c r="I151" s="227"/>
      <c r="J151" s="227"/>
      <c r="K151" s="122"/>
      <c r="L151" s="472"/>
      <c r="M151" s="285"/>
      <c r="N151" s="473"/>
      <c r="O151" s="286"/>
      <c r="P151" s="287"/>
      <c r="Q151" s="285"/>
      <c r="R151" s="285"/>
      <c r="S151" s="286"/>
      <c r="T151" s="286"/>
      <c r="U151" s="286"/>
      <c r="V151" s="286"/>
      <c r="W151" s="288"/>
      <c r="X151" s="285"/>
      <c r="Y151" s="285"/>
      <c r="Z151"/>
      <c r="AA151"/>
      <c r="AB151"/>
      <c r="AC151"/>
      <c r="AD151"/>
      <c r="AE151"/>
      <c r="AF151"/>
      <c r="AG151"/>
    </row>
    <row r="152" spans="1:33" s="1" customFormat="1" ht="15.6" x14ac:dyDescent="0.3">
      <c r="A152" s="628"/>
      <c r="B152" s="608" t="s">
        <v>238</v>
      </c>
      <c r="C152" s="480"/>
      <c r="D152" s="480"/>
      <c r="E152" s="480"/>
      <c r="F152" s="480"/>
      <c r="G152" s="480"/>
      <c r="H152" s="480"/>
      <c r="I152" s="480"/>
      <c r="J152" s="480"/>
      <c r="K152" s="480"/>
      <c r="L152" s="372"/>
      <c r="M152" s="278"/>
      <c r="N152" s="278"/>
      <c r="O152" s="279"/>
      <c r="P152" s="280"/>
      <c r="Q152" s="278"/>
      <c r="R152" s="278"/>
      <c r="S152" s="279"/>
      <c r="T152" s="279"/>
      <c r="U152" s="279"/>
      <c r="V152" s="279"/>
      <c r="W152" s="281"/>
      <c r="X152" s="278"/>
      <c r="Y152" s="278"/>
    </row>
    <row r="153" spans="1:33" s="1" customFormat="1" ht="15.6" x14ac:dyDescent="0.3">
      <c r="A153" s="628"/>
      <c r="B153" s="92"/>
      <c r="C153" s="480"/>
      <c r="D153" s="480"/>
      <c r="E153" s="480"/>
      <c r="F153" s="480"/>
      <c r="G153" s="480"/>
      <c r="H153" s="480"/>
      <c r="I153" s="480"/>
      <c r="J153" s="480"/>
      <c r="K153" s="480"/>
      <c r="L153" s="372"/>
      <c r="M153" s="278"/>
      <c r="N153" s="278"/>
      <c r="O153" s="279"/>
      <c r="P153" s="280"/>
      <c r="Q153" s="278"/>
      <c r="R153" s="278"/>
      <c r="S153" s="279"/>
      <c r="T153" s="279"/>
      <c r="U153" s="279"/>
      <c r="V153" s="279"/>
      <c r="W153" s="281"/>
      <c r="X153" s="278"/>
      <c r="Y153" s="278"/>
    </row>
    <row r="154" spans="1:33" s="1" customFormat="1" ht="15.6" x14ac:dyDescent="0.3">
      <c r="A154" s="628" t="s">
        <v>3</v>
      </c>
      <c r="B154" s="606" t="s">
        <v>349</v>
      </c>
      <c r="C154" s="65">
        <f>SUM(C157:C163)</f>
        <v>3345.6120000000005</v>
      </c>
      <c r="D154" s="65">
        <f>SUM(D157:D163)</f>
        <v>640.68399999999997</v>
      </c>
      <c r="E154" s="65">
        <f>SUM(E157:E163)</f>
        <v>892</v>
      </c>
      <c r="F154" s="65">
        <f>SUM(F156:F163)</f>
        <v>2587</v>
      </c>
      <c r="G154" s="65">
        <f>SUM(G156:G163)</f>
        <v>4011</v>
      </c>
      <c r="H154" s="65">
        <f>SUM(H156:H163)</f>
        <v>1794</v>
      </c>
      <c r="I154" s="65">
        <f>SUM(I157:I163)</f>
        <v>2016</v>
      </c>
      <c r="J154" s="65">
        <f>J139-J141</f>
        <v>2355.1816200000003</v>
      </c>
      <c r="K154" s="65">
        <f>3392861.54/1000</f>
        <v>3392.8615399999999</v>
      </c>
      <c r="L154" s="65">
        <f>SUM(L156:L165)</f>
        <v>192</v>
      </c>
      <c r="M154" s="66">
        <f>10811464.6/1000</f>
        <v>10811.464599999999</v>
      </c>
      <c r="N154" s="66">
        <f>5781227.88/1000</f>
        <v>5781.2278799999995</v>
      </c>
      <c r="O154" s="67"/>
      <c r="P154" s="210">
        <f t="shared" ref="P154:Y154" si="23">SUM(P156:P165)</f>
        <v>3700</v>
      </c>
      <c r="Q154" s="105">
        <f t="shared" si="23"/>
        <v>7100</v>
      </c>
      <c r="R154" s="66">
        <f t="shared" si="23"/>
        <v>8100</v>
      </c>
      <c r="S154" s="66">
        <f t="shared" si="23"/>
        <v>7500</v>
      </c>
      <c r="T154" s="66">
        <f t="shared" si="23"/>
        <v>5700</v>
      </c>
      <c r="U154" s="66">
        <f t="shared" si="23"/>
        <v>9200</v>
      </c>
      <c r="V154" s="66">
        <f t="shared" si="23"/>
        <v>19800</v>
      </c>
      <c r="W154" s="65">
        <f t="shared" si="23"/>
        <v>21400</v>
      </c>
      <c r="X154" s="66">
        <f t="shared" si="23"/>
        <v>8400</v>
      </c>
      <c r="Y154" s="66">
        <f t="shared" si="23"/>
        <v>1000</v>
      </c>
    </row>
    <row r="155" spans="1:33" s="1" customFormat="1" ht="15.6" x14ac:dyDescent="0.3">
      <c r="A155" s="628"/>
      <c r="B155" s="6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6"/>
      <c r="N155" s="67"/>
      <c r="O155" s="67"/>
      <c r="P155" s="630"/>
      <c r="Q155" s="105"/>
      <c r="R155" s="66"/>
      <c r="S155" s="67"/>
      <c r="T155" s="67"/>
      <c r="U155" s="67"/>
      <c r="V155" s="67"/>
      <c r="W155" s="226"/>
      <c r="X155" s="66"/>
      <c r="Y155" s="66"/>
    </row>
    <row r="156" spans="1:33" s="1" customFormat="1" ht="15.6" x14ac:dyDescent="0.3">
      <c r="A156" s="628"/>
      <c r="B156" s="611" t="s">
        <v>65</v>
      </c>
      <c r="C156" s="227">
        <v>5148.1729999999998</v>
      </c>
      <c r="D156" s="227">
        <v>3946.1990000000001</v>
      </c>
      <c r="E156" s="227">
        <v>807</v>
      </c>
      <c r="F156" s="227">
        <v>1504</v>
      </c>
      <c r="G156" s="227">
        <v>2658</v>
      </c>
      <c r="H156" s="227">
        <v>1066</v>
      </c>
      <c r="I156" s="227">
        <v>564</v>
      </c>
      <c r="J156" s="227">
        <v>1000</v>
      </c>
      <c r="K156" s="122" t="s">
        <v>3</v>
      </c>
      <c r="L156" s="472"/>
      <c r="M156" s="285"/>
      <c r="N156" s="473"/>
      <c r="O156" s="285">
        <v>1800</v>
      </c>
      <c r="P156" s="474">
        <v>1000</v>
      </c>
      <c r="Q156" s="285">
        <v>1300</v>
      </c>
      <c r="R156" s="285">
        <v>1700</v>
      </c>
      <c r="S156" s="286">
        <v>2000</v>
      </c>
      <c r="T156" s="286">
        <v>1000</v>
      </c>
      <c r="U156" s="286">
        <v>1200</v>
      </c>
      <c r="V156" s="286">
        <v>2000</v>
      </c>
      <c r="W156" s="288">
        <v>2000</v>
      </c>
      <c r="X156" s="285">
        <v>2500</v>
      </c>
      <c r="Y156" s="285"/>
    </row>
    <row r="157" spans="1:33" s="1" customFormat="1" ht="15.6" x14ac:dyDescent="0.3">
      <c r="A157" s="628"/>
      <c r="B157" s="611" t="s">
        <v>67</v>
      </c>
      <c r="C157" s="227">
        <v>619.52700000000004</v>
      </c>
      <c r="D157" s="227">
        <v>315.10599999999999</v>
      </c>
      <c r="E157" s="227">
        <v>180</v>
      </c>
      <c r="F157" s="227">
        <v>221</v>
      </c>
      <c r="G157" s="227">
        <v>495</v>
      </c>
      <c r="H157" s="227">
        <v>179</v>
      </c>
      <c r="I157" s="227">
        <v>814</v>
      </c>
      <c r="J157" s="227">
        <v>1210</v>
      </c>
      <c r="K157" s="122" t="s">
        <v>3</v>
      </c>
      <c r="L157" s="472"/>
      <c r="M157" s="285"/>
      <c r="N157" s="473"/>
      <c r="O157" s="285">
        <v>200</v>
      </c>
      <c r="P157" s="474">
        <v>100</v>
      </c>
      <c r="Q157" s="285">
        <v>700</v>
      </c>
      <c r="R157" s="285">
        <v>500</v>
      </c>
      <c r="S157" s="285">
        <v>600</v>
      </c>
      <c r="T157" s="285">
        <v>800</v>
      </c>
      <c r="U157" s="285">
        <v>1200</v>
      </c>
      <c r="V157" s="285">
        <v>1300</v>
      </c>
      <c r="W157" s="284">
        <v>1400</v>
      </c>
      <c r="X157" s="285">
        <v>1500</v>
      </c>
      <c r="Y157" s="285"/>
    </row>
    <row r="158" spans="1:33" s="1" customFormat="1" ht="15.6" x14ac:dyDescent="0.3">
      <c r="A158" s="628"/>
      <c r="B158" s="611" t="s">
        <v>68</v>
      </c>
      <c r="C158" s="227">
        <v>76.48</v>
      </c>
      <c r="D158" s="227">
        <v>97.004000000000005</v>
      </c>
      <c r="E158" s="227">
        <v>130</v>
      </c>
      <c r="F158" s="227">
        <v>210</v>
      </c>
      <c r="G158" s="227">
        <v>28</v>
      </c>
      <c r="H158" s="227">
        <v>51</v>
      </c>
      <c r="I158" s="227">
        <v>118</v>
      </c>
      <c r="J158" s="227">
        <v>780</v>
      </c>
      <c r="K158" s="122" t="s">
        <v>3</v>
      </c>
      <c r="L158" s="472"/>
      <c r="M158" s="285"/>
      <c r="N158" s="473"/>
      <c r="O158" s="285">
        <v>200</v>
      </c>
      <c r="P158" s="474">
        <v>400</v>
      </c>
      <c r="Q158" s="285">
        <v>900</v>
      </c>
      <c r="R158" s="285">
        <v>400</v>
      </c>
      <c r="S158" s="286">
        <v>400</v>
      </c>
      <c r="T158" s="286">
        <f>400</f>
        <v>400</v>
      </c>
      <c r="U158" s="473">
        <f>400+3000</f>
        <v>3400</v>
      </c>
      <c r="V158" s="473">
        <f>800+13000</f>
        <v>13800</v>
      </c>
      <c r="W158" s="475">
        <f>800+14000</f>
        <v>14800</v>
      </c>
      <c r="X158" s="285">
        <v>800</v>
      </c>
      <c r="Y158" s="285"/>
    </row>
    <row r="159" spans="1:33" s="1" customFormat="1" ht="15.6" x14ac:dyDescent="0.3">
      <c r="A159" s="628"/>
      <c r="B159" s="611" t="s">
        <v>69</v>
      </c>
      <c r="C159" s="227">
        <v>173.60400000000001</v>
      </c>
      <c r="D159" s="227">
        <v>81.593999999999994</v>
      </c>
      <c r="E159" s="227">
        <v>145</v>
      </c>
      <c r="F159" s="227">
        <v>96</v>
      </c>
      <c r="G159" s="227">
        <v>42</v>
      </c>
      <c r="H159" s="227">
        <v>111</v>
      </c>
      <c r="I159" s="227">
        <v>453</v>
      </c>
      <c r="J159" s="227">
        <v>200</v>
      </c>
      <c r="K159" s="122" t="s">
        <v>3</v>
      </c>
      <c r="L159" s="472"/>
      <c r="M159" s="285"/>
      <c r="N159" s="473"/>
      <c r="O159" s="285">
        <v>100</v>
      </c>
      <c r="P159" s="474">
        <v>400</v>
      </c>
      <c r="Q159" s="285">
        <v>600</v>
      </c>
      <c r="R159" s="285">
        <v>800</v>
      </c>
      <c r="S159" s="286">
        <v>600</v>
      </c>
      <c r="T159" s="286">
        <v>800</v>
      </c>
      <c r="U159" s="286">
        <v>800</v>
      </c>
      <c r="V159" s="286">
        <v>800</v>
      </c>
      <c r="W159" s="288">
        <v>800</v>
      </c>
      <c r="X159" s="285">
        <v>1100</v>
      </c>
      <c r="Y159" s="285"/>
    </row>
    <row r="160" spans="1:33" s="1" customFormat="1" ht="15.6" x14ac:dyDescent="0.3">
      <c r="A160" s="628"/>
      <c r="B160" s="611" t="s">
        <v>70</v>
      </c>
      <c r="C160" s="227">
        <f>240.569+2005.683</f>
        <v>2246.252</v>
      </c>
      <c r="D160" s="227">
        <v>93.552999999999997</v>
      </c>
      <c r="E160" s="227">
        <v>284</v>
      </c>
      <c r="F160" s="227">
        <v>207</v>
      </c>
      <c r="G160" s="227">
        <v>189</v>
      </c>
      <c r="H160" s="227">
        <v>57</v>
      </c>
      <c r="I160" s="227">
        <v>100</v>
      </c>
      <c r="J160" s="227">
        <v>420</v>
      </c>
      <c r="K160" s="122" t="s">
        <v>3</v>
      </c>
      <c r="L160" s="472"/>
      <c r="M160" s="285"/>
      <c r="N160" s="473"/>
      <c r="O160" s="285">
        <v>300</v>
      </c>
      <c r="P160" s="474">
        <v>500</v>
      </c>
      <c r="Q160" s="285">
        <v>300</v>
      </c>
      <c r="R160" s="285">
        <v>200</v>
      </c>
      <c r="S160" s="286">
        <v>900</v>
      </c>
      <c r="T160" s="286">
        <v>950</v>
      </c>
      <c r="U160" s="286">
        <v>800</v>
      </c>
      <c r="V160" s="286">
        <v>600</v>
      </c>
      <c r="W160" s="288">
        <v>600</v>
      </c>
      <c r="X160" s="285">
        <v>600</v>
      </c>
      <c r="Y160" s="285"/>
    </row>
    <row r="161" spans="1:25" s="1" customFormat="1" ht="15.6" x14ac:dyDescent="0.3">
      <c r="A161" s="628"/>
      <c r="B161" s="611" t="s">
        <v>71</v>
      </c>
      <c r="C161" s="227">
        <v>179.27699999999999</v>
      </c>
      <c r="D161" s="227">
        <v>16.093</v>
      </c>
      <c r="E161" s="227">
        <v>0</v>
      </c>
      <c r="F161" s="227">
        <v>38</v>
      </c>
      <c r="G161" s="227">
        <v>502</v>
      </c>
      <c r="H161" s="227">
        <v>46</v>
      </c>
      <c r="I161" s="227">
        <v>275</v>
      </c>
      <c r="J161" s="227">
        <v>200</v>
      </c>
      <c r="K161" s="122" t="s">
        <v>3</v>
      </c>
      <c r="L161" s="472"/>
      <c r="M161" s="285"/>
      <c r="N161" s="473"/>
      <c r="O161" s="285">
        <v>200</v>
      </c>
      <c r="P161" s="474">
        <v>100</v>
      </c>
      <c r="Q161" s="285">
        <v>2100</v>
      </c>
      <c r="R161" s="285">
        <v>1300</v>
      </c>
      <c r="S161" s="285">
        <v>400</v>
      </c>
      <c r="T161" s="285">
        <v>150</v>
      </c>
      <c r="U161" s="285">
        <v>200</v>
      </c>
      <c r="V161" s="285">
        <v>300</v>
      </c>
      <c r="W161" s="284">
        <v>200</v>
      </c>
      <c r="X161" s="285">
        <v>300</v>
      </c>
      <c r="Y161" s="285"/>
    </row>
    <row r="162" spans="1:25" s="1" customFormat="1" ht="15.6" x14ac:dyDescent="0.3">
      <c r="A162" s="628"/>
      <c r="B162" s="611" t="s">
        <v>72</v>
      </c>
      <c r="C162" s="227"/>
      <c r="D162" s="227"/>
      <c r="E162" s="227"/>
      <c r="F162" s="227"/>
      <c r="G162" s="227"/>
      <c r="H162" s="227"/>
      <c r="I162" s="227"/>
      <c r="J162" s="227"/>
      <c r="K162" s="122"/>
      <c r="L162" s="472"/>
      <c r="M162" s="285"/>
      <c r="N162" s="473"/>
      <c r="O162" s="285"/>
      <c r="P162" s="474"/>
      <c r="Q162" s="285"/>
      <c r="R162" s="285"/>
      <c r="S162" s="285"/>
      <c r="T162" s="285"/>
      <c r="U162" s="285"/>
      <c r="V162" s="285"/>
      <c r="W162" s="284"/>
      <c r="X162" s="285"/>
      <c r="Y162" s="285"/>
    </row>
    <row r="163" spans="1:25" s="1" customFormat="1" ht="15.6" x14ac:dyDescent="0.3">
      <c r="A163" s="628"/>
      <c r="B163" s="611" t="s">
        <v>90</v>
      </c>
      <c r="C163" s="227">
        <v>50.472000000000001</v>
      </c>
      <c r="D163" s="227">
        <v>37.334000000000003</v>
      </c>
      <c r="E163" s="227">
        <v>153</v>
      </c>
      <c r="F163" s="227">
        <v>311</v>
      </c>
      <c r="G163" s="227">
        <v>97</v>
      </c>
      <c r="H163" s="227">
        <v>284</v>
      </c>
      <c r="I163" s="227">
        <v>256</v>
      </c>
      <c r="J163" s="227">
        <v>390</v>
      </c>
      <c r="K163" s="122" t="s">
        <v>3</v>
      </c>
      <c r="L163" s="472"/>
      <c r="M163" s="285"/>
      <c r="N163" s="473"/>
      <c r="O163" s="285">
        <v>200</v>
      </c>
      <c r="P163" s="474">
        <v>200</v>
      </c>
      <c r="Q163" s="285">
        <v>200</v>
      </c>
      <c r="R163" s="285">
        <v>2200</v>
      </c>
      <c r="S163" s="285">
        <v>1600</v>
      </c>
      <c r="T163" s="285">
        <v>600</v>
      </c>
      <c r="U163" s="285">
        <v>600</v>
      </c>
      <c r="V163" s="285" t="s">
        <v>91</v>
      </c>
      <c r="W163" s="284">
        <v>600</v>
      </c>
      <c r="X163" s="285">
        <v>600</v>
      </c>
      <c r="Y163" s="285"/>
    </row>
    <row r="164" spans="1:25" s="1" customFormat="1" ht="15.6" x14ac:dyDescent="0.3">
      <c r="A164" s="628"/>
      <c r="B164" s="92"/>
      <c r="C164" s="227"/>
      <c r="D164" s="227"/>
      <c r="E164" s="227"/>
      <c r="F164" s="227"/>
      <c r="G164" s="227"/>
      <c r="H164" s="227"/>
      <c r="I164" s="227"/>
      <c r="J164" s="227"/>
      <c r="K164" s="122"/>
      <c r="L164" s="472"/>
      <c r="M164" s="285"/>
      <c r="N164" s="473"/>
      <c r="O164" s="286"/>
      <c r="P164" s="474"/>
      <c r="Q164" s="285"/>
      <c r="R164" s="285"/>
      <c r="S164" s="286"/>
      <c r="T164" s="286"/>
      <c r="U164" s="286"/>
      <c r="V164" s="286"/>
      <c r="W164" s="288"/>
      <c r="X164" s="285"/>
      <c r="Y164" s="285"/>
    </row>
    <row r="165" spans="1:25" s="1" customFormat="1" ht="15.6" x14ac:dyDescent="0.3">
      <c r="A165" s="628"/>
      <c r="B165" s="608" t="s">
        <v>238</v>
      </c>
      <c r="C165" s="122"/>
      <c r="D165" s="122"/>
      <c r="E165" s="122"/>
      <c r="F165" s="122"/>
      <c r="G165" s="122"/>
      <c r="H165" s="122"/>
      <c r="I165" s="122"/>
      <c r="J165" s="122"/>
      <c r="K165" s="122"/>
      <c r="L165" s="305">
        <v>192</v>
      </c>
      <c r="M165" s="306"/>
      <c r="N165" s="306">
        <f>470397.77/1000</f>
        <v>470.39777000000004</v>
      </c>
      <c r="O165" s="307"/>
      <c r="P165" s="308">
        <v>1000</v>
      </c>
      <c r="Q165" s="306">
        <v>1000</v>
      </c>
      <c r="R165" s="306">
        <v>1000</v>
      </c>
      <c r="S165" s="307">
        <v>1000</v>
      </c>
      <c r="T165" s="307">
        <v>1000</v>
      </c>
      <c r="U165" s="307">
        <v>1000</v>
      </c>
      <c r="V165" s="307">
        <v>1000</v>
      </c>
      <c r="W165" s="309">
        <v>1000</v>
      </c>
      <c r="X165" s="306">
        <v>1000</v>
      </c>
      <c r="Y165" s="306">
        <v>1000</v>
      </c>
    </row>
    <row r="166" spans="1:25" s="1" customFormat="1" ht="15.6" x14ac:dyDescent="0.3">
      <c r="A166" s="628"/>
      <c r="B166"/>
      <c r="C166" s="122"/>
      <c r="D166" s="122"/>
      <c r="E166" s="122"/>
      <c r="F166" s="122"/>
      <c r="G166" s="122"/>
      <c r="H166" s="122"/>
      <c r="I166" s="122"/>
      <c r="J166" s="122"/>
      <c r="K166" s="122"/>
      <c r="L166" s="305"/>
      <c r="M166" s="306"/>
      <c r="N166" s="306"/>
      <c r="O166" s="307"/>
      <c r="P166" s="631"/>
      <c r="Q166" s="306"/>
      <c r="R166" s="306"/>
      <c r="S166" s="307"/>
      <c r="T166" s="307"/>
      <c r="U166" s="307"/>
      <c r="V166" s="307"/>
      <c r="W166" s="309"/>
      <c r="X166" s="306"/>
      <c r="Y166" s="306"/>
    </row>
    <row r="167" spans="1:25" s="1" customFormat="1" ht="15.6" x14ac:dyDescent="0.3">
      <c r="A167" s="628"/>
      <c r="B167" s="608" t="s">
        <v>350</v>
      </c>
      <c r="C167" s="178">
        <f t="shared" ref="C167:I167" si="24">C154/C137</f>
        <v>0.12215646128722786</v>
      </c>
      <c r="D167" s="178">
        <f t="shared" si="24"/>
        <v>3.4633003433169364E-2</v>
      </c>
      <c r="E167" s="178">
        <f t="shared" si="24"/>
        <v>5.419856604690728E-2</v>
      </c>
      <c r="F167" s="178">
        <f t="shared" si="24"/>
        <v>0.13583617747440274</v>
      </c>
      <c r="G167" s="178">
        <f t="shared" si="24"/>
        <v>0.21373761057231164</v>
      </c>
      <c r="H167" s="178">
        <f t="shared" si="24"/>
        <v>0.1302170283806344</v>
      </c>
      <c r="I167" s="178">
        <f t="shared" si="24"/>
        <v>0.15703380588876772</v>
      </c>
      <c r="J167" s="178" t="s">
        <v>3</v>
      </c>
      <c r="K167" s="178" t="s">
        <v>3</v>
      </c>
      <c r="L167" s="178">
        <f t="shared" ref="L167:X167" si="25">L154/L137</f>
        <v>1.6523235800344233E-2</v>
      </c>
      <c r="M167" s="179">
        <f t="shared" si="25"/>
        <v>0.3787273761750406</v>
      </c>
      <c r="N167" s="179">
        <f t="shared" si="25"/>
        <v>0.30051136050840499</v>
      </c>
      <c r="O167" s="180">
        <f t="shared" si="25"/>
        <v>0</v>
      </c>
      <c r="P167" s="181">
        <f t="shared" si="25"/>
        <v>0.17788461538461539</v>
      </c>
      <c r="Q167" s="179">
        <f t="shared" si="25"/>
        <v>0.31140350877192985</v>
      </c>
      <c r="R167" s="179">
        <f t="shared" si="25"/>
        <v>0.37155963302752293</v>
      </c>
      <c r="S167" s="179">
        <f t="shared" si="25"/>
        <v>0.35046728971962615</v>
      </c>
      <c r="T167" s="179">
        <f t="shared" si="25"/>
        <v>0.29842931937172773</v>
      </c>
      <c r="U167" s="179">
        <f t="shared" si="25"/>
        <v>0.37704918032786883</v>
      </c>
      <c r="V167" s="179">
        <f t="shared" si="25"/>
        <v>0.44394618834080718</v>
      </c>
      <c r="W167" s="178">
        <f t="shared" si="25"/>
        <v>0.43407707910750509</v>
      </c>
      <c r="X167" s="179">
        <f t="shared" si="25"/>
        <v>0.34285714285714286</v>
      </c>
      <c r="Y167" s="179"/>
    </row>
    <row r="168" spans="1:25" s="1" customFormat="1" ht="15.6" x14ac:dyDescent="0.3">
      <c r="A168" s="628"/>
      <c r="B168" s="292"/>
      <c r="C168" s="178"/>
      <c r="D168" s="178"/>
      <c r="E168" s="178"/>
      <c r="F168" s="178"/>
      <c r="G168" s="178"/>
      <c r="H168" s="178"/>
      <c r="I168" s="178"/>
      <c r="J168" s="178"/>
      <c r="K168" s="178"/>
      <c r="L168" s="178"/>
      <c r="M168" s="179"/>
      <c r="N168" s="179"/>
      <c r="O168" s="180"/>
      <c r="P168" s="481" t="s">
        <v>3</v>
      </c>
      <c r="Q168" s="482" t="s">
        <v>3</v>
      </c>
      <c r="R168" s="483"/>
      <c r="S168" s="484"/>
      <c r="T168" s="484"/>
      <c r="U168" s="484"/>
      <c r="V168" s="484"/>
      <c r="W168" s="485"/>
      <c r="X168" s="483"/>
      <c r="Y168" s="483"/>
    </row>
    <row r="169" spans="1:25" s="1" customFormat="1" ht="15.6" x14ac:dyDescent="0.3">
      <c r="A169" s="626" t="s">
        <v>351</v>
      </c>
      <c r="B169" s="605" t="s">
        <v>240</v>
      </c>
      <c r="C169" s="94">
        <v>15599</v>
      </c>
      <c r="D169" s="94">
        <v>13309</v>
      </c>
      <c r="E169" s="94">
        <v>14020</v>
      </c>
      <c r="F169" s="94">
        <v>14182</v>
      </c>
      <c r="G169" s="94">
        <v>10841</v>
      </c>
      <c r="H169" s="94">
        <v>10473</v>
      </c>
      <c r="I169" s="94">
        <v>8498</v>
      </c>
      <c r="J169" s="94">
        <v>7128</v>
      </c>
      <c r="K169" s="94">
        <f>SUM(K171+K176)</f>
        <v>7024</v>
      </c>
      <c r="L169" s="94">
        <f>SUM(L171+L176)</f>
        <v>11428</v>
      </c>
      <c r="M169" s="95">
        <f>9659270/1000</f>
        <v>9659.27</v>
      </c>
      <c r="N169" s="95">
        <f>8070643.52/1000</f>
        <v>8070.6435199999996</v>
      </c>
      <c r="O169" s="96">
        <v>17500</v>
      </c>
      <c r="P169" s="440">
        <f>9100+5500</f>
        <v>14600</v>
      </c>
      <c r="Q169" s="94">
        <f>9800</f>
        <v>9800</v>
      </c>
      <c r="R169" s="94">
        <v>8800</v>
      </c>
      <c r="S169" s="94">
        <v>9000</v>
      </c>
      <c r="T169" s="94">
        <v>9300</v>
      </c>
      <c r="U169" s="94">
        <v>7600</v>
      </c>
      <c r="V169" s="95">
        <v>5000</v>
      </c>
      <c r="W169" s="94">
        <v>8100</v>
      </c>
      <c r="X169" s="95">
        <v>9300</v>
      </c>
      <c r="Y169" s="95">
        <v>10000</v>
      </c>
    </row>
    <row r="170" spans="1:25" ht="15" customHeight="1" x14ac:dyDescent="0.3">
      <c r="A170" s="35"/>
      <c r="B170" s="73"/>
      <c r="C170" s="74"/>
      <c r="D170" s="74"/>
      <c r="E170" s="2"/>
      <c r="F170" s="75"/>
      <c r="G170" s="75"/>
      <c r="H170" s="75"/>
      <c r="I170" s="75"/>
      <c r="J170" s="75"/>
      <c r="K170" s="76"/>
      <c r="L170" s="77"/>
      <c r="M170" s="78"/>
      <c r="N170" s="78"/>
      <c r="O170" s="79"/>
      <c r="P170" s="80">
        <v>9100</v>
      </c>
      <c r="Q170" s="81">
        <v>9800</v>
      </c>
      <c r="R170" s="81">
        <v>8800</v>
      </c>
      <c r="S170" s="81">
        <v>9000</v>
      </c>
      <c r="T170" s="81">
        <v>9300</v>
      </c>
      <c r="U170" s="81">
        <v>7600</v>
      </c>
      <c r="V170" s="81">
        <v>5000</v>
      </c>
      <c r="W170" s="82">
        <v>8100</v>
      </c>
      <c r="X170" s="81">
        <v>9300</v>
      </c>
      <c r="Y170" s="81">
        <v>10000</v>
      </c>
    </row>
    <row r="171" spans="1:25" ht="15.6" x14ac:dyDescent="0.3">
      <c r="A171" s="35"/>
      <c r="B171" s="606" t="s">
        <v>241</v>
      </c>
      <c r="C171" s="178"/>
      <c r="D171" s="178"/>
      <c r="E171" s="178"/>
      <c r="F171" s="178"/>
      <c r="G171" s="122"/>
      <c r="H171" s="122"/>
      <c r="I171" s="122"/>
      <c r="J171" s="299"/>
      <c r="K171" s="65">
        <v>2113</v>
      </c>
      <c r="L171" s="65">
        <v>2164</v>
      </c>
      <c r="M171" s="66">
        <f>2120654.68/1000</f>
        <v>2120.6546800000001</v>
      </c>
      <c r="N171" s="66">
        <f>1085032.14/1000</f>
        <v>1085.0321399999998</v>
      </c>
      <c r="O171" s="67">
        <v>1150</v>
      </c>
      <c r="P171" s="68">
        <v>2700</v>
      </c>
      <c r="Q171" s="65">
        <v>2350</v>
      </c>
      <c r="R171" s="65">
        <f t="shared" ref="R171:X171" si="26">SUM(R173:R174)</f>
        <v>3000</v>
      </c>
      <c r="S171" s="65">
        <f t="shared" si="26"/>
        <v>2300</v>
      </c>
      <c r="T171" s="65">
        <f t="shared" si="26"/>
        <v>2900</v>
      </c>
      <c r="U171" s="65">
        <f t="shared" si="26"/>
        <v>2400</v>
      </c>
      <c r="V171" s="66">
        <f t="shared" si="26"/>
        <v>3800</v>
      </c>
      <c r="W171" s="65">
        <f t="shared" si="26"/>
        <v>3800</v>
      </c>
      <c r="X171" s="66">
        <f t="shared" si="26"/>
        <v>3800</v>
      </c>
      <c r="Y171" s="66"/>
    </row>
    <row r="172" spans="1:25" ht="15.6" x14ac:dyDescent="0.3">
      <c r="A172" s="35"/>
      <c r="B172" s="6"/>
      <c r="C172" s="178"/>
      <c r="D172" s="178"/>
      <c r="E172" s="178"/>
      <c r="F172" s="178"/>
      <c r="G172" s="122"/>
      <c r="H172" s="122"/>
      <c r="I172" s="122"/>
      <c r="J172" s="299"/>
      <c r="K172" s="65"/>
      <c r="L172" s="65"/>
      <c r="M172" s="66"/>
      <c r="N172" s="66"/>
      <c r="O172" s="67"/>
      <c r="P172" s="629"/>
      <c r="Q172" s="65"/>
      <c r="R172" s="65"/>
      <c r="S172" s="65"/>
      <c r="T172" s="65"/>
      <c r="U172" s="65"/>
      <c r="V172" s="66"/>
      <c r="W172" s="65"/>
      <c r="X172" s="66"/>
      <c r="Y172" s="66"/>
    </row>
    <row r="173" spans="1:25" ht="15.6" x14ac:dyDescent="0.3">
      <c r="A173" s="35"/>
      <c r="B173" s="608" t="s">
        <v>242</v>
      </c>
      <c r="C173" s="178"/>
      <c r="D173" s="178"/>
      <c r="E173" s="178"/>
      <c r="F173" s="178"/>
      <c r="G173" s="122"/>
      <c r="H173" s="122"/>
      <c r="I173" s="122"/>
      <c r="J173" s="122"/>
      <c r="K173" s="122">
        <v>500</v>
      </c>
      <c r="L173" s="122">
        <v>300</v>
      </c>
      <c r="M173" s="123"/>
      <c r="N173" s="123"/>
      <c r="O173" s="272">
        <v>0</v>
      </c>
      <c r="P173" s="126">
        <v>800</v>
      </c>
      <c r="Q173" s="125">
        <v>1600</v>
      </c>
      <c r="R173" s="125">
        <v>2200</v>
      </c>
      <c r="S173" s="125">
        <v>0</v>
      </c>
      <c r="T173" s="125">
        <v>1600</v>
      </c>
      <c r="U173" s="125">
        <v>1600</v>
      </c>
      <c r="V173" s="125">
        <v>2600</v>
      </c>
      <c r="W173" s="122">
        <v>2600</v>
      </c>
      <c r="X173" s="125">
        <v>2600</v>
      </c>
      <c r="Y173" s="125"/>
    </row>
    <row r="174" spans="1:25" ht="15.6" x14ac:dyDescent="0.3">
      <c r="A174" s="35"/>
      <c r="B174" s="608" t="s">
        <v>243</v>
      </c>
      <c r="C174" s="178"/>
      <c r="D174" s="178"/>
      <c r="E174" s="178"/>
      <c r="F174" s="178"/>
      <c r="G174" s="122"/>
      <c r="H174" s="122"/>
      <c r="I174" s="122"/>
      <c r="J174" s="122"/>
      <c r="K174" s="122">
        <v>1750</v>
      </c>
      <c r="L174" s="122">
        <v>2000</v>
      </c>
      <c r="M174" s="123"/>
      <c r="N174" s="123"/>
      <c r="O174" s="272">
        <v>800</v>
      </c>
      <c r="P174" s="126">
        <v>800</v>
      </c>
      <c r="Q174" s="125">
        <v>800</v>
      </c>
      <c r="R174" s="125">
        <v>800</v>
      </c>
      <c r="S174" s="272">
        <v>2300</v>
      </c>
      <c r="T174" s="272">
        <v>1300</v>
      </c>
      <c r="U174" s="272">
        <v>800</v>
      </c>
      <c r="V174" s="272">
        <v>1200</v>
      </c>
      <c r="W174" s="273">
        <v>1200</v>
      </c>
      <c r="X174" s="125">
        <v>1200</v>
      </c>
      <c r="Y174" s="125"/>
    </row>
    <row r="175" spans="1:25" ht="15.6" x14ac:dyDescent="0.3">
      <c r="A175" s="35"/>
      <c r="B175" s="93"/>
      <c r="C175" s="178"/>
      <c r="D175" s="178"/>
      <c r="E175" s="178"/>
      <c r="F175" s="178"/>
      <c r="G175" s="122"/>
      <c r="H175" s="122"/>
      <c r="I175" s="122"/>
      <c r="J175" s="122"/>
      <c r="K175" s="122"/>
      <c r="L175" s="122"/>
      <c r="M175" s="123"/>
      <c r="N175" s="124"/>
      <c r="O175" s="125"/>
      <c r="P175" s="126"/>
      <c r="Q175" s="125"/>
      <c r="R175" s="125"/>
      <c r="S175" s="272"/>
      <c r="T175" s="272"/>
      <c r="U175" s="272"/>
      <c r="V175" s="272"/>
      <c r="W175" s="273"/>
      <c r="X175" s="125"/>
      <c r="Y175" s="125"/>
    </row>
    <row r="176" spans="1:25" ht="15.6" x14ac:dyDescent="0.3">
      <c r="A176" s="35"/>
      <c r="B176" s="606" t="s">
        <v>244</v>
      </c>
      <c r="C176" s="178"/>
      <c r="D176" s="178"/>
      <c r="E176" s="178"/>
      <c r="F176" s="178"/>
      <c r="G176" s="122"/>
      <c r="H176" s="122"/>
      <c r="I176" s="122"/>
      <c r="J176" s="122"/>
      <c r="K176" s="65">
        <v>4911</v>
      </c>
      <c r="L176" s="65">
        <v>9264</v>
      </c>
      <c r="M176" s="66">
        <f>7538615.41/1000</f>
        <v>7538.6154100000003</v>
      </c>
      <c r="N176" s="496">
        <f>6985611.38/1000</f>
        <v>6985.6113800000003</v>
      </c>
      <c r="O176" s="66">
        <f t="shared" ref="O176:X176" si="27">SUM(O178:O181)</f>
        <v>6350</v>
      </c>
      <c r="P176" s="68">
        <f t="shared" si="27"/>
        <v>5500</v>
      </c>
      <c r="Q176" s="66">
        <f t="shared" si="27"/>
        <v>5050</v>
      </c>
      <c r="R176" s="66">
        <f t="shared" si="27"/>
        <v>5800</v>
      </c>
      <c r="S176" s="66">
        <f t="shared" si="27"/>
        <v>6100</v>
      </c>
      <c r="T176" s="66">
        <f t="shared" si="27"/>
        <v>5200</v>
      </c>
      <c r="U176" s="66">
        <f t="shared" si="27"/>
        <v>5400</v>
      </c>
      <c r="V176" s="66">
        <f t="shared" si="27"/>
        <v>4400</v>
      </c>
      <c r="W176" s="65">
        <f t="shared" si="27"/>
        <v>3900</v>
      </c>
      <c r="X176" s="66">
        <f t="shared" si="27"/>
        <v>3900</v>
      </c>
      <c r="Y176" s="66"/>
    </row>
    <row r="177" spans="1:25" ht="15.6" x14ac:dyDescent="0.3">
      <c r="A177" s="35"/>
      <c r="B177" s="6"/>
      <c r="C177" s="178"/>
      <c r="D177" s="178"/>
      <c r="E177" s="178"/>
      <c r="F177" s="178"/>
      <c r="G177" s="122"/>
      <c r="H177" s="122"/>
      <c r="I177" s="122"/>
      <c r="J177" s="122"/>
      <c r="K177" s="65"/>
      <c r="L177" s="65"/>
      <c r="M177" s="66"/>
      <c r="N177" s="226"/>
      <c r="O177" s="66"/>
      <c r="P177" s="629"/>
      <c r="Q177" s="66"/>
      <c r="R177" s="66"/>
      <c r="S177" s="67"/>
      <c r="T177" s="67"/>
      <c r="U177" s="67"/>
      <c r="V177" s="67"/>
      <c r="W177" s="226"/>
      <c r="X177" s="66"/>
      <c r="Y177" s="66"/>
    </row>
    <row r="178" spans="1:25" ht="15.6" x14ac:dyDescent="0.3">
      <c r="A178" s="35"/>
      <c r="B178" s="608" t="s">
        <v>245</v>
      </c>
      <c r="C178" s="178"/>
      <c r="D178" s="178"/>
      <c r="E178" s="178"/>
      <c r="F178" s="178"/>
      <c r="G178" s="122"/>
      <c r="H178" s="122"/>
      <c r="I178" s="122"/>
      <c r="J178" s="122"/>
      <c r="K178" s="122">
        <v>600</v>
      </c>
      <c r="L178" s="122" t="s">
        <v>3</v>
      </c>
      <c r="M178" s="123"/>
      <c r="N178" s="124"/>
      <c r="O178" s="125">
        <v>1300</v>
      </c>
      <c r="P178" s="126">
        <v>800</v>
      </c>
      <c r="Q178" s="125">
        <v>1700</v>
      </c>
      <c r="R178" s="125">
        <v>800</v>
      </c>
      <c r="S178" s="272">
        <v>700</v>
      </c>
      <c r="T178" s="272">
        <v>1000</v>
      </c>
      <c r="U178" s="272">
        <v>600</v>
      </c>
      <c r="V178" s="272">
        <v>1100</v>
      </c>
      <c r="W178" s="273">
        <v>600</v>
      </c>
      <c r="X178" s="125">
        <v>600</v>
      </c>
      <c r="Y178" s="125"/>
    </row>
    <row r="179" spans="1:25" ht="15.6" x14ac:dyDescent="0.3">
      <c r="A179" s="35"/>
      <c r="B179" s="608" t="s">
        <v>246</v>
      </c>
      <c r="C179" s="178"/>
      <c r="D179" s="178"/>
      <c r="E179" s="178"/>
      <c r="F179" s="178"/>
      <c r="G179" s="122"/>
      <c r="H179" s="122"/>
      <c r="I179" s="122"/>
      <c r="J179" s="122"/>
      <c r="K179" s="122">
        <v>1760</v>
      </c>
      <c r="L179" s="122" t="s">
        <v>3</v>
      </c>
      <c r="M179" s="123"/>
      <c r="N179" s="124"/>
      <c r="O179" s="125">
        <v>600</v>
      </c>
      <c r="P179" s="126">
        <v>1000</v>
      </c>
      <c r="Q179" s="125">
        <v>1950</v>
      </c>
      <c r="R179" s="125">
        <v>1600</v>
      </c>
      <c r="S179" s="125">
        <v>1600</v>
      </c>
      <c r="T179" s="125">
        <v>1600</v>
      </c>
      <c r="U179" s="125">
        <v>1600</v>
      </c>
      <c r="V179" s="125">
        <v>1600</v>
      </c>
      <c r="W179" s="122">
        <v>1600</v>
      </c>
      <c r="X179" s="125">
        <v>1600</v>
      </c>
      <c r="Y179" s="125"/>
    </row>
    <row r="180" spans="1:25" ht="15.6" x14ac:dyDescent="0.3">
      <c r="A180" s="35"/>
      <c r="B180" s="608" t="s">
        <v>247</v>
      </c>
      <c r="C180" s="178"/>
      <c r="D180" s="178"/>
      <c r="E180" s="178"/>
      <c r="F180" s="178"/>
      <c r="G180" s="122"/>
      <c r="H180" s="122"/>
      <c r="I180" s="122"/>
      <c r="J180" s="122"/>
      <c r="K180" s="122">
        <v>600</v>
      </c>
      <c r="L180" s="122" t="s">
        <v>3</v>
      </c>
      <c r="M180" s="123"/>
      <c r="N180" s="124"/>
      <c r="O180" s="125">
        <v>500</v>
      </c>
      <c r="P180" s="126">
        <v>500</v>
      </c>
      <c r="Q180" s="125">
        <v>300</v>
      </c>
      <c r="R180" s="125">
        <v>700</v>
      </c>
      <c r="S180" s="272">
        <v>800</v>
      </c>
      <c r="T180" s="272">
        <v>500</v>
      </c>
      <c r="U180" s="272">
        <v>500</v>
      </c>
      <c r="V180" s="272">
        <v>500</v>
      </c>
      <c r="W180" s="273">
        <v>500</v>
      </c>
      <c r="X180" s="125">
        <v>500</v>
      </c>
      <c r="Y180" s="125"/>
    </row>
    <row r="181" spans="1:25" ht="15.6" x14ac:dyDescent="0.3">
      <c r="A181" s="35"/>
      <c r="B181" s="608" t="s">
        <v>248</v>
      </c>
      <c r="C181" s="178"/>
      <c r="D181" s="178"/>
      <c r="E181" s="178"/>
      <c r="F181" s="178"/>
      <c r="G181" s="122"/>
      <c r="H181" s="122"/>
      <c r="I181" s="122"/>
      <c r="J181" s="122"/>
      <c r="K181" s="122">
        <v>1650</v>
      </c>
      <c r="L181" s="122" t="s">
        <v>3</v>
      </c>
      <c r="M181" s="123"/>
      <c r="N181" s="124"/>
      <c r="O181" s="125">
        <v>3950</v>
      </c>
      <c r="P181" s="126">
        <v>3200</v>
      </c>
      <c r="Q181" s="125">
        <v>1100</v>
      </c>
      <c r="R181" s="125">
        <v>2700</v>
      </c>
      <c r="S181" s="272">
        <v>3000</v>
      </c>
      <c r="T181" s="272">
        <v>2100</v>
      </c>
      <c r="U181" s="272">
        <v>2700</v>
      </c>
      <c r="V181" s="272">
        <v>1200</v>
      </c>
      <c r="W181" s="273">
        <v>1200</v>
      </c>
      <c r="X181" s="125">
        <v>1200</v>
      </c>
      <c r="Y181" s="125"/>
    </row>
    <row r="182" spans="1:25" ht="15.6" x14ac:dyDescent="0.3">
      <c r="A182" s="35"/>
      <c r="B182" s="292"/>
      <c r="C182" s="178"/>
      <c r="D182" s="178"/>
      <c r="E182" s="178"/>
      <c r="F182" s="178"/>
      <c r="G182" s="122"/>
      <c r="H182" s="122"/>
      <c r="I182" s="122"/>
      <c r="J182" s="122"/>
      <c r="K182" s="489"/>
      <c r="L182" s="490"/>
      <c r="M182" s="491"/>
      <c r="N182" s="497"/>
      <c r="O182" s="494"/>
      <c r="P182" s="493"/>
      <c r="Q182" s="494"/>
      <c r="R182" s="494"/>
      <c r="S182" s="494"/>
      <c r="T182" s="494"/>
      <c r="U182" s="494"/>
      <c r="V182" s="494"/>
      <c r="W182" s="490"/>
      <c r="X182" s="494"/>
      <c r="Y182" s="494"/>
    </row>
    <row r="183" spans="1:25" ht="15.6" x14ac:dyDescent="0.3">
      <c r="A183" s="35"/>
      <c r="B183" s="70"/>
      <c r="C183" s="498"/>
      <c r="D183" s="498"/>
      <c r="E183" s="498"/>
      <c r="F183" s="498"/>
      <c r="G183" s="498"/>
      <c r="H183" s="498"/>
      <c r="I183" s="498"/>
      <c r="J183" s="472" t="s">
        <v>3</v>
      </c>
      <c r="K183" s="284">
        <v>3069</v>
      </c>
      <c r="L183" s="284" t="s">
        <v>3</v>
      </c>
      <c r="M183" s="482" t="s">
        <v>3</v>
      </c>
      <c r="N183" s="473"/>
      <c r="O183" s="285" t="s">
        <v>3</v>
      </c>
      <c r="P183" s="474" t="s">
        <v>3</v>
      </c>
      <c r="Q183" s="285" t="s">
        <v>3</v>
      </c>
      <c r="R183" s="285" t="s">
        <v>3</v>
      </c>
      <c r="S183" s="286" t="s">
        <v>3</v>
      </c>
      <c r="T183" s="286" t="s">
        <v>3</v>
      </c>
      <c r="U183" s="286" t="s">
        <v>3</v>
      </c>
      <c r="V183" s="286" t="s">
        <v>3</v>
      </c>
      <c r="W183" s="288" t="s">
        <v>3</v>
      </c>
      <c r="X183" s="285" t="s">
        <v>3</v>
      </c>
      <c r="Y183" s="285"/>
    </row>
    <row r="184" spans="1:25" ht="15.6" x14ac:dyDescent="0.3">
      <c r="A184" s="603" t="s">
        <v>249</v>
      </c>
      <c r="B184" s="108" t="s">
        <v>250</v>
      </c>
      <c r="C184" s="94">
        <f>SUM(C186+C188+C190+C192+C194+C196)</f>
        <v>500.99993000000001</v>
      </c>
      <c r="D184" s="94">
        <v>3407</v>
      </c>
      <c r="E184" s="94">
        <f t="shared" ref="E184:L184" si="28">SUM(E186+E188+E190+E192+E194+E196)</f>
        <v>2511</v>
      </c>
      <c r="F184" s="94" t="e">
        <f t="shared" si="28"/>
        <v>#REF!</v>
      </c>
      <c r="G184" s="94" t="e">
        <f t="shared" si="28"/>
        <v>#REF!</v>
      </c>
      <c r="H184" s="94" t="e">
        <f t="shared" si="28"/>
        <v>#REF!</v>
      </c>
      <c r="I184" s="94" t="e">
        <f t="shared" si="28"/>
        <v>#REF!</v>
      </c>
      <c r="J184" s="94" t="e">
        <f t="shared" si="28"/>
        <v>#REF!</v>
      </c>
      <c r="K184" s="94" t="e">
        <f t="shared" si="28"/>
        <v>#REF!</v>
      </c>
      <c r="L184" s="94">
        <f t="shared" si="28"/>
        <v>11458</v>
      </c>
      <c r="M184" s="95">
        <f>SUM(M186+M188+M190+M192+M194+M196+M200)</f>
        <v>8856.6890000000003</v>
      </c>
      <c r="N184" s="96">
        <f>4355490.87/1000</f>
        <v>4355.4908700000005</v>
      </c>
      <c r="O184" s="95"/>
      <c r="P184" s="97"/>
      <c r="Q184" s="94"/>
      <c r="R184" s="94"/>
      <c r="S184" s="94"/>
      <c r="T184" s="94"/>
      <c r="U184" s="94"/>
      <c r="V184" s="94"/>
      <c r="W184" s="94"/>
      <c r="X184" s="95"/>
      <c r="Y184" s="95"/>
    </row>
    <row r="185" spans="1:25" ht="15.6" x14ac:dyDescent="0.3">
      <c r="A185" s="35"/>
      <c r="B185" s="500"/>
      <c r="C185" s="65"/>
      <c r="D185" s="65"/>
      <c r="E185" s="65"/>
      <c r="F185" s="65"/>
      <c r="G185" s="501" t="s">
        <v>3</v>
      </c>
      <c r="H185" s="502" t="s">
        <v>3</v>
      </c>
      <c r="I185" s="503" t="s">
        <v>3</v>
      </c>
      <c r="J185" s="177" t="e">
        <f>+(J184-I184)/I184</f>
        <v>#REF!</v>
      </c>
      <c r="K185" s="178" t="e">
        <f>+(K184-J184)/J184</f>
        <v>#REF!</v>
      </c>
      <c r="L185" s="178" t="e">
        <f>+(L184-K184)/K184</f>
        <v>#REF!</v>
      </c>
      <c r="M185" s="179">
        <f>+(M184-L184)/L184</f>
        <v>-0.22703010996683537</v>
      </c>
      <c r="N185" s="180"/>
      <c r="O185" s="179"/>
      <c r="P185" s="181"/>
      <c r="Q185" s="179"/>
      <c r="R185" s="179"/>
      <c r="S185" s="179"/>
      <c r="T185" s="179"/>
      <c r="U185" s="179"/>
      <c r="V185" s="179"/>
      <c r="W185" s="178"/>
      <c r="X185" s="179"/>
      <c r="Y185" s="179"/>
    </row>
    <row r="186" spans="1:25" ht="15.6" x14ac:dyDescent="0.3">
      <c r="A186" s="626" t="s">
        <v>251</v>
      </c>
      <c r="B186" s="605" t="s">
        <v>252</v>
      </c>
      <c r="C186" s="514">
        <v>451</v>
      </c>
      <c r="D186" s="77">
        <v>1521</v>
      </c>
      <c r="E186" s="77">
        <v>1502</v>
      </c>
      <c r="F186" s="77">
        <v>584</v>
      </c>
      <c r="G186" s="65" t="e">
        <f>SUM(#REF!)</f>
        <v>#REF!</v>
      </c>
      <c r="H186" s="65" t="e">
        <f>SUM(#REF!)</f>
        <v>#REF!</v>
      </c>
      <c r="I186" s="65" t="e">
        <f>SUM(#REF!)</f>
        <v>#REF!</v>
      </c>
      <c r="J186" s="65" t="e">
        <f>SUM(#REF!)</f>
        <v>#REF!</v>
      </c>
      <c r="K186" s="65" t="e">
        <f>SUM(#REF!)</f>
        <v>#REF!</v>
      </c>
      <c r="L186" s="65">
        <v>2496</v>
      </c>
      <c r="M186" s="66">
        <v>199.15</v>
      </c>
      <c r="N186" s="67"/>
      <c r="O186" s="66"/>
      <c r="P186" s="68"/>
      <c r="Q186" s="66"/>
      <c r="R186" s="66"/>
      <c r="S186" s="66"/>
      <c r="T186" s="66"/>
      <c r="U186" s="66"/>
      <c r="V186" s="66"/>
      <c r="W186" s="65"/>
      <c r="X186" s="66"/>
      <c r="Y186" s="66"/>
    </row>
    <row r="187" spans="1:25" ht="15.6" x14ac:dyDescent="0.3">
      <c r="A187" s="35"/>
      <c r="B187" s="443"/>
      <c r="C187" s="65"/>
      <c r="D187" s="65"/>
      <c r="E187" s="65"/>
      <c r="F187" s="65"/>
      <c r="G187" s="65"/>
      <c r="H187" s="65"/>
      <c r="I187" s="65"/>
      <c r="J187" s="65"/>
      <c r="K187" s="65"/>
      <c r="L187" s="372"/>
      <c r="M187" s="278"/>
      <c r="N187" s="279"/>
      <c r="O187" s="278"/>
      <c r="P187" s="280"/>
      <c r="Q187" s="278"/>
      <c r="R187" s="278"/>
      <c r="S187" s="279"/>
      <c r="T187" s="279"/>
      <c r="U187" s="279"/>
      <c r="V187" s="279"/>
      <c r="W187" s="281"/>
      <c r="X187" s="278"/>
      <c r="Y187" s="278"/>
    </row>
    <row r="188" spans="1:25" s="516" customFormat="1" ht="15.6" x14ac:dyDescent="0.3">
      <c r="A188" s="604" t="s">
        <v>256</v>
      </c>
      <c r="B188" s="605" t="s">
        <v>257</v>
      </c>
      <c r="C188" s="65">
        <v>49.999929999999999</v>
      </c>
      <c r="D188" s="65">
        <v>700.16675999999995</v>
      </c>
      <c r="E188" s="65">
        <v>1009</v>
      </c>
      <c r="F188" s="65" t="e">
        <f>SUM(#REF!)</f>
        <v>#REF!</v>
      </c>
      <c r="G188" s="65" t="e">
        <f>#REF!+#REF!</f>
        <v>#REF!</v>
      </c>
      <c r="H188" s="65" t="e">
        <f>SUM(#REF!)</f>
        <v>#REF!</v>
      </c>
      <c r="I188" s="65" t="e">
        <f>SUM(#REF!)</f>
        <v>#REF!</v>
      </c>
      <c r="J188" s="65" t="e">
        <f>SUM(#REF!)</f>
        <v>#REF!</v>
      </c>
      <c r="K188" s="65" t="e">
        <f>SUM(#REF!)</f>
        <v>#REF!</v>
      </c>
      <c r="L188" s="65">
        <v>6441</v>
      </c>
      <c r="M188" s="66">
        <f>4146050/1000</f>
        <v>4146.05</v>
      </c>
      <c r="N188" s="67"/>
      <c r="O188" s="66"/>
      <c r="P188" s="68"/>
      <c r="Q188" s="66"/>
      <c r="R188" s="66"/>
      <c r="S188" s="66"/>
      <c r="T188" s="66"/>
      <c r="U188" s="66"/>
      <c r="V188" s="66"/>
      <c r="W188" s="65"/>
      <c r="X188" s="66"/>
      <c r="Y188" s="66"/>
    </row>
    <row r="189" spans="1:25" ht="15.6" x14ac:dyDescent="0.3">
      <c r="A189" s="35"/>
      <c r="B189" s="70"/>
      <c r="C189" s="115" t="s">
        <v>3</v>
      </c>
      <c r="D189" s="115" t="s">
        <v>3</v>
      </c>
      <c r="E189" s="115" t="s">
        <v>3</v>
      </c>
      <c r="F189" s="220" t="s">
        <v>3</v>
      </c>
      <c r="G189" s="89" t="s">
        <v>3</v>
      </c>
      <c r="H189" s="205" t="s">
        <v>3</v>
      </c>
      <c r="I189" s="299" t="s">
        <v>3</v>
      </c>
      <c r="J189" s="115"/>
      <c r="K189" s="163" t="s">
        <v>3</v>
      </c>
      <c r="L189" s="372">
        <v>0</v>
      </c>
      <c r="M189" s="314"/>
      <c r="N189" s="316"/>
      <c r="O189" s="314"/>
      <c r="P189" s="315"/>
      <c r="Q189" s="314"/>
      <c r="R189" s="314"/>
      <c r="S189" s="316"/>
      <c r="T189" s="316"/>
      <c r="U189" s="316"/>
      <c r="V189" s="316"/>
      <c r="W189" s="317"/>
      <c r="X189" s="314"/>
      <c r="Y189" s="314"/>
    </row>
    <row r="190" spans="1:25" s="516" customFormat="1" ht="15.6" x14ac:dyDescent="0.3">
      <c r="A190" s="604" t="s">
        <v>261</v>
      </c>
      <c r="B190" s="605" t="s">
        <v>262</v>
      </c>
      <c r="C190" s="65">
        <v>0</v>
      </c>
      <c r="D190" s="65">
        <v>0</v>
      </c>
      <c r="E190" s="65">
        <v>0</v>
      </c>
      <c r="F190" s="65">
        <v>60</v>
      </c>
      <c r="G190" s="65">
        <v>104</v>
      </c>
      <c r="H190" s="65">
        <v>418</v>
      </c>
      <c r="I190" s="65">
        <v>1368</v>
      </c>
      <c r="J190" s="65">
        <v>1088</v>
      </c>
      <c r="K190" s="65">
        <v>422</v>
      </c>
      <c r="L190" s="375">
        <v>1293</v>
      </c>
      <c r="M190" s="274">
        <f>1582830/1000</f>
        <v>1582.83</v>
      </c>
      <c r="N190" s="275"/>
      <c r="O190" s="274"/>
      <c r="P190" s="276"/>
      <c r="Q190" s="274"/>
      <c r="R190" s="274"/>
      <c r="S190" s="275"/>
      <c r="T190" s="275"/>
      <c r="U190" s="275"/>
      <c r="V190" s="275"/>
      <c r="W190" s="277"/>
      <c r="X190" s="274"/>
      <c r="Y190" s="274"/>
    </row>
    <row r="191" spans="1:25" ht="15.6" x14ac:dyDescent="0.3">
      <c r="A191" s="35"/>
      <c r="B191" s="70"/>
      <c r="C191" s="115"/>
      <c r="D191" s="115"/>
      <c r="E191" s="115"/>
      <c r="F191" s="352" t="s">
        <v>3</v>
      </c>
      <c r="G191" s="89" t="s">
        <v>3</v>
      </c>
      <c r="H191" s="517" t="s">
        <v>3</v>
      </c>
      <c r="I191" s="299" t="s">
        <v>3</v>
      </c>
      <c r="J191" s="115"/>
      <c r="K191" s="163" t="s">
        <v>3</v>
      </c>
      <c r="L191" s="372">
        <v>80</v>
      </c>
      <c r="M191" s="306"/>
      <c r="N191" s="307"/>
      <c r="O191" s="306"/>
      <c r="P191" s="308"/>
      <c r="Q191" s="306"/>
      <c r="R191" s="306"/>
      <c r="S191" s="307"/>
      <c r="T191" s="307"/>
      <c r="U191" s="307"/>
      <c r="V191" s="307"/>
      <c r="W191" s="309"/>
      <c r="X191" s="306"/>
      <c r="Y191" s="306"/>
    </row>
    <row r="192" spans="1:25" ht="15.6" x14ac:dyDescent="0.3">
      <c r="A192" s="604" t="s">
        <v>263</v>
      </c>
      <c r="B192" s="605" t="s">
        <v>264</v>
      </c>
      <c r="C192" s="65">
        <v>0</v>
      </c>
      <c r="D192" s="65">
        <v>0</v>
      </c>
      <c r="E192" s="65">
        <v>0</v>
      </c>
      <c r="F192" s="65">
        <v>0</v>
      </c>
      <c r="G192" s="65">
        <v>0</v>
      </c>
      <c r="H192" s="65">
        <v>0</v>
      </c>
      <c r="I192" s="65">
        <v>0</v>
      </c>
      <c r="J192" s="65">
        <v>120</v>
      </c>
      <c r="K192" s="65">
        <v>268</v>
      </c>
      <c r="L192" s="375">
        <v>471</v>
      </c>
      <c r="M192" s="274">
        <f>1036373/1000</f>
        <v>1036.373</v>
      </c>
      <c r="N192" s="275"/>
      <c r="O192" s="274"/>
      <c r="P192" s="276"/>
      <c r="Q192" s="274"/>
      <c r="R192" s="274"/>
      <c r="S192" s="275"/>
      <c r="T192" s="275"/>
      <c r="U192" s="275"/>
      <c r="V192" s="275"/>
      <c r="W192" s="277"/>
      <c r="X192" s="274"/>
      <c r="Y192" s="274"/>
    </row>
    <row r="193" spans="1:25" ht="15.6" x14ac:dyDescent="0.3">
      <c r="A193" s="35"/>
      <c r="B193" s="443"/>
      <c r="C193" s="115"/>
      <c r="D193" s="115"/>
      <c r="E193" s="115"/>
      <c r="F193" s="220"/>
      <c r="G193" s="115"/>
      <c r="H193" s="115"/>
      <c r="I193" s="115"/>
      <c r="J193" s="115"/>
      <c r="K193" s="115"/>
      <c r="L193" s="372" t="s">
        <v>53</v>
      </c>
      <c r="M193" s="278" t="s">
        <v>3</v>
      </c>
      <c r="N193" s="279"/>
      <c r="O193" s="278"/>
      <c r="P193" s="280"/>
      <c r="Q193" s="306"/>
      <c r="R193" s="306"/>
      <c r="S193" s="307"/>
      <c r="T193" s="307"/>
      <c r="U193" s="307"/>
      <c r="V193" s="307"/>
      <c r="W193" s="309"/>
      <c r="X193" s="306"/>
      <c r="Y193" s="306"/>
    </row>
    <row r="194" spans="1:25" ht="15.6" x14ac:dyDescent="0.3">
      <c r="A194" s="604" t="s">
        <v>265</v>
      </c>
      <c r="B194" s="554" t="s">
        <v>266</v>
      </c>
      <c r="C194" s="115"/>
      <c r="D194" s="115"/>
      <c r="E194" s="65">
        <v>0</v>
      </c>
      <c r="F194" s="208">
        <v>0</v>
      </c>
      <c r="G194" s="65">
        <v>0</v>
      </c>
      <c r="H194" s="65">
        <v>0</v>
      </c>
      <c r="I194" s="65">
        <v>95</v>
      </c>
      <c r="J194" s="65">
        <v>195</v>
      </c>
      <c r="K194" s="65">
        <v>896</v>
      </c>
      <c r="L194" s="375">
        <v>51</v>
      </c>
      <c r="M194" s="274">
        <f>114308/1000</f>
        <v>114.30800000000001</v>
      </c>
      <c r="N194" s="275"/>
      <c r="O194" s="274"/>
      <c r="P194" s="276"/>
      <c r="Q194" s="274"/>
      <c r="R194" s="274"/>
      <c r="S194" s="275"/>
      <c r="T194" s="275"/>
      <c r="U194" s="275"/>
      <c r="V194" s="275"/>
      <c r="W194" s="277"/>
      <c r="X194" s="274"/>
      <c r="Y194" s="274"/>
    </row>
    <row r="195" spans="1:25" ht="15.6" x14ac:dyDescent="0.3">
      <c r="A195" s="35"/>
      <c r="B195" s="70"/>
      <c r="C195" s="115"/>
      <c r="D195" s="115"/>
      <c r="E195" s="94"/>
      <c r="F195" s="173"/>
      <c r="G195" s="89" t="s">
        <v>3</v>
      </c>
      <c r="H195" s="94"/>
      <c r="I195" s="518"/>
      <c r="J195" s="347">
        <v>0</v>
      </c>
      <c r="K195" s="94"/>
      <c r="L195" s="519"/>
      <c r="M195" s="520"/>
      <c r="N195" s="521"/>
      <c r="O195" s="520"/>
      <c r="P195" s="522"/>
      <c r="Q195" s="520"/>
      <c r="R195" s="520"/>
      <c r="S195" s="521"/>
      <c r="T195" s="521"/>
      <c r="U195" s="521"/>
      <c r="V195" s="521"/>
      <c r="W195" s="523"/>
      <c r="X195" s="520"/>
      <c r="Y195" s="520"/>
    </row>
    <row r="196" spans="1:25" ht="15.6" x14ac:dyDescent="0.3">
      <c r="A196" s="604" t="s">
        <v>267</v>
      </c>
      <c r="B196" s="554" t="s">
        <v>268</v>
      </c>
      <c r="C196" s="115"/>
      <c r="D196" s="115"/>
      <c r="E196" s="65">
        <v>0</v>
      </c>
      <c r="F196" s="208">
        <v>0</v>
      </c>
      <c r="G196" s="65">
        <v>0</v>
      </c>
      <c r="H196" s="65">
        <v>59</v>
      </c>
      <c r="I196" s="65">
        <v>328</v>
      </c>
      <c r="J196" s="65" t="e">
        <f>SUM(#REF!+#REF!)</f>
        <v>#REF!</v>
      </c>
      <c r="K196" s="65" t="e">
        <f>SUM(#REF!+#REF!)</f>
        <v>#REF!</v>
      </c>
      <c r="L196" s="65">
        <v>706</v>
      </c>
      <c r="M196" s="274">
        <f>1688293/1000</f>
        <v>1688.2929999999999</v>
      </c>
      <c r="N196" s="275"/>
      <c r="O196" s="274"/>
      <c r="P196" s="276"/>
      <c r="Q196" s="274"/>
      <c r="R196" s="274"/>
      <c r="S196" s="274"/>
      <c r="T196" s="275"/>
      <c r="U196" s="275"/>
      <c r="V196" s="275"/>
      <c r="W196" s="277"/>
      <c r="X196" s="274"/>
      <c r="Y196" s="274"/>
    </row>
    <row r="197" spans="1:25" ht="15.6" x14ac:dyDescent="0.3">
      <c r="A197" s="35"/>
      <c r="B197" s="70"/>
      <c r="C197" s="65"/>
      <c r="D197" s="65"/>
      <c r="E197" s="65" t="s">
        <v>3</v>
      </c>
      <c r="F197" s="298" t="s">
        <v>3</v>
      </c>
      <c r="G197" s="89" t="s">
        <v>3</v>
      </c>
      <c r="H197" s="115" t="s">
        <v>3</v>
      </c>
      <c r="I197" s="299" t="s">
        <v>3</v>
      </c>
      <c r="J197" s="200" t="s">
        <v>3</v>
      </c>
      <c r="K197" s="163" t="s">
        <v>3</v>
      </c>
      <c r="L197" s="372">
        <v>0</v>
      </c>
      <c r="M197" s="278" t="s">
        <v>3</v>
      </c>
      <c r="N197" s="279"/>
      <c r="O197" s="278"/>
      <c r="P197" s="280"/>
      <c r="Q197" s="278"/>
      <c r="R197" s="278"/>
      <c r="S197" s="278"/>
      <c r="T197" s="279"/>
      <c r="U197" s="279"/>
      <c r="V197" s="279"/>
      <c r="W197" s="281"/>
      <c r="X197" s="278"/>
      <c r="Y197" s="278"/>
    </row>
    <row r="198" spans="1:25" ht="15.6" x14ac:dyDescent="0.3">
      <c r="A198" s="604" t="s">
        <v>271</v>
      </c>
      <c r="B198" s="554" t="s">
        <v>344</v>
      </c>
      <c r="C198" s="226"/>
      <c r="D198" s="65"/>
      <c r="E198" s="226"/>
      <c r="F198" s="122"/>
      <c r="G198" s="122"/>
      <c r="H198" s="122"/>
      <c r="I198" s="122"/>
      <c r="J198" s="122"/>
      <c r="K198" s="122"/>
      <c r="L198" s="305"/>
      <c r="M198" s="306"/>
      <c r="N198" s="307"/>
      <c r="O198" s="306"/>
      <c r="P198" s="308"/>
      <c r="Q198" s="306"/>
      <c r="R198" s="306"/>
      <c r="S198" s="306"/>
      <c r="T198" s="307"/>
      <c r="U198" s="307"/>
      <c r="V198" s="307"/>
      <c r="W198" s="309"/>
      <c r="X198" s="306"/>
      <c r="Y198" s="306"/>
    </row>
    <row r="199" spans="1:25" ht="15.6" x14ac:dyDescent="0.3">
      <c r="A199" s="35"/>
      <c r="B199" s="103"/>
      <c r="C199" s="226"/>
      <c r="D199" s="65"/>
      <c r="E199" s="226"/>
      <c r="F199" s="122"/>
      <c r="G199" s="122"/>
      <c r="H199" s="122"/>
      <c r="I199" s="122"/>
      <c r="J199" s="122"/>
      <c r="K199" s="122"/>
      <c r="L199" s="305"/>
      <c r="M199" s="306"/>
      <c r="N199" s="307"/>
      <c r="O199" s="306"/>
      <c r="P199" s="308"/>
      <c r="Q199" s="306"/>
      <c r="R199" s="306"/>
      <c r="S199" s="306"/>
      <c r="T199" s="307"/>
      <c r="U199" s="307"/>
      <c r="V199" s="307"/>
      <c r="W199" s="309"/>
      <c r="X199" s="306"/>
      <c r="Y199" s="306"/>
    </row>
    <row r="200" spans="1:25" ht="15" customHeight="1" x14ac:dyDescent="0.3">
      <c r="A200" s="604" t="s">
        <v>272</v>
      </c>
      <c r="B200" s="554" t="s">
        <v>273</v>
      </c>
      <c r="C200" s="226"/>
      <c r="D200" s="65"/>
      <c r="E200" s="226"/>
      <c r="F200" s="65"/>
      <c r="G200" s="65"/>
      <c r="H200" s="65"/>
      <c r="I200" s="65"/>
      <c r="J200" s="65"/>
      <c r="K200" s="65"/>
      <c r="L200" s="375"/>
      <c r="M200" s="274">
        <f>89685/1000</f>
        <v>89.685000000000002</v>
      </c>
      <c r="N200" s="275"/>
      <c r="O200" s="274"/>
      <c r="P200" s="276"/>
      <c r="Q200" s="274"/>
      <c r="R200" s="274"/>
      <c r="S200" s="274"/>
      <c r="T200" s="275"/>
      <c r="U200" s="275"/>
      <c r="V200" s="275"/>
      <c r="W200" s="277"/>
      <c r="X200" s="274"/>
      <c r="Y200" s="274"/>
    </row>
    <row r="201" spans="1:25" ht="15" customHeight="1" x14ac:dyDescent="0.3">
      <c r="A201" s="35"/>
      <c r="B201" s="103"/>
      <c r="C201" s="226"/>
      <c r="D201" s="65"/>
      <c r="E201" s="226"/>
      <c r="F201" s="226"/>
      <c r="G201" s="65"/>
      <c r="H201" s="65"/>
      <c r="I201" s="65"/>
      <c r="J201" s="65"/>
      <c r="K201" s="65"/>
      <c r="L201" s="375"/>
      <c r="M201" s="274"/>
      <c r="N201" s="275"/>
      <c r="O201" s="274"/>
      <c r="P201" s="632"/>
      <c r="Q201" s="375"/>
      <c r="R201" s="375"/>
      <c r="S201" s="375"/>
      <c r="T201" s="277"/>
      <c r="U201" s="277"/>
      <c r="V201" s="275"/>
      <c r="W201" s="277"/>
      <c r="X201" s="274"/>
      <c r="Y201" s="274"/>
    </row>
    <row r="202" spans="1:25" ht="15" customHeight="1" x14ac:dyDescent="0.3">
      <c r="A202" s="601" t="s">
        <v>352</v>
      </c>
      <c r="B202" s="633" t="s">
        <v>353</v>
      </c>
      <c r="C202" s="226"/>
      <c r="D202" s="65"/>
      <c r="E202" s="226"/>
      <c r="F202" s="226"/>
      <c r="G202" s="65"/>
      <c r="H202" s="65"/>
      <c r="I202" s="65"/>
      <c r="J202" s="65"/>
      <c r="K202" s="65"/>
      <c r="L202" s="375"/>
      <c r="M202" s="274"/>
      <c r="N202" s="275"/>
      <c r="O202" s="274"/>
      <c r="P202" s="632"/>
      <c r="Q202" s="375"/>
      <c r="R202" s="375"/>
      <c r="S202" s="375"/>
      <c r="T202" s="277"/>
      <c r="U202" s="277"/>
      <c r="V202" s="275"/>
      <c r="W202" s="277"/>
      <c r="X202" s="274"/>
      <c r="Y202" s="274"/>
    </row>
    <row r="203" spans="1:25" ht="15" customHeight="1" x14ac:dyDescent="0.3">
      <c r="A203" s="35"/>
      <c r="B203" s="103"/>
      <c r="C203" s="226"/>
      <c r="D203" s="65"/>
      <c r="E203" s="226"/>
      <c r="F203" s="226"/>
      <c r="G203" s="65"/>
      <c r="H203" s="65"/>
      <c r="I203" s="65"/>
      <c r="J203" s="65"/>
      <c r="K203" s="65"/>
      <c r="L203" s="375"/>
      <c r="M203" s="274"/>
      <c r="N203" s="275"/>
      <c r="O203" s="274"/>
      <c r="P203" s="632"/>
      <c r="Q203" s="375"/>
      <c r="R203" s="375"/>
      <c r="S203" s="375"/>
      <c r="T203" s="277"/>
      <c r="U203" s="277"/>
      <c r="V203" s="275"/>
      <c r="W203" s="277"/>
      <c r="X203" s="274"/>
      <c r="Y203" s="274"/>
    </row>
    <row r="204" spans="1:25" ht="15.6" x14ac:dyDescent="0.3">
      <c r="A204" s="601" t="s">
        <v>274</v>
      </c>
      <c r="B204" s="633" t="s">
        <v>275</v>
      </c>
      <c r="C204" s="178"/>
      <c r="D204" s="178"/>
      <c r="E204" s="178"/>
      <c r="F204" s="525"/>
      <c r="G204" s="122"/>
      <c r="H204" s="122"/>
      <c r="I204" s="122"/>
      <c r="J204" s="122"/>
      <c r="K204" s="489"/>
      <c r="L204" s="490"/>
      <c r="M204" s="490"/>
      <c r="N204" s="494"/>
      <c r="O204" s="94" t="e">
        <f t="shared" ref="O204:Y204" si="29">O206+O225+O244</f>
        <v>#REF!</v>
      </c>
      <c r="P204" s="440">
        <f t="shared" si="29"/>
        <v>123000</v>
      </c>
      <c r="Q204" s="94">
        <f t="shared" si="29"/>
        <v>127550</v>
      </c>
      <c r="R204" s="94">
        <f t="shared" si="29"/>
        <v>141300</v>
      </c>
      <c r="S204" s="94">
        <f t="shared" si="29"/>
        <v>222400</v>
      </c>
      <c r="T204" s="94">
        <f t="shared" si="29"/>
        <v>221200</v>
      </c>
      <c r="U204" s="94">
        <f t="shared" si="29"/>
        <v>169950</v>
      </c>
      <c r="V204" s="95">
        <f t="shared" si="29"/>
        <v>169000</v>
      </c>
      <c r="W204" s="94">
        <f t="shared" si="29"/>
        <v>170850</v>
      </c>
      <c r="X204" s="95">
        <f t="shared" si="29"/>
        <v>159300</v>
      </c>
      <c r="Y204" s="95">
        <f t="shared" si="29"/>
        <v>165300</v>
      </c>
    </row>
    <row r="205" spans="1:25" ht="15.6" x14ac:dyDescent="0.3">
      <c r="A205" s="35"/>
      <c r="B205" s="537"/>
      <c r="C205" s="178"/>
      <c r="D205" s="178"/>
      <c r="E205" s="178"/>
      <c r="F205" s="525"/>
      <c r="G205" s="122"/>
      <c r="H205" s="122"/>
      <c r="I205" s="122"/>
      <c r="J205" s="122"/>
      <c r="K205" s="489"/>
      <c r="L205" s="490"/>
      <c r="M205" s="490"/>
      <c r="N205" s="494"/>
      <c r="O205" s="494"/>
      <c r="P205" s="493"/>
      <c r="Q205" s="494"/>
      <c r="R205" s="494"/>
      <c r="S205" s="494"/>
      <c r="T205" s="494"/>
      <c r="U205" s="494"/>
      <c r="V205" s="494"/>
      <c r="W205" s="490"/>
      <c r="X205" s="494"/>
      <c r="Y205" s="494"/>
    </row>
    <row r="206" spans="1:25" ht="15.6" x14ac:dyDescent="0.3">
      <c r="A206" s="242" t="s">
        <v>354</v>
      </c>
      <c r="B206" s="108" t="s">
        <v>43</v>
      </c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5"/>
      <c r="O206" s="95" t="e">
        <f>SUM(O211,O213,O215,O217,O219,O221,O223)+#REF!</f>
        <v>#REF!</v>
      </c>
      <c r="P206" s="97">
        <f t="shared" ref="P206:Y206" si="30">SUM(P211,P213,P215,P217,P219,P221,P223)</f>
        <v>46400</v>
      </c>
      <c r="Q206" s="95">
        <f t="shared" si="30"/>
        <v>57150</v>
      </c>
      <c r="R206" s="95">
        <f t="shared" si="30"/>
        <v>73600</v>
      </c>
      <c r="S206" s="95">
        <f t="shared" si="30"/>
        <v>109900</v>
      </c>
      <c r="T206" s="95">
        <f t="shared" si="30"/>
        <v>101000</v>
      </c>
      <c r="U206" s="95">
        <f t="shared" si="30"/>
        <v>85150</v>
      </c>
      <c r="V206" s="95">
        <f t="shared" si="30"/>
        <v>90700</v>
      </c>
      <c r="W206" s="94">
        <f t="shared" si="30"/>
        <v>73350</v>
      </c>
      <c r="X206" s="95">
        <f t="shared" si="30"/>
        <v>73400</v>
      </c>
      <c r="Y206" s="95">
        <f t="shared" si="30"/>
        <v>79500</v>
      </c>
    </row>
    <row r="207" spans="1:25" ht="1.5" customHeight="1" x14ac:dyDescent="0.3">
      <c r="A207" s="35"/>
      <c r="B207" s="538" t="s">
        <v>277</v>
      </c>
      <c r="C207" s="53"/>
      <c r="D207" s="54"/>
      <c r="E207" s="53"/>
      <c r="F207" s="53"/>
      <c r="G207" s="53"/>
      <c r="H207" s="53"/>
      <c r="I207" s="53"/>
      <c r="J207" s="53"/>
      <c r="K207" s="65"/>
      <c r="L207" s="98"/>
      <c r="M207" s="89"/>
      <c r="N207" s="88"/>
      <c r="O207" s="85">
        <v>63800</v>
      </c>
      <c r="P207" s="539">
        <v>61500</v>
      </c>
      <c r="Q207" s="72">
        <v>86700</v>
      </c>
      <c r="R207" s="72">
        <v>94800</v>
      </c>
      <c r="S207" s="72">
        <v>101900</v>
      </c>
      <c r="T207" s="72">
        <v>99300</v>
      </c>
      <c r="U207" s="72">
        <v>85200</v>
      </c>
      <c r="V207" s="72">
        <v>90700</v>
      </c>
      <c r="W207" s="540">
        <v>73400</v>
      </c>
      <c r="X207" s="72">
        <v>73400</v>
      </c>
      <c r="Y207" s="72"/>
    </row>
    <row r="208" spans="1:25" ht="15.6" x14ac:dyDescent="0.3">
      <c r="A208" s="35"/>
      <c r="B208" s="538"/>
      <c r="C208" s="53"/>
      <c r="D208" s="54"/>
      <c r="E208" s="53"/>
      <c r="F208" s="53"/>
      <c r="G208" s="53"/>
      <c r="H208" s="53"/>
      <c r="I208" s="53"/>
      <c r="J208" s="53"/>
      <c r="K208" s="65"/>
      <c r="L208" s="98"/>
      <c r="M208" s="89"/>
      <c r="N208" s="88"/>
      <c r="O208" s="85"/>
      <c r="P208" s="539"/>
      <c r="Q208" s="72"/>
      <c r="R208" s="72"/>
      <c r="S208" s="72"/>
      <c r="T208" s="72"/>
      <c r="U208" s="72"/>
      <c r="V208" s="72"/>
      <c r="W208" s="540"/>
      <c r="X208" s="72"/>
      <c r="Y208" s="72"/>
    </row>
    <row r="209" spans="1:25" ht="15.6" x14ac:dyDescent="0.3">
      <c r="A209" s="604" t="s">
        <v>355</v>
      </c>
      <c r="B209" s="605" t="s">
        <v>278</v>
      </c>
      <c r="C209" s="35"/>
      <c r="D209" s="36"/>
      <c r="E209" s="35"/>
      <c r="F209" s="35"/>
      <c r="G209" s="35"/>
      <c r="H209" s="35"/>
      <c r="I209" s="35"/>
      <c r="J209" s="35"/>
      <c r="K209" s="65"/>
      <c r="L209" s="65"/>
      <c r="M209" s="65"/>
      <c r="N209" s="66"/>
      <c r="O209" s="66"/>
      <c r="P209" s="68"/>
      <c r="Q209" s="66"/>
      <c r="R209" s="66"/>
      <c r="S209" s="66"/>
      <c r="T209" s="66"/>
      <c r="U209" s="66"/>
      <c r="V209" s="66"/>
      <c r="W209" s="65"/>
      <c r="X209" s="66"/>
      <c r="Y209" s="66"/>
    </row>
    <row r="210" spans="1:25" ht="15.6" x14ac:dyDescent="0.3">
      <c r="A210" s="35"/>
      <c r="B210" s="70"/>
      <c r="C210" s="102"/>
      <c r="D210" s="104"/>
      <c r="E210" s="102"/>
      <c r="F210" s="102"/>
      <c r="G210" s="102"/>
      <c r="H210" s="102"/>
      <c r="I210" s="102"/>
      <c r="J210" s="102"/>
      <c r="K210" s="65"/>
      <c r="L210" s="98"/>
      <c r="M210" s="65"/>
      <c r="N210" s="66"/>
      <c r="O210" s="66"/>
      <c r="P210" s="68"/>
      <c r="Q210" s="66"/>
      <c r="R210" s="66"/>
      <c r="S210" s="66"/>
      <c r="T210" s="66"/>
      <c r="U210" s="66"/>
      <c r="V210" s="66"/>
      <c r="W210" s="65"/>
      <c r="X210" s="66"/>
      <c r="Y210" s="66"/>
    </row>
    <row r="211" spans="1:25" ht="15.6" x14ac:dyDescent="0.3">
      <c r="A211" s="604" t="s">
        <v>356</v>
      </c>
      <c r="B211" s="605" t="s">
        <v>279</v>
      </c>
      <c r="C211" s="102"/>
      <c r="D211" s="104"/>
      <c r="E211" s="102"/>
      <c r="F211" s="102"/>
      <c r="G211" s="102"/>
      <c r="H211" s="102"/>
      <c r="I211" s="102"/>
      <c r="J211" s="102"/>
      <c r="K211" s="65"/>
      <c r="L211" s="65"/>
      <c r="M211" s="65"/>
      <c r="N211" s="66"/>
      <c r="O211" s="66">
        <v>11300</v>
      </c>
      <c r="P211" s="68">
        <v>11400</v>
      </c>
      <c r="Q211" s="105">
        <f>12000-3300</f>
        <v>8700</v>
      </c>
      <c r="R211" s="105">
        <f>12000-1700</f>
        <v>10300</v>
      </c>
      <c r="S211" s="105">
        <f>15700+3300</f>
        <v>19000</v>
      </c>
      <c r="T211" s="105">
        <f>18500+1700</f>
        <v>20200</v>
      </c>
      <c r="U211" s="66">
        <v>13000</v>
      </c>
      <c r="V211" s="66">
        <v>14600</v>
      </c>
      <c r="W211" s="65">
        <v>6600</v>
      </c>
      <c r="X211" s="66">
        <v>4000</v>
      </c>
      <c r="Y211" s="66">
        <v>6000</v>
      </c>
    </row>
    <row r="212" spans="1:25" ht="15.6" x14ac:dyDescent="0.3">
      <c r="A212" s="35"/>
      <c r="B212" s="70"/>
      <c r="C212" s="102"/>
      <c r="D212" s="104"/>
      <c r="E212" s="102"/>
      <c r="F212" s="102"/>
      <c r="G212" s="102"/>
      <c r="H212" s="102"/>
      <c r="I212" s="102"/>
      <c r="J212" s="102"/>
      <c r="K212" s="65"/>
      <c r="L212" s="98"/>
      <c r="M212" s="65"/>
      <c r="N212" s="66"/>
      <c r="O212" s="66"/>
      <c r="P212" s="126"/>
      <c r="Q212" s="125"/>
      <c r="R212" s="125"/>
      <c r="S212" s="125"/>
      <c r="T212" s="125"/>
      <c r="U212" s="125"/>
      <c r="V212" s="125"/>
      <c r="W212" s="122"/>
      <c r="X212" s="125"/>
      <c r="Y212" s="125"/>
    </row>
    <row r="213" spans="1:25" ht="15.6" x14ac:dyDescent="0.3">
      <c r="A213" s="604" t="s">
        <v>357</v>
      </c>
      <c r="B213" s="605" t="s">
        <v>280</v>
      </c>
      <c r="C213" s="102"/>
      <c r="D213" s="104"/>
      <c r="E213" s="102"/>
      <c r="F213" s="102"/>
      <c r="G213" s="102"/>
      <c r="H213" s="102"/>
      <c r="I213" s="102"/>
      <c r="J213" s="102"/>
      <c r="K213" s="65"/>
      <c r="L213" s="65"/>
      <c r="M213" s="65"/>
      <c r="N213" s="66"/>
      <c r="O213" s="66">
        <v>5400</v>
      </c>
      <c r="P213" s="68">
        <v>8400</v>
      </c>
      <c r="Q213" s="66">
        <v>24000</v>
      </c>
      <c r="R213" s="66">
        <f>41000-18000</f>
        <v>23000</v>
      </c>
      <c r="S213" s="66">
        <v>40500</v>
      </c>
      <c r="T213" s="66">
        <v>43100</v>
      </c>
      <c r="U213" s="66">
        <v>25000</v>
      </c>
      <c r="V213" s="66">
        <v>15000</v>
      </c>
      <c r="W213" s="65">
        <v>14000</v>
      </c>
      <c r="X213" s="66">
        <v>14700</v>
      </c>
      <c r="Y213" s="66">
        <v>16000</v>
      </c>
    </row>
    <row r="214" spans="1:25" ht="15.6" x14ac:dyDescent="0.3">
      <c r="A214" s="35"/>
      <c r="B214" s="70"/>
      <c r="C214" s="102"/>
      <c r="D214" s="104"/>
      <c r="E214" s="102"/>
      <c r="F214" s="102"/>
      <c r="G214" s="102"/>
      <c r="H214" s="102"/>
      <c r="I214" s="102"/>
      <c r="J214" s="102"/>
      <c r="K214" s="65"/>
      <c r="L214" s="98"/>
      <c r="M214" s="65"/>
      <c r="N214" s="66"/>
      <c r="O214" s="66"/>
      <c r="P214" s="126"/>
      <c r="Q214" s="125"/>
      <c r="R214" s="125"/>
      <c r="S214" s="125"/>
      <c r="T214" s="125"/>
      <c r="U214" s="125"/>
      <c r="V214" s="125"/>
      <c r="W214" s="122"/>
      <c r="X214" s="125"/>
      <c r="Y214" s="125"/>
    </row>
    <row r="215" spans="1:25" ht="15.6" x14ac:dyDescent="0.3">
      <c r="A215" s="604" t="s">
        <v>358</v>
      </c>
      <c r="B215" s="605" t="s">
        <v>281</v>
      </c>
      <c r="C215" s="102"/>
      <c r="D215" s="104"/>
      <c r="E215" s="102"/>
      <c r="F215" s="102"/>
      <c r="G215" s="102"/>
      <c r="H215" s="102"/>
      <c r="I215" s="102"/>
      <c r="J215" s="102"/>
      <c r="K215" s="65"/>
      <c r="L215" s="65"/>
      <c r="M215" s="65"/>
      <c r="N215" s="66"/>
      <c r="O215" s="66">
        <f>7200-600</f>
        <v>6600</v>
      </c>
      <c r="P215" s="210">
        <f>9500-1200</f>
        <v>8300</v>
      </c>
      <c r="Q215" s="66">
        <v>6000</v>
      </c>
      <c r="R215" s="66">
        <v>3100</v>
      </c>
      <c r="S215" s="105">
        <f>3100+1200</f>
        <v>4300</v>
      </c>
      <c r="T215" s="66">
        <v>7600</v>
      </c>
      <c r="U215" s="66">
        <v>6200</v>
      </c>
      <c r="V215" s="66">
        <v>1600</v>
      </c>
      <c r="W215" s="65"/>
      <c r="X215" s="66"/>
      <c r="Y215" s="66"/>
    </row>
    <row r="216" spans="1:25" ht="15.6" x14ac:dyDescent="0.3">
      <c r="A216" s="35"/>
      <c r="B216" s="70"/>
      <c r="C216" s="102"/>
      <c r="D216" s="104"/>
      <c r="E216" s="102"/>
      <c r="F216" s="102"/>
      <c r="G216" s="102"/>
      <c r="H216" s="102"/>
      <c r="I216" s="102"/>
      <c r="J216" s="102"/>
      <c r="K216" s="65"/>
      <c r="L216" s="98"/>
      <c r="M216" s="65"/>
      <c r="N216" s="66"/>
      <c r="O216" s="66"/>
      <c r="P216" s="126"/>
      <c r="Q216" s="125"/>
      <c r="R216" s="125"/>
      <c r="S216" s="125"/>
      <c r="T216" s="125"/>
      <c r="U216" s="125"/>
      <c r="V216" s="125"/>
      <c r="W216" s="122"/>
      <c r="X216" s="125"/>
      <c r="Y216" s="125"/>
    </row>
    <row r="217" spans="1:25" ht="15.6" x14ac:dyDescent="0.3">
      <c r="A217" s="604" t="s">
        <v>359</v>
      </c>
      <c r="B217" s="605" t="s">
        <v>282</v>
      </c>
      <c r="C217" s="102"/>
      <c r="D217" s="104"/>
      <c r="E217" s="102"/>
      <c r="F217" s="102"/>
      <c r="G217" s="102"/>
      <c r="H217" s="102"/>
      <c r="I217" s="102"/>
      <c r="J217" s="102"/>
      <c r="K217" s="65"/>
      <c r="L217" s="65"/>
      <c r="M217" s="65"/>
      <c r="N217" s="66"/>
      <c r="O217" s="66">
        <v>3000</v>
      </c>
      <c r="P217" s="68">
        <v>3800</v>
      </c>
      <c r="Q217" s="66">
        <v>9500</v>
      </c>
      <c r="R217" s="66">
        <v>11800</v>
      </c>
      <c r="S217" s="66">
        <v>4500</v>
      </c>
      <c r="T217" s="66">
        <v>1000</v>
      </c>
      <c r="U217" s="66">
        <v>1000</v>
      </c>
      <c r="V217" s="66">
        <v>1500</v>
      </c>
      <c r="W217" s="65">
        <v>1500</v>
      </c>
      <c r="X217" s="66">
        <v>1500</v>
      </c>
      <c r="Y217" s="66">
        <v>2000</v>
      </c>
    </row>
    <row r="218" spans="1:25" ht="15.6" x14ac:dyDescent="0.3">
      <c r="A218" s="35" t="s">
        <v>3</v>
      </c>
      <c r="B218" s="70"/>
      <c r="C218" s="102"/>
      <c r="D218" s="104"/>
      <c r="E218" s="102"/>
      <c r="F218" s="102"/>
      <c r="G218" s="102"/>
      <c r="H218" s="102"/>
      <c r="I218" s="102"/>
      <c r="J218" s="102"/>
      <c r="K218" s="65"/>
      <c r="L218" s="98"/>
      <c r="M218" s="65"/>
      <c r="N218" s="66"/>
      <c r="O218" s="66"/>
      <c r="P218" s="68"/>
      <c r="Q218" s="66"/>
      <c r="R218" s="66"/>
      <c r="S218" s="66"/>
      <c r="T218" s="66"/>
      <c r="U218" s="66"/>
      <c r="V218" s="66"/>
      <c r="W218" s="65"/>
      <c r="X218" s="66"/>
      <c r="Y218" s="66"/>
    </row>
    <row r="219" spans="1:25" ht="15.6" x14ac:dyDescent="0.3">
      <c r="A219" s="604" t="s">
        <v>360</v>
      </c>
      <c r="B219" s="605" t="s">
        <v>283</v>
      </c>
      <c r="C219" s="102"/>
      <c r="D219" s="104"/>
      <c r="E219" s="102"/>
      <c r="F219" s="102"/>
      <c r="G219" s="102"/>
      <c r="H219" s="102"/>
      <c r="I219" s="102"/>
      <c r="J219" s="102"/>
      <c r="K219" s="65"/>
      <c r="L219" s="65"/>
      <c r="M219" s="65"/>
      <c r="N219" s="66"/>
      <c r="O219" s="66">
        <v>4000</v>
      </c>
      <c r="P219" s="68">
        <v>1500</v>
      </c>
      <c r="Q219" s="66">
        <v>600</v>
      </c>
      <c r="R219" s="66">
        <v>400</v>
      </c>
      <c r="S219" s="66"/>
      <c r="T219" s="66"/>
      <c r="U219" s="66"/>
      <c r="V219" s="66"/>
      <c r="W219" s="65"/>
      <c r="X219" s="66"/>
      <c r="Y219" s="66"/>
    </row>
    <row r="220" spans="1:25" ht="15.6" x14ac:dyDescent="0.3">
      <c r="A220" s="35"/>
      <c r="B220" s="70"/>
      <c r="C220" s="102"/>
      <c r="D220" s="104"/>
      <c r="E220" s="102"/>
      <c r="F220" s="102"/>
      <c r="G220" s="102"/>
      <c r="H220" s="102"/>
      <c r="I220" s="102"/>
      <c r="J220" s="102"/>
      <c r="K220" s="65"/>
      <c r="L220" s="98"/>
      <c r="M220" s="65"/>
      <c r="N220" s="66"/>
      <c r="O220" s="66"/>
      <c r="P220" s="68"/>
      <c r="Q220" s="66"/>
      <c r="R220" s="66"/>
      <c r="S220" s="66"/>
      <c r="T220" s="66"/>
      <c r="U220" s="66"/>
      <c r="V220" s="66"/>
      <c r="W220" s="65"/>
      <c r="X220" s="66"/>
      <c r="Y220" s="66"/>
    </row>
    <row r="221" spans="1:25" ht="15.6" x14ac:dyDescent="0.3">
      <c r="A221" s="604" t="s">
        <v>361</v>
      </c>
      <c r="B221" s="605" t="s">
        <v>40</v>
      </c>
      <c r="C221" s="102"/>
      <c r="D221" s="104"/>
      <c r="E221" s="102"/>
      <c r="F221" s="102"/>
      <c r="G221" s="102"/>
      <c r="H221" s="102"/>
      <c r="I221" s="102"/>
      <c r="J221" s="102"/>
      <c r="K221" s="65"/>
      <c r="L221" s="65"/>
      <c r="M221" s="65"/>
      <c r="N221" s="66"/>
      <c r="O221" s="66">
        <v>1500</v>
      </c>
      <c r="P221" s="68">
        <v>900</v>
      </c>
      <c r="Q221" s="66">
        <v>2500</v>
      </c>
      <c r="R221" s="66">
        <v>3500</v>
      </c>
      <c r="S221" s="66">
        <v>18000</v>
      </c>
      <c r="T221" s="66">
        <v>26000</v>
      </c>
      <c r="U221" s="66">
        <v>21000</v>
      </c>
      <c r="V221" s="66">
        <v>32000</v>
      </c>
      <c r="W221" s="65">
        <v>37600</v>
      </c>
      <c r="X221" s="66">
        <v>40000</v>
      </c>
      <c r="Y221" s="66">
        <v>45000</v>
      </c>
    </row>
    <row r="222" spans="1:25" ht="15.6" x14ac:dyDescent="0.3">
      <c r="A222" s="35"/>
      <c r="B222" s="70"/>
      <c r="C222" s="102"/>
      <c r="D222" s="104"/>
      <c r="E222" s="102"/>
      <c r="F222" s="102"/>
      <c r="G222" s="102"/>
      <c r="H222" s="102"/>
      <c r="I222" s="102"/>
      <c r="J222" s="102"/>
      <c r="K222" s="65"/>
      <c r="L222" s="98"/>
      <c r="M222" s="65"/>
      <c r="N222" s="66"/>
      <c r="O222" s="66"/>
      <c r="P222" s="68"/>
      <c r="Q222" s="66"/>
      <c r="R222" s="66"/>
      <c r="S222" s="66"/>
      <c r="T222" s="66"/>
      <c r="U222" s="66"/>
      <c r="V222" s="66"/>
      <c r="W222" s="65"/>
      <c r="X222" s="66"/>
      <c r="Y222" s="66"/>
    </row>
    <row r="223" spans="1:25" ht="15.6" x14ac:dyDescent="0.3">
      <c r="A223" s="604" t="s">
        <v>362</v>
      </c>
      <c r="B223" s="554" t="s">
        <v>284</v>
      </c>
      <c r="C223" s="102"/>
      <c r="D223" s="104"/>
      <c r="E223" s="102"/>
      <c r="F223" s="102"/>
      <c r="G223" s="102"/>
      <c r="H223" s="102"/>
      <c r="I223" s="102"/>
      <c r="J223" s="102"/>
      <c r="K223" s="65"/>
      <c r="L223" s="98"/>
      <c r="M223" s="65"/>
      <c r="N223" s="66"/>
      <c r="O223" s="66">
        <v>13400</v>
      </c>
      <c r="P223" s="68">
        <v>12100</v>
      </c>
      <c r="Q223" s="66">
        <f>5900-50</f>
        <v>5850</v>
      </c>
      <c r="R223" s="66">
        <v>21500</v>
      </c>
      <c r="S223" s="66">
        <v>23600</v>
      </c>
      <c r="T223" s="66">
        <v>3100</v>
      </c>
      <c r="U223" s="66">
        <f>19000-50</f>
        <v>18950</v>
      </c>
      <c r="V223" s="66">
        <v>26000</v>
      </c>
      <c r="W223" s="65">
        <f>13700-50</f>
        <v>13650</v>
      </c>
      <c r="X223" s="66">
        <v>13200</v>
      </c>
      <c r="Y223" s="66">
        <v>10500</v>
      </c>
    </row>
    <row r="224" spans="1:25" ht="15.6" x14ac:dyDescent="0.3">
      <c r="A224" s="35"/>
      <c r="B224" s="34"/>
      <c r="C224" s="102"/>
      <c r="D224" s="104"/>
      <c r="E224" s="102"/>
      <c r="F224" s="102"/>
      <c r="G224" s="102"/>
      <c r="H224" s="102"/>
      <c r="I224" s="102"/>
      <c r="J224" s="102"/>
      <c r="K224" s="65"/>
      <c r="L224" s="65"/>
      <c r="M224" s="65"/>
      <c r="N224" s="66"/>
      <c r="O224" s="66"/>
      <c r="P224" s="68"/>
      <c r="Q224" s="66"/>
      <c r="R224" s="66"/>
      <c r="S224" s="66"/>
      <c r="T224" s="66"/>
      <c r="U224" s="66"/>
      <c r="V224" s="66"/>
      <c r="W224" s="65"/>
      <c r="X224" s="66"/>
      <c r="Y224" s="66"/>
    </row>
    <row r="225" spans="1:25" ht="15.75" customHeight="1" x14ac:dyDescent="0.3">
      <c r="A225" s="242" t="s">
        <v>363</v>
      </c>
      <c r="B225" s="393" t="s">
        <v>285</v>
      </c>
      <c r="C225" s="319"/>
      <c r="D225" s="319"/>
      <c r="E225" s="173"/>
      <c r="F225" s="173"/>
      <c r="G225" s="173"/>
      <c r="H225" s="173"/>
      <c r="I225" s="173"/>
      <c r="J225" s="173"/>
      <c r="K225" s="94"/>
      <c r="L225" s="94"/>
      <c r="M225" s="95"/>
      <c r="N225" s="95"/>
      <c r="O225" s="95" t="e">
        <f>SUM(O227,O229,O231,O234,O236,O238,O240,O242)+#REF!</f>
        <v>#REF!</v>
      </c>
      <c r="P225" s="97">
        <f t="shared" ref="P225:Y225" si="31">SUM(P227,P229,P231,P234,P236,P238,P240,P242)</f>
        <v>68800</v>
      </c>
      <c r="Q225" s="94">
        <f t="shared" si="31"/>
        <v>60300</v>
      </c>
      <c r="R225" s="94">
        <f t="shared" si="31"/>
        <v>57000</v>
      </c>
      <c r="S225" s="94">
        <f t="shared" si="31"/>
        <v>101100</v>
      </c>
      <c r="T225" s="94">
        <f t="shared" si="31"/>
        <v>108600</v>
      </c>
      <c r="U225" s="94">
        <f t="shared" si="31"/>
        <v>73200</v>
      </c>
      <c r="V225" s="94">
        <f t="shared" si="31"/>
        <v>66900</v>
      </c>
      <c r="W225" s="94">
        <f t="shared" si="31"/>
        <v>86500</v>
      </c>
      <c r="X225" s="95">
        <f t="shared" si="31"/>
        <v>74900</v>
      </c>
      <c r="Y225" s="95">
        <f t="shared" si="31"/>
        <v>73800</v>
      </c>
    </row>
    <row r="226" spans="1:25" ht="15" customHeight="1" x14ac:dyDescent="0.3">
      <c r="A226" s="53"/>
      <c r="B226" s="70"/>
      <c r="C226" s="227"/>
      <c r="D226" s="227"/>
      <c r="E226" s="227"/>
      <c r="F226" s="227"/>
      <c r="G226" s="296"/>
      <c r="H226" s="339"/>
      <c r="I226" s="340"/>
      <c r="J226" s="339"/>
      <c r="K226" s="341"/>
      <c r="L226" s="130"/>
      <c r="M226" s="542"/>
      <c r="N226" s="542"/>
      <c r="O226" s="344"/>
      <c r="P226" s="113"/>
      <c r="Q226" s="544"/>
      <c r="R226" s="544"/>
      <c r="S226" s="544"/>
      <c r="T226" s="544"/>
      <c r="U226" s="544"/>
      <c r="V226" s="544"/>
      <c r="W226" s="106"/>
      <c r="X226" s="544"/>
      <c r="Y226" s="544"/>
    </row>
    <row r="227" spans="1:25" s="2" customFormat="1" ht="15.75" customHeight="1" x14ac:dyDescent="0.3">
      <c r="A227" s="604" t="s">
        <v>364</v>
      </c>
      <c r="B227" s="605" t="s">
        <v>365</v>
      </c>
      <c r="C227" s="208"/>
      <c r="D227" s="208"/>
      <c r="E227" s="208"/>
      <c r="F227" s="208"/>
      <c r="G227" s="208"/>
      <c r="H227" s="208"/>
      <c r="I227" s="208"/>
      <c r="J227" s="208"/>
      <c r="K227" s="65"/>
      <c r="L227" s="65"/>
      <c r="M227" s="66"/>
      <c r="N227" s="66"/>
      <c r="O227" s="66">
        <v>400</v>
      </c>
      <c r="P227" s="68">
        <v>400</v>
      </c>
      <c r="Q227" s="67">
        <v>3300</v>
      </c>
      <c r="R227" s="67">
        <v>5600</v>
      </c>
      <c r="S227" s="67">
        <v>3700</v>
      </c>
      <c r="T227" s="67">
        <v>1800</v>
      </c>
      <c r="U227" s="106"/>
      <c r="V227" s="106"/>
      <c r="W227" s="106"/>
      <c r="X227" s="106"/>
      <c r="Y227" s="106"/>
    </row>
    <row r="228" spans="1:25" ht="15" customHeight="1" x14ac:dyDescent="0.3">
      <c r="A228" s="53"/>
      <c r="B228" s="70"/>
      <c r="C228" s="114"/>
      <c r="D228" s="115"/>
      <c r="E228" s="115"/>
      <c r="F228" s="220"/>
      <c r="G228" s="89"/>
      <c r="H228" s="205"/>
      <c r="I228" s="299"/>
      <c r="J228" s="347"/>
      <c r="K228" s="163"/>
      <c r="L228" s="297"/>
      <c r="M228" s="291"/>
      <c r="N228" s="291"/>
      <c r="O228" s="291"/>
      <c r="P228" s="300"/>
      <c r="Q228" s="291"/>
      <c r="R228" s="291"/>
      <c r="S228" s="292"/>
      <c r="T228" s="292"/>
      <c r="U228" s="546"/>
      <c r="V228" s="546"/>
      <c r="W228" s="547"/>
      <c r="X228" s="548"/>
      <c r="Y228" s="548"/>
    </row>
    <row r="229" spans="1:25" s="2" customFormat="1" ht="15.75" customHeight="1" x14ac:dyDescent="0.3">
      <c r="A229" s="604" t="s">
        <v>366</v>
      </c>
      <c r="B229" s="554" t="s">
        <v>367</v>
      </c>
      <c r="C229" s="208"/>
      <c r="D229" s="208"/>
      <c r="E229" s="208"/>
      <c r="F229" s="208"/>
      <c r="G229" s="208"/>
      <c r="H229" s="208"/>
      <c r="I229" s="208"/>
      <c r="J229" s="208"/>
      <c r="K229" s="65"/>
      <c r="L229" s="65"/>
      <c r="M229" s="66"/>
      <c r="N229" s="66"/>
      <c r="O229" s="66">
        <v>13000</v>
      </c>
      <c r="P229" s="68">
        <v>25500</v>
      </c>
      <c r="Q229" s="65">
        <v>21300</v>
      </c>
      <c r="R229" s="118">
        <f>14500-1000</f>
        <v>13500</v>
      </c>
      <c r="S229" s="118">
        <f>22500+1000+15000</f>
        <v>38500</v>
      </c>
      <c r="T229" s="105">
        <f>29000+10000</f>
        <v>39000</v>
      </c>
      <c r="U229" s="105">
        <f>20000+5000</f>
        <v>25000</v>
      </c>
      <c r="V229" s="105">
        <f>11500+5000</f>
        <v>16500</v>
      </c>
      <c r="W229" s="118">
        <f>9000+5000</f>
        <v>14000</v>
      </c>
      <c r="X229" s="105">
        <f>12500+5000</f>
        <v>17500</v>
      </c>
      <c r="Y229" s="105">
        <f>10300+5000</f>
        <v>15300</v>
      </c>
    </row>
    <row r="230" spans="1:25" s="2" customFormat="1" ht="15.75" customHeight="1" x14ac:dyDescent="0.3">
      <c r="A230" s="35"/>
      <c r="B230" s="70"/>
      <c r="C230" s="114"/>
      <c r="D230" s="115"/>
      <c r="E230" s="115"/>
      <c r="F230" s="352"/>
      <c r="G230" s="89"/>
      <c r="H230" s="205"/>
      <c r="I230" s="299"/>
      <c r="J230" s="347"/>
      <c r="K230" s="163"/>
      <c r="L230" s="98"/>
      <c r="M230" s="166"/>
      <c r="N230" s="166"/>
      <c r="O230" s="166"/>
      <c r="P230" s="247"/>
      <c r="Q230" s="166"/>
      <c r="R230" s="166"/>
      <c r="S230" s="193"/>
      <c r="T230" s="166"/>
      <c r="U230" s="166"/>
      <c r="V230" s="166"/>
      <c r="W230" s="163"/>
      <c r="X230" s="166"/>
      <c r="Y230" s="166"/>
    </row>
    <row r="231" spans="1:25" s="2" customFormat="1" ht="15.75" customHeight="1" x14ac:dyDescent="0.3">
      <c r="A231" s="604" t="s">
        <v>368</v>
      </c>
      <c r="B231" s="554" t="s">
        <v>151</v>
      </c>
      <c r="C231" s="208"/>
      <c r="D231" s="208"/>
      <c r="E231" s="208"/>
      <c r="F231" s="208"/>
      <c r="G231" s="208"/>
      <c r="H231" s="208"/>
      <c r="I231" s="208"/>
      <c r="J231" s="208"/>
      <c r="K231" s="65"/>
      <c r="L231" s="65"/>
      <c r="M231" s="66"/>
      <c r="N231" s="66"/>
      <c r="O231" s="66">
        <v>4200</v>
      </c>
      <c r="P231" s="68">
        <v>4500</v>
      </c>
      <c r="Q231" s="66">
        <v>4900</v>
      </c>
      <c r="R231" s="66">
        <f>5800-2000</f>
        <v>3800</v>
      </c>
      <c r="S231" s="66">
        <v>8100</v>
      </c>
      <c r="T231" s="66">
        <v>16400</v>
      </c>
      <c r="U231" s="66">
        <v>8500</v>
      </c>
      <c r="V231" s="66">
        <v>4800</v>
      </c>
      <c r="W231" s="65">
        <v>6000</v>
      </c>
      <c r="X231" s="66">
        <v>6400</v>
      </c>
      <c r="Y231" s="66">
        <v>6000</v>
      </c>
    </row>
    <row r="232" spans="1:25" s="2" customFormat="1" ht="15.75" customHeight="1" x14ac:dyDescent="0.3">
      <c r="A232" s="35"/>
      <c r="B232" s="70"/>
      <c r="C232" s="115"/>
      <c r="D232" s="115"/>
      <c r="E232" s="115"/>
      <c r="F232" s="352"/>
      <c r="G232" s="89"/>
      <c r="H232" s="205"/>
      <c r="I232" s="299"/>
      <c r="J232" s="347"/>
      <c r="K232" s="163"/>
      <c r="L232" s="98"/>
      <c r="M232" s="166"/>
      <c r="N232" s="166"/>
      <c r="O232" s="166"/>
      <c r="P232" s="280"/>
      <c r="Q232" s="278"/>
      <c r="R232" s="278"/>
      <c r="S232" s="279"/>
      <c r="T232" s="279"/>
      <c r="U232" s="279"/>
      <c r="V232" s="279"/>
      <c r="W232" s="281"/>
      <c r="X232" s="278"/>
      <c r="Y232" s="278"/>
    </row>
    <row r="233" spans="1:25" s="2" customFormat="1" ht="15.75" customHeight="1" x14ac:dyDescent="0.3">
      <c r="A233" s="53"/>
      <c r="B233" s="362" t="s">
        <v>3</v>
      </c>
      <c r="C233" s="227"/>
      <c r="D233" s="227"/>
      <c r="E233" s="227"/>
      <c r="F233" s="227"/>
      <c r="G233" s="227"/>
      <c r="H233" s="227"/>
      <c r="I233" s="227"/>
      <c r="J233" s="227"/>
      <c r="K233" s="122"/>
      <c r="L233" s="163"/>
      <c r="M233" s="166"/>
      <c r="N233" s="166"/>
      <c r="O233" s="166"/>
      <c r="P233" s="247"/>
      <c r="Q233" s="166"/>
      <c r="R233" s="166"/>
      <c r="S233" s="193"/>
      <c r="T233" s="193"/>
      <c r="U233" s="193"/>
      <c r="V233" s="193"/>
      <c r="W233" s="248"/>
      <c r="X233" s="166"/>
      <c r="Y233" s="166"/>
    </row>
    <row r="234" spans="1:25" s="2" customFormat="1" ht="15.75" customHeight="1" x14ac:dyDescent="0.3">
      <c r="A234" s="604" t="s">
        <v>369</v>
      </c>
      <c r="B234" s="554" t="s">
        <v>166</v>
      </c>
      <c r="C234" s="208"/>
      <c r="D234" s="208"/>
      <c r="E234" s="208"/>
      <c r="F234" s="208"/>
      <c r="G234" s="208"/>
      <c r="H234" s="208"/>
      <c r="I234" s="208"/>
      <c r="J234" s="208"/>
      <c r="K234" s="65"/>
      <c r="L234" s="65"/>
      <c r="M234" s="66"/>
      <c r="N234" s="66"/>
      <c r="O234" s="66">
        <f>14800-3200</f>
        <v>11600</v>
      </c>
      <c r="P234" s="68">
        <v>14600</v>
      </c>
      <c r="Q234" s="65">
        <v>13200</v>
      </c>
      <c r="R234" s="65">
        <v>13800</v>
      </c>
      <c r="S234" s="65">
        <v>10800</v>
      </c>
      <c r="T234" s="65">
        <v>9400</v>
      </c>
      <c r="U234" s="65">
        <v>13600</v>
      </c>
      <c r="V234" s="66">
        <v>14000</v>
      </c>
      <c r="W234" s="65">
        <v>10200</v>
      </c>
      <c r="X234" s="66">
        <v>3000</v>
      </c>
      <c r="Y234" s="66">
        <v>3500</v>
      </c>
    </row>
    <row r="235" spans="1:25" s="2" customFormat="1" ht="15.75" customHeight="1" x14ac:dyDescent="0.3">
      <c r="A235" s="35"/>
      <c r="B235" s="70"/>
      <c r="C235" s="65"/>
      <c r="D235" s="115"/>
      <c r="E235" s="115"/>
      <c r="F235" s="352"/>
      <c r="G235" s="89"/>
      <c r="H235" s="205"/>
      <c r="I235" s="299"/>
      <c r="J235" s="347"/>
      <c r="K235" s="163"/>
      <c r="L235" s="363"/>
      <c r="M235" s="278"/>
      <c r="N235" s="278"/>
      <c r="O235" s="278"/>
      <c r="P235" s="280"/>
      <c r="Q235" s="278"/>
      <c r="R235" s="278"/>
      <c r="S235" s="279"/>
      <c r="T235" s="279"/>
      <c r="U235" s="279"/>
      <c r="V235" s="279"/>
      <c r="W235" s="281"/>
      <c r="X235" s="278"/>
      <c r="Y235" s="278"/>
    </row>
    <row r="236" spans="1:25" s="2" customFormat="1" ht="15.75" customHeight="1" x14ac:dyDescent="0.3">
      <c r="A236" s="604" t="s">
        <v>370</v>
      </c>
      <c r="B236" s="554" t="s">
        <v>183</v>
      </c>
      <c r="C236" s="208"/>
      <c r="D236" s="208"/>
      <c r="E236" s="208"/>
      <c r="F236" s="208"/>
      <c r="G236" s="208"/>
      <c r="H236" s="208"/>
      <c r="I236" s="208"/>
      <c r="J236" s="208"/>
      <c r="K236" s="65"/>
      <c r="L236" s="65"/>
      <c r="M236" s="66"/>
      <c r="N236" s="66"/>
      <c r="O236" s="66">
        <v>17600</v>
      </c>
      <c r="P236" s="68">
        <v>17500</v>
      </c>
      <c r="Q236" s="226">
        <v>7300</v>
      </c>
      <c r="R236" s="66">
        <v>9000</v>
      </c>
      <c r="S236" s="66">
        <v>11800</v>
      </c>
      <c r="T236" s="66">
        <v>15700</v>
      </c>
      <c r="U236" s="66">
        <v>11500</v>
      </c>
      <c r="V236" s="66">
        <v>19000</v>
      </c>
      <c r="W236" s="65">
        <v>13500</v>
      </c>
      <c r="X236" s="66">
        <v>4000</v>
      </c>
      <c r="Y236" s="66">
        <v>2000</v>
      </c>
    </row>
    <row r="237" spans="1:25" s="2" customFormat="1" ht="15.75" customHeight="1" x14ac:dyDescent="0.3">
      <c r="A237" s="35"/>
      <c r="B237" s="70"/>
      <c r="C237" s="65"/>
      <c r="D237" s="115"/>
      <c r="E237" s="115"/>
      <c r="F237" s="352"/>
      <c r="G237" s="89"/>
      <c r="H237" s="205"/>
      <c r="I237" s="299"/>
      <c r="J237" s="347"/>
      <c r="K237" s="163"/>
      <c r="L237" s="363"/>
      <c r="M237" s="278"/>
      <c r="N237" s="278"/>
      <c r="O237" s="278"/>
      <c r="P237" s="280"/>
      <c r="Q237" s="278"/>
      <c r="R237" s="278"/>
      <c r="S237" s="279"/>
      <c r="T237" s="279"/>
      <c r="U237" s="279"/>
      <c r="V237" s="279"/>
      <c r="W237" s="281"/>
      <c r="X237" s="278"/>
      <c r="Y237" s="278"/>
    </row>
    <row r="238" spans="1:25" s="2" customFormat="1" ht="15.75" customHeight="1" x14ac:dyDescent="0.3">
      <c r="A238" s="604" t="s">
        <v>371</v>
      </c>
      <c r="B238" s="554" t="s">
        <v>199</v>
      </c>
      <c r="C238" s="208"/>
      <c r="D238" s="208"/>
      <c r="E238" s="208"/>
      <c r="F238" s="208"/>
      <c r="G238" s="208"/>
      <c r="H238" s="208"/>
      <c r="I238" s="208"/>
      <c r="J238" s="208"/>
      <c r="K238" s="65"/>
      <c r="L238" s="65"/>
      <c r="M238" s="66"/>
      <c r="N238" s="66"/>
      <c r="O238" s="66">
        <v>4000</v>
      </c>
      <c r="P238" s="68">
        <v>2100</v>
      </c>
      <c r="Q238" s="66">
        <v>4500</v>
      </c>
      <c r="R238" s="66">
        <v>3000</v>
      </c>
      <c r="S238" s="66">
        <v>3700</v>
      </c>
      <c r="T238" s="66">
        <v>1500</v>
      </c>
      <c r="U238" s="66">
        <v>100</v>
      </c>
      <c r="V238" s="66">
        <v>0</v>
      </c>
      <c r="W238" s="65">
        <v>0</v>
      </c>
      <c r="X238" s="66">
        <v>0</v>
      </c>
      <c r="Y238" s="66"/>
    </row>
    <row r="239" spans="1:25" s="2" customFormat="1" ht="15" customHeight="1" x14ac:dyDescent="0.3">
      <c r="A239" s="35"/>
      <c r="B239" s="70"/>
      <c r="C239" s="208"/>
      <c r="D239" s="208"/>
      <c r="E239" s="208"/>
      <c r="F239" s="208"/>
      <c r="G239" s="296"/>
      <c r="H239" s="373"/>
      <c r="I239" s="225"/>
      <c r="J239" s="244"/>
      <c r="K239" s="163"/>
      <c r="L239" s="98"/>
      <c r="M239" s="166"/>
      <c r="N239" s="166"/>
      <c r="O239" s="166"/>
      <c r="P239" s="247"/>
      <c r="Q239" s="166"/>
      <c r="R239" s="166"/>
      <c r="S239" s="166"/>
      <c r="T239" s="166"/>
      <c r="U239" s="166"/>
      <c r="V239" s="166"/>
      <c r="W239" s="163"/>
      <c r="X239" s="166"/>
      <c r="Y239" s="166"/>
    </row>
    <row r="240" spans="1:25" s="2" customFormat="1" ht="15.75" customHeight="1" x14ac:dyDescent="0.3">
      <c r="A240" s="620" t="s">
        <v>372</v>
      </c>
      <c r="B240" s="554" t="s">
        <v>344</v>
      </c>
      <c r="C240" s="208"/>
      <c r="D240" s="208"/>
      <c r="E240" s="208"/>
      <c r="F240" s="208"/>
      <c r="G240" s="208"/>
      <c r="H240" s="208"/>
      <c r="I240" s="208"/>
      <c r="J240" s="208"/>
      <c r="K240" s="65"/>
      <c r="L240" s="375"/>
      <c r="M240" s="274"/>
      <c r="N240" s="274"/>
      <c r="O240" s="274">
        <v>500</v>
      </c>
      <c r="P240" s="276">
        <v>1700</v>
      </c>
      <c r="Q240" s="274">
        <v>2800</v>
      </c>
      <c r="R240" s="274">
        <v>3000</v>
      </c>
      <c r="S240" s="275">
        <v>15500</v>
      </c>
      <c r="T240" s="275">
        <v>19000</v>
      </c>
      <c r="U240" s="275">
        <v>12000</v>
      </c>
      <c r="V240" s="275">
        <v>7600</v>
      </c>
      <c r="W240" s="277">
        <v>35800</v>
      </c>
      <c r="X240" s="274">
        <v>38000</v>
      </c>
      <c r="Y240" s="274">
        <v>40000</v>
      </c>
    </row>
    <row r="241" spans="1:25" s="2" customFormat="1" ht="15.75" customHeight="1" x14ac:dyDescent="0.3">
      <c r="A241" s="35"/>
      <c r="B241" s="70"/>
      <c r="C241" s="208"/>
      <c r="D241" s="208"/>
      <c r="E241" s="208"/>
      <c r="F241" s="208"/>
      <c r="G241" s="208"/>
      <c r="H241" s="208"/>
      <c r="I241" s="208"/>
      <c r="J241" s="244"/>
      <c r="K241" s="65"/>
      <c r="L241" s="363"/>
      <c r="M241" s="274"/>
      <c r="N241" s="274"/>
      <c r="O241" s="274"/>
      <c r="P241" s="276"/>
      <c r="Q241" s="274"/>
      <c r="R241" s="274"/>
      <c r="S241" s="275"/>
      <c r="T241" s="275"/>
      <c r="U241" s="275"/>
      <c r="V241" s="275"/>
      <c r="W241" s="277"/>
      <c r="X241" s="274"/>
      <c r="Y241" s="274"/>
    </row>
    <row r="242" spans="1:25" s="2" customFormat="1" ht="15.75" customHeight="1" x14ac:dyDescent="0.3">
      <c r="A242" s="620" t="s">
        <v>373</v>
      </c>
      <c r="B242" s="554" t="s">
        <v>208</v>
      </c>
      <c r="C242" s="208"/>
      <c r="D242" s="208"/>
      <c r="E242" s="208"/>
      <c r="F242" s="208"/>
      <c r="G242" s="208"/>
      <c r="H242" s="208"/>
      <c r="I242" s="208"/>
      <c r="J242" s="244"/>
      <c r="K242" s="65"/>
      <c r="L242" s="363"/>
      <c r="M242" s="274"/>
      <c r="N242" s="274"/>
      <c r="O242" s="274">
        <v>1200</v>
      </c>
      <c r="P242" s="276">
        <v>2500</v>
      </c>
      <c r="Q242" s="274">
        <v>3000</v>
      </c>
      <c r="R242" s="274">
        <v>5300</v>
      </c>
      <c r="S242" s="275">
        <v>9000</v>
      </c>
      <c r="T242" s="275">
        <v>5800</v>
      </c>
      <c r="U242" s="275">
        <v>2500</v>
      </c>
      <c r="V242" s="275">
        <v>5000</v>
      </c>
      <c r="W242" s="277">
        <v>7000</v>
      </c>
      <c r="X242" s="274">
        <v>6000</v>
      </c>
      <c r="Y242" s="274">
        <v>7000</v>
      </c>
    </row>
    <row r="243" spans="1:25" s="2" customFormat="1" ht="15.75" customHeight="1" x14ac:dyDescent="0.3">
      <c r="A243" s="37"/>
      <c r="B243" s="103"/>
      <c r="C243" s="208"/>
      <c r="D243" s="208"/>
      <c r="E243" s="208"/>
      <c r="F243" s="245"/>
      <c r="G243" s="208"/>
      <c r="H243" s="208"/>
      <c r="I243" s="208"/>
      <c r="J243" s="244"/>
      <c r="K243" s="65"/>
      <c r="L243" s="363"/>
      <c r="M243" s="274"/>
      <c r="N243" s="274"/>
      <c r="O243" s="274"/>
      <c r="P243" s="276"/>
      <c r="Q243" s="375"/>
      <c r="R243" s="375"/>
      <c r="S243" s="375"/>
      <c r="T243" s="375"/>
      <c r="U243" s="375"/>
      <c r="V243" s="375"/>
      <c r="W243" s="375"/>
      <c r="X243" s="274"/>
      <c r="Y243" s="274"/>
    </row>
    <row r="244" spans="1:25" ht="15.6" x14ac:dyDescent="0.3">
      <c r="A244" s="242" t="s">
        <v>374</v>
      </c>
      <c r="B244" s="555" t="s">
        <v>287</v>
      </c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5"/>
      <c r="N244" s="95"/>
      <c r="O244" s="95" t="e">
        <f>O248+O250+O252+O254+O256+O258+O260+#REF!</f>
        <v>#REF!</v>
      </c>
      <c r="P244" s="97">
        <f t="shared" ref="P244:Y244" si="32">P248+P250+P252+P254+P256+P258+P260</f>
        <v>7800</v>
      </c>
      <c r="Q244" s="94">
        <f t="shared" si="32"/>
        <v>10100</v>
      </c>
      <c r="R244" s="94">
        <f t="shared" si="32"/>
        <v>10700</v>
      </c>
      <c r="S244" s="94">
        <f t="shared" si="32"/>
        <v>11400</v>
      </c>
      <c r="T244" s="94">
        <f t="shared" si="32"/>
        <v>11600</v>
      </c>
      <c r="U244" s="94">
        <f t="shared" si="32"/>
        <v>11600</v>
      </c>
      <c r="V244" s="94">
        <f t="shared" si="32"/>
        <v>11400</v>
      </c>
      <c r="W244" s="94">
        <f t="shared" si="32"/>
        <v>11000</v>
      </c>
      <c r="X244" s="95">
        <f t="shared" si="32"/>
        <v>11000</v>
      </c>
      <c r="Y244" s="95">
        <f t="shared" si="32"/>
        <v>12000</v>
      </c>
    </row>
    <row r="245" spans="1:25" ht="15.6" x14ac:dyDescent="0.3">
      <c r="A245" s="35"/>
      <c r="C245" s="65"/>
      <c r="D245" s="65"/>
      <c r="E245" s="65"/>
      <c r="F245" s="65"/>
      <c r="G245" s="501"/>
      <c r="H245" s="502"/>
      <c r="I245" s="503"/>
      <c r="J245" s="177"/>
      <c r="K245" s="178"/>
      <c r="L245" s="178"/>
      <c r="M245" s="179"/>
      <c r="N245" s="179"/>
      <c r="O245" s="179" t="e">
        <f t="shared" ref="O245:Y245" si="33">+(O244-N244)/N244</f>
        <v>#REF!</v>
      </c>
      <c r="P245" s="181" t="e">
        <f t="shared" si="33"/>
        <v>#REF!</v>
      </c>
      <c r="Q245" s="179">
        <f t="shared" si="33"/>
        <v>0.29487179487179488</v>
      </c>
      <c r="R245" s="179">
        <f t="shared" si="33"/>
        <v>5.9405940594059403E-2</v>
      </c>
      <c r="S245" s="179">
        <f t="shared" si="33"/>
        <v>6.5420560747663545E-2</v>
      </c>
      <c r="T245" s="179">
        <f t="shared" si="33"/>
        <v>1.7543859649122806E-2</v>
      </c>
      <c r="U245" s="179">
        <f t="shared" si="33"/>
        <v>0</v>
      </c>
      <c r="V245" s="179">
        <f t="shared" si="33"/>
        <v>-1.7241379310344827E-2</v>
      </c>
      <c r="W245" s="178">
        <f t="shared" si="33"/>
        <v>-3.5087719298245612E-2</v>
      </c>
      <c r="X245" s="179">
        <f t="shared" si="33"/>
        <v>0</v>
      </c>
      <c r="Y245" s="179">
        <f t="shared" si="33"/>
        <v>9.0909090909090912E-2</v>
      </c>
    </row>
    <row r="246" spans="1:25" ht="15.6" x14ac:dyDescent="0.3">
      <c r="A246" s="604" t="s">
        <v>375</v>
      </c>
      <c r="B246" s="554" t="s">
        <v>376</v>
      </c>
      <c r="C246" s="178"/>
      <c r="D246" s="77"/>
      <c r="E246" s="77"/>
      <c r="F246" s="77"/>
      <c r="G246" s="65"/>
      <c r="H246" s="65"/>
      <c r="I246" s="65"/>
      <c r="J246" s="65"/>
      <c r="K246" s="65"/>
      <c r="L246" s="65"/>
      <c r="M246" s="66"/>
      <c r="N246" s="66"/>
      <c r="O246" s="66"/>
      <c r="P246" s="68"/>
      <c r="Q246" s="66"/>
      <c r="R246" s="66"/>
      <c r="S246" s="66"/>
      <c r="T246" s="66"/>
      <c r="U246" s="66"/>
      <c r="V246" s="66"/>
      <c r="W246" s="65"/>
      <c r="X246" s="66"/>
      <c r="Y246" s="66"/>
    </row>
    <row r="247" spans="1:25" ht="15.6" x14ac:dyDescent="0.3">
      <c r="A247" s="35"/>
      <c r="B247" s="70"/>
      <c r="C247" s="85"/>
      <c r="D247" s="114"/>
      <c r="E247" s="115"/>
      <c r="F247" s="220"/>
      <c r="G247" s="89"/>
      <c r="H247" s="205"/>
      <c r="I247" s="299"/>
      <c r="J247" s="347"/>
      <c r="K247" s="163"/>
      <c r="L247" s="372"/>
      <c r="M247" s="314"/>
      <c r="N247" s="314"/>
      <c r="O247" s="314"/>
      <c r="P247" s="315"/>
      <c r="Q247" s="314"/>
      <c r="R247" s="314"/>
      <c r="S247" s="316"/>
      <c r="T247" s="316"/>
      <c r="U247" s="316"/>
      <c r="V247" s="316"/>
      <c r="W247" s="317"/>
      <c r="X247" s="314"/>
      <c r="Y247" s="314"/>
    </row>
    <row r="248" spans="1:25" s="516" customFormat="1" ht="15.6" x14ac:dyDescent="0.3">
      <c r="A248" s="604" t="s">
        <v>377</v>
      </c>
      <c r="B248" s="605" t="s">
        <v>367</v>
      </c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6"/>
      <c r="N248" s="66"/>
      <c r="O248" s="66">
        <v>1000</v>
      </c>
      <c r="P248" s="68">
        <v>1500</v>
      </c>
      <c r="Q248" s="66">
        <v>4600</v>
      </c>
      <c r="R248" s="66">
        <v>3700</v>
      </c>
      <c r="S248" s="66">
        <v>5200</v>
      </c>
      <c r="T248" s="66">
        <v>6100</v>
      </c>
      <c r="U248" s="66">
        <v>2100</v>
      </c>
      <c r="V248" s="66">
        <v>1500</v>
      </c>
      <c r="W248" s="65">
        <v>2800</v>
      </c>
      <c r="X248" s="66">
        <v>3100</v>
      </c>
      <c r="Y248" s="66">
        <v>3000</v>
      </c>
    </row>
    <row r="249" spans="1:25" ht="15.6" x14ac:dyDescent="0.3">
      <c r="A249" s="35"/>
      <c r="B249" s="70"/>
      <c r="C249" s="115"/>
      <c r="D249" s="115"/>
      <c r="E249" s="115"/>
      <c r="F249" s="220"/>
      <c r="G249" s="89"/>
      <c r="H249" s="205"/>
      <c r="I249" s="299"/>
      <c r="J249" s="115"/>
      <c r="K249" s="163"/>
      <c r="L249" s="372"/>
      <c r="M249" s="314"/>
      <c r="N249" s="314"/>
      <c r="O249" s="314"/>
      <c r="P249" s="315"/>
      <c r="Q249" s="314"/>
      <c r="R249" s="314"/>
      <c r="S249" s="316"/>
      <c r="T249" s="316"/>
      <c r="U249" s="316"/>
      <c r="V249" s="316"/>
      <c r="W249" s="317"/>
      <c r="X249" s="314"/>
      <c r="Y249" s="314"/>
    </row>
    <row r="250" spans="1:25" s="516" customFormat="1" ht="15.6" x14ac:dyDescent="0.3">
      <c r="A250" s="604" t="s">
        <v>378</v>
      </c>
      <c r="B250" s="605" t="s">
        <v>151</v>
      </c>
      <c r="C250" s="65"/>
      <c r="D250" s="65"/>
      <c r="E250" s="65"/>
      <c r="F250" s="65"/>
      <c r="G250" s="65"/>
      <c r="H250" s="65"/>
      <c r="I250" s="65"/>
      <c r="J250" s="65"/>
      <c r="K250" s="65"/>
      <c r="L250" s="375"/>
      <c r="M250" s="274"/>
      <c r="N250" s="274"/>
      <c r="O250" s="274">
        <v>1100</v>
      </c>
      <c r="P250" s="556">
        <f>900+500</f>
        <v>1400</v>
      </c>
      <c r="Q250" s="274">
        <v>1800</v>
      </c>
      <c r="R250" s="274">
        <v>500</v>
      </c>
      <c r="S250" s="275">
        <v>1000</v>
      </c>
      <c r="T250" s="275">
        <v>1000</v>
      </c>
      <c r="U250" s="275">
        <v>2000</v>
      </c>
      <c r="V250" s="275">
        <v>2000</v>
      </c>
      <c r="W250" s="277">
        <v>1000</v>
      </c>
      <c r="X250" s="274">
        <v>1200</v>
      </c>
      <c r="Y250" s="274">
        <v>1500</v>
      </c>
    </row>
    <row r="251" spans="1:25" ht="15.6" x14ac:dyDescent="0.3">
      <c r="A251" s="35"/>
      <c r="B251" s="70"/>
      <c r="C251" s="115"/>
      <c r="D251" s="115"/>
      <c r="E251" s="115"/>
      <c r="F251" s="352"/>
      <c r="G251" s="89"/>
      <c r="H251" s="517"/>
      <c r="I251" s="299"/>
      <c r="J251" s="115"/>
      <c r="K251" s="163"/>
      <c r="L251" s="372"/>
      <c r="M251" s="306"/>
      <c r="N251" s="306"/>
      <c r="O251" s="306"/>
      <c r="P251" s="308"/>
      <c r="Q251" s="306"/>
      <c r="R251" s="306"/>
      <c r="S251" s="307"/>
      <c r="T251" s="307"/>
      <c r="U251" s="307"/>
      <c r="V251" s="307"/>
      <c r="W251" s="309"/>
      <c r="X251" s="306"/>
      <c r="Y251" s="306"/>
    </row>
    <row r="252" spans="1:25" ht="15.6" x14ac:dyDescent="0.3">
      <c r="A252" s="604" t="s">
        <v>379</v>
      </c>
      <c r="B252" s="605" t="s">
        <v>166</v>
      </c>
      <c r="C252" s="65"/>
      <c r="D252" s="65"/>
      <c r="E252" s="65"/>
      <c r="F252" s="65"/>
      <c r="G252" s="65"/>
      <c r="H252" s="65"/>
      <c r="I252" s="65"/>
      <c r="J252" s="65"/>
      <c r="K252" s="65"/>
      <c r="L252" s="375"/>
      <c r="M252" s="274"/>
      <c r="N252" s="274"/>
      <c r="O252" s="274">
        <v>1800</v>
      </c>
      <c r="P252" s="556">
        <f>1700-100</f>
        <v>1600</v>
      </c>
      <c r="Q252" s="378">
        <f>700-600</f>
        <v>100</v>
      </c>
      <c r="R252" s="378">
        <f>1200-600</f>
        <v>600</v>
      </c>
      <c r="S252" s="379">
        <f>1000+100</f>
        <v>1100</v>
      </c>
      <c r="T252" s="379">
        <f>1050+600</f>
        <v>1650</v>
      </c>
      <c r="U252" s="379">
        <f>1800+600</f>
        <v>2400</v>
      </c>
      <c r="V252" s="275">
        <v>2800</v>
      </c>
      <c r="W252" s="277">
        <v>1300</v>
      </c>
      <c r="X252" s="274">
        <v>2200</v>
      </c>
      <c r="Y252" s="274">
        <v>500</v>
      </c>
    </row>
    <row r="253" spans="1:25" ht="15.6" x14ac:dyDescent="0.3">
      <c r="A253" s="35"/>
      <c r="B253" s="70"/>
      <c r="C253" s="115"/>
      <c r="D253" s="115"/>
      <c r="E253" s="115"/>
      <c r="F253" s="352"/>
      <c r="G253" s="89"/>
      <c r="H253" s="115"/>
      <c r="I253" s="299"/>
      <c r="J253" s="115"/>
      <c r="K253" s="115"/>
      <c r="L253" s="364"/>
      <c r="M253" s="306"/>
      <c r="N253" s="306"/>
      <c r="O253" s="306"/>
      <c r="P253" s="308"/>
      <c r="Q253" s="306"/>
      <c r="R253" s="306"/>
      <c r="S253" s="307"/>
      <c r="T253" s="307"/>
      <c r="U253" s="307"/>
      <c r="V253" s="307"/>
      <c r="W253" s="309"/>
      <c r="X253" s="306"/>
      <c r="Y253" s="306"/>
    </row>
    <row r="254" spans="1:25" ht="15.6" x14ac:dyDescent="0.3">
      <c r="A254" s="604" t="s">
        <v>380</v>
      </c>
      <c r="B254" s="554" t="s">
        <v>183</v>
      </c>
      <c r="C254" s="115"/>
      <c r="D254" s="115"/>
      <c r="E254" s="65"/>
      <c r="F254" s="208"/>
      <c r="G254" s="65"/>
      <c r="H254" s="65"/>
      <c r="I254" s="65"/>
      <c r="J254" s="65"/>
      <c r="K254" s="65"/>
      <c r="L254" s="375"/>
      <c r="M254" s="274"/>
      <c r="N254" s="274"/>
      <c r="O254" s="274">
        <v>150</v>
      </c>
      <c r="P254" s="276">
        <v>100</v>
      </c>
      <c r="Q254" s="274">
        <v>500</v>
      </c>
      <c r="R254" s="274">
        <v>800</v>
      </c>
      <c r="S254" s="275">
        <v>250</v>
      </c>
      <c r="T254" s="275">
        <v>200</v>
      </c>
      <c r="U254" s="275">
        <v>1000</v>
      </c>
      <c r="V254" s="275">
        <v>1000</v>
      </c>
      <c r="W254" s="277">
        <v>1000</v>
      </c>
      <c r="X254" s="274">
        <v>200</v>
      </c>
      <c r="Y254" s="274">
        <v>500</v>
      </c>
    </row>
    <row r="255" spans="1:25" ht="15.6" x14ac:dyDescent="0.3">
      <c r="A255" s="35"/>
      <c r="B255" s="70"/>
      <c r="C255" s="115"/>
      <c r="D255" s="115"/>
      <c r="E255" s="94"/>
      <c r="F255" s="173"/>
      <c r="G255" s="89"/>
      <c r="H255" s="94"/>
      <c r="I255" s="518"/>
      <c r="J255" s="347"/>
      <c r="K255" s="94"/>
      <c r="L255" s="519"/>
      <c r="M255" s="520"/>
      <c r="N255" s="520"/>
      <c r="O255" s="520"/>
      <c r="P255" s="522"/>
      <c r="Q255" s="520"/>
      <c r="R255" s="520"/>
      <c r="S255" s="521"/>
      <c r="T255" s="521"/>
      <c r="U255" s="521"/>
      <c r="V255" s="521"/>
      <c r="W255" s="523"/>
      <c r="X255" s="520"/>
      <c r="Y255" s="520"/>
    </row>
    <row r="256" spans="1:25" ht="15.6" x14ac:dyDescent="0.3">
      <c r="A256" s="604" t="s">
        <v>381</v>
      </c>
      <c r="B256" s="554" t="s">
        <v>199</v>
      </c>
      <c r="C256" s="115"/>
      <c r="D256" s="115"/>
      <c r="E256" s="65"/>
      <c r="F256" s="208"/>
      <c r="G256" s="65"/>
      <c r="H256" s="65"/>
      <c r="I256" s="65"/>
      <c r="J256" s="65"/>
      <c r="K256" s="65"/>
      <c r="L256" s="65"/>
      <c r="M256" s="274"/>
      <c r="N256" s="274"/>
      <c r="O256" s="274">
        <v>1300</v>
      </c>
      <c r="P256" s="556">
        <f>1500+1000</f>
        <v>2500</v>
      </c>
      <c r="Q256" s="274">
        <v>1600</v>
      </c>
      <c r="R256" s="274">
        <v>2000</v>
      </c>
      <c r="S256" s="274">
        <v>1350</v>
      </c>
      <c r="T256" s="275">
        <v>50</v>
      </c>
      <c r="U256" s="275">
        <v>100</v>
      </c>
      <c r="V256" s="275">
        <v>0</v>
      </c>
      <c r="W256" s="277">
        <v>0</v>
      </c>
      <c r="X256" s="274">
        <v>0</v>
      </c>
      <c r="Y256" s="274"/>
    </row>
    <row r="257" spans="1:25" ht="15.6" x14ac:dyDescent="0.3">
      <c r="A257" s="35"/>
      <c r="B257" s="70"/>
      <c r="C257" s="65"/>
      <c r="D257" s="65"/>
      <c r="E257" s="65"/>
      <c r="F257" s="298"/>
      <c r="G257" s="89"/>
      <c r="H257" s="115"/>
      <c r="I257" s="299"/>
      <c r="J257" s="200"/>
      <c r="K257" s="163"/>
      <c r="L257" s="372"/>
      <c r="M257" s="278"/>
      <c r="N257" s="278"/>
      <c r="O257" s="278"/>
      <c r="P257" s="280"/>
      <c r="Q257" s="278"/>
      <c r="R257" s="278"/>
      <c r="S257" s="278"/>
      <c r="T257" s="279"/>
      <c r="U257" s="279"/>
      <c r="V257" s="279"/>
      <c r="W257" s="281"/>
      <c r="X257" s="278"/>
      <c r="Y257" s="278"/>
    </row>
    <row r="258" spans="1:25" ht="15.6" x14ac:dyDescent="0.3">
      <c r="A258" s="604" t="s">
        <v>382</v>
      </c>
      <c r="B258" s="554" t="s">
        <v>344</v>
      </c>
      <c r="C258" s="226"/>
      <c r="D258" s="65"/>
      <c r="E258" s="226"/>
      <c r="F258" s="122"/>
      <c r="G258" s="122"/>
      <c r="H258" s="122"/>
      <c r="I258" s="122"/>
      <c r="J258" s="122"/>
      <c r="K258" s="122"/>
      <c r="L258" s="305"/>
      <c r="M258" s="306"/>
      <c r="N258" s="306"/>
      <c r="O258" s="306">
        <v>0</v>
      </c>
      <c r="P258" s="308">
        <v>0</v>
      </c>
      <c r="Q258" s="306">
        <v>0</v>
      </c>
      <c r="R258" s="274">
        <v>0</v>
      </c>
      <c r="S258" s="274">
        <v>1000</v>
      </c>
      <c r="T258" s="275">
        <v>1200</v>
      </c>
      <c r="U258" s="275">
        <v>2000</v>
      </c>
      <c r="V258" s="275">
        <v>3000</v>
      </c>
      <c r="W258" s="277">
        <v>2500</v>
      </c>
      <c r="X258" s="274">
        <v>2700</v>
      </c>
      <c r="Y258" s="274">
        <v>3000</v>
      </c>
    </row>
    <row r="259" spans="1:25" ht="15.6" x14ac:dyDescent="0.3">
      <c r="A259" s="35"/>
      <c r="B259" s="557"/>
      <c r="C259" s="226"/>
      <c r="D259" s="65"/>
      <c r="E259" s="226"/>
      <c r="F259" s="122"/>
      <c r="G259" s="122"/>
      <c r="H259" s="122"/>
      <c r="I259" s="122"/>
      <c r="J259" s="122"/>
      <c r="K259" s="122"/>
      <c r="L259" s="305"/>
      <c r="M259" s="306"/>
      <c r="N259" s="306"/>
      <c r="O259" s="306"/>
      <c r="P259" s="308"/>
      <c r="Q259" s="306"/>
      <c r="R259" s="306"/>
      <c r="S259" s="306"/>
      <c r="T259" s="307"/>
      <c r="U259" s="307"/>
      <c r="V259" s="307"/>
      <c r="W259" s="309"/>
      <c r="X259" s="306"/>
      <c r="Y259" s="306"/>
    </row>
    <row r="260" spans="1:25" ht="15" customHeight="1" x14ac:dyDescent="0.3">
      <c r="A260" s="604" t="s">
        <v>383</v>
      </c>
      <c r="B260" s="634" t="s">
        <v>208</v>
      </c>
      <c r="C260" s="226"/>
      <c r="D260" s="65"/>
      <c r="E260" s="226"/>
      <c r="F260" s="65"/>
      <c r="G260" s="65"/>
      <c r="H260" s="65"/>
      <c r="I260" s="65"/>
      <c r="J260" s="65"/>
      <c r="K260" s="65"/>
      <c r="L260" s="375"/>
      <c r="M260" s="274"/>
      <c r="N260" s="274"/>
      <c r="O260" s="274">
        <v>650</v>
      </c>
      <c r="P260" s="276">
        <v>700</v>
      </c>
      <c r="Q260" s="274">
        <v>1500</v>
      </c>
      <c r="R260" s="274">
        <v>3100</v>
      </c>
      <c r="S260" s="274">
        <v>1500</v>
      </c>
      <c r="T260" s="275">
        <v>1400</v>
      </c>
      <c r="U260" s="275">
        <v>2000</v>
      </c>
      <c r="V260" s="275">
        <v>1100</v>
      </c>
      <c r="W260" s="277">
        <v>2400</v>
      </c>
      <c r="X260" s="274">
        <v>1600</v>
      </c>
      <c r="Y260" s="274">
        <v>3500</v>
      </c>
    </row>
    <row r="261" spans="1:25" ht="15" customHeight="1" x14ac:dyDescent="0.3">
      <c r="A261" s="635"/>
      <c r="B261" s="70"/>
      <c r="C261" s="74"/>
      <c r="D261" s="74"/>
      <c r="E261" s="2"/>
      <c r="F261" s="75"/>
      <c r="G261" s="75"/>
      <c r="H261" s="75"/>
      <c r="I261" s="75"/>
      <c r="J261" s="75"/>
      <c r="K261" s="76"/>
      <c r="L261" s="77"/>
      <c r="M261" s="78"/>
      <c r="N261" s="78"/>
      <c r="O261" s="558"/>
      <c r="P261" s="559"/>
      <c r="Q261" s="558"/>
      <c r="R261" s="558"/>
      <c r="S261" s="558"/>
      <c r="T261" s="558"/>
      <c r="U261" s="558"/>
      <c r="V261" s="558"/>
      <c r="W261" s="77"/>
      <c r="X261" s="558"/>
      <c r="Y261" s="558"/>
    </row>
    <row r="262" spans="1:25" ht="15" customHeight="1" x14ac:dyDescent="0.3">
      <c r="A262" s="601" t="s">
        <v>288</v>
      </c>
      <c r="B262" s="568" t="s">
        <v>289</v>
      </c>
      <c r="C262" s="74"/>
      <c r="D262" s="74"/>
      <c r="E262" s="2"/>
      <c r="F262" s="75"/>
      <c r="G262" s="75"/>
      <c r="H262" s="75"/>
      <c r="I262" s="75"/>
      <c r="J262" s="75"/>
      <c r="K262" s="76"/>
      <c r="L262" s="77"/>
      <c r="M262" s="78"/>
      <c r="N262" s="78"/>
      <c r="O262" s="558">
        <f t="shared" ref="O262:Y262" si="34">O264+O278+O291</f>
        <v>7500</v>
      </c>
      <c r="P262" s="559">
        <f t="shared" si="34"/>
        <v>9100</v>
      </c>
      <c r="Q262" s="559">
        <f t="shared" si="34"/>
        <v>12000</v>
      </c>
      <c r="R262" s="559">
        <f t="shared" si="34"/>
        <v>12000</v>
      </c>
      <c r="S262" s="559">
        <f t="shared" si="34"/>
        <v>11500</v>
      </c>
      <c r="T262" s="559">
        <f t="shared" si="34"/>
        <v>12600</v>
      </c>
      <c r="U262" s="559">
        <f t="shared" si="34"/>
        <v>16150</v>
      </c>
      <c r="V262" s="559">
        <f t="shared" si="34"/>
        <v>13500</v>
      </c>
      <c r="W262" s="559">
        <f t="shared" si="34"/>
        <v>14350</v>
      </c>
      <c r="X262" s="559">
        <f t="shared" si="34"/>
        <v>14200</v>
      </c>
      <c r="Y262" s="559">
        <f t="shared" si="34"/>
        <v>14000</v>
      </c>
    </row>
    <row r="263" spans="1:25" ht="15" customHeight="1" x14ac:dyDescent="0.3">
      <c r="A263" s="35"/>
      <c r="B263" s="569"/>
      <c r="C263" s="74"/>
      <c r="D263" s="74"/>
      <c r="E263" s="2"/>
      <c r="F263" s="75"/>
      <c r="G263" s="75"/>
      <c r="H263" s="75"/>
      <c r="I263" s="75"/>
      <c r="J263" s="75"/>
      <c r="K263" s="76"/>
      <c r="L263" s="77"/>
      <c r="M263" s="78"/>
      <c r="N263" s="78"/>
      <c r="O263" s="558"/>
      <c r="P263" s="183"/>
      <c r="Q263" s="184"/>
      <c r="R263" s="184"/>
      <c r="S263" s="184"/>
      <c r="T263" s="184"/>
      <c r="U263" s="184"/>
      <c r="V263" s="184"/>
      <c r="W263" s="185"/>
      <c r="X263" s="184"/>
      <c r="Y263" s="184"/>
    </row>
    <row r="264" spans="1:25" ht="15" customHeight="1" x14ac:dyDescent="0.3">
      <c r="A264" s="242" t="s">
        <v>384</v>
      </c>
      <c r="B264" s="571" t="s">
        <v>291</v>
      </c>
      <c r="C264" s="74"/>
      <c r="D264" s="74"/>
      <c r="E264" s="2"/>
      <c r="F264" s="75"/>
      <c r="G264" s="75"/>
      <c r="H264" s="75"/>
      <c r="I264" s="75"/>
      <c r="J264" s="75"/>
      <c r="K264" s="76"/>
      <c r="L264" s="77"/>
      <c r="M264" s="78"/>
      <c r="N264" s="78"/>
      <c r="O264" s="558">
        <f t="shared" ref="O264:Y264" si="35">SUM(O266,O268,O272)</f>
        <v>2400</v>
      </c>
      <c r="P264" s="559">
        <f t="shared" si="35"/>
        <v>2800</v>
      </c>
      <c r="Q264" s="558">
        <f t="shared" si="35"/>
        <v>4800</v>
      </c>
      <c r="R264" s="558">
        <f t="shared" si="35"/>
        <v>1200</v>
      </c>
      <c r="S264" s="558">
        <f t="shared" si="35"/>
        <v>1700</v>
      </c>
      <c r="T264" s="558">
        <f t="shared" si="35"/>
        <v>2600</v>
      </c>
      <c r="U264" s="558">
        <f t="shared" si="35"/>
        <v>2200</v>
      </c>
      <c r="V264" s="558">
        <f t="shared" si="35"/>
        <v>2600</v>
      </c>
      <c r="W264" s="77">
        <f t="shared" si="35"/>
        <v>5200</v>
      </c>
      <c r="X264" s="558">
        <f t="shared" si="35"/>
        <v>3900</v>
      </c>
      <c r="Y264" s="558">
        <f t="shared" si="35"/>
        <v>2600</v>
      </c>
    </row>
    <row r="265" spans="1:25" ht="15" customHeight="1" x14ac:dyDescent="0.3">
      <c r="A265" s="35"/>
      <c r="B265" s="524"/>
      <c r="C265" s="74"/>
      <c r="D265" s="74"/>
      <c r="E265" s="2"/>
      <c r="F265" s="75"/>
      <c r="G265" s="75"/>
      <c r="H265" s="75"/>
      <c r="I265" s="75"/>
      <c r="J265" s="75"/>
      <c r="K265" s="76"/>
      <c r="L265" s="77"/>
      <c r="M265" s="78"/>
      <c r="N265" s="78"/>
      <c r="O265" s="558"/>
      <c r="P265" s="636"/>
      <c r="Q265" s="558"/>
      <c r="R265" s="558"/>
      <c r="S265" s="558"/>
      <c r="T265" s="558"/>
      <c r="U265" s="558"/>
      <c r="V265" s="558"/>
      <c r="W265" s="77"/>
      <c r="X265" s="558"/>
      <c r="Y265" s="558"/>
    </row>
    <row r="266" spans="1:25" ht="15" customHeight="1" x14ac:dyDescent="0.3">
      <c r="A266" s="604" t="s">
        <v>385</v>
      </c>
      <c r="B266" s="554" t="s">
        <v>292</v>
      </c>
      <c r="C266" s="74"/>
      <c r="D266" s="74"/>
      <c r="E266" s="2"/>
      <c r="F266" s="75"/>
      <c r="G266" s="75"/>
      <c r="H266" s="75"/>
      <c r="I266" s="75"/>
      <c r="J266" s="75"/>
      <c r="K266" s="76"/>
      <c r="L266" s="77"/>
      <c r="M266" s="78"/>
      <c r="N266" s="78"/>
      <c r="O266" s="558">
        <v>500</v>
      </c>
      <c r="P266" s="559">
        <v>1200</v>
      </c>
      <c r="Q266" s="558">
        <v>3100</v>
      </c>
      <c r="R266" s="558">
        <v>600</v>
      </c>
      <c r="S266" s="558">
        <v>500</v>
      </c>
      <c r="T266" s="558">
        <v>500</v>
      </c>
      <c r="U266" s="558">
        <v>500</v>
      </c>
      <c r="V266" s="558">
        <v>500</v>
      </c>
      <c r="W266" s="77">
        <v>500</v>
      </c>
      <c r="X266" s="558">
        <v>500</v>
      </c>
      <c r="Y266" s="558">
        <v>500</v>
      </c>
    </row>
    <row r="267" spans="1:25" ht="15" customHeight="1" x14ac:dyDescent="0.3">
      <c r="A267" s="35"/>
      <c r="B267" s="103"/>
      <c r="C267" s="74"/>
      <c r="D267" s="74"/>
      <c r="E267" s="2"/>
      <c r="F267" s="75"/>
      <c r="G267" s="75"/>
      <c r="H267" s="75"/>
      <c r="I267" s="75"/>
      <c r="J267" s="75"/>
      <c r="K267" s="76"/>
      <c r="L267" s="77"/>
      <c r="M267" s="78"/>
      <c r="N267" s="78"/>
      <c r="O267" s="558"/>
      <c r="P267" s="636"/>
      <c r="Q267" s="558"/>
      <c r="R267" s="558"/>
      <c r="S267" s="558"/>
      <c r="T267" s="558"/>
      <c r="U267" s="558"/>
      <c r="V267" s="558"/>
      <c r="W267" s="77"/>
      <c r="X267" s="558"/>
      <c r="Y267" s="558"/>
    </row>
    <row r="268" spans="1:25" ht="15" customHeight="1" x14ac:dyDescent="0.3">
      <c r="A268" s="604" t="s">
        <v>386</v>
      </c>
      <c r="B268" s="554" t="s">
        <v>387</v>
      </c>
      <c r="C268" s="74"/>
      <c r="D268" s="74"/>
      <c r="E268" s="2"/>
      <c r="F268" s="75"/>
      <c r="G268" s="75"/>
      <c r="H268" s="75"/>
      <c r="I268" s="75"/>
      <c r="J268" s="75"/>
      <c r="K268" s="76"/>
      <c r="L268" s="77"/>
      <c r="M268" s="78"/>
      <c r="N268" s="78"/>
      <c r="O268" s="558">
        <f t="shared" ref="O268:Y268" si="36">SUM(O269,O270)</f>
        <v>1100</v>
      </c>
      <c r="P268" s="559">
        <f t="shared" si="36"/>
        <v>1600</v>
      </c>
      <c r="Q268" s="558">
        <f t="shared" si="36"/>
        <v>1300</v>
      </c>
      <c r="R268" s="558">
        <f t="shared" si="36"/>
        <v>600</v>
      </c>
      <c r="S268" s="558">
        <f t="shared" si="36"/>
        <v>200</v>
      </c>
      <c r="T268" s="574">
        <f t="shared" si="36"/>
        <v>1600</v>
      </c>
      <c r="U268" s="574">
        <f t="shared" si="36"/>
        <v>1700</v>
      </c>
      <c r="V268" s="574">
        <f t="shared" si="36"/>
        <v>2000</v>
      </c>
      <c r="W268" s="514">
        <f t="shared" si="36"/>
        <v>3000</v>
      </c>
      <c r="X268" s="574">
        <f t="shared" si="36"/>
        <v>2700</v>
      </c>
      <c r="Y268" s="574">
        <f t="shared" si="36"/>
        <v>1600</v>
      </c>
    </row>
    <row r="269" spans="1:25" s="2" customFormat="1" ht="15" customHeight="1" x14ac:dyDescent="0.25">
      <c r="A269" s="53"/>
      <c r="B269" s="608" t="s">
        <v>388</v>
      </c>
      <c r="C269" s="74"/>
      <c r="D269" s="74"/>
      <c r="F269" s="75"/>
      <c r="G269" s="75"/>
      <c r="H269" s="75"/>
      <c r="I269" s="75"/>
      <c r="J269" s="75"/>
      <c r="K269" s="76"/>
      <c r="L269" s="284"/>
      <c r="M269" s="572"/>
      <c r="N269" s="572"/>
      <c r="O269" s="285">
        <v>200</v>
      </c>
      <c r="P269" s="474">
        <v>1000</v>
      </c>
      <c r="Q269" s="285">
        <v>850</v>
      </c>
      <c r="R269" s="285">
        <v>500</v>
      </c>
      <c r="S269" s="285">
        <v>200</v>
      </c>
      <c r="T269" s="285">
        <v>1600</v>
      </c>
      <c r="U269" s="285">
        <v>1700</v>
      </c>
      <c r="V269" s="285">
        <v>1800</v>
      </c>
      <c r="W269" s="284">
        <v>2000</v>
      </c>
      <c r="X269" s="285">
        <v>2000</v>
      </c>
      <c r="Y269" s="285">
        <v>1600</v>
      </c>
    </row>
    <row r="270" spans="1:25" s="2" customFormat="1" ht="15" customHeight="1" x14ac:dyDescent="0.25">
      <c r="A270" s="53"/>
      <c r="B270" s="608" t="s">
        <v>389</v>
      </c>
      <c r="C270" s="74"/>
      <c r="D270" s="74"/>
      <c r="F270" s="75"/>
      <c r="G270" s="75"/>
      <c r="H270" s="75"/>
      <c r="I270" s="75"/>
      <c r="J270" s="75"/>
      <c r="K270" s="76"/>
      <c r="L270" s="284"/>
      <c r="M270" s="572"/>
      <c r="N270" s="572"/>
      <c r="O270" s="285">
        <v>900</v>
      </c>
      <c r="P270" s="474">
        <v>600</v>
      </c>
      <c r="Q270" s="285">
        <v>450</v>
      </c>
      <c r="R270" s="285">
        <v>100</v>
      </c>
      <c r="S270" s="285">
        <v>0</v>
      </c>
      <c r="T270" s="285">
        <v>0</v>
      </c>
      <c r="U270" s="285">
        <v>0</v>
      </c>
      <c r="V270" s="285">
        <v>200</v>
      </c>
      <c r="W270" s="284">
        <v>1000</v>
      </c>
      <c r="X270" s="285">
        <v>700</v>
      </c>
      <c r="Y270" s="285"/>
    </row>
    <row r="271" spans="1:25" s="2" customFormat="1" ht="15" customHeight="1" x14ac:dyDescent="0.25">
      <c r="A271" s="53"/>
      <c r="B271" s="92"/>
      <c r="C271" s="74"/>
      <c r="D271" s="74"/>
      <c r="F271" s="75"/>
      <c r="G271" s="75"/>
      <c r="H271" s="75"/>
      <c r="I271" s="75"/>
      <c r="J271" s="75"/>
      <c r="K271" s="76"/>
      <c r="L271" s="284"/>
      <c r="M271" s="572"/>
      <c r="N271" s="572"/>
      <c r="O271" s="285"/>
      <c r="P271" s="474"/>
      <c r="Q271" s="285"/>
      <c r="R271" s="285"/>
      <c r="S271" s="285"/>
      <c r="T271" s="285"/>
      <c r="U271" s="285"/>
      <c r="V271" s="285"/>
      <c r="W271" s="284"/>
      <c r="X271" s="285"/>
      <c r="Y271" s="285"/>
    </row>
    <row r="272" spans="1:25" ht="15" customHeight="1" x14ac:dyDescent="0.3">
      <c r="A272" s="604" t="s">
        <v>390</v>
      </c>
      <c r="B272" s="554" t="s">
        <v>391</v>
      </c>
      <c r="C272" s="74"/>
      <c r="D272" s="74"/>
      <c r="E272" s="2"/>
      <c r="F272" s="75"/>
      <c r="G272" s="75"/>
      <c r="H272" s="75"/>
      <c r="I272" s="75"/>
      <c r="J272" s="75"/>
      <c r="K272" s="76"/>
      <c r="L272" s="77"/>
      <c r="M272" s="78"/>
      <c r="N272" s="78"/>
      <c r="O272" s="558">
        <f t="shared" ref="O272:X272" si="37">SUM(O273,O276)</f>
        <v>800</v>
      </c>
      <c r="P272" s="559">
        <f t="shared" si="37"/>
        <v>0</v>
      </c>
      <c r="Q272" s="558">
        <f t="shared" si="37"/>
        <v>400</v>
      </c>
      <c r="R272" s="558">
        <f t="shared" si="37"/>
        <v>0</v>
      </c>
      <c r="S272" s="574">
        <f t="shared" si="37"/>
        <v>1000</v>
      </c>
      <c r="T272" s="558">
        <f t="shared" si="37"/>
        <v>500</v>
      </c>
      <c r="U272" s="558">
        <f t="shared" si="37"/>
        <v>0</v>
      </c>
      <c r="V272" s="558">
        <f t="shared" si="37"/>
        <v>100</v>
      </c>
      <c r="W272" s="514">
        <f t="shared" si="37"/>
        <v>1700</v>
      </c>
      <c r="X272" s="574">
        <f t="shared" si="37"/>
        <v>700</v>
      </c>
      <c r="Y272" s="574">
        <v>500</v>
      </c>
    </row>
    <row r="273" spans="1:25" ht="15" customHeight="1" x14ac:dyDescent="0.3">
      <c r="A273" s="35"/>
      <c r="B273" s="608" t="s">
        <v>392</v>
      </c>
      <c r="C273" s="74"/>
      <c r="D273" s="74"/>
      <c r="E273" s="2"/>
      <c r="F273" s="75"/>
      <c r="G273" s="75"/>
      <c r="H273" s="75"/>
      <c r="I273" s="75"/>
      <c r="J273" s="75"/>
      <c r="K273" s="76"/>
      <c r="L273" s="77"/>
      <c r="M273" s="78"/>
      <c r="N273" s="78"/>
      <c r="O273" s="558">
        <v>800</v>
      </c>
      <c r="P273" s="474">
        <f t="shared" ref="P273:Y273" si="38">P274+P275</f>
        <v>0</v>
      </c>
      <c r="Q273" s="285">
        <f t="shared" si="38"/>
        <v>400</v>
      </c>
      <c r="R273" s="285">
        <f t="shared" si="38"/>
        <v>0</v>
      </c>
      <c r="S273" s="285">
        <f t="shared" si="38"/>
        <v>0</v>
      </c>
      <c r="T273" s="285">
        <f t="shared" si="38"/>
        <v>500</v>
      </c>
      <c r="U273" s="285">
        <f t="shared" si="38"/>
        <v>0</v>
      </c>
      <c r="V273" s="285">
        <f t="shared" si="38"/>
        <v>100</v>
      </c>
      <c r="W273" s="284">
        <f t="shared" si="38"/>
        <v>700</v>
      </c>
      <c r="X273" s="285">
        <f t="shared" si="38"/>
        <v>700</v>
      </c>
      <c r="Y273" s="285">
        <f t="shared" si="38"/>
        <v>200</v>
      </c>
    </row>
    <row r="274" spans="1:25" ht="15" customHeight="1" x14ac:dyDescent="0.3">
      <c r="A274" s="35"/>
      <c r="B274" s="609" t="s">
        <v>393</v>
      </c>
      <c r="C274" s="74"/>
      <c r="D274" s="74"/>
      <c r="E274" s="2"/>
      <c r="F274" s="75"/>
      <c r="G274" s="75"/>
      <c r="H274" s="75"/>
      <c r="I274" s="75"/>
      <c r="J274" s="75"/>
      <c r="K274" s="76"/>
      <c r="L274" s="77"/>
      <c r="M274" s="78"/>
      <c r="N274" s="78"/>
      <c r="O274" s="558">
        <v>100</v>
      </c>
      <c r="P274" s="474">
        <v>0</v>
      </c>
      <c r="Q274" s="285">
        <v>400</v>
      </c>
      <c r="R274" s="285">
        <v>0</v>
      </c>
      <c r="S274" s="285">
        <v>0</v>
      </c>
      <c r="T274" s="285">
        <v>500</v>
      </c>
      <c r="U274" s="285">
        <v>0</v>
      </c>
      <c r="V274" s="285">
        <v>0</v>
      </c>
      <c r="W274" s="284">
        <v>0</v>
      </c>
      <c r="X274" s="285">
        <v>0</v>
      </c>
      <c r="Y274" s="285"/>
    </row>
    <row r="275" spans="1:25" ht="15" customHeight="1" x14ac:dyDescent="0.3">
      <c r="A275" s="35"/>
      <c r="B275" s="609" t="s">
        <v>389</v>
      </c>
      <c r="C275" s="74"/>
      <c r="D275" s="74"/>
      <c r="E275" s="2"/>
      <c r="F275" s="75"/>
      <c r="G275" s="75"/>
      <c r="H275" s="75"/>
      <c r="I275" s="75"/>
      <c r="J275" s="75"/>
      <c r="K275" s="76"/>
      <c r="L275" s="77"/>
      <c r="M275" s="78"/>
      <c r="N275" s="78"/>
      <c r="O275" s="558">
        <v>700</v>
      </c>
      <c r="P275" s="474">
        <v>0</v>
      </c>
      <c r="Q275" s="285">
        <v>0</v>
      </c>
      <c r="R275" s="285">
        <v>0</v>
      </c>
      <c r="S275" s="285">
        <v>0</v>
      </c>
      <c r="T275" s="285">
        <v>0</v>
      </c>
      <c r="U275" s="285">
        <v>0</v>
      </c>
      <c r="V275" s="285">
        <v>100</v>
      </c>
      <c r="W275" s="284">
        <v>700</v>
      </c>
      <c r="X275" s="285">
        <v>700</v>
      </c>
      <c r="Y275" s="285">
        <v>200</v>
      </c>
    </row>
    <row r="276" spans="1:25" ht="15" customHeight="1" x14ac:dyDescent="0.3">
      <c r="A276" s="35"/>
      <c r="B276" s="608" t="s">
        <v>297</v>
      </c>
      <c r="C276" s="74"/>
      <c r="D276" s="74"/>
      <c r="E276" s="2"/>
      <c r="F276" s="75"/>
      <c r="G276" s="75"/>
      <c r="H276" s="75"/>
      <c r="I276" s="75"/>
      <c r="J276" s="75"/>
      <c r="K276" s="76"/>
      <c r="L276" s="77"/>
      <c r="M276" s="78"/>
      <c r="N276" s="78"/>
      <c r="O276" s="558">
        <v>0</v>
      </c>
      <c r="P276" s="474">
        <v>0</v>
      </c>
      <c r="Q276" s="285">
        <v>0</v>
      </c>
      <c r="R276" s="285">
        <v>0</v>
      </c>
      <c r="S276" s="482">
        <v>1000</v>
      </c>
      <c r="T276" s="285">
        <v>0</v>
      </c>
      <c r="U276" s="285">
        <v>0</v>
      </c>
      <c r="V276" s="285">
        <v>0</v>
      </c>
      <c r="W276" s="284">
        <v>1000</v>
      </c>
      <c r="X276" s="285">
        <v>0</v>
      </c>
      <c r="Y276" s="285"/>
    </row>
    <row r="277" spans="1:25" ht="15" customHeight="1" x14ac:dyDescent="0.3">
      <c r="A277" s="35"/>
      <c r="B277" s="557"/>
      <c r="C277" s="74"/>
      <c r="D277" s="74"/>
      <c r="E277" s="2"/>
      <c r="F277" s="75"/>
      <c r="G277" s="75"/>
      <c r="H277" s="75"/>
      <c r="I277" s="75"/>
      <c r="J277" s="75"/>
      <c r="K277" s="76"/>
      <c r="L277" s="77"/>
      <c r="M277" s="78"/>
      <c r="N277" s="78"/>
      <c r="O277" s="558"/>
      <c r="P277" s="559"/>
      <c r="Q277" s="558"/>
      <c r="R277" s="558"/>
      <c r="S277" s="558"/>
      <c r="T277" s="558"/>
      <c r="U277" s="558"/>
      <c r="V277" s="558"/>
      <c r="W277" s="77"/>
      <c r="X277" s="558"/>
      <c r="Y277" s="558"/>
    </row>
    <row r="278" spans="1:25" ht="15" customHeight="1" x14ac:dyDescent="0.3">
      <c r="A278" s="242" t="s">
        <v>394</v>
      </c>
      <c r="B278" s="571" t="s">
        <v>284</v>
      </c>
      <c r="C278" s="74"/>
      <c r="D278" s="74"/>
      <c r="E278" s="2"/>
      <c r="F278" s="75"/>
      <c r="G278" s="75"/>
      <c r="H278" s="75"/>
      <c r="I278" s="75"/>
      <c r="J278" s="75"/>
      <c r="K278" s="76"/>
      <c r="L278" s="77"/>
      <c r="M278" s="78"/>
      <c r="N278" s="78"/>
      <c r="O278" s="558">
        <f t="shared" ref="O278:Y278" si="39">SUM(O280:O285)</f>
        <v>2500</v>
      </c>
      <c r="P278" s="559">
        <f t="shared" si="39"/>
        <v>3400</v>
      </c>
      <c r="Q278" s="558">
        <f t="shared" si="39"/>
        <v>3200</v>
      </c>
      <c r="R278" s="558">
        <f t="shared" si="39"/>
        <v>4200</v>
      </c>
      <c r="S278" s="558">
        <f t="shared" si="39"/>
        <v>4700</v>
      </c>
      <c r="T278" s="558">
        <f t="shared" si="39"/>
        <v>3000</v>
      </c>
      <c r="U278" s="558">
        <f t="shared" si="39"/>
        <v>4650</v>
      </c>
      <c r="V278" s="558">
        <f t="shared" si="39"/>
        <v>5400</v>
      </c>
      <c r="W278" s="77">
        <f t="shared" si="39"/>
        <v>3550</v>
      </c>
      <c r="X278" s="558">
        <f t="shared" si="39"/>
        <v>5200</v>
      </c>
      <c r="Y278" s="558">
        <f t="shared" si="39"/>
        <v>6000</v>
      </c>
    </row>
    <row r="279" spans="1:25" ht="15" customHeight="1" x14ac:dyDescent="0.3">
      <c r="A279" s="35"/>
      <c r="B279" s="524"/>
      <c r="C279" s="74"/>
      <c r="D279" s="74"/>
      <c r="E279" s="2"/>
      <c r="F279" s="75"/>
      <c r="G279" s="75"/>
      <c r="H279" s="75"/>
      <c r="I279" s="75"/>
      <c r="J279" s="75"/>
      <c r="K279" s="76"/>
      <c r="L279" s="77"/>
      <c r="M279" s="78"/>
      <c r="N279" s="78"/>
      <c r="O279" s="558"/>
      <c r="P279" s="636"/>
      <c r="Q279" s="558"/>
      <c r="R279" s="558"/>
      <c r="S279" s="558"/>
      <c r="T279" s="558"/>
      <c r="U279" s="558"/>
      <c r="V279" s="558"/>
      <c r="W279" s="77"/>
      <c r="X279" s="558"/>
      <c r="Y279" s="558"/>
    </row>
    <row r="280" spans="1:25" ht="15" customHeight="1" x14ac:dyDescent="0.3">
      <c r="A280" s="604" t="s">
        <v>395</v>
      </c>
      <c r="B280" s="554" t="s">
        <v>292</v>
      </c>
      <c r="C280" s="74"/>
      <c r="D280" s="74"/>
      <c r="E280" s="2"/>
      <c r="F280" s="75"/>
      <c r="G280" s="75"/>
      <c r="H280" s="75"/>
      <c r="I280" s="75"/>
      <c r="J280" s="75"/>
      <c r="K280" s="76"/>
      <c r="L280" s="77"/>
      <c r="M280" s="78"/>
      <c r="N280" s="78"/>
      <c r="O280" s="558">
        <v>150</v>
      </c>
      <c r="P280" s="559">
        <v>400</v>
      </c>
      <c r="Q280" s="558">
        <v>500</v>
      </c>
      <c r="R280" s="558">
        <v>1000</v>
      </c>
      <c r="S280" s="574">
        <f>1600+1000</f>
        <v>2600</v>
      </c>
      <c r="T280" s="574">
        <f>500+1000</f>
        <v>1500</v>
      </c>
      <c r="U280" s="574">
        <f>500+1000</f>
        <v>1500</v>
      </c>
      <c r="V280" s="558">
        <v>500</v>
      </c>
      <c r="W280" s="77">
        <v>500</v>
      </c>
      <c r="X280" s="558">
        <v>500</v>
      </c>
      <c r="Y280" s="558">
        <v>2000</v>
      </c>
    </row>
    <row r="281" spans="1:25" ht="15" customHeight="1" x14ac:dyDescent="0.3">
      <c r="A281" s="35"/>
      <c r="B281" s="103"/>
      <c r="C281" s="74"/>
      <c r="D281" s="74"/>
      <c r="E281" s="2"/>
      <c r="F281" s="75"/>
      <c r="G281" s="75"/>
      <c r="H281" s="75"/>
      <c r="I281" s="75"/>
      <c r="J281" s="75"/>
      <c r="K281" s="76"/>
      <c r="L281" s="77"/>
      <c r="M281" s="78"/>
      <c r="N281" s="78"/>
      <c r="O281" s="558"/>
      <c r="P281" s="636"/>
      <c r="Q281" s="558"/>
      <c r="R281" s="558"/>
      <c r="S281" s="574"/>
      <c r="T281" s="574"/>
      <c r="U281" s="574"/>
      <c r="V281" s="558"/>
      <c r="W281" s="77"/>
      <c r="X281" s="558"/>
      <c r="Y281" s="558"/>
    </row>
    <row r="282" spans="1:25" ht="15" customHeight="1" x14ac:dyDescent="0.3">
      <c r="A282" s="604" t="s">
        <v>396</v>
      </c>
      <c r="B282" s="554" t="s">
        <v>387</v>
      </c>
      <c r="C282" s="74"/>
      <c r="D282" s="74"/>
      <c r="E282" s="2"/>
      <c r="F282" s="75"/>
      <c r="G282" s="75"/>
      <c r="H282" s="75"/>
      <c r="I282" s="75"/>
      <c r="J282" s="75"/>
      <c r="K282" s="76"/>
      <c r="L282" s="77"/>
      <c r="M282" s="78"/>
      <c r="N282" s="78"/>
      <c r="O282" s="558">
        <v>1600</v>
      </c>
      <c r="P282" s="559">
        <v>1800</v>
      </c>
      <c r="Q282" s="558">
        <v>1600</v>
      </c>
      <c r="R282" s="558">
        <f>1500+700</f>
        <v>2200</v>
      </c>
      <c r="S282" s="558">
        <v>700</v>
      </c>
      <c r="T282" s="558">
        <v>400</v>
      </c>
      <c r="U282" s="558">
        <v>1050</v>
      </c>
      <c r="V282" s="574">
        <v>2500</v>
      </c>
      <c r="W282" s="514">
        <f>2050+500</f>
        <v>2550</v>
      </c>
      <c r="X282" s="574">
        <f>2000+1000</f>
        <v>3000</v>
      </c>
      <c r="Y282" s="574">
        <f>2000+1000</f>
        <v>3000</v>
      </c>
    </row>
    <row r="283" spans="1:25" ht="15" customHeight="1" x14ac:dyDescent="0.3">
      <c r="A283" s="35"/>
      <c r="B283" s="608" t="s">
        <v>388</v>
      </c>
      <c r="C283" s="74"/>
      <c r="D283" s="74"/>
      <c r="E283" s="2"/>
      <c r="F283" s="75"/>
      <c r="G283" s="75"/>
      <c r="H283" s="75"/>
      <c r="I283" s="75"/>
      <c r="J283" s="75"/>
      <c r="K283" s="76"/>
      <c r="L283" s="77"/>
      <c r="M283" s="78"/>
      <c r="N283" s="78"/>
      <c r="O283" s="558"/>
      <c r="P283" s="559"/>
      <c r="Q283" s="558"/>
      <c r="R283" s="558"/>
      <c r="S283" s="558"/>
      <c r="T283" s="558"/>
      <c r="U283" s="558"/>
      <c r="V283" s="574"/>
      <c r="W283" s="514"/>
      <c r="X283" s="574"/>
      <c r="Y283" s="574"/>
    </row>
    <row r="284" spans="1:25" ht="15" customHeight="1" x14ac:dyDescent="0.3">
      <c r="A284" s="35"/>
      <c r="B284" s="608" t="s">
        <v>389</v>
      </c>
      <c r="C284" s="74"/>
      <c r="D284" s="74"/>
      <c r="E284" s="2"/>
      <c r="F284" s="75"/>
      <c r="G284" s="75"/>
      <c r="H284" s="75"/>
      <c r="I284" s="75"/>
      <c r="J284" s="75"/>
      <c r="K284" s="76"/>
      <c r="L284" s="77"/>
      <c r="M284" s="78"/>
      <c r="N284" s="78"/>
      <c r="O284" s="558"/>
      <c r="P284" s="559"/>
      <c r="Q284" s="558"/>
      <c r="R284" s="558"/>
      <c r="S284" s="558"/>
      <c r="T284" s="558"/>
      <c r="U284" s="558"/>
      <c r="V284" s="574"/>
      <c r="W284" s="514"/>
      <c r="X284" s="574"/>
      <c r="Y284" s="574"/>
    </row>
    <row r="285" spans="1:25" ht="15" customHeight="1" x14ac:dyDescent="0.3">
      <c r="A285" s="604" t="s">
        <v>397</v>
      </c>
      <c r="B285" s="554" t="s">
        <v>391</v>
      </c>
      <c r="C285" s="74"/>
      <c r="D285" s="74"/>
      <c r="E285" s="2"/>
      <c r="F285" s="75"/>
      <c r="G285" s="75"/>
      <c r="H285" s="75"/>
      <c r="I285" s="75"/>
      <c r="J285" s="75"/>
      <c r="K285" s="76"/>
      <c r="L285" s="77"/>
      <c r="M285" s="78"/>
      <c r="N285" s="78"/>
      <c r="O285" s="558">
        <f>SUM(O286,O289)</f>
        <v>750</v>
      </c>
      <c r="P285" s="575">
        <f t="shared" ref="P285:Y285" si="40">P286+P289</f>
        <v>1200</v>
      </c>
      <c r="Q285" s="558">
        <f t="shared" si="40"/>
        <v>1100</v>
      </c>
      <c r="R285" s="558">
        <f t="shared" si="40"/>
        <v>1000</v>
      </c>
      <c r="S285" s="558">
        <f t="shared" si="40"/>
        <v>1400</v>
      </c>
      <c r="T285" s="558">
        <f t="shared" si="40"/>
        <v>1100</v>
      </c>
      <c r="U285" s="558">
        <f t="shared" si="40"/>
        <v>2100</v>
      </c>
      <c r="V285" s="574">
        <f t="shared" si="40"/>
        <v>2400</v>
      </c>
      <c r="W285" s="514">
        <f t="shared" si="40"/>
        <v>500</v>
      </c>
      <c r="X285" s="558">
        <f t="shared" si="40"/>
        <v>1700</v>
      </c>
      <c r="Y285" s="558">
        <f t="shared" si="40"/>
        <v>1000</v>
      </c>
    </row>
    <row r="286" spans="1:25" ht="15" customHeight="1" x14ac:dyDescent="0.3">
      <c r="A286" s="35"/>
      <c r="B286" s="608" t="s">
        <v>392</v>
      </c>
      <c r="C286" s="74"/>
      <c r="D286" s="74"/>
      <c r="E286" s="2"/>
      <c r="F286" s="75"/>
      <c r="G286" s="75"/>
      <c r="H286" s="75"/>
      <c r="I286" s="75"/>
      <c r="J286" s="75"/>
      <c r="K286" s="76"/>
      <c r="L286" s="77"/>
      <c r="M286" s="78"/>
      <c r="N286" s="78"/>
      <c r="O286" s="558">
        <v>750</v>
      </c>
      <c r="P286" s="474">
        <f t="shared" ref="P286:X286" si="41">P287+P288</f>
        <v>1200</v>
      </c>
      <c r="Q286" s="285">
        <f t="shared" si="41"/>
        <v>1100</v>
      </c>
      <c r="R286" s="285">
        <f t="shared" si="41"/>
        <v>1000</v>
      </c>
      <c r="S286" s="285">
        <f t="shared" si="41"/>
        <v>1400</v>
      </c>
      <c r="T286" s="285">
        <f t="shared" si="41"/>
        <v>0</v>
      </c>
      <c r="U286" s="285">
        <f t="shared" si="41"/>
        <v>0</v>
      </c>
      <c r="V286" s="285">
        <f t="shared" si="41"/>
        <v>500</v>
      </c>
      <c r="W286" s="285">
        <f t="shared" si="41"/>
        <v>500</v>
      </c>
      <c r="X286" s="285">
        <f t="shared" si="41"/>
        <v>1700</v>
      </c>
      <c r="Y286" s="285">
        <v>1000</v>
      </c>
    </row>
    <row r="287" spans="1:25" ht="15" customHeight="1" x14ac:dyDescent="0.3">
      <c r="A287" s="35"/>
      <c r="B287" s="609" t="s">
        <v>393</v>
      </c>
      <c r="C287" s="74"/>
      <c r="D287" s="74"/>
      <c r="E287" s="2"/>
      <c r="F287" s="75"/>
      <c r="G287" s="75"/>
      <c r="H287" s="75"/>
      <c r="I287" s="75"/>
      <c r="J287" s="75"/>
      <c r="K287" s="76"/>
      <c r="L287" s="77"/>
      <c r="M287" s="78"/>
      <c r="N287" s="78"/>
      <c r="O287" s="558">
        <v>250</v>
      </c>
      <c r="P287" s="637">
        <f>400+500</f>
        <v>900</v>
      </c>
      <c r="Q287" s="285">
        <v>300</v>
      </c>
      <c r="R287" s="285">
        <v>1000</v>
      </c>
      <c r="S287" s="285">
        <v>0</v>
      </c>
      <c r="T287" s="285">
        <v>0</v>
      </c>
      <c r="U287" s="285">
        <v>0</v>
      </c>
      <c r="V287" s="285">
        <v>0</v>
      </c>
      <c r="W287" s="284">
        <v>0</v>
      </c>
      <c r="X287" s="285">
        <v>0</v>
      </c>
      <c r="Y287" s="285"/>
    </row>
    <row r="288" spans="1:25" ht="15" customHeight="1" x14ac:dyDescent="0.3">
      <c r="A288" s="35"/>
      <c r="B288" s="609" t="s">
        <v>389</v>
      </c>
      <c r="C288" s="74"/>
      <c r="D288" s="74"/>
      <c r="E288" s="2"/>
      <c r="F288" s="75"/>
      <c r="G288" s="75"/>
      <c r="H288" s="75"/>
      <c r="I288" s="75"/>
      <c r="J288" s="75"/>
      <c r="K288" s="76"/>
      <c r="L288" s="77"/>
      <c r="M288" s="78"/>
      <c r="N288" s="78"/>
      <c r="O288" s="558">
        <v>500</v>
      </c>
      <c r="P288" s="474">
        <f>300</f>
        <v>300</v>
      </c>
      <c r="Q288" s="285">
        <v>800</v>
      </c>
      <c r="R288" s="285">
        <v>0</v>
      </c>
      <c r="S288" s="285">
        <v>1400</v>
      </c>
      <c r="T288" s="285">
        <v>0</v>
      </c>
      <c r="U288" s="285">
        <v>0</v>
      </c>
      <c r="V288" s="285">
        <v>500</v>
      </c>
      <c r="W288" s="284">
        <v>500</v>
      </c>
      <c r="X288" s="285">
        <v>1700</v>
      </c>
      <c r="Y288" s="285"/>
    </row>
    <row r="289" spans="1:25" ht="15" customHeight="1" x14ac:dyDescent="0.3">
      <c r="A289" s="35"/>
      <c r="B289" s="608" t="s">
        <v>297</v>
      </c>
      <c r="C289" s="74"/>
      <c r="D289" s="74"/>
      <c r="E289" s="2"/>
      <c r="F289" s="75"/>
      <c r="G289" s="75"/>
      <c r="H289" s="75"/>
      <c r="I289" s="75"/>
      <c r="J289" s="75"/>
      <c r="K289" s="76"/>
      <c r="L289" s="77"/>
      <c r="M289" s="78"/>
      <c r="N289" s="78"/>
      <c r="O289" s="558">
        <v>0</v>
      </c>
      <c r="P289" s="474">
        <v>0</v>
      </c>
      <c r="Q289" s="285">
        <v>0</v>
      </c>
      <c r="R289" s="285">
        <v>0</v>
      </c>
      <c r="S289" s="285">
        <v>0</v>
      </c>
      <c r="T289" s="285">
        <v>1100</v>
      </c>
      <c r="U289" s="285">
        <v>2100</v>
      </c>
      <c r="V289" s="285">
        <v>1900</v>
      </c>
      <c r="W289" s="284">
        <v>0</v>
      </c>
      <c r="X289" s="285">
        <v>0</v>
      </c>
      <c r="Y289" s="285"/>
    </row>
    <row r="290" spans="1:25" ht="15" customHeight="1" x14ac:dyDescent="0.3">
      <c r="A290" s="35"/>
      <c r="B290" s="557"/>
      <c r="C290" s="74"/>
      <c r="D290" s="74"/>
      <c r="E290" s="2"/>
      <c r="F290" s="75"/>
      <c r="G290" s="75"/>
      <c r="H290" s="75"/>
      <c r="I290" s="75"/>
      <c r="J290" s="75"/>
      <c r="K290" s="76"/>
      <c r="L290" s="77"/>
      <c r="M290" s="78"/>
      <c r="N290" s="78"/>
      <c r="O290" s="558"/>
      <c r="P290" s="559"/>
      <c r="Q290" s="558"/>
      <c r="R290" s="558"/>
      <c r="S290" s="558"/>
      <c r="T290" s="558"/>
      <c r="U290" s="558"/>
      <c r="V290" s="558"/>
      <c r="W290" s="77" t="s">
        <v>3</v>
      </c>
      <c r="X290" s="558"/>
      <c r="Y290" s="558"/>
    </row>
    <row r="291" spans="1:25" ht="15" customHeight="1" x14ac:dyDescent="0.3">
      <c r="A291" s="242" t="s">
        <v>398</v>
      </c>
      <c r="B291" s="571" t="s">
        <v>298</v>
      </c>
      <c r="C291" s="74"/>
      <c r="D291" s="74"/>
      <c r="E291" s="2"/>
      <c r="F291" s="75"/>
      <c r="G291" s="75"/>
      <c r="H291" s="75"/>
      <c r="I291" s="75"/>
      <c r="J291" s="75"/>
      <c r="K291" s="76"/>
      <c r="L291" s="77"/>
      <c r="M291" s="78"/>
      <c r="N291" s="78"/>
      <c r="O291" s="558">
        <f t="shared" ref="O291:Y291" si="42">SUM(O293:O298)</f>
        <v>2600</v>
      </c>
      <c r="P291" s="559">
        <f t="shared" si="42"/>
        <v>2900</v>
      </c>
      <c r="Q291" s="558">
        <f t="shared" si="42"/>
        <v>4000</v>
      </c>
      <c r="R291" s="558">
        <f t="shared" si="42"/>
        <v>6600</v>
      </c>
      <c r="S291" s="558">
        <f t="shared" si="42"/>
        <v>5100</v>
      </c>
      <c r="T291" s="558">
        <f t="shared" si="42"/>
        <v>7000</v>
      </c>
      <c r="U291" s="558">
        <f t="shared" si="42"/>
        <v>9300</v>
      </c>
      <c r="V291" s="558">
        <f t="shared" si="42"/>
        <v>5500</v>
      </c>
      <c r="W291" s="77">
        <f t="shared" si="42"/>
        <v>5600</v>
      </c>
      <c r="X291" s="558">
        <f t="shared" si="42"/>
        <v>5100</v>
      </c>
      <c r="Y291" s="558">
        <f t="shared" si="42"/>
        <v>5400</v>
      </c>
    </row>
    <row r="292" spans="1:25" ht="15" customHeight="1" x14ac:dyDescent="0.3">
      <c r="A292" s="35"/>
      <c r="B292" s="524"/>
      <c r="C292" s="74"/>
      <c r="D292" s="74"/>
      <c r="E292" s="2"/>
      <c r="F292" s="75"/>
      <c r="G292" s="75"/>
      <c r="H292" s="75"/>
      <c r="I292" s="75"/>
      <c r="J292" s="75"/>
      <c r="K292" s="76"/>
      <c r="L292" s="77"/>
      <c r="M292" s="78"/>
      <c r="N292" s="78"/>
      <c r="O292" s="558"/>
      <c r="P292" s="636"/>
      <c r="Q292" s="558"/>
      <c r="R292" s="558"/>
      <c r="S292" s="558"/>
      <c r="T292" s="558"/>
      <c r="U292" s="558"/>
      <c r="V292" s="558"/>
      <c r="W292" s="77"/>
      <c r="X292" s="558"/>
      <c r="Y292" s="558"/>
    </row>
    <row r="293" spans="1:25" ht="15" customHeight="1" x14ac:dyDescent="0.3">
      <c r="A293" s="604" t="s">
        <v>399</v>
      </c>
      <c r="B293" s="554" t="s">
        <v>292</v>
      </c>
      <c r="C293" s="74"/>
      <c r="D293" s="74"/>
      <c r="E293" s="2"/>
      <c r="F293" s="75"/>
      <c r="G293" s="75"/>
      <c r="H293" s="75"/>
      <c r="I293" s="75"/>
      <c r="J293" s="75"/>
      <c r="K293" s="76"/>
      <c r="L293" s="77"/>
      <c r="M293" s="78"/>
      <c r="N293" s="78"/>
      <c r="O293" s="558">
        <v>350</v>
      </c>
      <c r="P293" s="559">
        <v>400</v>
      </c>
      <c r="Q293" s="558">
        <v>1200</v>
      </c>
      <c r="R293" s="558">
        <v>2000</v>
      </c>
      <c r="S293" s="574">
        <v>3000</v>
      </c>
      <c r="T293" s="574">
        <v>2800</v>
      </c>
      <c r="U293" s="574">
        <v>2100</v>
      </c>
      <c r="V293" s="558">
        <v>500</v>
      </c>
      <c r="W293" s="514">
        <v>1000</v>
      </c>
      <c r="X293" s="574">
        <v>1000</v>
      </c>
      <c r="Y293" s="574">
        <v>1000</v>
      </c>
    </row>
    <row r="294" spans="1:25" ht="15" customHeight="1" x14ac:dyDescent="0.3">
      <c r="A294" s="35"/>
      <c r="B294" s="103"/>
      <c r="C294" s="74"/>
      <c r="D294" s="74"/>
      <c r="E294" s="2"/>
      <c r="F294" s="75"/>
      <c r="G294" s="75"/>
      <c r="H294" s="75"/>
      <c r="I294" s="75"/>
      <c r="J294" s="75"/>
      <c r="K294" s="76"/>
      <c r="L294" s="77"/>
      <c r="M294" s="78"/>
      <c r="N294" s="78"/>
      <c r="O294" s="558"/>
      <c r="P294" s="636"/>
      <c r="Q294" s="558"/>
      <c r="R294" s="558"/>
      <c r="S294" s="574"/>
      <c r="T294" s="574"/>
      <c r="U294" s="574"/>
      <c r="V294" s="558"/>
      <c r="W294" s="514"/>
      <c r="X294" s="574"/>
      <c r="Y294" s="574"/>
    </row>
    <row r="295" spans="1:25" ht="15" customHeight="1" x14ac:dyDescent="0.3">
      <c r="A295" s="604" t="s">
        <v>400</v>
      </c>
      <c r="B295" s="554" t="s">
        <v>387</v>
      </c>
      <c r="C295" s="74"/>
      <c r="D295" s="74"/>
      <c r="E295" s="2"/>
      <c r="F295" s="75"/>
      <c r="G295" s="75"/>
      <c r="H295" s="75"/>
      <c r="I295" s="75"/>
      <c r="J295" s="75"/>
      <c r="K295" s="76"/>
      <c r="L295" s="77"/>
      <c r="M295" s="78"/>
      <c r="N295" s="78"/>
      <c r="O295" s="558">
        <v>1100</v>
      </c>
      <c r="P295" s="559">
        <v>600</v>
      </c>
      <c r="Q295" s="558">
        <v>2300</v>
      </c>
      <c r="R295" s="558">
        <v>4300</v>
      </c>
      <c r="S295" s="558">
        <v>2000</v>
      </c>
      <c r="T295" s="558">
        <v>3400</v>
      </c>
      <c r="U295" s="558">
        <v>3500</v>
      </c>
      <c r="V295" s="574">
        <v>1200</v>
      </c>
      <c r="W295" s="514">
        <v>2100</v>
      </c>
      <c r="X295" s="574">
        <v>2500</v>
      </c>
      <c r="Y295" s="574">
        <v>1900</v>
      </c>
    </row>
    <row r="296" spans="1:25" ht="15" customHeight="1" x14ac:dyDescent="0.3">
      <c r="A296" s="35"/>
      <c r="B296" s="608" t="s">
        <v>388</v>
      </c>
      <c r="C296" s="74"/>
      <c r="D296" s="74"/>
      <c r="E296" s="2"/>
      <c r="F296" s="75"/>
      <c r="G296" s="75"/>
      <c r="H296" s="75"/>
      <c r="I296" s="75"/>
      <c r="J296" s="75"/>
      <c r="K296" s="76"/>
      <c r="L296" s="77"/>
      <c r="M296" s="78"/>
      <c r="N296" s="78"/>
      <c r="O296" s="558"/>
      <c r="P296" s="559"/>
      <c r="Q296" s="558"/>
      <c r="R296" s="558"/>
      <c r="S296" s="558"/>
      <c r="T296" s="558"/>
      <c r="U296" s="558"/>
      <c r="V296" s="574"/>
      <c r="W296" s="514"/>
      <c r="X296" s="574"/>
      <c r="Y296" s="574"/>
    </row>
    <row r="297" spans="1:25" ht="15" customHeight="1" x14ac:dyDescent="0.3">
      <c r="A297" s="35"/>
      <c r="B297" s="608" t="s">
        <v>389</v>
      </c>
      <c r="C297" s="74"/>
      <c r="D297" s="74"/>
      <c r="E297" s="2"/>
      <c r="F297" s="75"/>
      <c r="G297" s="75"/>
      <c r="H297" s="75"/>
      <c r="I297" s="75"/>
      <c r="J297" s="75"/>
      <c r="K297" s="76"/>
      <c r="L297" s="77"/>
      <c r="M297" s="78"/>
      <c r="N297" s="78"/>
      <c r="O297" s="558"/>
      <c r="P297" s="559"/>
      <c r="Q297" s="558"/>
      <c r="R297" s="558"/>
      <c r="S297" s="558"/>
      <c r="T297" s="558"/>
      <c r="U297" s="558"/>
      <c r="V297" s="574"/>
      <c r="W297" s="514"/>
      <c r="X297" s="574"/>
      <c r="Y297" s="574"/>
    </row>
    <row r="298" spans="1:25" ht="15" customHeight="1" x14ac:dyDescent="0.3">
      <c r="A298" s="604" t="s">
        <v>401</v>
      </c>
      <c r="B298" s="554" t="s">
        <v>391</v>
      </c>
      <c r="C298" s="74"/>
      <c r="D298" s="74"/>
      <c r="E298" s="2"/>
      <c r="F298" s="75"/>
      <c r="G298" s="75"/>
      <c r="H298" s="75"/>
      <c r="I298" s="75"/>
      <c r="J298" s="75"/>
      <c r="K298" s="76"/>
      <c r="L298" s="77"/>
      <c r="M298" s="78"/>
      <c r="N298" s="78"/>
      <c r="O298" s="558">
        <f t="shared" ref="O298:Y298" si="43">SUM(O299,O302)</f>
        <v>1150</v>
      </c>
      <c r="P298" s="559">
        <f t="shared" si="43"/>
        <v>1900</v>
      </c>
      <c r="Q298" s="558">
        <f t="shared" si="43"/>
        <v>500</v>
      </c>
      <c r="R298" s="558">
        <f t="shared" si="43"/>
        <v>300</v>
      </c>
      <c r="S298" s="558">
        <f t="shared" si="43"/>
        <v>100</v>
      </c>
      <c r="T298" s="558">
        <f t="shared" si="43"/>
        <v>800</v>
      </c>
      <c r="U298" s="558">
        <f t="shared" si="43"/>
        <v>3700</v>
      </c>
      <c r="V298" s="558">
        <f t="shared" si="43"/>
        <v>3800</v>
      </c>
      <c r="W298" s="77">
        <f t="shared" si="43"/>
        <v>2500</v>
      </c>
      <c r="X298" s="558">
        <f t="shared" si="43"/>
        <v>1600</v>
      </c>
      <c r="Y298" s="558">
        <f t="shared" si="43"/>
        <v>2500</v>
      </c>
    </row>
    <row r="299" spans="1:25" ht="15" customHeight="1" x14ac:dyDescent="0.3">
      <c r="A299" s="35"/>
      <c r="B299" s="608" t="s">
        <v>392</v>
      </c>
      <c r="C299" s="74"/>
      <c r="D299" s="74"/>
      <c r="E299" s="2"/>
      <c r="F299" s="75"/>
      <c r="G299" s="75"/>
      <c r="H299" s="75"/>
      <c r="I299" s="75"/>
      <c r="J299" s="75"/>
      <c r="K299" s="76"/>
      <c r="L299" s="77"/>
      <c r="M299" s="78"/>
      <c r="N299" s="78"/>
      <c r="O299" s="558">
        <f t="shared" ref="O299:X299" si="44">O300+O301</f>
        <v>1150</v>
      </c>
      <c r="P299" s="474">
        <f t="shared" si="44"/>
        <v>400</v>
      </c>
      <c r="Q299" s="285">
        <f t="shared" si="44"/>
        <v>0</v>
      </c>
      <c r="R299" s="285">
        <f t="shared" si="44"/>
        <v>0</v>
      </c>
      <c r="S299" s="285">
        <f t="shared" si="44"/>
        <v>100</v>
      </c>
      <c r="T299" s="285">
        <f t="shared" si="44"/>
        <v>0</v>
      </c>
      <c r="U299" s="285">
        <f t="shared" si="44"/>
        <v>750</v>
      </c>
      <c r="V299" s="285">
        <f t="shared" si="44"/>
        <v>1000</v>
      </c>
      <c r="W299" s="285">
        <f t="shared" si="44"/>
        <v>700</v>
      </c>
      <c r="X299" s="285">
        <f t="shared" si="44"/>
        <v>400</v>
      </c>
      <c r="Y299" s="285"/>
    </row>
    <row r="300" spans="1:25" ht="15" customHeight="1" x14ac:dyDescent="0.3">
      <c r="A300" s="35"/>
      <c r="B300" s="609" t="s">
        <v>393</v>
      </c>
      <c r="C300" s="74"/>
      <c r="D300" s="74"/>
      <c r="E300" s="2"/>
      <c r="F300" s="75"/>
      <c r="G300" s="75"/>
      <c r="H300" s="75"/>
      <c r="I300" s="75"/>
      <c r="J300" s="75"/>
      <c r="K300" s="76"/>
      <c r="L300" s="77"/>
      <c r="M300" s="78"/>
      <c r="N300" s="78"/>
      <c r="O300" s="558">
        <v>30</v>
      </c>
      <c r="P300" s="474">
        <v>0</v>
      </c>
      <c r="Q300" s="285">
        <v>0</v>
      </c>
      <c r="R300" s="285">
        <v>0</v>
      </c>
      <c r="S300" s="285">
        <v>100</v>
      </c>
      <c r="T300" s="285">
        <v>0</v>
      </c>
      <c r="U300" s="285">
        <v>750</v>
      </c>
      <c r="V300" s="285">
        <v>1000</v>
      </c>
      <c r="W300" s="284">
        <v>700</v>
      </c>
      <c r="X300" s="285">
        <v>0</v>
      </c>
      <c r="Y300" s="285">
        <v>0</v>
      </c>
    </row>
    <row r="301" spans="1:25" ht="15" customHeight="1" x14ac:dyDescent="0.3">
      <c r="A301" s="35"/>
      <c r="B301" s="609" t="s">
        <v>389</v>
      </c>
      <c r="C301" s="74"/>
      <c r="D301" s="74"/>
      <c r="E301" s="2"/>
      <c r="F301" s="75"/>
      <c r="G301" s="75"/>
      <c r="H301" s="75"/>
      <c r="I301" s="75"/>
      <c r="J301" s="75"/>
      <c r="K301" s="76"/>
      <c r="L301" s="77"/>
      <c r="M301" s="78"/>
      <c r="N301" s="78"/>
      <c r="O301" s="558">
        <v>1120</v>
      </c>
      <c r="P301" s="474">
        <v>400</v>
      </c>
      <c r="Q301" s="285">
        <v>0</v>
      </c>
      <c r="R301" s="285">
        <v>0</v>
      </c>
      <c r="S301" s="285">
        <v>0</v>
      </c>
      <c r="T301" s="285">
        <v>0</v>
      </c>
      <c r="U301" s="285">
        <v>0</v>
      </c>
      <c r="V301" s="285">
        <v>0</v>
      </c>
      <c r="W301" s="284">
        <v>0</v>
      </c>
      <c r="X301" s="285">
        <v>400</v>
      </c>
      <c r="Y301" s="285"/>
    </row>
    <row r="302" spans="1:25" ht="15" customHeight="1" x14ac:dyDescent="0.3">
      <c r="A302" s="35"/>
      <c r="B302" s="608" t="s">
        <v>297</v>
      </c>
      <c r="C302" s="74"/>
      <c r="D302" s="74"/>
      <c r="E302" s="2"/>
      <c r="F302" s="75"/>
      <c r="G302" s="75"/>
      <c r="H302" s="75"/>
      <c r="I302" s="75"/>
      <c r="J302" s="75"/>
      <c r="K302" s="76"/>
      <c r="L302" s="77"/>
      <c r="M302" s="78"/>
      <c r="N302" s="78"/>
      <c r="O302" s="558">
        <v>0</v>
      </c>
      <c r="P302" s="637">
        <f>1000+500</f>
        <v>1500</v>
      </c>
      <c r="Q302" s="285">
        <v>500</v>
      </c>
      <c r="R302" s="285">
        <v>300</v>
      </c>
      <c r="S302" s="285">
        <v>0</v>
      </c>
      <c r="T302" s="285">
        <v>800</v>
      </c>
      <c r="U302" s="285">
        <v>2950</v>
      </c>
      <c r="V302" s="285">
        <v>2800</v>
      </c>
      <c r="W302" s="284">
        <v>1800</v>
      </c>
      <c r="X302" s="285">
        <v>1200</v>
      </c>
      <c r="Y302" s="285">
        <v>2500</v>
      </c>
    </row>
    <row r="303" spans="1:25" ht="15" customHeight="1" x14ac:dyDescent="0.3">
      <c r="A303" s="35"/>
      <c r="B303" s="103"/>
      <c r="C303" s="74"/>
      <c r="D303" s="74"/>
      <c r="E303" s="2"/>
      <c r="F303" s="75"/>
      <c r="G303" s="75"/>
      <c r="H303" s="75"/>
      <c r="I303" s="75"/>
      <c r="J303" s="75"/>
      <c r="K303" s="76"/>
      <c r="L303" s="77"/>
      <c r="M303" s="78"/>
      <c r="N303" s="78"/>
      <c r="O303" s="558"/>
      <c r="P303" s="559"/>
      <c r="Q303" s="558"/>
      <c r="R303" s="558"/>
      <c r="S303" s="558"/>
      <c r="T303" s="558"/>
      <c r="U303" s="558"/>
      <c r="V303" s="558"/>
      <c r="W303" s="77"/>
      <c r="X303" s="558"/>
      <c r="Y303" s="558"/>
    </row>
    <row r="304" spans="1:25" ht="15" customHeight="1" x14ac:dyDescent="0.3">
      <c r="A304" s="601" t="s">
        <v>299</v>
      </c>
      <c r="B304" s="576" t="s">
        <v>300</v>
      </c>
      <c r="C304" s="74"/>
      <c r="D304" s="74"/>
      <c r="E304" s="2"/>
      <c r="F304" s="75"/>
      <c r="G304" s="75"/>
      <c r="H304" s="75"/>
      <c r="I304" s="75"/>
      <c r="J304" s="75"/>
      <c r="K304" s="76"/>
      <c r="L304" s="77"/>
      <c r="M304" s="78"/>
      <c r="N304" s="78"/>
      <c r="O304" s="558">
        <f t="shared" ref="O304:Y304" si="45">O306+O311+O315</f>
        <v>163500</v>
      </c>
      <c r="P304" s="559" t="e">
        <f t="shared" si="45"/>
        <v>#REF!</v>
      </c>
      <c r="Q304" s="558" t="e">
        <f t="shared" si="45"/>
        <v>#REF!</v>
      </c>
      <c r="R304" s="558" t="e">
        <f t="shared" si="45"/>
        <v>#REF!</v>
      </c>
      <c r="S304" s="558" t="e">
        <f t="shared" si="45"/>
        <v>#REF!</v>
      </c>
      <c r="T304" s="558" t="e">
        <f t="shared" si="45"/>
        <v>#REF!</v>
      </c>
      <c r="U304" s="558" t="e">
        <f t="shared" si="45"/>
        <v>#REF!</v>
      </c>
      <c r="V304" s="558" t="e">
        <f t="shared" si="45"/>
        <v>#REF!</v>
      </c>
      <c r="W304" s="77" t="e">
        <f t="shared" si="45"/>
        <v>#REF!</v>
      </c>
      <c r="X304" s="558" t="e">
        <f t="shared" si="45"/>
        <v>#REF!</v>
      </c>
      <c r="Y304" s="558">
        <f t="shared" si="45"/>
        <v>20000</v>
      </c>
    </row>
    <row r="305" spans="1:25" ht="15" customHeight="1" x14ac:dyDescent="0.3">
      <c r="A305" s="35"/>
      <c r="B305" s="103"/>
      <c r="C305" s="74"/>
      <c r="D305" s="74"/>
      <c r="E305" s="2"/>
      <c r="F305" s="75"/>
      <c r="G305" s="75"/>
      <c r="H305" s="75"/>
      <c r="I305" s="75"/>
      <c r="J305" s="75"/>
      <c r="K305" s="76"/>
      <c r="L305" s="77"/>
      <c r="M305" s="78"/>
      <c r="N305" s="78"/>
      <c r="O305" s="79"/>
      <c r="P305" s="183"/>
      <c r="Q305" s="184"/>
      <c r="R305" s="184"/>
      <c r="S305" s="184"/>
      <c r="T305" s="184"/>
      <c r="U305" s="184"/>
      <c r="V305" s="184"/>
      <c r="W305" s="185"/>
      <c r="X305" s="184"/>
      <c r="Y305" s="184"/>
    </row>
    <row r="306" spans="1:25" ht="15" customHeight="1" x14ac:dyDescent="0.3">
      <c r="A306" s="242" t="s">
        <v>402</v>
      </c>
      <c r="B306" s="487" t="s">
        <v>301</v>
      </c>
      <c r="C306" s="74"/>
      <c r="D306" s="74"/>
      <c r="E306" s="2"/>
      <c r="F306" s="75"/>
      <c r="G306" s="75"/>
      <c r="H306" s="75"/>
      <c r="I306" s="75"/>
      <c r="J306" s="75"/>
      <c r="K306" s="76"/>
      <c r="L306" s="77"/>
      <c r="M306" s="78"/>
      <c r="N306" s="274"/>
      <c r="O306" s="558">
        <f t="shared" ref="O306:X306" si="46">SUM(O307:O309)</f>
        <v>99400</v>
      </c>
      <c r="P306" s="559" t="e">
        <f t="shared" si="46"/>
        <v>#REF!</v>
      </c>
      <c r="Q306" s="558" t="e">
        <f t="shared" si="46"/>
        <v>#REF!</v>
      </c>
      <c r="R306" s="558" t="e">
        <f t="shared" si="46"/>
        <v>#REF!</v>
      </c>
      <c r="S306" s="558" t="e">
        <f t="shared" si="46"/>
        <v>#REF!</v>
      </c>
      <c r="T306" s="558" t="e">
        <f t="shared" si="46"/>
        <v>#REF!</v>
      </c>
      <c r="U306" s="558" t="e">
        <f t="shared" si="46"/>
        <v>#REF!</v>
      </c>
      <c r="V306" s="558" t="e">
        <f t="shared" si="46"/>
        <v>#REF!</v>
      </c>
      <c r="W306" s="77" t="e">
        <f t="shared" si="46"/>
        <v>#REF!</v>
      </c>
      <c r="X306" s="558" t="e">
        <f t="shared" si="46"/>
        <v>#REF!</v>
      </c>
      <c r="Y306" s="558"/>
    </row>
    <row r="307" spans="1:25" ht="15" customHeight="1" x14ac:dyDescent="0.3">
      <c r="A307" s="604" t="s">
        <v>403</v>
      </c>
      <c r="B307" s="554" t="s">
        <v>302</v>
      </c>
      <c r="C307" s="74"/>
      <c r="D307" s="74"/>
      <c r="E307" s="2"/>
      <c r="F307" s="75"/>
      <c r="G307" s="75"/>
      <c r="H307" s="75"/>
      <c r="I307" s="75"/>
      <c r="J307" s="75"/>
      <c r="K307" s="76"/>
      <c r="L307" s="77"/>
      <c r="M307" s="78"/>
      <c r="N307" s="274"/>
      <c r="O307" s="558">
        <v>33300</v>
      </c>
      <c r="P307" s="559">
        <v>28000</v>
      </c>
      <c r="Q307" s="577">
        <v>15600</v>
      </c>
      <c r="R307" s="577">
        <v>9600</v>
      </c>
      <c r="S307" s="558">
        <v>1500</v>
      </c>
      <c r="T307" s="558">
        <v>300</v>
      </c>
      <c r="U307" s="558">
        <v>200</v>
      </c>
      <c r="V307" s="558">
        <v>200</v>
      </c>
      <c r="W307" s="77">
        <v>200</v>
      </c>
      <c r="X307" s="558">
        <v>200</v>
      </c>
      <c r="Y307" s="558"/>
    </row>
    <row r="308" spans="1:25" ht="15" customHeight="1" x14ac:dyDescent="0.3">
      <c r="A308" s="604" t="s">
        <v>404</v>
      </c>
      <c r="B308" s="554" t="s">
        <v>303</v>
      </c>
      <c r="C308" s="74"/>
      <c r="D308" s="74"/>
      <c r="E308" s="2"/>
      <c r="F308" s="75"/>
      <c r="G308" s="75"/>
      <c r="H308" s="75"/>
      <c r="I308" s="75"/>
      <c r="J308" s="75"/>
      <c r="K308" s="76"/>
      <c r="L308" s="77"/>
      <c r="M308" s="78"/>
      <c r="N308" s="274"/>
      <c r="O308" s="558">
        <v>28300</v>
      </c>
      <c r="P308" s="559">
        <f>15400+1400-200</f>
        <v>16600</v>
      </c>
      <c r="Q308" s="577">
        <f>25600+0</f>
        <v>25600</v>
      </c>
      <c r="R308" s="577">
        <f>12100+1600</f>
        <v>13700</v>
      </c>
      <c r="S308" s="558">
        <f>3100+100</f>
        <v>3200</v>
      </c>
      <c r="T308" s="558">
        <v>600</v>
      </c>
      <c r="U308" s="558">
        <v>300</v>
      </c>
      <c r="V308" s="558">
        <v>300</v>
      </c>
      <c r="W308" s="77">
        <v>200</v>
      </c>
      <c r="X308" s="558">
        <v>600</v>
      </c>
      <c r="Y308" s="558"/>
    </row>
    <row r="309" spans="1:25" ht="15" customHeight="1" x14ac:dyDescent="0.3">
      <c r="A309" s="604" t="s">
        <v>405</v>
      </c>
      <c r="B309" s="554" t="s">
        <v>304</v>
      </c>
      <c r="C309" s="74"/>
      <c r="D309" s="74"/>
      <c r="E309" s="2"/>
      <c r="F309" s="75"/>
      <c r="G309" s="75"/>
      <c r="H309" s="75"/>
      <c r="I309" s="75"/>
      <c r="J309" s="75"/>
      <c r="K309" s="76"/>
      <c r="L309" s="77"/>
      <c r="M309" s="78"/>
      <c r="N309" s="274"/>
      <c r="O309" s="558">
        <v>37800</v>
      </c>
      <c r="P309" s="559" t="e">
        <f>P310+#REF!</f>
        <v>#REF!</v>
      </c>
      <c r="Q309" s="577" t="e">
        <f>Q310+#REF!</f>
        <v>#REF!</v>
      </c>
      <c r="R309" s="577" t="e">
        <f>R310+#REF!</f>
        <v>#REF!</v>
      </c>
      <c r="S309" s="577" t="e">
        <f>S310+#REF!+#REF!</f>
        <v>#REF!</v>
      </c>
      <c r="T309" s="577" t="e">
        <f>T310+#REF!+#REF!</f>
        <v>#REF!</v>
      </c>
      <c r="U309" s="577" t="e">
        <f>U310+#REF!+#REF!</f>
        <v>#REF!</v>
      </c>
      <c r="V309" s="577" t="e">
        <f>V310+#REF!+#REF!</f>
        <v>#REF!</v>
      </c>
      <c r="W309" s="578" t="e">
        <f>W310+#REF!+#REF!</f>
        <v>#REF!</v>
      </c>
      <c r="X309" s="577" t="e">
        <f>X310+#REF!+#REF!</f>
        <v>#REF!</v>
      </c>
      <c r="Y309" s="558" t="e">
        <f>Y310+#REF!+#REF!</f>
        <v>#REF!</v>
      </c>
    </row>
    <row r="310" spans="1:25" ht="15" customHeight="1" x14ac:dyDescent="0.3">
      <c r="A310" s="35"/>
      <c r="B310" s="92"/>
      <c r="C310" s="74"/>
      <c r="D310" s="74"/>
      <c r="E310" s="2"/>
      <c r="F310" s="75"/>
      <c r="G310" s="75"/>
      <c r="H310" s="75"/>
      <c r="I310" s="75"/>
      <c r="J310" s="75"/>
      <c r="K310" s="76"/>
      <c r="L310" s="77"/>
      <c r="M310" s="78"/>
      <c r="N310" s="274"/>
      <c r="O310" s="558"/>
      <c r="P310" s="474">
        <v>31000</v>
      </c>
      <c r="Q310" s="285">
        <v>33300</v>
      </c>
      <c r="R310" s="285">
        <v>19200</v>
      </c>
      <c r="S310" s="285">
        <v>4700</v>
      </c>
      <c r="T310" s="285">
        <v>500</v>
      </c>
      <c r="U310" s="285">
        <v>400</v>
      </c>
      <c r="V310" s="285">
        <v>400</v>
      </c>
      <c r="W310" s="284">
        <v>300</v>
      </c>
      <c r="X310" s="285">
        <v>800</v>
      </c>
      <c r="Y310" s="558"/>
    </row>
    <row r="311" spans="1:25" ht="15" customHeight="1" x14ac:dyDescent="0.3">
      <c r="A311" s="242" t="s">
        <v>406</v>
      </c>
      <c r="B311" s="487" t="s">
        <v>305</v>
      </c>
      <c r="C311" s="74"/>
      <c r="D311" s="74"/>
      <c r="E311" s="2"/>
      <c r="F311" s="75"/>
      <c r="G311" s="75"/>
      <c r="H311" s="75"/>
      <c r="I311" s="75"/>
      <c r="J311" s="75"/>
      <c r="K311" s="76"/>
      <c r="L311" s="77"/>
      <c r="M311" s="78"/>
      <c r="N311" s="274"/>
      <c r="O311" s="558">
        <f>SUM(O312:O313)</f>
        <v>50900</v>
      </c>
      <c r="P311" s="559">
        <f>SUM(P312:P313)</f>
        <v>43500</v>
      </c>
      <c r="Q311" s="558">
        <f>SUM(Q312:Q313)</f>
        <v>8600</v>
      </c>
      <c r="R311" s="558">
        <f>SUM(R312:R313)</f>
        <v>1500</v>
      </c>
      <c r="S311" s="558">
        <v>0</v>
      </c>
      <c r="T311" s="558">
        <v>0</v>
      </c>
      <c r="U311" s="558">
        <v>0</v>
      </c>
      <c r="V311" s="558">
        <v>0</v>
      </c>
      <c r="W311" s="558">
        <v>0</v>
      </c>
      <c r="X311" s="558">
        <v>0</v>
      </c>
      <c r="Y311" s="558"/>
    </row>
    <row r="312" spans="1:25" ht="15" customHeight="1" x14ac:dyDescent="0.3">
      <c r="A312" s="604" t="s">
        <v>407</v>
      </c>
      <c r="B312" s="554" t="s">
        <v>303</v>
      </c>
      <c r="C312" s="74"/>
      <c r="D312" s="74"/>
      <c r="E312" s="2"/>
      <c r="F312" s="75"/>
      <c r="G312" s="75"/>
      <c r="H312" s="75"/>
      <c r="I312" s="75"/>
      <c r="J312" s="75"/>
      <c r="K312" s="76"/>
      <c r="L312" s="77"/>
      <c r="M312" s="78"/>
      <c r="N312" s="274"/>
      <c r="O312" s="558">
        <v>10500</v>
      </c>
      <c r="P312" s="559">
        <v>2900</v>
      </c>
      <c r="Q312" s="558">
        <v>400</v>
      </c>
      <c r="R312" s="558">
        <v>0</v>
      </c>
      <c r="S312" s="558">
        <v>0</v>
      </c>
      <c r="T312" s="558">
        <v>0</v>
      </c>
      <c r="U312" s="558">
        <v>0</v>
      </c>
      <c r="V312" s="558">
        <v>0</v>
      </c>
      <c r="W312" s="558">
        <v>0</v>
      </c>
      <c r="X312" s="558">
        <v>0</v>
      </c>
      <c r="Y312" s="558"/>
    </row>
    <row r="313" spans="1:25" ht="15" customHeight="1" x14ac:dyDescent="0.3">
      <c r="A313" s="604" t="s">
        <v>408</v>
      </c>
      <c r="B313" s="554" t="s">
        <v>304</v>
      </c>
      <c r="C313" s="74"/>
      <c r="D313" s="74"/>
      <c r="E313" s="2"/>
      <c r="F313" s="75"/>
      <c r="G313" s="75"/>
      <c r="H313" s="75"/>
      <c r="I313" s="75"/>
      <c r="J313" s="75"/>
      <c r="K313" s="76"/>
      <c r="L313" s="77"/>
      <c r="M313" s="78"/>
      <c r="N313" s="274"/>
      <c r="O313" s="558">
        <v>40400</v>
      </c>
      <c r="P313" s="559">
        <v>40600</v>
      </c>
      <c r="Q313" s="558">
        <v>8200</v>
      </c>
      <c r="R313" s="558">
        <v>1500</v>
      </c>
      <c r="S313" s="558">
        <v>0</v>
      </c>
      <c r="T313" s="558">
        <v>0</v>
      </c>
      <c r="U313" s="558">
        <v>0</v>
      </c>
      <c r="V313" s="558">
        <v>0</v>
      </c>
      <c r="W313" s="558">
        <v>0</v>
      </c>
      <c r="X313" s="558">
        <v>0</v>
      </c>
      <c r="Y313" s="558"/>
    </row>
    <row r="314" spans="1:25" ht="15" customHeight="1" x14ac:dyDescent="0.3">
      <c r="A314" s="35"/>
      <c r="B314" s="103"/>
      <c r="C314" s="74"/>
      <c r="D314" s="74"/>
      <c r="E314" s="2"/>
      <c r="F314" s="75"/>
      <c r="G314" s="75"/>
      <c r="H314" s="75"/>
      <c r="I314" s="75"/>
      <c r="J314" s="75"/>
      <c r="K314" s="76"/>
      <c r="L314" s="77"/>
      <c r="M314" s="78"/>
      <c r="N314" s="274"/>
      <c r="O314" s="558"/>
      <c r="P314" s="559"/>
      <c r="Q314" s="558"/>
      <c r="R314" s="558"/>
      <c r="S314" s="558"/>
      <c r="T314" s="558"/>
      <c r="U314" s="558"/>
      <c r="V314" s="558"/>
      <c r="W314" s="77"/>
      <c r="X314" s="558"/>
      <c r="Y314" s="558"/>
    </row>
    <row r="315" spans="1:25" ht="15" customHeight="1" x14ac:dyDescent="0.3">
      <c r="A315" s="242" t="s">
        <v>409</v>
      </c>
      <c r="B315" s="487" t="s">
        <v>306</v>
      </c>
      <c r="C315" s="74"/>
      <c r="D315" s="74"/>
      <c r="E315" s="2"/>
      <c r="F315" s="75"/>
      <c r="G315" s="75"/>
      <c r="H315" s="75"/>
      <c r="I315" s="75"/>
      <c r="J315" s="75"/>
      <c r="K315" s="76"/>
      <c r="L315" s="77"/>
      <c r="M315" s="78"/>
      <c r="N315" s="274"/>
      <c r="O315" s="558">
        <v>13200</v>
      </c>
      <c r="P315" s="559">
        <f>20500</f>
        <v>20500</v>
      </c>
      <c r="Q315" s="558">
        <v>8700</v>
      </c>
      <c r="R315" s="558">
        <v>800</v>
      </c>
      <c r="S315" s="558">
        <v>0</v>
      </c>
      <c r="T315" s="558">
        <v>0</v>
      </c>
      <c r="U315" s="558">
        <v>0</v>
      </c>
      <c r="V315" s="558">
        <v>0</v>
      </c>
      <c r="W315" s="77">
        <v>1000</v>
      </c>
      <c r="X315" s="558">
        <v>15000</v>
      </c>
      <c r="Y315" s="558">
        <v>20000</v>
      </c>
    </row>
    <row r="316" spans="1:25" ht="15" customHeight="1" x14ac:dyDescent="0.25">
      <c r="A316" s="635"/>
      <c r="B316" s="92"/>
      <c r="C316" s="74"/>
      <c r="D316" s="74"/>
      <c r="E316" s="2"/>
      <c r="F316" s="75"/>
      <c r="G316" s="75"/>
      <c r="H316" s="75"/>
      <c r="I316" s="75"/>
      <c r="J316" s="75"/>
      <c r="K316" s="76"/>
      <c r="L316" s="77"/>
      <c r="M316" s="78"/>
      <c r="N316" s="78"/>
      <c r="O316" s="558"/>
      <c r="P316" s="559"/>
      <c r="Q316" s="558"/>
      <c r="R316" s="558"/>
      <c r="S316" s="558"/>
      <c r="T316" s="558"/>
      <c r="U316" s="558"/>
      <c r="V316" s="558"/>
      <c r="W316" s="77"/>
      <c r="X316" s="558"/>
      <c r="Y316" s="558"/>
    </row>
    <row r="317" spans="1:25" ht="15" customHeight="1" x14ac:dyDescent="0.3">
      <c r="A317" s="635"/>
      <c r="B317" s="140"/>
      <c r="C317" s="74"/>
      <c r="D317" s="74"/>
      <c r="E317" s="2"/>
      <c r="F317" s="75"/>
      <c r="G317" s="75"/>
      <c r="H317" s="75"/>
      <c r="I317" s="75"/>
      <c r="J317" s="75"/>
      <c r="K317" s="76"/>
      <c r="L317" s="77"/>
      <c r="M317" s="78"/>
      <c r="N317" s="78"/>
      <c r="O317" s="558"/>
      <c r="P317" s="559"/>
      <c r="Q317" s="558"/>
      <c r="R317" s="558"/>
      <c r="S317" s="558"/>
      <c r="T317" s="558"/>
      <c r="U317" s="558"/>
      <c r="V317" s="558"/>
      <c r="W317" s="77"/>
      <c r="X317" s="558"/>
      <c r="Y317" s="558"/>
    </row>
    <row r="318" spans="1:25" ht="15" customHeight="1" x14ac:dyDescent="0.3">
      <c r="A318" s="635"/>
      <c r="B318" s="140"/>
      <c r="C318" s="74"/>
      <c r="D318" s="74"/>
      <c r="E318" s="2"/>
      <c r="F318" s="75"/>
      <c r="G318" s="75"/>
      <c r="H318" s="75"/>
      <c r="I318" s="75"/>
      <c r="J318" s="75"/>
      <c r="K318" s="76"/>
      <c r="L318" s="77"/>
      <c r="M318" s="78"/>
      <c r="N318" s="78"/>
      <c r="O318" s="558"/>
      <c r="P318" s="559"/>
      <c r="Q318" s="558"/>
      <c r="R318" s="558"/>
      <c r="S318" s="558"/>
      <c r="T318" s="558"/>
      <c r="U318" s="558"/>
      <c r="V318" s="558"/>
      <c r="W318" s="77"/>
      <c r="X318" s="558"/>
      <c r="Y318" s="558"/>
    </row>
    <row r="319" spans="1:25" ht="15" customHeight="1" x14ac:dyDescent="0.3">
      <c r="A319" s="635"/>
      <c r="B319" s="140"/>
      <c r="C319" s="74"/>
      <c r="D319" s="74"/>
      <c r="E319" s="2"/>
      <c r="F319" s="75"/>
      <c r="G319" s="75"/>
      <c r="H319" s="75"/>
      <c r="I319" s="75"/>
      <c r="J319" s="75"/>
      <c r="K319" s="76"/>
      <c r="L319" s="77"/>
      <c r="M319" s="78"/>
      <c r="N319" s="78"/>
      <c r="O319" s="558"/>
      <c r="P319" s="559"/>
      <c r="Q319" s="558"/>
      <c r="R319" s="558"/>
      <c r="S319" s="558"/>
      <c r="T319" s="558"/>
      <c r="U319" s="558"/>
      <c r="V319" s="558"/>
      <c r="W319" s="77"/>
      <c r="X319" s="558"/>
      <c r="Y319" s="558"/>
    </row>
    <row r="320" spans="1:25" ht="15" customHeight="1" x14ac:dyDescent="0.3">
      <c r="A320" s="635"/>
      <c r="B320" s="140"/>
      <c r="C320" s="74"/>
      <c r="D320" s="74"/>
      <c r="E320" s="2"/>
      <c r="F320" s="75"/>
      <c r="G320" s="75"/>
      <c r="H320" s="75"/>
      <c r="I320" s="75"/>
      <c r="J320" s="75"/>
      <c r="K320" s="76"/>
      <c r="L320" s="77"/>
      <c r="M320" s="78"/>
      <c r="N320" s="78"/>
      <c r="O320" s="558"/>
      <c r="P320" s="559"/>
      <c r="Q320" s="558"/>
      <c r="R320" s="558"/>
      <c r="S320" s="558"/>
      <c r="T320" s="558"/>
      <c r="U320" s="558"/>
      <c r="V320" s="558"/>
      <c r="W320" s="77"/>
      <c r="X320" s="558"/>
      <c r="Y320" s="558"/>
    </row>
    <row r="321" spans="1:25" ht="15" customHeight="1" x14ac:dyDescent="0.3">
      <c r="A321" s="635"/>
      <c r="B321" s="140"/>
      <c r="C321" s="74"/>
      <c r="D321" s="74"/>
      <c r="E321" s="2"/>
      <c r="F321" s="75"/>
      <c r="G321" s="75"/>
      <c r="H321" s="75"/>
      <c r="I321" s="75"/>
      <c r="J321" s="75"/>
      <c r="K321" s="76"/>
      <c r="L321" s="77"/>
      <c r="M321" s="78"/>
      <c r="N321" s="78"/>
      <c r="O321" s="558"/>
      <c r="P321" s="559"/>
      <c r="Q321" s="558"/>
      <c r="R321" s="558"/>
      <c r="S321" s="558"/>
      <c r="T321" s="558"/>
      <c r="U321" s="558"/>
      <c r="V321" s="558"/>
      <c r="W321" s="77"/>
      <c r="X321" s="558"/>
      <c r="Y321" s="558"/>
    </row>
    <row r="322" spans="1:25" ht="15" customHeight="1" x14ac:dyDescent="0.3">
      <c r="A322" s="635"/>
      <c r="B322" s="140"/>
      <c r="C322" s="74"/>
      <c r="D322" s="74"/>
      <c r="E322" s="2"/>
      <c r="F322" s="75"/>
      <c r="G322" s="75"/>
      <c r="H322" s="75"/>
      <c r="I322" s="75"/>
      <c r="J322" s="75"/>
      <c r="K322" s="76"/>
      <c r="L322" s="77"/>
      <c r="M322" s="78"/>
      <c r="N322" s="78"/>
      <c r="O322" s="558"/>
      <c r="P322" s="559"/>
      <c r="Q322" s="558"/>
      <c r="R322" s="558"/>
      <c r="S322" s="558"/>
      <c r="T322" s="558"/>
      <c r="U322" s="558"/>
      <c r="V322" s="558"/>
      <c r="W322" s="77"/>
      <c r="X322" s="558"/>
      <c r="Y322" s="558"/>
    </row>
    <row r="323" spans="1:25" ht="15" customHeight="1" x14ac:dyDescent="0.3">
      <c r="A323" s="28"/>
      <c r="B323" s="580"/>
      <c r="C323" s="581"/>
      <c r="D323" s="581"/>
      <c r="E323" s="411"/>
      <c r="F323" s="582"/>
      <c r="G323" s="582"/>
      <c r="H323" s="582"/>
      <c r="I323" s="582"/>
      <c r="J323" s="582"/>
      <c r="K323" s="583"/>
      <c r="L323" s="583"/>
      <c r="M323" s="584"/>
      <c r="N323" s="584"/>
      <c r="O323" s="584"/>
      <c r="P323" s="585"/>
      <c r="Q323" s="584"/>
      <c r="R323" s="584"/>
      <c r="S323" s="584"/>
      <c r="T323" s="584"/>
      <c r="U323" s="584"/>
      <c r="V323" s="584"/>
      <c r="W323" s="583"/>
      <c r="X323" s="584"/>
      <c r="Y323" s="584"/>
    </row>
    <row r="324" spans="1:25" ht="15" customHeight="1" x14ac:dyDescent="0.25">
      <c r="A324" s="638"/>
      <c r="B324" s="587"/>
      <c r="C324" s="588"/>
      <c r="D324" s="588"/>
      <c r="E324" s="589"/>
      <c r="F324" s="590"/>
      <c r="G324" s="590"/>
      <c r="H324" s="590"/>
      <c r="I324" s="590"/>
      <c r="J324" s="590"/>
      <c r="K324" s="591"/>
      <c r="L324" s="591"/>
      <c r="M324" s="592"/>
      <c r="N324" s="592"/>
      <c r="O324" s="592"/>
      <c r="P324" s="593"/>
      <c r="Q324" s="594"/>
      <c r="R324" s="594"/>
      <c r="S324" s="594"/>
      <c r="T324" s="594"/>
      <c r="U324" s="594"/>
      <c r="V324" s="594"/>
      <c r="W324" s="595"/>
      <c r="X324" s="592"/>
      <c r="Y324" s="592"/>
    </row>
    <row r="326" spans="1:25" x14ac:dyDescent="0.25">
      <c r="P326" s="596"/>
      <c r="Q326" s="596"/>
      <c r="R326" s="596"/>
      <c r="S326" s="596"/>
      <c r="T326" s="596"/>
      <c r="U326" s="596"/>
      <c r="V326" s="596"/>
      <c r="W326" s="596"/>
      <c r="X326" s="596"/>
    </row>
    <row r="327" spans="1:25" x14ac:dyDescent="0.25">
      <c r="P327" s="596"/>
      <c r="Q327" s="596"/>
      <c r="R327" s="596"/>
      <c r="S327" s="596"/>
      <c r="T327" s="596"/>
      <c r="U327" s="596"/>
      <c r="V327" s="596"/>
      <c r="W327" s="596"/>
      <c r="X327" s="596"/>
      <c r="Y327" s="596"/>
    </row>
    <row r="328" spans="1:25" x14ac:dyDescent="0.25">
      <c r="O328" s="288"/>
      <c r="P328" s="596"/>
      <c r="Q328" s="596"/>
      <c r="R328" s="596"/>
      <c r="S328" s="596"/>
      <c r="T328" s="596"/>
      <c r="U328" s="596"/>
      <c r="V328" s="596"/>
      <c r="W328" s="596"/>
      <c r="X328" s="596"/>
      <c r="Y328" s="596"/>
    </row>
    <row r="329" spans="1:25" x14ac:dyDescent="0.25">
      <c r="P329" s="596"/>
      <c r="Q329" s="596"/>
      <c r="R329" s="596"/>
      <c r="S329" s="596"/>
      <c r="T329" s="596"/>
      <c r="U329" s="596"/>
      <c r="V329" s="596"/>
      <c r="W329" s="596"/>
      <c r="X329" s="596"/>
      <c r="Y329" s="596"/>
    </row>
    <row r="330" spans="1:25" x14ac:dyDescent="0.25">
      <c r="B330" s="197"/>
      <c r="P330" s="597"/>
      <c r="Q330" s="597"/>
      <c r="R330" s="597"/>
      <c r="S330" s="597"/>
      <c r="T330" s="597"/>
      <c r="U330" s="597"/>
      <c r="V330" s="597"/>
      <c r="W330" s="597"/>
      <c r="X330" s="597"/>
      <c r="Y330" s="597"/>
    </row>
    <row r="331" spans="1:25" x14ac:dyDescent="0.25">
      <c r="B331" s="2"/>
      <c r="P331" s="288"/>
      <c r="Q331" s="288"/>
      <c r="R331" s="288"/>
      <c r="S331" s="288"/>
      <c r="T331" s="288"/>
      <c r="U331" s="288"/>
      <c r="V331" s="288"/>
      <c r="W331" s="288"/>
      <c r="X331" s="288"/>
      <c r="Y331" s="288"/>
    </row>
    <row r="332" spans="1:25" x14ac:dyDescent="0.25">
      <c r="B332" s="2"/>
      <c r="P332" s="288"/>
      <c r="Q332" s="288"/>
      <c r="R332" s="288"/>
      <c r="S332" s="288"/>
      <c r="T332" s="288"/>
      <c r="U332" s="288"/>
      <c r="V332" s="288"/>
      <c r="W332" s="288"/>
      <c r="X332" s="288"/>
      <c r="Y332" s="288"/>
    </row>
    <row r="333" spans="1:25" x14ac:dyDescent="0.25">
      <c r="M333" s="16"/>
      <c r="N333" s="16"/>
      <c r="O333" s="16"/>
      <c r="P333" s="597"/>
      <c r="Q333" s="597"/>
      <c r="R333" s="597"/>
      <c r="S333" s="597"/>
      <c r="T333" s="597"/>
      <c r="U333" s="597"/>
      <c r="V333" s="597"/>
      <c r="W333" s="597"/>
      <c r="X333" s="597"/>
      <c r="Y333" s="597"/>
    </row>
    <row r="334" spans="1:25" x14ac:dyDescent="0.25">
      <c r="B334" s="197"/>
      <c r="E334" s="598"/>
      <c r="F334" s="598"/>
      <c r="G334" s="598"/>
      <c r="H334" s="598"/>
      <c r="I334" s="598"/>
      <c r="J334" s="598"/>
      <c r="K334" s="598"/>
      <c r="L334" s="598"/>
      <c r="M334" s="598"/>
      <c r="N334" s="598"/>
      <c r="O334" s="598"/>
      <c r="P334" s="598"/>
      <c r="Q334" s="598"/>
      <c r="R334" s="598"/>
      <c r="S334" s="598"/>
      <c r="T334" s="598"/>
      <c r="U334" s="598"/>
      <c r="V334" s="598"/>
      <c r="W334" s="598"/>
      <c r="X334" s="598"/>
      <c r="Y334" s="598"/>
    </row>
    <row r="335" spans="1:25" x14ac:dyDescent="0.25">
      <c r="E335" s="288"/>
      <c r="F335" s="288"/>
      <c r="G335" s="288"/>
      <c r="H335" s="288"/>
      <c r="I335" s="288"/>
      <c r="J335" s="288"/>
      <c r="K335" s="288"/>
      <c r="L335" s="288"/>
      <c r="M335" s="288"/>
      <c r="N335" s="288"/>
      <c r="O335" s="288"/>
      <c r="P335" s="288"/>
      <c r="Q335" s="288"/>
      <c r="R335" s="288"/>
      <c r="S335" s="288"/>
      <c r="T335" s="288"/>
      <c r="U335" s="288"/>
      <c r="V335" s="288"/>
      <c r="W335" s="288"/>
      <c r="X335" s="288"/>
      <c r="Y335" s="288"/>
    </row>
    <row r="336" spans="1:25" x14ac:dyDescent="0.25">
      <c r="E336" s="288"/>
      <c r="F336" s="288"/>
      <c r="G336" s="288"/>
      <c r="H336" s="288"/>
      <c r="I336" s="288"/>
      <c r="J336" s="288"/>
      <c r="K336" s="288"/>
      <c r="L336" s="288"/>
      <c r="M336" s="288"/>
      <c r="N336" s="288"/>
      <c r="O336" s="288"/>
      <c r="P336" s="288"/>
      <c r="Q336" s="288"/>
      <c r="R336" s="288"/>
      <c r="S336" s="288"/>
      <c r="T336" s="288"/>
      <c r="U336" s="288"/>
      <c r="V336" s="288"/>
      <c r="W336" s="288"/>
      <c r="X336" s="288"/>
      <c r="Y336" s="288"/>
    </row>
    <row r="337" spans="1:25" x14ac:dyDescent="0.25">
      <c r="B337" s="2"/>
      <c r="E337" s="288"/>
      <c r="F337" s="288"/>
      <c r="G337" s="288"/>
      <c r="H337" s="288"/>
      <c r="I337" s="288"/>
      <c r="J337" s="288"/>
      <c r="K337" s="288"/>
      <c r="L337" s="288"/>
      <c r="M337" s="288"/>
      <c r="N337" s="288"/>
      <c r="O337" s="288"/>
      <c r="P337" s="288"/>
      <c r="Q337" s="288"/>
      <c r="R337" s="288"/>
      <c r="S337" s="288"/>
      <c r="T337" s="288"/>
      <c r="U337" s="288"/>
      <c r="V337" s="288"/>
      <c r="W337" s="288"/>
      <c r="X337" s="288"/>
      <c r="Y337" s="288"/>
    </row>
    <row r="338" spans="1:25" x14ac:dyDescent="0.25">
      <c r="B338" s="2"/>
      <c r="E338" s="288"/>
      <c r="F338" s="288"/>
      <c r="G338" s="288"/>
      <c r="H338" s="288"/>
      <c r="I338" s="288"/>
      <c r="J338" s="288"/>
      <c r="K338" s="288"/>
      <c r="L338" s="288"/>
      <c r="M338" s="288"/>
      <c r="N338" s="288"/>
      <c r="O338" s="288"/>
      <c r="P338" s="288"/>
      <c r="Q338" s="288"/>
      <c r="R338" s="288"/>
      <c r="S338" s="288"/>
      <c r="T338" s="288"/>
      <c r="U338" s="288"/>
      <c r="V338" s="288"/>
      <c r="W338" s="288"/>
      <c r="X338" s="288"/>
      <c r="Y338" s="288"/>
    </row>
    <row r="339" spans="1:25" s="197" customFormat="1" x14ac:dyDescent="0.25">
      <c r="A339" s="639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597"/>
      <c r="P339" s="597"/>
      <c r="Q339" s="597"/>
      <c r="R339" s="597"/>
      <c r="S339" s="597"/>
      <c r="T339" s="597"/>
      <c r="U339" s="597"/>
      <c r="V339" s="597"/>
      <c r="W339" s="597"/>
      <c r="X339" s="597"/>
      <c r="Y339" s="597"/>
    </row>
    <row r="340" spans="1:25" x14ac:dyDescent="0.25">
      <c r="B340" s="2"/>
      <c r="M340" s="475"/>
      <c r="N340" s="475"/>
      <c r="O340" s="475"/>
      <c r="P340" s="475"/>
      <c r="Q340" s="475"/>
      <c r="R340" s="475"/>
      <c r="S340" s="475"/>
      <c r="T340" s="475"/>
      <c r="U340" s="475"/>
      <c r="V340" s="475"/>
      <c r="W340" s="475"/>
      <c r="X340" s="475"/>
      <c r="Y340" s="475"/>
    </row>
    <row r="341" spans="1:25" x14ac:dyDescent="0.25">
      <c r="B341" s="2"/>
      <c r="M341" s="475"/>
      <c r="N341" s="475"/>
      <c r="O341" s="475"/>
      <c r="P341" s="475"/>
      <c r="Q341" s="475"/>
      <c r="R341" s="475"/>
      <c r="S341" s="475"/>
      <c r="T341" s="475"/>
      <c r="U341" s="475"/>
      <c r="V341" s="475"/>
      <c r="W341" s="475"/>
      <c r="X341" s="475"/>
      <c r="Y341" s="475"/>
    </row>
    <row r="342" spans="1:25" x14ac:dyDescent="0.25">
      <c r="B342" s="2"/>
      <c r="M342" s="475"/>
      <c r="N342" s="475"/>
      <c r="O342" s="475"/>
      <c r="P342" s="475"/>
      <c r="Q342" s="475"/>
      <c r="R342" s="475"/>
      <c r="S342" s="475"/>
      <c r="T342" s="475"/>
      <c r="U342" s="475"/>
      <c r="V342" s="475"/>
      <c r="W342" s="475"/>
      <c r="X342" s="475"/>
      <c r="Y342" s="475"/>
    </row>
    <row r="343" spans="1:25" x14ac:dyDescent="0.25">
      <c r="B343" s="2"/>
    </row>
    <row r="344" spans="1:25" x14ac:dyDescent="0.25">
      <c r="B344" s="197"/>
      <c r="P344" s="598"/>
      <c r="Q344" s="598"/>
      <c r="R344" s="598"/>
      <c r="S344" s="598"/>
      <c r="T344" s="598"/>
      <c r="U344" s="598"/>
      <c r="V344" s="598"/>
      <c r="W344" s="598"/>
      <c r="X344" s="598"/>
      <c r="Y344" s="598"/>
    </row>
    <row r="345" spans="1:25" x14ac:dyDescent="0.25">
      <c r="B345" s="2"/>
      <c r="P345" s="596"/>
      <c r="Q345" s="596"/>
      <c r="R345" s="596"/>
      <c r="S345" s="596"/>
      <c r="T345" s="596"/>
      <c r="U345" s="596"/>
      <c r="V345" s="596"/>
      <c r="W345" s="596"/>
      <c r="X345" s="596"/>
      <c r="Y345" s="596"/>
    </row>
    <row r="346" spans="1:25" x14ac:dyDescent="0.25">
      <c r="B346" s="2"/>
      <c r="P346" s="596"/>
      <c r="Q346" s="596"/>
      <c r="R346" s="596"/>
      <c r="S346" s="596"/>
      <c r="T346" s="596"/>
      <c r="U346" s="596"/>
      <c r="V346" s="596"/>
      <c r="W346" s="596"/>
      <c r="X346" s="596"/>
      <c r="Y346" s="596"/>
    </row>
    <row r="347" spans="1:25" s="197" customFormat="1" x14ac:dyDescent="0.25">
      <c r="A347" s="639"/>
      <c r="E347" s="395"/>
      <c r="K347" s="16"/>
      <c r="L347" s="16"/>
      <c r="M347" s="11"/>
      <c r="N347" s="11"/>
      <c r="O347" s="16"/>
      <c r="P347" s="597"/>
      <c r="Q347" s="597"/>
      <c r="R347" s="597"/>
      <c r="S347" s="597"/>
      <c r="T347" s="597"/>
      <c r="U347" s="597"/>
      <c r="V347" s="597"/>
      <c r="W347" s="597"/>
      <c r="X347" s="597"/>
      <c r="Y347" s="597"/>
    </row>
    <row r="349" spans="1:25" ht="14.4" x14ac:dyDescent="0.3">
      <c r="B349" s="599"/>
      <c r="P349" s="598"/>
      <c r="Q349" s="598"/>
      <c r="R349" s="598"/>
      <c r="S349" s="598"/>
      <c r="T349" s="598"/>
      <c r="U349" s="598"/>
      <c r="V349" s="598"/>
      <c r="W349" s="598"/>
      <c r="X349" s="598"/>
      <c r="Y349" s="598"/>
    </row>
    <row r="350" spans="1:25" x14ac:dyDescent="0.25">
      <c r="P350" s="596"/>
      <c r="Q350" s="596"/>
      <c r="R350" s="596"/>
      <c r="S350" s="596"/>
      <c r="T350" s="596"/>
      <c r="U350" s="596"/>
      <c r="V350" s="596"/>
      <c r="W350" s="596"/>
      <c r="X350" s="596"/>
      <c r="Y350" s="596"/>
    </row>
    <row r="351" spans="1:25" x14ac:dyDescent="0.25">
      <c r="P351" s="596"/>
      <c r="Q351" s="596"/>
      <c r="R351" s="596"/>
      <c r="S351" s="596"/>
      <c r="T351" s="596"/>
      <c r="U351" s="596"/>
      <c r="V351" s="596"/>
      <c r="W351" s="596"/>
      <c r="X351" s="596"/>
      <c r="Y351" s="596"/>
    </row>
    <row r="352" spans="1:25" x14ac:dyDescent="0.25">
      <c r="P352" s="596"/>
      <c r="Q352" s="596"/>
      <c r="R352" s="596"/>
      <c r="S352" s="596"/>
      <c r="T352" s="596"/>
      <c r="U352" s="596"/>
      <c r="V352" s="596"/>
      <c r="W352" s="596"/>
      <c r="X352" s="596"/>
      <c r="Y352" s="596"/>
    </row>
    <row r="353" spans="2:25" x14ac:dyDescent="0.25">
      <c r="P353" s="600"/>
      <c r="Q353" s="600"/>
      <c r="R353" s="600"/>
      <c r="S353" s="600"/>
      <c r="T353" s="600"/>
      <c r="U353" s="600"/>
      <c r="V353" s="600"/>
      <c r="W353" s="600"/>
      <c r="X353" s="600"/>
      <c r="Y353" s="600"/>
    </row>
    <row r="355" spans="2:25" x14ac:dyDescent="0.25">
      <c r="B355" s="197"/>
      <c r="P355" s="598"/>
      <c r="Q355" s="598"/>
      <c r="R355" s="598"/>
      <c r="S355" s="598"/>
      <c r="T355" s="598"/>
      <c r="U355" s="598"/>
      <c r="V355" s="598"/>
      <c r="W355" s="598"/>
      <c r="X355" s="598"/>
      <c r="Y355" s="598"/>
    </row>
    <row r="356" spans="2:25" x14ac:dyDescent="0.25">
      <c r="B356" s="2"/>
    </row>
    <row r="357" spans="2:25" x14ac:dyDescent="0.25">
      <c r="B357" s="2"/>
    </row>
    <row r="358" spans="2:25" x14ac:dyDescent="0.25">
      <c r="B358" s="2"/>
    </row>
    <row r="359" spans="2:25" x14ac:dyDescent="0.25">
      <c r="B359" s="2"/>
    </row>
  </sheetData>
  <pageMargins left="0.7" right="0.7" top="0.75" bottom="0.75" header="0.511811023622047" footer="0.511811023622047"/>
  <pageSetup paperSize="9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409"/>
  <sheetViews>
    <sheetView tabSelected="1" topLeftCell="B318" zoomScale="60" zoomScaleNormal="60" workbookViewId="0">
      <selection activeCell="B347" sqref="B347"/>
    </sheetView>
  </sheetViews>
  <sheetFormatPr defaultColWidth="8.44140625" defaultRowHeight="13.2" x14ac:dyDescent="0.25"/>
  <cols>
    <col min="1" max="1" width="15.33203125" customWidth="1"/>
    <col min="2" max="2" width="82.109375" customWidth="1"/>
    <col min="3" max="3" width="18" customWidth="1"/>
    <col min="4" max="4" width="21.33203125" customWidth="1"/>
    <col min="5" max="5" width="8.6640625" customWidth="1"/>
    <col min="6" max="6" width="15.33203125" style="112" customWidth="1"/>
    <col min="7" max="7" width="94.109375" customWidth="1"/>
    <col min="8" max="12" width="8.6640625" customWidth="1"/>
  </cols>
  <sheetData>
    <row r="2" spans="1:7" s="640" customFormat="1" ht="85.8" x14ac:dyDescent="0.7">
      <c r="B2" s="640" t="s">
        <v>410</v>
      </c>
      <c r="D2" s="641" t="s">
        <v>411</v>
      </c>
      <c r="F2" s="642"/>
      <c r="G2" s="640" t="s">
        <v>412</v>
      </c>
    </row>
    <row r="3" spans="1:7" ht="15.6" x14ac:dyDescent="0.3">
      <c r="A3" s="62" t="s">
        <v>3</v>
      </c>
      <c r="B3" s="52"/>
      <c r="F3" s="102" t="s">
        <v>3</v>
      </c>
      <c r="G3" s="52"/>
    </row>
    <row r="4" spans="1:7" ht="15.6" x14ac:dyDescent="0.3">
      <c r="A4" s="63" t="s">
        <v>16</v>
      </c>
      <c r="B4" s="64" t="s">
        <v>413</v>
      </c>
      <c r="C4" s="643"/>
      <c r="D4" s="643"/>
      <c r="E4" s="643"/>
      <c r="F4" s="601" t="s">
        <v>16</v>
      </c>
      <c r="G4" s="64" t="s">
        <v>413</v>
      </c>
    </row>
    <row r="5" spans="1:7" ht="15.6" x14ac:dyDescent="0.3">
      <c r="A5" s="51"/>
      <c r="B5" s="83"/>
      <c r="F5" s="602"/>
      <c r="G5" s="318"/>
    </row>
    <row r="6" spans="1:7" ht="15.6" x14ac:dyDescent="0.3">
      <c r="A6" s="90"/>
      <c r="B6" s="91"/>
      <c r="C6" s="644"/>
      <c r="D6" s="644"/>
      <c r="E6" s="644"/>
      <c r="F6" s="603" t="s">
        <v>21</v>
      </c>
      <c r="G6" s="108" t="s">
        <v>22</v>
      </c>
    </row>
    <row r="7" spans="1:7" ht="15" x14ac:dyDescent="0.25">
      <c r="A7" s="51"/>
      <c r="B7" s="92"/>
      <c r="F7" s="53"/>
      <c r="G7" s="92"/>
    </row>
    <row r="8" spans="1:7" ht="15.6" x14ac:dyDescent="0.3">
      <c r="A8" s="90"/>
      <c r="B8" s="34"/>
      <c r="C8" s="644"/>
      <c r="D8" s="644"/>
      <c r="E8" s="644"/>
      <c r="F8" s="603" t="s">
        <v>24</v>
      </c>
      <c r="G8" s="108" t="s">
        <v>25</v>
      </c>
    </row>
    <row r="9" spans="1:7" ht="15.6" x14ac:dyDescent="0.3">
      <c r="A9" s="35"/>
      <c r="B9" s="100"/>
      <c r="F9" s="35"/>
      <c r="G9" s="70"/>
    </row>
    <row r="10" spans="1:7" ht="15.6" x14ac:dyDescent="0.3">
      <c r="A10" s="35"/>
      <c r="B10" s="34"/>
      <c r="F10" s="604" t="s">
        <v>27</v>
      </c>
      <c r="G10" s="605" t="s">
        <v>28</v>
      </c>
    </row>
    <row r="11" spans="1:7" ht="15.6" x14ac:dyDescent="0.3">
      <c r="A11" s="35"/>
      <c r="B11" s="70"/>
      <c r="F11" s="35"/>
      <c r="G11" s="70"/>
    </row>
    <row r="12" spans="1:7" ht="15.6" x14ac:dyDescent="0.3">
      <c r="A12" s="35"/>
      <c r="B12" s="34"/>
      <c r="F12" s="604" t="s">
        <v>29</v>
      </c>
      <c r="G12" s="605" t="s">
        <v>30</v>
      </c>
    </row>
    <row r="13" spans="1:7" ht="15.6" x14ac:dyDescent="0.3">
      <c r="A13" s="35"/>
      <c r="B13" s="70"/>
      <c r="F13" s="35"/>
      <c r="G13" s="70"/>
    </row>
    <row r="14" spans="1:7" ht="15.6" x14ac:dyDescent="0.3">
      <c r="A14" s="35"/>
      <c r="B14" s="34"/>
      <c r="F14" s="604" t="s">
        <v>31</v>
      </c>
      <c r="G14" s="605" t="s">
        <v>32</v>
      </c>
    </row>
    <row r="15" spans="1:7" ht="15.6" x14ac:dyDescent="0.3">
      <c r="A15" s="35"/>
      <c r="B15" s="70"/>
      <c r="F15" s="35"/>
      <c r="G15" s="70"/>
    </row>
    <row r="16" spans="1:7" ht="15.6" x14ac:dyDescent="0.3">
      <c r="A16" s="35"/>
      <c r="B16" s="34"/>
      <c r="F16" s="604" t="s">
        <v>33</v>
      </c>
      <c r="G16" s="605" t="s">
        <v>34</v>
      </c>
    </row>
    <row r="17" spans="1:7" ht="15.6" x14ac:dyDescent="0.3">
      <c r="A17" s="35"/>
      <c r="B17" s="70"/>
      <c r="F17" s="35"/>
      <c r="G17" s="70"/>
    </row>
    <row r="18" spans="1:7" ht="15.6" x14ac:dyDescent="0.3">
      <c r="A18" s="35"/>
      <c r="B18" s="34"/>
      <c r="F18" s="604" t="s">
        <v>35</v>
      </c>
      <c r="G18" s="605" t="s">
        <v>36</v>
      </c>
    </row>
    <row r="19" spans="1:7" ht="15.6" x14ac:dyDescent="0.3">
      <c r="A19" s="35"/>
      <c r="B19" s="70"/>
      <c r="F19" s="35" t="s">
        <v>3</v>
      </c>
      <c r="G19" s="70"/>
    </row>
    <row r="20" spans="1:7" ht="15.6" x14ac:dyDescent="0.3">
      <c r="A20" s="35"/>
      <c r="B20" s="34"/>
      <c r="F20" s="604" t="s">
        <v>37</v>
      </c>
      <c r="G20" s="605" t="s">
        <v>38</v>
      </c>
    </row>
    <row r="21" spans="1:7" ht="15.6" x14ac:dyDescent="0.3">
      <c r="A21" s="35"/>
      <c r="B21" s="70"/>
      <c r="F21" s="35"/>
      <c r="G21" s="70"/>
    </row>
    <row r="22" spans="1:7" ht="15.6" x14ac:dyDescent="0.3">
      <c r="A22" s="35"/>
      <c r="B22" s="34"/>
      <c r="F22" s="604" t="s">
        <v>39</v>
      </c>
      <c r="G22" s="605" t="s">
        <v>40</v>
      </c>
    </row>
    <row r="23" spans="1:7" ht="15.6" x14ac:dyDescent="0.3">
      <c r="A23" s="35"/>
      <c r="B23" s="70"/>
      <c r="F23" s="35"/>
      <c r="G23" s="70"/>
    </row>
    <row r="24" spans="1:7" ht="15.6" x14ac:dyDescent="0.3">
      <c r="A24" s="35"/>
      <c r="B24" s="103"/>
      <c r="F24" s="604" t="s">
        <v>41</v>
      </c>
      <c r="G24" s="554" t="s">
        <v>42</v>
      </c>
    </row>
    <row r="25" spans="1:7" ht="15.6" x14ac:dyDescent="0.3">
      <c r="A25" s="35"/>
      <c r="B25" s="34"/>
      <c r="F25" s="35"/>
      <c r="G25" s="34"/>
    </row>
    <row r="26" spans="1:7" ht="15.6" x14ac:dyDescent="0.3">
      <c r="A26" s="107"/>
      <c r="B26" s="108" t="s">
        <v>43</v>
      </c>
      <c r="C26" s="643"/>
      <c r="D26" s="643"/>
      <c r="E26" s="643"/>
      <c r="F26" s="603" t="s">
        <v>334</v>
      </c>
      <c r="G26" s="108" t="s">
        <v>335</v>
      </c>
    </row>
    <row r="27" spans="1:7" ht="15.6" x14ac:dyDescent="0.3">
      <c r="A27" s="35"/>
      <c r="B27" s="70"/>
      <c r="F27" s="35"/>
      <c r="G27" s="73"/>
    </row>
    <row r="28" spans="1:7" ht="15.6" x14ac:dyDescent="0.3">
      <c r="A28" s="35"/>
      <c r="B28" s="116" t="s">
        <v>46</v>
      </c>
      <c r="F28" s="604" t="s">
        <v>336</v>
      </c>
      <c r="G28" s="605" t="s">
        <v>46</v>
      </c>
    </row>
    <row r="29" spans="1:7" s="2" customFormat="1" ht="15.6" x14ac:dyDescent="0.3">
      <c r="A29" s="53"/>
      <c r="B29" s="70"/>
      <c r="F29" s="53"/>
      <c r="G29" s="70"/>
    </row>
    <row r="30" spans="1:7" ht="15.6" x14ac:dyDescent="0.3">
      <c r="A30" s="35"/>
      <c r="B30" s="116" t="s">
        <v>48</v>
      </c>
      <c r="F30" s="604" t="s">
        <v>337</v>
      </c>
      <c r="G30" s="605" t="s">
        <v>48</v>
      </c>
    </row>
    <row r="31" spans="1:7" ht="15.6" x14ac:dyDescent="0.3">
      <c r="A31" s="51"/>
      <c r="B31" s="158"/>
      <c r="F31" s="53"/>
      <c r="G31" s="70"/>
    </row>
    <row r="32" spans="1:7" ht="15.6" x14ac:dyDescent="0.3">
      <c r="A32" s="63" t="s">
        <v>56</v>
      </c>
      <c r="B32" s="64" t="s">
        <v>57</v>
      </c>
      <c r="C32" s="643"/>
      <c r="D32" s="643"/>
      <c r="E32" s="643"/>
      <c r="F32" s="601" t="s">
        <v>56</v>
      </c>
      <c r="G32" s="64" t="s">
        <v>57</v>
      </c>
    </row>
    <row r="33" spans="1:12" ht="15.6" x14ac:dyDescent="0.3">
      <c r="A33" s="51"/>
      <c r="B33" s="186" t="s">
        <v>3</v>
      </c>
      <c r="F33" s="53"/>
      <c r="G33" s="186" t="s">
        <v>3</v>
      </c>
    </row>
    <row r="34" spans="1:12" s="197" customFormat="1" ht="15.6" x14ac:dyDescent="0.3">
      <c r="A34" s="90"/>
      <c r="B34" s="196"/>
      <c r="C34" s="645"/>
      <c r="D34" s="645"/>
      <c r="E34" s="645"/>
      <c r="F34" s="603" t="s">
        <v>60</v>
      </c>
      <c r="G34" s="108" t="s">
        <v>61</v>
      </c>
    </row>
    <row r="35" spans="1:12" ht="15.6" x14ac:dyDescent="0.3">
      <c r="A35" s="90"/>
      <c r="B35" s="70"/>
      <c r="F35" s="35"/>
      <c r="G35" s="70"/>
    </row>
    <row r="36" spans="1:12" ht="15.6" x14ac:dyDescent="0.3">
      <c r="A36" s="203"/>
      <c r="B36" s="108" t="s">
        <v>64</v>
      </c>
      <c r="C36" s="643"/>
      <c r="D36" s="643"/>
      <c r="E36" s="643"/>
      <c r="F36" s="610" t="s">
        <v>338</v>
      </c>
      <c r="G36" s="605" t="s">
        <v>393</v>
      </c>
    </row>
    <row r="37" spans="1:12" ht="13.5" customHeight="1" x14ac:dyDescent="0.3">
      <c r="A37" s="51"/>
      <c r="B37" s="70"/>
      <c r="F37" s="53"/>
      <c r="G37" s="70"/>
    </row>
    <row r="38" spans="1:12" s="2" customFormat="1" ht="15.6" x14ac:dyDescent="0.3">
      <c r="A38" s="35">
        <v>1</v>
      </c>
      <c r="B38" s="116" t="s">
        <v>65</v>
      </c>
      <c r="C38" s="2" t="s">
        <v>414</v>
      </c>
      <c r="D38" s="209" t="s">
        <v>66</v>
      </c>
      <c r="F38" s="35"/>
      <c r="G38" s="611" t="s">
        <v>65</v>
      </c>
    </row>
    <row r="39" spans="1:12" s="2" customFormat="1" ht="15.6" x14ac:dyDescent="0.3">
      <c r="A39" s="35">
        <v>2</v>
      </c>
      <c r="B39" s="116" t="s">
        <v>67</v>
      </c>
      <c r="D39" s="209" t="s">
        <v>66</v>
      </c>
      <c r="F39" s="35"/>
      <c r="G39" s="611" t="s">
        <v>67</v>
      </c>
    </row>
    <row r="40" spans="1:12" s="2" customFormat="1" ht="15.6" x14ac:dyDescent="0.3">
      <c r="A40" s="35">
        <v>3</v>
      </c>
      <c r="B40" s="116" t="s">
        <v>68</v>
      </c>
      <c r="D40" s="209" t="s">
        <v>66</v>
      </c>
      <c r="E40"/>
      <c r="F40" s="35"/>
      <c r="G40" s="611" t="s">
        <v>68</v>
      </c>
    </row>
    <row r="41" spans="1:12" s="2" customFormat="1" ht="15.6" x14ac:dyDescent="0.3">
      <c r="A41" s="35">
        <v>4</v>
      </c>
      <c r="B41" s="116" t="s">
        <v>69</v>
      </c>
      <c r="D41" s="209" t="s">
        <v>66</v>
      </c>
      <c r="F41" s="35"/>
      <c r="G41" s="611" t="s">
        <v>69</v>
      </c>
    </row>
    <row r="42" spans="1:12" s="2" customFormat="1" ht="15.6" x14ac:dyDescent="0.3">
      <c r="A42" s="35">
        <v>5</v>
      </c>
      <c r="B42" s="116" t="s">
        <v>70</v>
      </c>
      <c r="D42" s="209" t="s">
        <v>66</v>
      </c>
      <c r="F42" s="35"/>
      <c r="G42" s="611" t="s">
        <v>70</v>
      </c>
    </row>
    <row r="43" spans="1:12" s="2" customFormat="1" ht="15.6" x14ac:dyDescent="0.3">
      <c r="A43" s="35">
        <v>6</v>
      </c>
      <c r="B43" s="116" t="s">
        <v>71</v>
      </c>
      <c r="D43" s="209" t="s">
        <v>66</v>
      </c>
      <c r="F43" s="35"/>
      <c r="G43" s="611" t="s">
        <v>71</v>
      </c>
    </row>
    <row r="44" spans="1:12" s="2" customFormat="1" ht="15.6" x14ac:dyDescent="0.3">
      <c r="A44" s="35">
        <v>7</v>
      </c>
      <c r="B44" s="116" t="s">
        <v>72</v>
      </c>
      <c r="D44" s="209" t="s">
        <v>66</v>
      </c>
      <c r="F44" s="35"/>
      <c r="G44" s="611" t="s">
        <v>72</v>
      </c>
    </row>
    <row r="45" spans="1:12" s="2" customFormat="1" ht="15.6" x14ac:dyDescent="0.3">
      <c r="A45" s="35">
        <v>8</v>
      </c>
      <c r="B45" s="116" t="s">
        <v>73</v>
      </c>
      <c r="D45" s="209" t="s">
        <v>66</v>
      </c>
      <c r="F45" s="35"/>
      <c r="G45" s="611" t="s">
        <v>73</v>
      </c>
    </row>
    <row r="46" spans="1:12" ht="15.6" x14ac:dyDescent="0.3">
      <c r="A46" s="223"/>
      <c r="B46" s="116" t="s">
        <v>75</v>
      </c>
      <c r="C46" s="172" t="s">
        <v>76</v>
      </c>
      <c r="D46" s="209" t="s">
        <v>66</v>
      </c>
      <c r="F46" s="35"/>
      <c r="G46" s="612" t="s">
        <v>75</v>
      </c>
    </row>
    <row r="47" spans="1:12" ht="15" x14ac:dyDescent="0.25">
      <c r="A47" s="42"/>
      <c r="B47" s="43" t="s">
        <v>3</v>
      </c>
      <c r="F47" s="53"/>
    </row>
    <row r="48" spans="1:12" s="2" customFormat="1" ht="15.6" x14ac:dyDescent="0.3">
      <c r="A48" s="242"/>
      <c r="B48" s="646" t="s">
        <v>87</v>
      </c>
      <c r="C48" s="647"/>
      <c r="D48" s="647"/>
      <c r="E48" s="647"/>
      <c r="F48" s="604" t="s">
        <v>339</v>
      </c>
      <c r="G48" s="605" t="s">
        <v>87</v>
      </c>
      <c r="L48" s="605" t="s">
        <v>87</v>
      </c>
    </row>
    <row r="49" spans="1:14" ht="15.6" x14ac:dyDescent="0.3">
      <c r="A49" s="51"/>
      <c r="B49" s="73"/>
    </row>
    <row r="50" spans="1:14" ht="15.6" x14ac:dyDescent="0.3">
      <c r="A50" s="33"/>
      <c r="B50" s="116" t="s">
        <v>88</v>
      </c>
      <c r="F50" s="53"/>
      <c r="G50" s="606" t="s">
        <v>88</v>
      </c>
      <c r="H50" t="s">
        <v>415</v>
      </c>
      <c r="M50" s="606" t="s">
        <v>88</v>
      </c>
    </row>
    <row r="51" spans="1:14" ht="15.6" x14ac:dyDescent="0.3">
      <c r="A51" s="33"/>
      <c r="B51" s="70"/>
      <c r="F51" s="35"/>
    </row>
    <row r="52" spans="1:14" ht="15.6" x14ac:dyDescent="0.3">
      <c r="A52" s="33"/>
      <c r="B52" s="648" t="s">
        <v>89</v>
      </c>
      <c r="F52" s="649"/>
      <c r="G52" s="608" t="s">
        <v>89</v>
      </c>
      <c r="H52" t="s">
        <v>416</v>
      </c>
      <c r="N52" s="608" t="s">
        <v>89</v>
      </c>
    </row>
    <row r="53" spans="1:14" ht="15" customHeight="1" x14ac:dyDescent="0.3">
      <c r="A53" s="35">
        <v>1</v>
      </c>
      <c r="B53" s="251" t="s">
        <v>65</v>
      </c>
      <c r="C53" s="172" t="s">
        <v>76</v>
      </c>
      <c r="D53" s="209" t="s">
        <v>66</v>
      </c>
      <c r="F53" s="35"/>
      <c r="G53" s="611" t="s">
        <v>65</v>
      </c>
    </row>
    <row r="54" spans="1:14" ht="15" customHeight="1" x14ac:dyDescent="0.3">
      <c r="A54" s="35">
        <v>2</v>
      </c>
      <c r="B54" s="251" t="s">
        <v>67</v>
      </c>
      <c r="C54" s="172" t="s">
        <v>76</v>
      </c>
      <c r="D54" s="209" t="s">
        <v>66</v>
      </c>
      <c r="F54" s="35"/>
      <c r="G54" s="611" t="s">
        <v>67</v>
      </c>
      <c r="N54" s="611" t="s">
        <v>65</v>
      </c>
    </row>
    <row r="55" spans="1:14" ht="15" customHeight="1" x14ac:dyDescent="0.3">
      <c r="A55" s="35">
        <v>3</v>
      </c>
      <c r="B55" s="251" t="s">
        <v>68</v>
      </c>
      <c r="C55" s="172" t="s">
        <v>76</v>
      </c>
      <c r="D55" s="209" t="s">
        <v>66</v>
      </c>
      <c r="F55" s="35"/>
      <c r="G55" s="611" t="s">
        <v>68</v>
      </c>
    </row>
    <row r="56" spans="1:14" ht="15" customHeight="1" x14ac:dyDescent="0.3">
      <c r="A56" s="35">
        <v>4</v>
      </c>
      <c r="B56" s="251" t="s">
        <v>69</v>
      </c>
      <c r="C56" s="172" t="s">
        <v>76</v>
      </c>
      <c r="D56" s="209" t="s">
        <v>66</v>
      </c>
      <c r="F56" s="35"/>
      <c r="G56" s="611" t="s">
        <v>69</v>
      </c>
      <c r="N56" s="611" t="s">
        <v>67</v>
      </c>
    </row>
    <row r="57" spans="1:14" ht="15" customHeight="1" x14ac:dyDescent="0.3">
      <c r="A57" s="35">
        <v>5</v>
      </c>
      <c r="B57" s="251" t="s">
        <v>70</v>
      </c>
      <c r="C57" s="172" t="s">
        <v>76</v>
      </c>
      <c r="D57" s="209" t="s">
        <v>66</v>
      </c>
      <c r="F57" s="35"/>
      <c r="G57" s="611" t="s">
        <v>70</v>
      </c>
      <c r="N57" s="611" t="s">
        <v>68</v>
      </c>
    </row>
    <row r="58" spans="1:14" ht="15" customHeight="1" x14ac:dyDescent="0.3">
      <c r="A58" s="35">
        <v>6</v>
      </c>
      <c r="B58" s="251" t="s">
        <v>71</v>
      </c>
      <c r="C58" s="172" t="s">
        <v>76</v>
      </c>
      <c r="D58" s="209" t="s">
        <v>66</v>
      </c>
      <c r="F58" s="35"/>
      <c r="G58" s="611" t="s">
        <v>71</v>
      </c>
      <c r="N58" s="611" t="s">
        <v>69</v>
      </c>
    </row>
    <row r="59" spans="1:14" ht="15" customHeight="1" x14ac:dyDescent="0.3">
      <c r="A59" s="35">
        <v>7</v>
      </c>
      <c r="B59" s="251" t="s">
        <v>72</v>
      </c>
      <c r="C59" s="172" t="s">
        <v>76</v>
      </c>
      <c r="D59" s="209" t="s">
        <v>66</v>
      </c>
      <c r="F59" s="35"/>
      <c r="G59" s="611" t="s">
        <v>72</v>
      </c>
      <c r="N59" s="611" t="s">
        <v>70</v>
      </c>
    </row>
    <row r="60" spans="1:14" ht="15" customHeight="1" x14ac:dyDescent="0.3">
      <c r="A60" s="35">
        <v>8</v>
      </c>
      <c r="B60" s="251" t="s">
        <v>90</v>
      </c>
      <c r="C60" s="172" t="s">
        <v>76</v>
      </c>
      <c r="D60" s="209" t="s">
        <v>66</v>
      </c>
      <c r="F60" s="35"/>
      <c r="G60" s="611" t="s">
        <v>90</v>
      </c>
      <c r="N60" s="611" t="s">
        <v>71</v>
      </c>
    </row>
    <row r="61" spans="1:14" ht="15.6" x14ac:dyDescent="0.3">
      <c r="A61" s="33"/>
      <c r="B61" s="93"/>
      <c r="F61" s="35"/>
      <c r="G61" s="92"/>
      <c r="N61" s="611" t="s">
        <v>72</v>
      </c>
    </row>
    <row r="62" spans="1:14" ht="15.6" x14ac:dyDescent="0.3">
      <c r="A62" s="33"/>
      <c r="B62" s="116" t="s">
        <v>92</v>
      </c>
      <c r="F62" s="35"/>
      <c r="G62" s="606" t="s">
        <v>92</v>
      </c>
      <c r="N62" s="611" t="s">
        <v>90</v>
      </c>
    </row>
    <row r="63" spans="1:14" ht="15.6" x14ac:dyDescent="0.3">
      <c r="A63" s="33"/>
      <c r="B63" s="92"/>
      <c r="F63" s="355"/>
      <c r="G63" s="614"/>
    </row>
    <row r="64" spans="1:14" ht="15.6" x14ac:dyDescent="0.3">
      <c r="A64" s="35">
        <v>1</v>
      </c>
      <c r="B64" s="251" t="s">
        <v>65</v>
      </c>
      <c r="C64" s="172" t="s">
        <v>76</v>
      </c>
      <c r="D64" s="209" t="s">
        <v>66</v>
      </c>
      <c r="G64" s="611" t="s">
        <v>65</v>
      </c>
    </row>
    <row r="65" spans="1:7" ht="15.6" x14ac:dyDescent="0.3">
      <c r="A65" s="35">
        <v>2</v>
      </c>
      <c r="B65" s="251" t="s">
        <v>67</v>
      </c>
      <c r="C65" s="172" t="s">
        <v>76</v>
      </c>
      <c r="D65" s="209" t="s">
        <v>66</v>
      </c>
      <c r="G65" s="611" t="s">
        <v>67</v>
      </c>
    </row>
    <row r="66" spans="1:7" ht="15.6" x14ac:dyDescent="0.3">
      <c r="A66" s="35">
        <v>3</v>
      </c>
      <c r="B66" s="251" t="s">
        <v>68</v>
      </c>
      <c r="C66" s="172" t="s">
        <v>76</v>
      </c>
      <c r="D66" s="209" t="s">
        <v>66</v>
      </c>
      <c r="G66" s="611" t="s">
        <v>68</v>
      </c>
    </row>
    <row r="67" spans="1:7" ht="15.6" x14ac:dyDescent="0.3">
      <c r="A67" s="35">
        <v>4</v>
      </c>
      <c r="B67" s="251" t="s">
        <v>69</v>
      </c>
      <c r="C67" s="172" t="s">
        <v>76</v>
      </c>
      <c r="D67" s="209" t="s">
        <v>66</v>
      </c>
      <c r="G67" s="611" t="s">
        <v>69</v>
      </c>
    </row>
    <row r="68" spans="1:7" ht="15.6" x14ac:dyDescent="0.3">
      <c r="A68" s="35">
        <v>5</v>
      </c>
      <c r="B68" s="251" t="s">
        <v>70</v>
      </c>
      <c r="C68" s="172" t="s">
        <v>76</v>
      </c>
      <c r="D68" s="209" t="s">
        <v>66</v>
      </c>
      <c r="G68" s="611" t="s">
        <v>70</v>
      </c>
    </row>
    <row r="69" spans="1:7" ht="15.6" x14ac:dyDescent="0.3">
      <c r="A69" s="35">
        <v>6</v>
      </c>
      <c r="B69" s="251" t="s">
        <v>71</v>
      </c>
      <c r="C69" s="172" t="s">
        <v>76</v>
      </c>
      <c r="D69" s="209" t="s">
        <v>66</v>
      </c>
      <c r="G69" s="611" t="s">
        <v>71</v>
      </c>
    </row>
    <row r="70" spans="1:7" ht="15.6" x14ac:dyDescent="0.3">
      <c r="A70" s="35">
        <v>7</v>
      </c>
      <c r="B70" s="251" t="s">
        <v>72</v>
      </c>
      <c r="C70" s="172" t="s">
        <v>76</v>
      </c>
      <c r="D70" s="209" t="s">
        <v>66</v>
      </c>
      <c r="G70" s="611" t="s">
        <v>72</v>
      </c>
    </row>
    <row r="71" spans="1:7" ht="15.6" x14ac:dyDescent="0.3">
      <c r="A71" s="35">
        <v>8</v>
      </c>
      <c r="B71" s="251" t="s">
        <v>90</v>
      </c>
      <c r="C71" s="172" t="s">
        <v>76</v>
      </c>
      <c r="D71" s="209" t="s">
        <v>66</v>
      </c>
      <c r="G71" s="611" t="s">
        <v>90</v>
      </c>
    </row>
    <row r="72" spans="1:7" ht="15.6" x14ac:dyDescent="0.3">
      <c r="A72" s="33"/>
      <c r="B72" s="92"/>
    </row>
    <row r="73" spans="1:7" ht="15.6" x14ac:dyDescent="0.3">
      <c r="A73" s="33"/>
      <c r="B73" s="116" t="s">
        <v>108</v>
      </c>
      <c r="F73" s="35"/>
      <c r="G73" s="606" t="s">
        <v>108</v>
      </c>
    </row>
    <row r="74" spans="1:7" ht="15.6" x14ac:dyDescent="0.3">
      <c r="A74" s="33"/>
      <c r="B74" s="52"/>
      <c r="F74" s="35"/>
      <c r="G74" s="6"/>
    </row>
    <row r="75" spans="1:7" ht="15.6" x14ac:dyDescent="0.3">
      <c r="A75" s="51"/>
      <c r="B75" s="116" t="s">
        <v>109</v>
      </c>
      <c r="F75" s="35"/>
      <c r="G75" s="606" t="s">
        <v>109</v>
      </c>
    </row>
    <row r="76" spans="1:7" ht="15.6" x14ac:dyDescent="0.3">
      <c r="A76" s="51"/>
      <c r="B76" s="650" t="s">
        <v>110</v>
      </c>
      <c r="F76" s="35"/>
      <c r="G76" s="6"/>
    </row>
    <row r="77" spans="1:7" ht="15" x14ac:dyDescent="0.25">
      <c r="A77" s="51"/>
      <c r="B77" s="650" t="s">
        <v>111</v>
      </c>
      <c r="F77"/>
    </row>
    <row r="78" spans="1:7" ht="15.6" x14ac:dyDescent="0.3">
      <c r="A78" s="35">
        <v>1</v>
      </c>
      <c r="B78" s="251" t="s">
        <v>65</v>
      </c>
      <c r="C78" s="172" t="s">
        <v>76</v>
      </c>
      <c r="D78" s="209" t="s">
        <v>66</v>
      </c>
      <c r="F78"/>
      <c r="G78" s="611" t="s">
        <v>65</v>
      </c>
    </row>
    <row r="79" spans="1:7" ht="15.6" x14ac:dyDescent="0.3">
      <c r="A79" s="35">
        <v>2</v>
      </c>
      <c r="B79" s="251" t="s">
        <v>67</v>
      </c>
      <c r="C79" s="172" t="s">
        <v>76</v>
      </c>
      <c r="D79" s="209" t="s">
        <v>66</v>
      </c>
      <c r="F79"/>
      <c r="G79" s="611" t="s">
        <v>67</v>
      </c>
    </row>
    <row r="80" spans="1:7" ht="15.6" x14ac:dyDescent="0.3">
      <c r="A80" s="35">
        <v>3</v>
      </c>
      <c r="B80" s="251" t="s">
        <v>68</v>
      </c>
      <c r="C80" s="172" t="s">
        <v>76</v>
      </c>
      <c r="D80" s="209" t="s">
        <v>66</v>
      </c>
      <c r="F80"/>
      <c r="G80" s="611" t="s">
        <v>68</v>
      </c>
    </row>
    <row r="81" spans="1:7" ht="15.6" x14ac:dyDescent="0.3">
      <c r="A81" s="35">
        <v>4</v>
      </c>
      <c r="B81" s="251" t="s">
        <v>69</v>
      </c>
      <c r="C81" s="172" t="s">
        <v>76</v>
      </c>
      <c r="D81" s="209" t="s">
        <v>66</v>
      </c>
      <c r="F81"/>
      <c r="G81" s="611" t="s">
        <v>69</v>
      </c>
    </row>
    <row r="82" spans="1:7" ht="15.6" x14ac:dyDescent="0.3">
      <c r="A82" s="35">
        <v>5</v>
      </c>
      <c r="B82" s="251" t="s">
        <v>70</v>
      </c>
      <c r="C82" s="172" t="s">
        <v>76</v>
      </c>
      <c r="D82" s="209" t="s">
        <v>66</v>
      </c>
      <c r="F82"/>
      <c r="G82" s="611" t="s">
        <v>70</v>
      </c>
    </row>
    <row r="83" spans="1:7" ht="15.6" x14ac:dyDescent="0.3">
      <c r="A83" s="35">
        <v>6</v>
      </c>
      <c r="B83" s="251" t="s">
        <v>71</v>
      </c>
      <c r="C83" s="172" t="s">
        <v>76</v>
      </c>
      <c r="D83" s="209" t="s">
        <v>66</v>
      </c>
      <c r="F83"/>
      <c r="G83" s="611" t="s">
        <v>71</v>
      </c>
    </row>
    <row r="84" spans="1:7" ht="15.6" x14ac:dyDescent="0.3">
      <c r="A84" s="35">
        <v>7</v>
      </c>
      <c r="B84" s="251" t="s">
        <v>72</v>
      </c>
      <c r="C84" s="172" t="s">
        <v>76</v>
      </c>
      <c r="D84" s="209" t="s">
        <v>66</v>
      </c>
      <c r="F84"/>
      <c r="G84" s="611" t="s">
        <v>72</v>
      </c>
    </row>
    <row r="85" spans="1:7" ht="15.6" x14ac:dyDescent="0.3">
      <c r="A85" s="35">
        <v>8</v>
      </c>
      <c r="B85" s="251" t="s">
        <v>90</v>
      </c>
      <c r="C85" s="172" t="s">
        <v>76</v>
      </c>
      <c r="D85" s="209" t="s">
        <v>66</v>
      </c>
      <c r="F85"/>
      <c r="G85" s="611" t="s">
        <v>90</v>
      </c>
    </row>
    <row r="86" spans="1:7" ht="15.6" x14ac:dyDescent="0.3">
      <c r="A86" s="33"/>
      <c r="B86" s="52"/>
      <c r="F86"/>
    </row>
    <row r="87" spans="1:7" ht="15.6" x14ac:dyDescent="0.3">
      <c r="A87" s="33"/>
      <c r="B87" s="116" t="s">
        <v>112</v>
      </c>
      <c r="F87" s="35"/>
      <c r="G87" s="606" t="s">
        <v>112</v>
      </c>
    </row>
    <row r="88" spans="1:7" ht="15.6" x14ac:dyDescent="0.3">
      <c r="A88" s="35">
        <v>1</v>
      </c>
      <c r="B88" s="251" t="s">
        <v>65</v>
      </c>
      <c r="C88" s="172" t="s">
        <v>76</v>
      </c>
      <c r="D88" s="209" t="s">
        <v>66</v>
      </c>
      <c r="F88" s="35"/>
      <c r="G88" s="611" t="s">
        <v>65</v>
      </c>
    </row>
    <row r="89" spans="1:7" ht="15.6" x14ac:dyDescent="0.3">
      <c r="A89" s="35">
        <v>2</v>
      </c>
      <c r="B89" s="251" t="s">
        <v>67</v>
      </c>
      <c r="C89" s="172" t="s">
        <v>76</v>
      </c>
      <c r="D89" s="209" t="s">
        <v>66</v>
      </c>
      <c r="F89" s="35"/>
      <c r="G89" s="611" t="s">
        <v>67</v>
      </c>
    </row>
    <row r="90" spans="1:7" ht="15.6" x14ac:dyDescent="0.3">
      <c r="A90" s="35">
        <v>3</v>
      </c>
      <c r="B90" s="251" t="s">
        <v>68</v>
      </c>
      <c r="C90" s="172" t="s">
        <v>76</v>
      </c>
      <c r="D90" s="209" t="s">
        <v>66</v>
      </c>
      <c r="F90" s="35"/>
      <c r="G90" s="611" t="s">
        <v>68</v>
      </c>
    </row>
    <row r="91" spans="1:7" ht="15.6" x14ac:dyDescent="0.3">
      <c r="A91" s="35">
        <v>4</v>
      </c>
      <c r="B91" s="251" t="s">
        <v>69</v>
      </c>
      <c r="C91" s="172" t="s">
        <v>76</v>
      </c>
      <c r="D91" s="209" t="s">
        <v>66</v>
      </c>
      <c r="F91" s="35"/>
      <c r="G91" s="611" t="s">
        <v>69</v>
      </c>
    </row>
    <row r="92" spans="1:7" ht="15.6" x14ac:dyDescent="0.3">
      <c r="A92" s="35">
        <v>5</v>
      </c>
      <c r="B92" s="251" t="s">
        <v>70</v>
      </c>
      <c r="C92" s="172" t="s">
        <v>76</v>
      </c>
      <c r="D92" s="209" t="s">
        <v>66</v>
      </c>
      <c r="F92" s="35"/>
      <c r="G92" s="611" t="s">
        <v>70</v>
      </c>
    </row>
    <row r="93" spans="1:7" ht="15.6" x14ac:dyDescent="0.3">
      <c r="A93" s="35">
        <v>6</v>
      </c>
      <c r="B93" s="251" t="s">
        <v>71</v>
      </c>
      <c r="C93" s="172" t="s">
        <v>76</v>
      </c>
      <c r="D93" s="209" t="s">
        <v>66</v>
      </c>
      <c r="F93" s="35"/>
      <c r="G93" s="611" t="s">
        <v>71</v>
      </c>
    </row>
    <row r="94" spans="1:7" ht="15.6" x14ac:dyDescent="0.3">
      <c r="A94" s="35">
        <v>7</v>
      </c>
      <c r="B94" s="251" t="s">
        <v>72</v>
      </c>
      <c r="C94" s="172" t="s">
        <v>76</v>
      </c>
      <c r="D94" s="209" t="s">
        <v>66</v>
      </c>
      <c r="F94" s="35"/>
      <c r="G94" s="611" t="s">
        <v>72</v>
      </c>
    </row>
    <row r="95" spans="1:7" ht="15.6" x14ac:dyDescent="0.3">
      <c r="A95" s="35">
        <v>8</v>
      </c>
      <c r="B95" s="251" t="s">
        <v>90</v>
      </c>
      <c r="C95" s="172" t="s">
        <v>76</v>
      </c>
      <c r="D95" s="209" t="s">
        <v>66</v>
      </c>
      <c r="F95" s="35"/>
      <c r="G95" s="611" t="s">
        <v>90</v>
      </c>
    </row>
    <row r="96" spans="1:7" ht="15.6" x14ac:dyDescent="0.3">
      <c r="A96" s="35"/>
      <c r="B96" s="92"/>
      <c r="D96" s="2"/>
      <c r="F96" s="35"/>
      <c r="G96" s="2"/>
    </row>
    <row r="97" spans="1:7" ht="15.6" x14ac:dyDescent="0.3">
      <c r="A97" s="33"/>
      <c r="B97" s="116" t="s">
        <v>114</v>
      </c>
      <c r="F97" s="35"/>
      <c r="G97" s="606" t="s">
        <v>114</v>
      </c>
    </row>
    <row r="98" spans="1:7" ht="16.5" customHeight="1" x14ac:dyDescent="0.3">
      <c r="A98" s="33"/>
      <c r="B98" s="282"/>
      <c r="F98" s="35"/>
      <c r="G98" s="282"/>
    </row>
    <row r="99" spans="1:7" ht="16.5" customHeight="1" x14ac:dyDescent="0.3">
      <c r="A99" s="35">
        <v>1</v>
      </c>
      <c r="B99" s="251" t="s">
        <v>65</v>
      </c>
      <c r="C99" s="172" t="s">
        <v>76</v>
      </c>
      <c r="D99" s="209" t="s">
        <v>66</v>
      </c>
      <c r="F99" s="35"/>
      <c r="G99" s="611" t="s">
        <v>65</v>
      </c>
    </row>
    <row r="100" spans="1:7" ht="15.6" x14ac:dyDescent="0.3">
      <c r="A100" s="35">
        <v>2</v>
      </c>
      <c r="B100" s="251" t="s">
        <v>67</v>
      </c>
      <c r="C100" s="172" t="s">
        <v>76</v>
      </c>
      <c r="D100" s="209" t="s">
        <v>66</v>
      </c>
      <c r="F100" s="35"/>
      <c r="G100" s="611" t="s">
        <v>67</v>
      </c>
    </row>
    <row r="101" spans="1:7" ht="15.6" x14ac:dyDescent="0.3">
      <c r="A101" s="35">
        <v>3</v>
      </c>
      <c r="B101" s="251" t="s">
        <v>68</v>
      </c>
      <c r="C101" s="172" t="s">
        <v>76</v>
      </c>
      <c r="D101" s="209" t="s">
        <v>66</v>
      </c>
      <c r="F101" s="35"/>
      <c r="G101" s="611" t="s">
        <v>68</v>
      </c>
    </row>
    <row r="102" spans="1:7" ht="15.6" x14ac:dyDescent="0.3">
      <c r="A102" s="35">
        <v>4</v>
      </c>
      <c r="B102" s="251" t="s">
        <v>69</v>
      </c>
      <c r="C102" s="172" t="s">
        <v>76</v>
      </c>
      <c r="D102" s="209" t="s">
        <v>66</v>
      </c>
      <c r="F102" s="35"/>
      <c r="G102" s="611" t="s">
        <v>69</v>
      </c>
    </row>
    <row r="103" spans="1:7" ht="15.6" x14ac:dyDescent="0.3">
      <c r="A103" s="35">
        <v>5</v>
      </c>
      <c r="B103" s="251" t="s">
        <v>70</v>
      </c>
      <c r="C103" s="172" t="s">
        <v>76</v>
      </c>
      <c r="D103" s="209" t="s">
        <v>66</v>
      </c>
      <c r="F103" s="35"/>
      <c r="G103" s="611" t="s">
        <v>70</v>
      </c>
    </row>
    <row r="104" spans="1:7" ht="15.6" x14ac:dyDescent="0.3">
      <c r="A104" s="35">
        <v>6</v>
      </c>
      <c r="B104" s="251" t="s">
        <v>71</v>
      </c>
      <c r="C104" s="172" t="s">
        <v>76</v>
      </c>
      <c r="D104" s="209" t="s">
        <v>66</v>
      </c>
      <c r="F104" s="35"/>
      <c r="G104" s="611" t="s">
        <v>71</v>
      </c>
    </row>
    <row r="105" spans="1:7" ht="15.6" x14ac:dyDescent="0.3">
      <c r="A105" s="35">
        <v>7</v>
      </c>
      <c r="B105" s="251" t="s">
        <v>72</v>
      </c>
      <c r="C105" s="172" t="s">
        <v>76</v>
      </c>
      <c r="D105" s="209" t="s">
        <v>66</v>
      </c>
      <c r="F105" s="35"/>
      <c r="G105" s="611" t="s">
        <v>72</v>
      </c>
    </row>
    <row r="106" spans="1:7" ht="15.6" x14ac:dyDescent="0.3">
      <c r="A106" s="35">
        <v>8</v>
      </c>
      <c r="B106" s="251" t="s">
        <v>90</v>
      </c>
      <c r="C106" s="172" t="s">
        <v>76</v>
      </c>
      <c r="D106" s="209" t="s">
        <v>66</v>
      </c>
      <c r="F106" s="35"/>
      <c r="G106" s="611" t="s">
        <v>90</v>
      </c>
    </row>
    <row r="107" spans="1:7" s="2" customFormat="1" ht="15.6" x14ac:dyDescent="0.3">
      <c r="A107" s="33"/>
      <c r="B107" s="70"/>
      <c r="F107" s="649"/>
      <c r="G107" s="608" t="s">
        <v>340</v>
      </c>
    </row>
    <row r="108" spans="1:7" s="2" customFormat="1" ht="15.6" x14ac:dyDescent="0.3">
      <c r="A108" s="33"/>
      <c r="B108" s="70"/>
      <c r="F108" s="35"/>
      <c r="G108"/>
    </row>
    <row r="109" spans="1:7" s="2" customFormat="1" ht="15.6" x14ac:dyDescent="0.3">
      <c r="A109" s="242"/>
      <c r="B109" s="108" t="s">
        <v>125</v>
      </c>
      <c r="C109" s="647"/>
      <c r="D109" s="647"/>
      <c r="E109" s="647"/>
      <c r="F109" s="604" t="s">
        <v>341</v>
      </c>
      <c r="G109" s="605" t="s">
        <v>342</v>
      </c>
    </row>
    <row r="110" spans="1:7" ht="15.6" x14ac:dyDescent="0.3">
      <c r="A110" s="51"/>
      <c r="B110" s="70"/>
      <c r="F110" s="35"/>
      <c r="G110" s="616"/>
    </row>
    <row r="111" spans="1:7" s="197" customFormat="1" ht="15.6" x14ac:dyDescent="0.3">
      <c r="A111" s="33"/>
      <c r="B111" s="116" t="s">
        <v>126</v>
      </c>
      <c r="F111" s="35"/>
      <c r="G111" s="606" t="s">
        <v>126</v>
      </c>
    </row>
    <row r="112" spans="1:7" s="197" customFormat="1" ht="15.6" x14ac:dyDescent="0.3">
      <c r="A112" s="33"/>
      <c r="B112" s="52"/>
      <c r="F112" s="35"/>
      <c r="G112" s="6"/>
    </row>
    <row r="113" spans="1:7" s="197" customFormat="1" ht="15.6" x14ac:dyDescent="0.3">
      <c r="A113" s="33"/>
      <c r="B113" s="116" t="s">
        <v>127</v>
      </c>
      <c r="F113" s="35"/>
      <c r="G113" s="606" t="s">
        <v>127</v>
      </c>
    </row>
    <row r="114" spans="1:7" s="197" customFormat="1" ht="15.6" x14ac:dyDescent="0.3">
      <c r="A114" s="33"/>
      <c r="B114" s="52"/>
      <c r="F114" s="35"/>
      <c r="G114" s="6"/>
    </row>
    <row r="115" spans="1:7" s="197" customFormat="1" ht="15.6" x14ac:dyDescent="0.3">
      <c r="A115" s="33"/>
      <c r="B115" s="116" t="s">
        <v>128</v>
      </c>
      <c r="F115" s="35"/>
      <c r="G115" s="606" t="s">
        <v>128</v>
      </c>
    </row>
    <row r="116" spans="1:7" s="197" customFormat="1" ht="15.6" x14ac:dyDescent="0.3">
      <c r="A116" s="33"/>
      <c r="B116" s="52"/>
      <c r="F116" s="35"/>
      <c r="G116" s="6"/>
    </row>
    <row r="117" spans="1:7" s="197" customFormat="1" ht="15.6" x14ac:dyDescent="0.3">
      <c r="A117" s="33"/>
      <c r="B117" s="116" t="s">
        <v>129</v>
      </c>
      <c r="F117" s="35"/>
      <c r="G117" s="606" t="s">
        <v>129</v>
      </c>
    </row>
    <row r="118" spans="1:7" ht="15.6" x14ac:dyDescent="0.3">
      <c r="A118" s="35">
        <v>1</v>
      </c>
      <c r="B118" s="251" t="s">
        <v>65</v>
      </c>
      <c r="C118" s="172" t="s">
        <v>76</v>
      </c>
      <c r="D118" s="209" t="s">
        <v>66</v>
      </c>
      <c r="G118" s="611" t="s">
        <v>65</v>
      </c>
    </row>
    <row r="119" spans="1:7" ht="15.6" x14ac:dyDescent="0.3">
      <c r="A119" s="35">
        <v>2</v>
      </c>
      <c r="B119" s="251" t="s">
        <v>67</v>
      </c>
      <c r="C119" s="172" t="s">
        <v>76</v>
      </c>
      <c r="D119" s="209" t="s">
        <v>66</v>
      </c>
      <c r="G119" s="611" t="s">
        <v>67</v>
      </c>
    </row>
    <row r="120" spans="1:7" ht="15.6" x14ac:dyDescent="0.3">
      <c r="A120" s="35">
        <v>3</v>
      </c>
      <c r="B120" s="251" t="s">
        <v>68</v>
      </c>
      <c r="C120" s="172" t="s">
        <v>76</v>
      </c>
      <c r="D120" s="209" t="s">
        <v>66</v>
      </c>
      <c r="G120" s="611" t="s">
        <v>68</v>
      </c>
    </row>
    <row r="121" spans="1:7" ht="15.6" x14ac:dyDescent="0.3">
      <c r="A121" s="35">
        <v>4</v>
      </c>
      <c r="B121" s="251" t="s">
        <v>69</v>
      </c>
      <c r="C121" s="172" t="s">
        <v>76</v>
      </c>
      <c r="D121" s="209" t="s">
        <v>66</v>
      </c>
      <c r="G121" s="611" t="s">
        <v>69</v>
      </c>
    </row>
    <row r="122" spans="1:7" ht="15.6" x14ac:dyDescent="0.3">
      <c r="A122" s="35">
        <v>5</v>
      </c>
      <c r="B122" s="251" t="s">
        <v>70</v>
      </c>
      <c r="C122" s="172" t="s">
        <v>76</v>
      </c>
      <c r="D122" s="209" t="s">
        <v>66</v>
      </c>
      <c r="G122" s="611" t="s">
        <v>70</v>
      </c>
    </row>
    <row r="123" spans="1:7" ht="15.6" x14ac:dyDescent="0.3">
      <c r="A123" s="35">
        <v>6</v>
      </c>
      <c r="B123" s="251" t="s">
        <v>71</v>
      </c>
      <c r="C123" s="172" t="s">
        <v>76</v>
      </c>
      <c r="D123" s="209" t="s">
        <v>66</v>
      </c>
      <c r="G123" s="611" t="s">
        <v>71</v>
      </c>
    </row>
    <row r="124" spans="1:7" s="2" customFormat="1" ht="15.6" x14ac:dyDescent="0.3">
      <c r="A124" s="35">
        <v>7</v>
      </c>
      <c r="B124" s="251" t="s">
        <v>72</v>
      </c>
      <c r="C124" s="172" t="s">
        <v>76</v>
      </c>
      <c r="D124" s="209" t="s">
        <v>66</v>
      </c>
      <c r="G124" s="611" t="s">
        <v>72</v>
      </c>
    </row>
    <row r="125" spans="1:7" s="2" customFormat="1" ht="15.6" x14ac:dyDescent="0.3">
      <c r="A125" s="35">
        <v>8</v>
      </c>
      <c r="B125" s="251" t="s">
        <v>90</v>
      </c>
      <c r="C125" s="172" t="s">
        <v>76</v>
      </c>
      <c r="D125" s="209" t="s">
        <v>66</v>
      </c>
      <c r="F125" s="35"/>
      <c r="G125" s="611" t="s">
        <v>90</v>
      </c>
    </row>
    <row r="126" spans="1:7" s="2" customFormat="1" ht="15" x14ac:dyDescent="0.25">
      <c r="A126" s="51"/>
      <c r="B126" s="92"/>
      <c r="F126" s="53"/>
    </row>
    <row r="127" spans="1:7" s="2" customFormat="1" ht="15.6" x14ac:dyDescent="0.3">
      <c r="A127" s="51"/>
      <c r="B127" s="92"/>
      <c r="F127" s="53"/>
      <c r="G127" s="606" t="s">
        <v>343</v>
      </c>
    </row>
    <row r="128" spans="1:7" ht="15.6" x14ac:dyDescent="0.3">
      <c r="A128" s="33"/>
      <c r="B128" s="70" t="s">
        <v>3</v>
      </c>
      <c r="F128" s="53"/>
    </row>
    <row r="129" spans="1:7" ht="15.75" customHeight="1" x14ac:dyDescent="0.3">
      <c r="A129" s="90"/>
      <c r="B129" s="318"/>
      <c r="C129" s="644"/>
      <c r="D129" s="644"/>
      <c r="E129" s="644"/>
      <c r="F129" s="649" t="s">
        <v>130</v>
      </c>
      <c r="G129" s="651" t="s">
        <v>131</v>
      </c>
    </row>
    <row r="130" spans="1:7" ht="15" customHeight="1" x14ac:dyDescent="0.3">
      <c r="A130" s="51"/>
      <c r="B130" s="338"/>
      <c r="F130" s="53"/>
      <c r="G130" s="70"/>
    </row>
    <row r="131" spans="1:7" s="2" customFormat="1" ht="15.75" customHeight="1" x14ac:dyDescent="0.3">
      <c r="A131" s="35"/>
      <c r="B131" s="34"/>
      <c r="F131" s="604" t="s">
        <v>133</v>
      </c>
      <c r="G131" s="605" t="s">
        <v>134</v>
      </c>
    </row>
    <row r="132" spans="1:7" ht="15" customHeight="1" x14ac:dyDescent="0.3">
      <c r="A132" s="53"/>
      <c r="B132" s="52"/>
      <c r="F132" s="53"/>
      <c r="G132" s="70"/>
    </row>
    <row r="133" spans="1:7" s="2" customFormat="1" ht="15.75" customHeight="1" x14ac:dyDescent="0.3">
      <c r="A133" s="35"/>
      <c r="B133" s="103"/>
      <c r="F133" s="604" t="s">
        <v>139</v>
      </c>
      <c r="G133" s="605" t="s">
        <v>140</v>
      </c>
    </row>
    <row r="134" spans="1:7" s="2" customFormat="1" ht="15" customHeight="1" x14ac:dyDescent="0.3">
      <c r="A134" s="53"/>
      <c r="B134" s="92"/>
      <c r="F134" s="35"/>
      <c r="G134" s="70"/>
    </row>
    <row r="135" spans="1:7" s="2" customFormat="1" ht="15.75" customHeight="1" x14ac:dyDescent="0.3">
      <c r="A135" s="35"/>
      <c r="B135" s="103"/>
      <c r="F135" s="604" t="s">
        <v>150</v>
      </c>
      <c r="G135" s="554" t="s">
        <v>151</v>
      </c>
    </row>
    <row r="136" spans="1:7" s="2" customFormat="1" ht="15.75" customHeight="1" x14ac:dyDescent="0.3">
      <c r="A136" s="53"/>
      <c r="B136" s="362"/>
      <c r="F136" s="35"/>
      <c r="G136" s="70"/>
    </row>
    <row r="137" spans="1:7" s="2" customFormat="1" ht="15.75" customHeight="1" x14ac:dyDescent="0.3">
      <c r="A137" s="35"/>
      <c r="B137" s="103"/>
      <c r="F137" s="604" t="s">
        <v>165</v>
      </c>
      <c r="G137" s="554" t="s">
        <v>166</v>
      </c>
    </row>
    <row r="138" spans="1:7" s="2" customFormat="1" ht="15" customHeight="1" x14ac:dyDescent="0.3">
      <c r="A138" s="53"/>
      <c r="B138" s="92"/>
      <c r="F138" s="35"/>
      <c r="G138" s="70"/>
    </row>
    <row r="139" spans="1:7" s="2" customFormat="1" ht="15.75" customHeight="1" x14ac:dyDescent="0.3">
      <c r="A139" s="35"/>
      <c r="B139" s="103"/>
      <c r="F139" s="604" t="s">
        <v>182</v>
      </c>
      <c r="G139" s="554" t="s">
        <v>183</v>
      </c>
    </row>
    <row r="140" spans="1:7" s="2" customFormat="1" ht="15.75" customHeight="1" x14ac:dyDescent="0.3">
      <c r="A140" s="35"/>
      <c r="B140" s="70"/>
      <c r="F140" s="35"/>
      <c r="G140" s="70"/>
    </row>
    <row r="141" spans="1:7" s="2" customFormat="1" ht="15.75" customHeight="1" x14ac:dyDescent="0.3">
      <c r="A141" s="35"/>
      <c r="B141" s="103"/>
      <c r="F141" s="604" t="s">
        <v>198</v>
      </c>
      <c r="G141" s="554" t="s">
        <v>199</v>
      </c>
    </row>
    <row r="142" spans="1:7" s="2" customFormat="1" ht="15.75" customHeight="1" x14ac:dyDescent="0.3">
      <c r="A142" s="35"/>
      <c r="B142" s="70"/>
      <c r="F142" s="35"/>
      <c r="G142" s="70" t="s">
        <v>3</v>
      </c>
    </row>
    <row r="143" spans="1:7" s="2" customFormat="1" ht="15.75" customHeight="1" x14ac:dyDescent="0.3">
      <c r="A143" s="35"/>
      <c r="B143" s="103"/>
      <c r="F143" s="604" t="s">
        <v>202</v>
      </c>
      <c r="G143" s="554" t="s">
        <v>203</v>
      </c>
    </row>
    <row r="144" spans="1:7" s="2" customFormat="1" ht="15.75" customHeight="1" x14ac:dyDescent="0.3">
      <c r="A144" s="35"/>
      <c r="B144" s="70"/>
      <c r="F144" s="35"/>
      <c r="G144" s="70"/>
    </row>
    <row r="145" spans="1:7" s="2" customFormat="1" ht="15.75" customHeight="1" x14ac:dyDescent="0.3">
      <c r="A145" s="376"/>
      <c r="B145" s="103"/>
      <c r="F145" s="620" t="s">
        <v>204</v>
      </c>
      <c r="G145" s="554" t="s">
        <v>344</v>
      </c>
    </row>
    <row r="146" spans="1:7" s="2" customFormat="1" ht="15.75" customHeight="1" x14ac:dyDescent="0.3">
      <c r="A146" s="35"/>
      <c r="B146" s="103"/>
      <c r="F146" s="35"/>
      <c r="G146" s="70"/>
    </row>
    <row r="147" spans="1:7" s="2" customFormat="1" ht="15.75" customHeight="1" x14ac:dyDescent="0.3">
      <c r="A147" s="377"/>
      <c r="B147" s="103"/>
      <c r="F147" s="621" t="s">
        <v>207</v>
      </c>
      <c r="G147" s="554" t="s">
        <v>208</v>
      </c>
    </row>
    <row r="148" spans="1:7" s="2" customFormat="1" ht="15.75" customHeight="1" x14ac:dyDescent="0.25"/>
    <row r="149" spans="1:7" ht="15.75" customHeight="1" x14ac:dyDescent="0.3">
      <c r="A149" s="107"/>
      <c r="B149" s="393" t="s">
        <v>209</v>
      </c>
      <c r="C149" s="643"/>
      <c r="D149" s="652"/>
      <c r="E149" s="643"/>
      <c r="F149" s="242" t="s">
        <v>345</v>
      </c>
      <c r="G149" s="108" t="s">
        <v>209</v>
      </c>
    </row>
    <row r="150" spans="1:7" s="2" customFormat="1" ht="15.6" x14ac:dyDescent="0.3">
      <c r="A150" s="410"/>
      <c r="B150" s="410"/>
      <c r="F150" s="35"/>
      <c r="G150" s="70"/>
    </row>
    <row r="151" spans="1:7" ht="15.6" x14ac:dyDescent="0.3">
      <c r="A151" s="423" t="s">
        <v>232</v>
      </c>
      <c r="B151" s="424" t="s">
        <v>233</v>
      </c>
      <c r="C151" s="643"/>
      <c r="D151" s="643"/>
      <c r="E151" s="643"/>
      <c r="F151" s="623" t="s">
        <v>232</v>
      </c>
      <c r="G151" s="424" t="s">
        <v>233</v>
      </c>
    </row>
    <row r="152" spans="1:7" ht="15" customHeight="1" x14ac:dyDescent="0.3">
      <c r="A152" s="33"/>
      <c r="B152" s="73"/>
      <c r="F152" s="35"/>
      <c r="G152" s="73"/>
    </row>
    <row r="153" spans="1:7" s="1" customFormat="1" ht="15.75" customHeight="1" x14ac:dyDescent="0.3">
      <c r="A153" s="438"/>
      <c r="B153" s="653"/>
      <c r="C153" s="654"/>
      <c r="D153" s="654"/>
      <c r="E153" s="654"/>
      <c r="F153" s="655" t="s">
        <v>346</v>
      </c>
      <c r="G153" s="651" t="s">
        <v>234</v>
      </c>
    </row>
    <row r="154" spans="1:7" s="1" customFormat="1" ht="15.6" x14ac:dyDescent="0.3">
      <c r="A154" s="51"/>
      <c r="B154" s="443"/>
      <c r="F154" s="624"/>
      <c r="G154" s="34"/>
    </row>
    <row r="155" spans="1:7" s="459" customFormat="1" ht="15.6" x14ac:dyDescent="0.3">
      <c r="A155" s="452"/>
      <c r="B155" s="656"/>
      <c r="C155" s="657"/>
      <c r="D155" s="657"/>
      <c r="E155" s="657"/>
      <c r="F155" s="626" t="s">
        <v>347</v>
      </c>
      <c r="G155" s="605" t="s">
        <v>235</v>
      </c>
    </row>
    <row r="156" spans="1:7" s="1" customFormat="1" ht="15.6" x14ac:dyDescent="0.3">
      <c r="A156" s="460"/>
      <c r="B156" s="99"/>
    </row>
    <row r="157" spans="1:7" s="1" customFormat="1" ht="15.6" x14ac:dyDescent="0.3">
      <c r="A157" s="470"/>
      <c r="B157" s="108" t="s">
        <v>236</v>
      </c>
      <c r="G157" s="606" t="s">
        <v>348</v>
      </c>
    </row>
    <row r="158" spans="1:7" s="1" customFormat="1" ht="15.6" x14ac:dyDescent="0.3">
      <c r="A158" s="470"/>
      <c r="B158" s="34"/>
      <c r="G158" s="103"/>
    </row>
    <row r="159" spans="1:7" s="1" customFormat="1" ht="15.6" x14ac:dyDescent="0.3">
      <c r="A159" s="35">
        <v>1</v>
      </c>
      <c r="B159" s="471" t="s">
        <v>65</v>
      </c>
      <c r="D159" s="209" t="s">
        <v>66</v>
      </c>
      <c r="G159" s="611" t="s">
        <v>65</v>
      </c>
    </row>
    <row r="160" spans="1:7" s="1" customFormat="1" ht="15.6" x14ac:dyDescent="0.3">
      <c r="A160" s="35">
        <v>2</v>
      </c>
      <c r="B160" s="471" t="s">
        <v>67</v>
      </c>
      <c r="D160" s="209" t="s">
        <v>66</v>
      </c>
      <c r="G160" s="611" t="s">
        <v>67</v>
      </c>
    </row>
    <row r="161" spans="1:7" s="1" customFormat="1" ht="15.6" x14ac:dyDescent="0.3">
      <c r="A161" s="35">
        <v>3</v>
      </c>
      <c r="B161" s="471" t="s">
        <v>68</v>
      </c>
      <c r="D161" s="209" t="s">
        <v>66</v>
      </c>
      <c r="G161" s="611" t="s">
        <v>68</v>
      </c>
    </row>
    <row r="162" spans="1:7" s="1" customFormat="1" ht="15.6" x14ac:dyDescent="0.3">
      <c r="A162" s="35">
        <v>4</v>
      </c>
      <c r="B162" s="471" t="s">
        <v>69</v>
      </c>
      <c r="D162" s="209" t="s">
        <v>66</v>
      </c>
      <c r="G162" s="611" t="s">
        <v>69</v>
      </c>
    </row>
    <row r="163" spans="1:7" s="1" customFormat="1" ht="15.6" x14ac:dyDescent="0.3">
      <c r="A163" s="35">
        <v>5</v>
      </c>
      <c r="B163" s="471" t="s">
        <v>70</v>
      </c>
      <c r="D163" s="209" t="s">
        <v>66</v>
      </c>
      <c r="G163" s="611" t="s">
        <v>70</v>
      </c>
    </row>
    <row r="164" spans="1:7" s="1" customFormat="1" ht="15.6" x14ac:dyDescent="0.3">
      <c r="A164" s="35">
        <v>6</v>
      </c>
      <c r="B164" s="471" t="s">
        <v>71</v>
      </c>
      <c r="D164" s="209" t="s">
        <v>66</v>
      </c>
      <c r="F164" s="627"/>
      <c r="G164" s="611" t="s">
        <v>71</v>
      </c>
    </row>
    <row r="165" spans="1:7" s="1" customFormat="1" ht="15.6" x14ac:dyDescent="0.3">
      <c r="A165" s="35">
        <v>7</v>
      </c>
      <c r="B165" s="471" t="s">
        <v>72</v>
      </c>
      <c r="D165" s="209" t="s">
        <v>66</v>
      </c>
      <c r="F165" s="628" t="s">
        <v>3</v>
      </c>
      <c r="G165" s="611" t="s">
        <v>72</v>
      </c>
    </row>
    <row r="166" spans="1:7" s="1" customFormat="1" ht="15.6" x14ac:dyDescent="0.3">
      <c r="A166" s="35">
        <v>8</v>
      </c>
      <c r="B166" s="471" t="s">
        <v>73</v>
      </c>
      <c r="D166" s="209" t="s">
        <v>66</v>
      </c>
      <c r="F166" s="628"/>
      <c r="G166" s="611" t="s">
        <v>90</v>
      </c>
    </row>
    <row r="167" spans="1:7" s="1" customFormat="1" ht="15.6" x14ac:dyDescent="0.3">
      <c r="A167" s="470"/>
      <c r="B167" s="471" t="s">
        <v>238</v>
      </c>
      <c r="F167" s="628" t="s">
        <v>3</v>
      </c>
      <c r="G167" s="608" t="s">
        <v>238</v>
      </c>
    </row>
    <row r="168" spans="1:7" s="1" customFormat="1" ht="15.6" x14ac:dyDescent="0.3">
      <c r="A168" s="470"/>
      <c r="B168" s="92"/>
      <c r="F168" s="628"/>
    </row>
    <row r="169" spans="1:7" s="1" customFormat="1" ht="15.6" x14ac:dyDescent="0.3">
      <c r="A169" s="470"/>
      <c r="B169" s="108" t="s">
        <v>239</v>
      </c>
      <c r="F169" s="628" t="s">
        <v>3</v>
      </c>
      <c r="G169" s="606" t="s">
        <v>349</v>
      </c>
    </row>
    <row r="170" spans="1:7" s="1" customFormat="1" ht="15.6" x14ac:dyDescent="0.3">
      <c r="A170" s="470"/>
      <c r="B170" s="34"/>
      <c r="F170" s="628"/>
      <c r="G170" s="6"/>
    </row>
    <row r="171" spans="1:7" s="1" customFormat="1" ht="15.6" x14ac:dyDescent="0.3">
      <c r="A171" s="35">
        <v>1</v>
      </c>
      <c r="B171" s="471" t="s">
        <v>65</v>
      </c>
      <c r="D171" s="209" t="s">
        <v>66</v>
      </c>
      <c r="F171" s="628"/>
      <c r="G171" s="611" t="s">
        <v>65</v>
      </c>
    </row>
    <row r="172" spans="1:7" s="1" customFormat="1" ht="15.6" x14ac:dyDescent="0.3">
      <c r="A172" s="35">
        <v>2</v>
      </c>
      <c r="B172" s="471" t="s">
        <v>67</v>
      </c>
      <c r="D172" s="209" t="s">
        <v>66</v>
      </c>
      <c r="F172" s="628"/>
      <c r="G172" s="611" t="s">
        <v>67</v>
      </c>
    </row>
    <row r="173" spans="1:7" s="1" customFormat="1" ht="15.6" x14ac:dyDescent="0.3">
      <c r="A173" s="35">
        <v>3</v>
      </c>
      <c r="B173" s="471" t="s">
        <v>68</v>
      </c>
      <c r="D173" s="209" t="s">
        <v>66</v>
      </c>
      <c r="F173" s="628"/>
      <c r="G173" s="611" t="s">
        <v>68</v>
      </c>
    </row>
    <row r="174" spans="1:7" s="1" customFormat="1" ht="15.6" x14ac:dyDescent="0.3">
      <c r="A174" s="35">
        <v>4</v>
      </c>
      <c r="B174" s="471" t="s">
        <v>69</v>
      </c>
      <c r="D174" s="209" t="s">
        <v>66</v>
      </c>
      <c r="F174" s="628"/>
      <c r="G174" s="611" t="s">
        <v>69</v>
      </c>
    </row>
    <row r="175" spans="1:7" s="1" customFormat="1" ht="15.6" x14ac:dyDescent="0.3">
      <c r="A175" s="35">
        <v>5</v>
      </c>
      <c r="B175" s="471" t="s">
        <v>70</v>
      </c>
      <c r="D175" s="209" t="s">
        <v>66</v>
      </c>
      <c r="F175" s="628"/>
      <c r="G175" s="611" t="s">
        <v>70</v>
      </c>
    </row>
    <row r="176" spans="1:7" s="1" customFormat="1" ht="15.6" x14ac:dyDescent="0.3">
      <c r="A176" s="35">
        <v>6</v>
      </c>
      <c r="B176" s="471" t="s">
        <v>71</v>
      </c>
      <c r="D176" s="209" t="s">
        <v>66</v>
      </c>
      <c r="F176" s="628"/>
      <c r="G176" s="611" t="s">
        <v>71</v>
      </c>
    </row>
    <row r="177" spans="1:7" s="1" customFormat="1" ht="15.6" x14ac:dyDescent="0.3">
      <c r="A177" s="35">
        <v>7</v>
      </c>
      <c r="B177" s="471" t="s">
        <v>72</v>
      </c>
      <c r="D177" s="209" t="s">
        <v>66</v>
      </c>
      <c r="F177" s="628"/>
      <c r="G177" s="611" t="s">
        <v>72</v>
      </c>
    </row>
    <row r="178" spans="1:7" s="1" customFormat="1" ht="15.6" x14ac:dyDescent="0.3">
      <c r="A178" s="35">
        <v>8</v>
      </c>
      <c r="B178" s="471" t="s">
        <v>417</v>
      </c>
      <c r="D178" s="209" t="s">
        <v>66</v>
      </c>
      <c r="F178" s="628" t="s">
        <v>3</v>
      </c>
      <c r="G178" s="611" t="s">
        <v>90</v>
      </c>
    </row>
    <row r="179" spans="1:7" s="1" customFormat="1" ht="15.6" x14ac:dyDescent="0.3">
      <c r="A179" s="470"/>
      <c r="B179" s="471" t="s">
        <v>238</v>
      </c>
      <c r="F179" s="628"/>
      <c r="G179" s="608" t="s">
        <v>238</v>
      </c>
    </row>
    <row r="180" spans="1:7" s="1" customFormat="1" ht="15.6" x14ac:dyDescent="0.3">
      <c r="A180" s="470"/>
      <c r="B180" s="292"/>
      <c r="F180" s="658"/>
      <c r="G180" s="659" t="s">
        <v>350</v>
      </c>
    </row>
    <row r="181" spans="1:7" s="1" customFormat="1" ht="15.6" x14ac:dyDescent="0.3">
      <c r="A181" s="470"/>
      <c r="B181" s="292"/>
      <c r="F181" s="628"/>
      <c r="G181"/>
    </row>
    <row r="182" spans="1:7" s="1" customFormat="1" ht="15.6" x14ac:dyDescent="0.3">
      <c r="A182" s="33"/>
      <c r="B182" s="103"/>
      <c r="C182" s="654"/>
      <c r="D182" s="654"/>
      <c r="E182" s="654"/>
      <c r="F182" s="626" t="s">
        <v>351</v>
      </c>
      <c r="G182" s="605" t="s">
        <v>240</v>
      </c>
    </row>
    <row r="183" spans="1:7" s="1" customFormat="1" ht="15.6" x14ac:dyDescent="0.3">
      <c r="A183" s="33"/>
      <c r="B183" s="103"/>
      <c r="F183" s="628"/>
    </row>
    <row r="184" spans="1:7" ht="15.6" x14ac:dyDescent="0.3">
      <c r="A184" s="33"/>
      <c r="B184" s="487" t="s">
        <v>241</v>
      </c>
      <c r="F184" s="628"/>
      <c r="G184" s="606" t="s">
        <v>241</v>
      </c>
    </row>
    <row r="185" spans="1:7" ht="15.6" x14ac:dyDescent="0.3">
      <c r="A185" s="33"/>
      <c r="B185" s="103"/>
      <c r="F185" s="628"/>
      <c r="G185" s="6"/>
    </row>
    <row r="186" spans="1:7" ht="15.6" x14ac:dyDescent="0.3">
      <c r="A186" s="33"/>
      <c r="B186" s="471" t="s">
        <v>242</v>
      </c>
      <c r="F186" s="628"/>
      <c r="G186" s="608" t="s">
        <v>242</v>
      </c>
    </row>
    <row r="187" spans="1:7" ht="15.6" x14ac:dyDescent="0.3">
      <c r="A187" s="33"/>
      <c r="B187" s="471" t="s">
        <v>243</v>
      </c>
      <c r="F187" s="628"/>
      <c r="G187" s="608" t="s">
        <v>243</v>
      </c>
    </row>
    <row r="188" spans="1:7" ht="15.6" x14ac:dyDescent="0.3">
      <c r="A188" s="33"/>
      <c r="B188" s="93"/>
      <c r="F188" s="628"/>
    </row>
    <row r="189" spans="1:7" ht="15.6" x14ac:dyDescent="0.3">
      <c r="A189" s="33"/>
      <c r="B189" s="487" t="s">
        <v>244</v>
      </c>
      <c r="F189" s="628"/>
      <c r="G189" s="606" t="s">
        <v>244</v>
      </c>
    </row>
    <row r="190" spans="1:7" ht="15.6" x14ac:dyDescent="0.3">
      <c r="A190" s="33"/>
      <c r="B190" s="103"/>
      <c r="F190" s="628"/>
      <c r="G190" s="6"/>
    </row>
    <row r="191" spans="1:7" ht="15.6" x14ac:dyDescent="0.3">
      <c r="A191" s="33"/>
      <c r="B191" s="471" t="s">
        <v>245</v>
      </c>
      <c r="F191" s="628"/>
      <c r="G191" s="608" t="s">
        <v>245</v>
      </c>
    </row>
    <row r="192" spans="1:7" ht="15.6" x14ac:dyDescent="0.3">
      <c r="A192" s="33"/>
      <c r="B192" s="471" t="s">
        <v>246</v>
      </c>
      <c r="F192" s="628"/>
      <c r="G192" s="608" t="s">
        <v>246</v>
      </c>
    </row>
    <row r="193" spans="1:7" ht="15.6" x14ac:dyDescent="0.3">
      <c r="A193" s="33"/>
      <c r="B193" s="471" t="s">
        <v>247</v>
      </c>
      <c r="F193" s="628"/>
      <c r="G193" s="608" t="s">
        <v>247</v>
      </c>
    </row>
    <row r="194" spans="1:7" ht="15.6" x14ac:dyDescent="0.3">
      <c r="A194" s="33"/>
      <c r="B194" s="471" t="s">
        <v>248</v>
      </c>
      <c r="F194" s="628"/>
      <c r="G194" s="608" t="s">
        <v>248</v>
      </c>
    </row>
    <row r="195" spans="1:7" ht="15.6" x14ac:dyDescent="0.3">
      <c r="A195" s="33"/>
      <c r="B195" s="92"/>
      <c r="F195" s="660"/>
    </row>
    <row r="196" spans="1:7" ht="18.75" customHeight="1" x14ac:dyDescent="0.3">
      <c r="A196" s="90"/>
      <c r="B196" s="499"/>
      <c r="C196" s="644"/>
      <c r="D196" s="644"/>
      <c r="E196" s="644"/>
      <c r="F196" s="603" t="s">
        <v>249</v>
      </c>
      <c r="G196" s="108" t="s">
        <v>250</v>
      </c>
    </row>
    <row r="197" spans="1:7" ht="15.6" x14ac:dyDescent="0.3">
      <c r="A197" s="33"/>
      <c r="B197" s="83"/>
      <c r="F197" s="35"/>
      <c r="G197" s="500"/>
    </row>
    <row r="198" spans="1:7" ht="15.6" x14ac:dyDescent="0.3">
      <c r="A198" s="33"/>
      <c r="B198" s="103"/>
      <c r="F198" s="626" t="s">
        <v>251</v>
      </c>
      <c r="G198" s="605" t="s">
        <v>252</v>
      </c>
    </row>
    <row r="199" spans="1:7" ht="15.6" x14ac:dyDescent="0.3">
      <c r="A199" s="33"/>
      <c r="B199" s="443"/>
      <c r="F199" s="35"/>
      <c r="G199" s="443"/>
    </row>
    <row r="200" spans="1:7" s="516" customFormat="1" ht="15.6" x14ac:dyDescent="0.3">
      <c r="A200" s="515"/>
      <c r="B200" s="34"/>
      <c r="F200" s="604" t="s">
        <v>256</v>
      </c>
      <c r="G200" s="605" t="s">
        <v>257</v>
      </c>
    </row>
    <row r="201" spans="1:7" ht="15.6" x14ac:dyDescent="0.3">
      <c r="A201" s="33"/>
      <c r="B201" s="443"/>
      <c r="F201" s="35"/>
      <c r="G201" s="70"/>
    </row>
    <row r="202" spans="1:7" s="516" customFormat="1" ht="15.6" x14ac:dyDescent="0.3">
      <c r="A202" s="515"/>
      <c r="B202" s="34"/>
      <c r="F202" s="604" t="s">
        <v>261</v>
      </c>
      <c r="G202" s="605" t="s">
        <v>262</v>
      </c>
    </row>
    <row r="203" spans="1:7" ht="15.6" x14ac:dyDescent="0.3">
      <c r="A203" s="33"/>
      <c r="B203" s="443"/>
      <c r="F203" s="35"/>
      <c r="G203" s="70"/>
    </row>
    <row r="204" spans="1:7" ht="15.6" x14ac:dyDescent="0.3">
      <c r="A204" s="515"/>
      <c r="B204" s="34"/>
      <c r="F204" s="604" t="s">
        <v>263</v>
      </c>
      <c r="G204" s="605" t="s">
        <v>264</v>
      </c>
    </row>
    <row r="205" spans="1:7" ht="15.6" x14ac:dyDescent="0.3">
      <c r="A205" s="33"/>
      <c r="B205" s="443"/>
      <c r="F205" s="35"/>
      <c r="G205" s="443"/>
    </row>
    <row r="206" spans="1:7" ht="15.6" x14ac:dyDescent="0.3">
      <c r="A206" s="33"/>
      <c r="B206" s="103"/>
      <c r="F206" s="604" t="s">
        <v>265</v>
      </c>
      <c r="G206" s="554" t="s">
        <v>266</v>
      </c>
    </row>
    <row r="207" spans="1:7" ht="15.6" x14ac:dyDescent="0.3">
      <c r="A207" s="90"/>
      <c r="B207" s="524"/>
      <c r="F207" s="35"/>
      <c r="G207" s="70"/>
    </row>
    <row r="208" spans="1:7" ht="15.6" x14ac:dyDescent="0.3">
      <c r="A208" s="33"/>
      <c r="B208" s="103"/>
      <c r="F208" s="604" t="s">
        <v>267</v>
      </c>
      <c r="G208" s="554" t="s">
        <v>268</v>
      </c>
    </row>
    <row r="209" spans="1:7" ht="15.6" x14ac:dyDescent="0.3">
      <c r="A209" s="33"/>
      <c r="B209" s="228"/>
      <c r="F209" s="35"/>
      <c r="G209" s="70"/>
    </row>
    <row r="210" spans="1:7" ht="15.6" x14ac:dyDescent="0.3">
      <c r="A210" s="33"/>
      <c r="B210" s="103"/>
      <c r="F210" s="604" t="s">
        <v>271</v>
      </c>
      <c r="G210" s="554" t="s">
        <v>344</v>
      </c>
    </row>
    <row r="211" spans="1:7" ht="15.6" x14ac:dyDescent="0.3">
      <c r="A211" s="33"/>
      <c r="B211" s="103"/>
      <c r="F211" s="35"/>
      <c r="G211" s="103"/>
    </row>
    <row r="212" spans="1:7" ht="15" customHeight="1" x14ac:dyDescent="0.3">
      <c r="A212" s="33"/>
      <c r="B212" s="103"/>
      <c r="F212" s="604" t="s">
        <v>272</v>
      </c>
      <c r="G212" s="554" t="s">
        <v>273</v>
      </c>
    </row>
    <row r="213" spans="1:7" ht="15.6" x14ac:dyDescent="0.3">
      <c r="A213" s="33"/>
      <c r="B213" s="292"/>
    </row>
    <row r="214" spans="1:7" ht="15.6" x14ac:dyDescent="0.3">
      <c r="A214" s="527"/>
      <c r="B214" s="528"/>
      <c r="C214" s="644"/>
      <c r="D214" s="644"/>
      <c r="E214" s="644"/>
      <c r="F214" s="601" t="s">
        <v>352</v>
      </c>
      <c r="G214" s="633" t="s">
        <v>353</v>
      </c>
    </row>
    <row r="215" spans="1:7" ht="15.6" x14ac:dyDescent="0.3">
      <c r="A215" s="33"/>
      <c r="B215" s="292"/>
    </row>
    <row r="216" spans="1:7" ht="15.6" x14ac:dyDescent="0.3">
      <c r="A216" s="536" t="s">
        <v>274</v>
      </c>
      <c r="B216" s="64" t="s">
        <v>275</v>
      </c>
      <c r="C216" s="643"/>
      <c r="D216" s="643"/>
      <c r="E216" s="643"/>
      <c r="F216" s="601" t="s">
        <v>274</v>
      </c>
      <c r="G216" s="633" t="s">
        <v>275</v>
      </c>
    </row>
    <row r="217" spans="1:7" ht="15.6" x14ac:dyDescent="0.3">
      <c r="A217" s="51"/>
      <c r="B217" s="70"/>
    </row>
    <row r="218" spans="1:7" ht="15.6" x14ac:dyDescent="0.3">
      <c r="A218" s="107"/>
      <c r="B218" s="108" t="s">
        <v>43</v>
      </c>
      <c r="C218" s="643"/>
      <c r="D218" s="643"/>
      <c r="E218" s="643"/>
      <c r="F218" s="242" t="s">
        <v>354</v>
      </c>
      <c r="G218" s="108" t="s">
        <v>43</v>
      </c>
    </row>
    <row r="219" spans="1:7" ht="15.6" x14ac:dyDescent="0.3">
      <c r="A219" s="35"/>
      <c r="B219" s="70"/>
      <c r="F219" s="35"/>
      <c r="G219" s="538"/>
    </row>
    <row r="220" spans="1:7" ht="15.6" x14ac:dyDescent="0.3">
      <c r="A220" s="35"/>
      <c r="B220" s="116" t="s">
        <v>278</v>
      </c>
      <c r="F220" s="35"/>
      <c r="G220" s="538"/>
    </row>
    <row r="221" spans="1:7" ht="15.6" x14ac:dyDescent="0.3">
      <c r="A221" s="35"/>
      <c r="B221" s="70"/>
      <c r="F221" s="604" t="s">
        <v>355</v>
      </c>
      <c r="G221" s="605" t="s">
        <v>278</v>
      </c>
    </row>
    <row r="222" spans="1:7" ht="15.6" x14ac:dyDescent="0.3">
      <c r="A222" s="35"/>
      <c r="B222" s="116" t="s">
        <v>279</v>
      </c>
      <c r="F222" s="35"/>
      <c r="G222" s="70"/>
    </row>
    <row r="223" spans="1:7" ht="15.6" x14ac:dyDescent="0.3">
      <c r="A223" s="35"/>
      <c r="B223" s="70"/>
      <c r="F223" s="604" t="s">
        <v>356</v>
      </c>
      <c r="G223" s="605" t="s">
        <v>279</v>
      </c>
    </row>
    <row r="224" spans="1:7" ht="15.6" x14ac:dyDescent="0.3">
      <c r="A224" s="35"/>
      <c r="B224" s="116" t="s">
        <v>280</v>
      </c>
      <c r="F224" s="35"/>
      <c r="G224" s="70"/>
    </row>
    <row r="225" spans="1:7" ht="15.6" x14ac:dyDescent="0.3">
      <c r="A225" s="35"/>
      <c r="B225" s="70"/>
      <c r="F225" s="604" t="s">
        <v>357</v>
      </c>
      <c r="G225" s="605" t="s">
        <v>280</v>
      </c>
    </row>
    <row r="226" spans="1:7" ht="15.6" x14ac:dyDescent="0.3">
      <c r="A226" s="35"/>
      <c r="B226" s="116" t="s">
        <v>281</v>
      </c>
      <c r="F226" s="35"/>
      <c r="G226" s="70"/>
    </row>
    <row r="227" spans="1:7" ht="15.6" x14ac:dyDescent="0.3">
      <c r="A227" s="35"/>
      <c r="B227" s="70"/>
      <c r="F227" s="604" t="s">
        <v>358</v>
      </c>
      <c r="G227" s="605" t="s">
        <v>281</v>
      </c>
    </row>
    <row r="228" spans="1:7" ht="15.6" x14ac:dyDescent="0.3">
      <c r="A228" s="35"/>
      <c r="B228" s="116" t="s">
        <v>282</v>
      </c>
      <c r="F228" s="35"/>
      <c r="G228" s="70"/>
    </row>
    <row r="229" spans="1:7" ht="15.6" x14ac:dyDescent="0.3">
      <c r="A229" s="35"/>
      <c r="B229" s="70"/>
      <c r="F229" s="604" t="s">
        <v>359</v>
      </c>
      <c r="G229" s="605" t="s">
        <v>282</v>
      </c>
    </row>
    <row r="230" spans="1:7" ht="15.6" x14ac:dyDescent="0.3">
      <c r="A230" s="35"/>
      <c r="B230" s="116" t="s">
        <v>283</v>
      </c>
      <c r="F230" s="35" t="s">
        <v>3</v>
      </c>
      <c r="G230" s="70"/>
    </row>
    <row r="231" spans="1:7" ht="15.6" x14ac:dyDescent="0.3">
      <c r="A231" s="35"/>
      <c r="B231" s="70"/>
      <c r="F231" s="604" t="s">
        <v>360</v>
      </c>
      <c r="G231" s="605" t="s">
        <v>283</v>
      </c>
    </row>
    <row r="232" spans="1:7" ht="15.6" x14ac:dyDescent="0.3">
      <c r="A232" s="35"/>
      <c r="B232" s="116" t="s">
        <v>40</v>
      </c>
      <c r="F232" s="35"/>
      <c r="G232" s="70"/>
    </row>
    <row r="233" spans="1:7" ht="15.6" x14ac:dyDescent="0.3">
      <c r="A233" s="35"/>
      <c r="B233" s="70"/>
      <c r="F233" s="604" t="s">
        <v>361</v>
      </c>
      <c r="G233" s="605" t="s">
        <v>40</v>
      </c>
    </row>
    <row r="234" spans="1:7" ht="15.6" x14ac:dyDescent="0.3">
      <c r="A234" s="35"/>
      <c r="B234" s="471" t="s">
        <v>284</v>
      </c>
      <c r="F234" s="35"/>
      <c r="G234" s="70"/>
    </row>
    <row r="235" spans="1:7" ht="15.6" x14ac:dyDescent="0.3">
      <c r="A235" s="35"/>
      <c r="B235" s="34"/>
      <c r="F235" s="604" t="s">
        <v>362</v>
      </c>
      <c r="G235" s="554" t="s">
        <v>284</v>
      </c>
    </row>
    <row r="236" spans="1:7" ht="15.6" x14ac:dyDescent="0.3">
      <c r="A236" s="35"/>
      <c r="B236" s="34"/>
      <c r="F236"/>
    </row>
    <row r="237" spans="1:7" ht="15.6" x14ac:dyDescent="0.3">
      <c r="A237" s="35"/>
      <c r="B237" s="895" t="s">
        <v>539</v>
      </c>
      <c r="F237" s="894" t="s">
        <v>538</v>
      </c>
      <c r="G237" s="895" t="s">
        <v>539</v>
      </c>
    </row>
    <row r="238" spans="1:7" ht="15.6" x14ac:dyDescent="0.3">
      <c r="A238" s="35"/>
      <c r="B238" s="897"/>
      <c r="F238" s="896"/>
      <c r="G238" s="897"/>
    </row>
    <row r="239" spans="1:7" ht="15.6" x14ac:dyDescent="0.3">
      <c r="A239" s="33"/>
      <c r="B239" s="895" t="s">
        <v>541</v>
      </c>
      <c r="F239" s="894" t="s">
        <v>540</v>
      </c>
      <c r="G239" s="895" t="s">
        <v>541</v>
      </c>
    </row>
    <row r="240" spans="1:7" ht="15.6" x14ac:dyDescent="0.3">
      <c r="A240" s="33"/>
      <c r="B240" s="70"/>
      <c r="F240"/>
    </row>
    <row r="241" spans="1:7" ht="15.75" customHeight="1" x14ac:dyDescent="0.3">
      <c r="A241" s="107"/>
      <c r="B241" s="393" t="s">
        <v>285</v>
      </c>
      <c r="C241" s="643"/>
      <c r="D241" s="643"/>
      <c r="E241" s="643"/>
      <c r="F241" s="242" t="s">
        <v>363</v>
      </c>
      <c r="G241" s="393" t="s">
        <v>285</v>
      </c>
    </row>
    <row r="242" spans="1:7" ht="15" customHeight="1" x14ac:dyDescent="0.3">
      <c r="A242" s="51"/>
      <c r="B242" s="70"/>
      <c r="F242" s="53"/>
      <c r="G242" s="70"/>
    </row>
    <row r="243" spans="1:7" s="2" customFormat="1" ht="15.75" customHeight="1" x14ac:dyDescent="0.3">
      <c r="A243" s="35"/>
      <c r="B243" s="116" t="s">
        <v>278</v>
      </c>
      <c r="F243" s="604" t="s">
        <v>364</v>
      </c>
      <c r="G243" s="605" t="s">
        <v>365</v>
      </c>
    </row>
    <row r="244" spans="1:7" ht="15" customHeight="1" x14ac:dyDescent="0.3">
      <c r="A244" s="53"/>
      <c r="B244" s="52"/>
      <c r="F244" s="53"/>
      <c r="G244" s="70"/>
    </row>
    <row r="245" spans="1:7" s="2" customFormat="1" ht="15.75" customHeight="1" x14ac:dyDescent="0.3">
      <c r="A245" s="35"/>
      <c r="B245" s="116" t="s">
        <v>279</v>
      </c>
      <c r="F245" s="604" t="s">
        <v>366</v>
      </c>
      <c r="G245" s="554" t="s">
        <v>367</v>
      </c>
    </row>
    <row r="246" spans="1:7" s="2" customFormat="1" ht="15" customHeight="1" x14ac:dyDescent="0.3">
      <c r="A246" s="53"/>
      <c r="B246" s="92"/>
      <c r="F246" s="35"/>
      <c r="G246" s="70"/>
    </row>
    <row r="247" spans="1:7" s="2" customFormat="1" ht="15.75" customHeight="1" x14ac:dyDescent="0.3">
      <c r="A247" s="35"/>
      <c r="B247" s="116" t="s">
        <v>280</v>
      </c>
      <c r="F247" s="604" t="s">
        <v>368</v>
      </c>
      <c r="G247" s="554" t="s">
        <v>151</v>
      </c>
    </row>
    <row r="248" spans="1:7" s="2" customFormat="1" ht="15.75" customHeight="1" x14ac:dyDescent="0.3">
      <c r="A248" s="53"/>
      <c r="B248" s="362" t="s">
        <v>3</v>
      </c>
      <c r="F248" s="35"/>
      <c r="G248" s="70"/>
    </row>
    <row r="249" spans="1:7" s="2" customFormat="1" ht="15.75" customHeight="1" x14ac:dyDescent="0.3">
      <c r="A249" s="35"/>
      <c r="B249" s="116" t="s">
        <v>281</v>
      </c>
      <c r="F249" s="604" t="s">
        <v>369</v>
      </c>
      <c r="G249" s="554" t="s">
        <v>166</v>
      </c>
    </row>
    <row r="250" spans="1:7" s="2" customFormat="1" ht="15" customHeight="1" x14ac:dyDescent="0.3">
      <c r="A250" s="53"/>
      <c r="B250" s="92"/>
      <c r="F250" s="35"/>
      <c r="G250" s="70"/>
    </row>
    <row r="251" spans="1:7" s="2" customFormat="1" ht="15.75" customHeight="1" x14ac:dyDescent="0.3">
      <c r="A251" s="35"/>
      <c r="B251" s="116" t="s">
        <v>282</v>
      </c>
      <c r="F251" s="604" t="s">
        <v>370</v>
      </c>
      <c r="G251" s="554" t="s">
        <v>183</v>
      </c>
    </row>
    <row r="252" spans="1:7" s="2" customFormat="1" ht="15.75" customHeight="1" x14ac:dyDescent="0.3">
      <c r="A252" s="35"/>
      <c r="B252" s="70" t="s">
        <v>3</v>
      </c>
      <c r="F252" s="35"/>
      <c r="G252" s="70"/>
    </row>
    <row r="253" spans="1:7" s="2" customFormat="1" ht="15.75" customHeight="1" x14ac:dyDescent="0.3">
      <c r="A253" s="35"/>
      <c r="B253" s="116" t="s">
        <v>283</v>
      </c>
      <c r="F253" s="604" t="s">
        <v>371</v>
      </c>
      <c r="G253" s="554" t="s">
        <v>199</v>
      </c>
    </row>
    <row r="254" spans="1:7" s="2" customFormat="1" ht="15.75" customHeight="1" x14ac:dyDescent="0.3">
      <c r="A254" s="35"/>
      <c r="B254" s="70"/>
      <c r="F254" s="35"/>
      <c r="G254" s="70"/>
    </row>
    <row r="255" spans="1:7" s="2" customFormat="1" ht="15.75" customHeight="1" x14ac:dyDescent="0.3">
      <c r="A255" s="376"/>
      <c r="B255" s="116" t="s">
        <v>40</v>
      </c>
      <c r="F255" s="620" t="s">
        <v>372</v>
      </c>
      <c r="G255" s="554" t="s">
        <v>344</v>
      </c>
    </row>
    <row r="256" spans="1:7" s="2" customFormat="1" ht="15.75" customHeight="1" x14ac:dyDescent="0.3">
      <c r="A256" s="33"/>
      <c r="B256" s="70"/>
      <c r="F256" s="35"/>
      <c r="G256" s="70"/>
    </row>
    <row r="257" spans="1:7" s="2" customFormat="1" ht="15.75" customHeight="1" x14ac:dyDescent="0.3">
      <c r="A257" s="376"/>
      <c r="B257" s="471" t="s">
        <v>284</v>
      </c>
      <c r="F257" s="620" t="s">
        <v>373</v>
      </c>
      <c r="G257" s="554" t="s">
        <v>208</v>
      </c>
    </row>
    <row r="258" spans="1:7" s="2" customFormat="1" ht="15.75" customHeight="1" x14ac:dyDescent="0.3">
      <c r="A258" s="376"/>
      <c r="B258" s="376"/>
      <c r="F258" s="376"/>
      <c r="G258" s="376"/>
    </row>
    <row r="259" spans="1:7" s="2" customFormat="1" ht="15.75" customHeight="1" x14ac:dyDescent="0.3">
      <c r="A259" s="376"/>
      <c r="B259" s="895" t="s">
        <v>539</v>
      </c>
      <c r="F259" s="894" t="s">
        <v>542</v>
      </c>
      <c r="G259" s="895" t="s">
        <v>539</v>
      </c>
    </row>
    <row r="260" spans="1:7" s="2" customFormat="1" ht="15.75" customHeight="1" x14ac:dyDescent="0.3">
      <c r="A260" s="33"/>
      <c r="B260" s="897"/>
      <c r="F260" s="896"/>
      <c r="G260" s="897"/>
    </row>
    <row r="261" spans="1:7" s="2" customFormat="1" ht="15.75" customHeight="1" x14ac:dyDescent="0.3">
      <c r="A261" s="376"/>
      <c r="B261" s="895" t="s">
        <v>541</v>
      </c>
      <c r="F261" s="894" t="s">
        <v>543</v>
      </c>
      <c r="G261" s="895" t="s">
        <v>541</v>
      </c>
    </row>
    <row r="262" spans="1:7" s="2" customFormat="1" ht="15.75" customHeight="1" x14ac:dyDescent="0.3">
      <c r="A262" s="377"/>
      <c r="B262" s="103"/>
    </row>
    <row r="263" spans="1:7" ht="15.6" x14ac:dyDescent="0.3">
      <c r="A263" s="107"/>
      <c r="B263" s="555" t="s">
        <v>287</v>
      </c>
      <c r="C263" s="643"/>
      <c r="D263" s="643"/>
      <c r="E263" s="643"/>
      <c r="F263" s="242" t="s">
        <v>374</v>
      </c>
      <c r="G263" s="555" t="s">
        <v>287</v>
      </c>
    </row>
    <row r="264" spans="1:7" ht="15.6" x14ac:dyDescent="0.3">
      <c r="A264" s="33"/>
      <c r="B264" s="83"/>
      <c r="F264" s="35"/>
    </row>
    <row r="265" spans="1:7" ht="15.6" x14ac:dyDescent="0.3">
      <c r="A265" s="33"/>
      <c r="B265" s="116" t="s">
        <v>278</v>
      </c>
      <c r="F265" s="604" t="s">
        <v>375</v>
      </c>
      <c r="G265" s="554" t="s">
        <v>376</v>
      </c>
    </row>
    <row r="266" spans="1:7" ht="15.6" x14ac:dyDescent="0.3">
      <c r="A266" s="33"/>
      <c r="B266" s="443"/>
      <c r="F266" s="35"/>
      <c r="G266" s="70"/>
    </row>
    <row r="267" spans="1:7" s="516" customFormat="1" ht="15.6" x14ac:dyDescent="0.3">
      <c r="A267" s="33"/>
      <c r="B267" s="116" t="s">
        <v>279</v>
      </c>
      <c r="F267" s="604" t="s">
        <v>377</v>
      </c>
      <c r="G267" s="605" t="s">
        <v>367</v>
      </c>
    </row>
    <row r="268" spans="1:7" ht="15.6" x14ac:dyDescent="0.3">
      <c r="A268" s="33"/>
      <c r="B268" s="443"/>
      <c r="F268" s="35"/>
      <c r="G268" s="70"/>
    </row>
    <row r="269" spans="1:7" s="516" customFormat="1" ht="15.6" x14ac:dyDescent="0.3">
      <c r="A269" s="33"/>
      <c r="B269" s="116" t="s">
        <v>280</v>
      </c>
      <c r="F269" s="604" t="s">
        <v>378</v>
      </c>
      <c r="G269" s="605" t="s">
        <v>151</v>
      </c>
    </row>
    <row r="270" spans="1:7" ht="15.6" x14ac:dyDescent="0.3">
      <c r="A270" s="33"/>
      <c r="B270" s="443"/>
      <c r="F270" s="35"/>
      <c r="G270" s="70"/>
    </row>
    <row r="271" spans="1:7" ht="15.6" x14ac:dyDescent="0.3">
      <c r="A271" s="33"/>
      <c r="B271" s="116" t="s">
        <v>281</v>
      </c>
      <c r="F271" s="604" t="s">
        <v>379</v>
      </c>
      <c r="G271" s="605" t="s">
        <v>166</v>
      </c>
    </row>
    <row r="272" spans="1:7" ht="15.6" x14ac:dyDescent="0.3">
      <c r="A272" s="33"/>
      <c r="B272" s="443"/>
      <c r="F272" s="35"/>
      <c r="G272" s="70"/>
    </row>
    <row r="273" spans="1:7" ht="15.6" x14ac:dyDescent="0.3">
      <c r="A273" s="33"/>
      <c r="B273" s="116" t="s">
        <v>282</v>
      </c>
      <c r="F273" s="604" t="s">
        <v>380</v>
      </c>
      <c r="G273" s="554" t="s">
        <v>183</v>
      </c>
    </row>
    <row r="274" spans="1:7" ht="15.6" x14ac:dyDescent="0.3">
      <c r="A274" s="90"/>
      <c r="B274" s="524"/>
      <c r="F274" s="35"/>
      <c r="G274" s="70"/>
    </row>
    <row r="275" spans="1:7" ht="15.6" x14ac:dyDescent="0.3">
      <c r="A275" s="33"/>
      <c r="B275" s="116" t="s">
        <v>283</v>
      </c>
      <c r="F275" s="604" t="s">
        <v>381</v>
      </c>
      <c r="G275" s="554" t="s">
        <v>199</v>
      </c>
    </row>
    <row r="276" spans="1:7" ht="15.6" x14ac:dyDescent="0.3">
      <c r="A276" s="33"/>
      <c r="B276" s="228"/>
      <c r="F276" s="35"/>
      <c r="G276" s="70"/>
    </row>
    <row r="277" spans="1:7" ht="15.6" x14ac:dyDescent="0.3">
      <c r="A277" s="33"/>
      <c r="B277" s="116" t="s">
        <v>40</v>
      </c>
      <c r="F277" s="604" t="s">
        <v>382</v>
      </c>
      <c r="G277" s="554" t="s">
        <v>344</v>
      </c>
    </row>
    <row r="278" spans="1:7" ht="15.6" x14ac:dyDescent="0.3">
      <c r="A278" s="33"/>
      <c r="B278" s="557"/>
      <c r="F278" s="35"/>
      <c r="G278" s="557"/>
    </row>
    <row r="279" spans="1:7" ht="15" customHeight="1" x14ac:dyDescent="0.3">
      <c r="A279" s="33"/>
      <c r="B279" s="471" t="s">
        <v>284</v>
      </c>
      <c r="F279" s="604" t="s">
        <v>383</v>
      </c>
      <c r="G279" s="634" t="s">
        <v>208</v>
      </c>
    </row>
    <row r="280" spans="1:7" ht="15" customHeight="1" x14ac:dyDescent="0.3">
      <c r="A280" s="33"/>
      <c r="B280" s="33"/>
      <c r="F280" s="33"/>
      <c r="G280" s="33"/>
    </row>
    <row r="281" spans="1:7" ht="15" customHeight="1" x14ac:dyDescent="0.3">
      <c r="A281" s="33"/>
      <c r="B281" s="895" t="s">
        <v>539</v>
      </c>
      <c r="F281" s="894" t="s">
        <v>544</v>
      </c>
      <c r="G281" s="895" t="s">
        <v>539</v>
      </c>
    </row>
    <row r="282" spans="1:7" ht="15" customHeight="1" x14ac:dyDescent="0.3">
      <c r="A282" s="560"/>
      <c r="B282" s="146"/>
    </row>
    <row r="283" spans="1:7" ht="15" customHeight="1" x14ac:dyDescent="0.3">
      <c r="A283" s="536" t="s">
        <v>288</v>
      </c>
      <c r="B283" s="568" t="s">
        <v>289</v>
      </c>
      <c r="C283" s="643"/>
      <c r="D283" s="643"/>
      <c r="E283" s="643"/>
      <c r="F283" s="601" t="s">
        <v>288</v>
      </c>
      <c r="G283" s="568" t="s">
        <v>289</v>
      </c>
    </row>
    <row r="284" spans="1:7" ht="15" customHeight="1" x14ac:dyDescent="0.3">
      <c r="A284" s="33"/>
      <c r="B284" s="569"/>
      <c r="F284" s="35"/>
      <c r="G284" s="569"/>
    </row>
    <row r="285" spans="1:7" ht="15" customHeight="1" x14ac:dyDescent="0.3">
      <c r="A285" s="570"/>
      <c r="B285" s="571" t="s">
        <v>291</v>
      </c>
      <c r="C285" s="643"/>
      <c r="D285" s="643"/>
      <c r="E285" s="643"/>
      <c r="F285" s="242" t="s">
        <v>384</v>
      </c>
      <c r="G285" s="571" t="s">
        <v>291</v>
      </c>
    </row>
    <row r="286" spans="1:7" ht="15" customHeight="1" x14ac:dyDescent="0.3">
      <c r="A286" s="33"/>
      <c r="B286" s="524"/>
    </row>
    <row r="287" spans="1:7" ht="15" customHeight="1" x14ac:dyDescent="0.3">
      <c r="A287" s="33"/>
      <c r="B287" s="471" t="s">
        <v>292</v>
      </c>
      <c r="F287" s="604" t="s">
        <v>385</v>
      </c>
      <c r="G287" s="554" t="s">
        <v>292</v>
      </c>
    </row>
    <row r="288" spans="1:7" ht="15" customHeight="1" x14ac:dyDescent="0.3">
      <c r="A288" s="33"/>
      <c r="B288" s="92"/>
      <c r="F288" s="602"/>
      <c r="G288" s="557"/>
    </row>
    <row r="289" spans="1:7" ht="15" customHeight="1" x14ac:dyDescent="0.3">
      <c r="A289" s="33"/>
      <c r="B289" s="92"/>
      <c r="C289" s="644"/>
      <c r="D289" s="644"/>
      <c r="E289" s="644"/>
      <c r="F289" s="604" t="s">
        <v>386</v>
      </c>
      <c r="G289" s="554" t="s">
        <v>387</v>
      </c>
    </row>
    <row r="290" spans="1:7" s="2" customFormat="1" ht="15" customHeight="1" x14ac:dyDescent="0.25">
      <c r="A290" s="51"/>
      <c r="B290" s="471" t="s">
        <v>418</v>
      </c>
      <c r="F290" s="53"/>
      <c r="G290" s="608" t="s">
        <v>393</v>
      </c>
    </row>
    <row r="291" spans="1:7" s="2" customFormat="1" ht="15" customHeight="1" x14ac:dyDescent="0.25">
      <c r="A291" s="51"/>
      <c r="B291" s="471" t="s">
        <v>294</v>
      </c>
      <c r="F291" s="53"/>
      <c r="G291" s="608" t="s">
        <v>389</v>
      </c>
    </row>
    <row r="292" spans="1:7" s="2" customFormat="1" ht="15" customHeight="1" x14ac:dyDescent="0.25">
      <c r="A292" s="51"/>
      <c r="B292" s="92"/>
    </row>
    <row r="293" spans="1:7" s="2" customFormat="1" ht="15" customHeight="1" x14ac:dyDescent="0.3">
      <c r="A293" s="51"/>
      <c r="B293" s="92"/>
      <c r="C293" s="661"/>
      <c r="D293" s="661"/>
      <c r="E293" s="661"/>
      <c r="F293" s="604" t="s">
        <v>390</v>
      </c>
      <c r="G293" s="554" t="s">
        <v>391</v>
      </c>
    </row>
    <row r="294" spans="1:7" s="2" customFormat="1" ht="15" customHeight="1" x14ac:dyDescent="0.3">
      <c r="A294" s="51"/>
      <c r="B294" s="92"/>
      <c r="C294" s="661"/>
      <c r="D294" s="661"/>
      <c r="E294" s="661"/>
      <c r="F294" s="35"/>
      <c r="G294" s="608" t="s">
        <v>392</v>
      </c>
    </row>
    <row r="295" spans="1:7" ht="15" customHeight="1" x14ac:dyDescent="0.3">
      <c r="A295" s="33"/>
      <c r="B295" s="471" t="s">
        <v>295</v>
      </c>
      <c r="F295" s="35"/>
      <c r="G295" s="609" t="s">
        <v>393</v>
      </c>
    </row>
    <row r="296" spans="1:7" ht="15" customHeight="1" x14ac:dyDescent="0.3">
      <c r="A296" s="33"/>
      <c r="B296" s="471" t="s">
        <v>296</v>
      </c>
      <c r="F296" s="35"/>
      <c r="G296" s="609" t="s">
        <v>389</v>
      </c>
    </row>
    <row r="297" spans="1:7" ht="15" customHeight="1" x14ac:dyDescent="0.3">
      <c r="A297" s="33"/>
      <c r="B297" s="662"/>
    </row>
    <row r="298" spans="1:7" ht="15" customHeight="1" x14ac:dyDescent="0.3">
      <c r="A298" s="33"/>
      <c r="B298" s="573" t="s">
        <v>297</v>
      </c>
      <c r="F298" s="35"/>
      <c r="G298" s="608" t="s">
        <v>297</v>
      </c>
    </row>
    <row r="299" spans="1:7" ht="15" customHeight="1" x14ac:dyDescent="0.3">
      <c r="A299" s="33"/>
      <c r="B299" s="557"/>
    </row>
    <row r="300" spans="1:7" ht="15" customHeight="1" x14ac:dyDescent="0.3">
      <c r="A300" s="570"/>
      <c r="B300" s="571" t="s">
        <v>284</v>
      </c>
      <c r="C300" s="643"/>
      <c r="D300" s="643"/>
      <c r="E300" s="643"/>
      <c r="F300" s="242" t="s">
        <v>394</v>
      </c>
      <c r="G300" s="571" t="s">
        <v>284</v>
      </c>
    </row>
    <row r="301" spans="1:7" ht="15" customHeight="1" x14ac:dyDescent="0.3">
      <c r="A301" s="33"/>
      <c r="B301" s="524"/>
    </row>
    <row r="302" spans="1:7" ht="15" customHeight="1" x14ac:dyDescent="0.3">
      <c r="A302" s="33"/>
      <c r="B302" s="471" t="s">
        <v>292</v>
      </c>
      <c r="F302" s="604" t="s">
        <v>395</v>
      </c>
      <c r="G302" s="554" t="s">
        <v>292</v>
      </c>
    </row>
    <row r="303" spans="1:7" ht="15" customHeight="1" x14ac:dyDescent="0.3">
      <c r="A303" s="33"/>
      <c r="B303" s="92"/>
      <c r="F303" s="602"/>
      <c r="G303" s="557"/>
    </row>
    <row r="304" spans="1:7" ht="15" customHeight="1" x14ac:dyDescent="0.3">
      <c r="A304" s="33"/>
      <c r="B304" s="92"/>
      <c r="C304" s="644"/>
      <c r="D304" s="644"/>
      <c r="E304" s="644"/>
      <c r="F304" s="604" t="s">
        <v>396</v>
      </c>
      <c r="G304" s="554" t="s">
        <v>387</v>
      </c>
    </row>
    <row r="305" spans="1:7" s="2" customFormat="1" ht="15" customHeight="1" x14ac:dyDescent="0.25">
      <c r="A305" s="51"/>
      <c r="B305" s="471" t="s">
        <v>418</v>
      </c>
      <c r="F305" s="53"/>
      <c r="G305" s="608" t="s">
        <v>393</v>
      </c>
    </row>
    <row r="306" spans="1:7" s="2" customFormat="1" ht="15" customHeight="1" x14ac:dyDescent="0.25">
      <c r="A306" s="51"/>
      <c r="B306" s="471" t="s">
        <v>294</v>
      </c>
      <c r="F306" s="53"/>
      <c r="G306" s="608" t="s">
        <v>389</v>
      </c>
    </row>
    <row r="307" spans="1:7" s="2" customFormat="1" ht="15" customHeight="1" x14ac:dyDescent="0.25">
      <c r="A307" s="51"/>
      <c r="B307" s="92"/>
    </row>
    <row r="308" spans="1:7" s="2" customFormat="1" ht="15" customHeight="1" x14ac:dyDescent="0.3">
      <c r="A308" s="51"/>
      <c r="B308" s="92"/>
      <c r="C308" s="661"/>
      <c r="D308" s="661"/>
      <c r="E308" s="661"/>
      <c r="F308" s="604" t="s">
        <v>397</v>
      </c>
      <c r="G308" s="554" t="s">
        <v>391</v>
      </c>
    </row>
    <row r="309" spans="1:7" s="2" customFormat="1" ht="15" customHeight="1" x14ac:dyDescent="0.3">
      <c r="A309" s="51"/>
      <c r="B309" s="92"/>
      <c r="C309" s="661"/>
      <c r="D309" s="661"/>
      <c r="E309" s="661"/>
      <c r="F309" s="35"/>
      <c r="G309" s="608" t="s">
        <v>392</v>
      </c>
    </row>
    <row r="310" spans="1:7" ht="15" customHeight="1" x14ac:dyDescent="0.3">
      <c r="A310" s="33"/>
      <c r="B310" s="471" t="s">
        <v>295</v>
      </c>
      <c r="F310" s="35"/>
      <c r="G310" s="609" t="s">
        <v>393</v>
      </c>
    </row>
    <row r="311" spans="1:7" ht="15" customHeight="1" x14ac:dyDescent="0.3">
      <c r="A311" s="33"/>
      <c r="B311" s="471" t="s">
        <v>296</v>
      </c>
      <c r="F311" s="35"/>
      <c r="G311" s="609" t="s">
        <v>389</v>
      </c>
    </row>
    <row r="312" spans="1:7" ht="15" customHeight="1" x14ac:dyDescent="0.3">
      <c r="A312" s="33"/>
      <c r="B312" s="662"/>
    </row>
    <row r="313" spans="1:7" ht="15" customHeight="1" x14ac:dyDescent="0.3">
      <c r="A313" s="33"/>
      <c r="B313" s="573" t="s">
        <v>297</v>
      </c>
      <c r="F313" s="35"/>
      <c r="G313" s="608" t="s">
        <v>297</v>
      </c>
    </row>
    <row r="314" spans="1:7" ht="15" customHeight="1" x14ac:dyDescent="0.3">
      <c r="A314" s="33"/>
      <c r="B314" s="557"/>
    </row>
    <row r="315" spans="1:7" ht="15" customHeight="1" x14ac:dyDescent="0.3">
      <c r="A315" s="570"/>
      <c r="B315" s="571" t="s">
        <v>298</v>
      </c>
      <c r="C315" s="643"/>
      <c r="D315" s="643"/>
      <c r="E315" s="643"/>
      <c r="F315" s="242" t="s">
        <v>398</v>
      </c>
      <c r="G315" s="571" t="s">
        <v>298</v>
      </c>
    </row>
    <row r="316" spans="1:7" ht="15" customHeight="1" x14ac:dyDescent="0.3">
      <c r="A316" s="33"/>
      <c r="B316" s="524"/>
    </row>
    <row r="317" spans="1:7" ht="15" customHeight="1" x14ac:dyDescent="0.3">
      <c r="A317" s="33"/>
      <c r="B317" s="471" t="s">
        <v>292</v>
      </c>
      <c r="C317" s="643"/>
      <c r="D317" s="643"/>
      <c r="E317" s="643"/>
      <c r="F317" s="604" t="s">
        <v>399</v>
      </c>
      <c r="G317" s="554" t="s">
        <v>292</v>
      </c>
    </row>
    <row r="318" spans="1:7" ht="15" customHeight="1" x14ac:dyDescent="0.3">
      <c r="A318" s="33"/>
      <c r="B318" s="92"/>
      <c r="F318" s="602"/>
      <c r="G318" s="557"/>
    </row>
    <row r="319" spans="1:7" ht="15" customHeight="1" x14ac:dyDescent="0.3">
      <c r="A319" s="33"/>
      <c r="B319" s="92"/>
      <c r="C319" s="644"/>
      <c r="D319" s="644"/>
      <c r="E319" s="644"/>
      <c r="F319" s="604" t="s">
        <v>400</v>
      </c>
      <c r="G319" s="554" t="s">
        <v>387</v>
      </c>
    </row>
    <row r="320" spans="1:7" s="2" customFormat="1" ht="15" customHeight="1" x14ac:dyDescent="0.25">
      <c r="A320" s="51"/>
      <c r="B320" s="471" t="s">
        <v>418</v>
      </c>
      <c r="F320" s="53"/>
      <c r="G320" s="608" t="s">
        <v>393</v>
      </c>
    </row>
    <row r="321" spans="1:7" s="2" customFormat="1" ht="15" customHeight="1" x14ac:dyDescent="0.25">
      <c r="A321" s="51"/>
      <c r="B321" s="471" t="s">
        <v>294</v>
      </c>
      <c r="F321" s="53"/>
      <c r="G321" s="608" t="s">
        <v>389</v>
      </c>
    </row>
    <row r="322" spans="1:7" s="2" customFormat="1" ht="15" customHeight="1" x14ac:dyDescent="0.25">
      <c r="A322" s="51"/>
      <c r="B322" s="92"/>
    </row>
    <row r="323" spans="1:7" s="2" customFormat="1" ht="15" customHeight="1" x14ac:dyDescent="0.3">
      <c r="A323" s="51"/>
      <c r="B323" s="92"/>
      <c r="C323" s="661"/>
      <c r="D323" s="661"/>
      <c r="E323" s="661"/>
      <c r="F323" s="604" t="s">
        <v>401</v>
      </c>
      <c r="G323" s="554" t="s">
        <v>391</v>
      </c>
    </row>
    <row r="324" spans="1:7" s="2" customFormat="1" ht="15" customHeight="1" x14ac:dyDescent="0.3">
      <c r="A324" s="51"/>
      <c r="B324" s="92"/>
      <c r="C324" s="661"/>
      <c r="D324" s="661"/>
      <c r="E324" s="661"/>
      <c r="F324" s="35"/>
      <c r="G324" s="608" t="s">
        <v>392</v>
      </c>
    </row>
    <row r="325" spans="1:7" ht="15" customHeight="1" x14ac:dyDescent="0.3">
      <c r="A325" s="33"/>
      <c r="B325" s="471" t="s">
        <v>295</v>
      </c>
      <c r="F325" s="35"/>
      <c r="G325" s="609" t="s">
        <v>393</v>
      </c>
    </row>
    <row r="326" spans="1:7" ht="15" customHeight="1" x14ac:dyDescent="0.3">
      <c r="A326" s="33"/>
      <c r="B326" s="471" t="s">
        <v>296</v>
      </c>
      <c r="F326" s="35"/>
      <c r="G326" s="609" t="s">
        <v>389</v>
      </c>
    </row>
    <row r="327" spans="1:7" ht="15" customHeight="1" x14ac:dyDescent="0.3">
      <c r="A327" s="33"/>
      <c r="B327" s="662"/>
    </row>
    <row r="328" spans="1:7" ht="15" customHeight="1" x14ac:dyDescent="0.3">
      <c r="A328" s="33"/>
      <c r="B328" s="573" t="s">
        <v>297</v>
      </c>
      <c r="F328" s="35"/>
      <c r="G328" s="608" t="s">
        <v>297</v>
      </c>
    </row>
    <row r="329" spans="1:7" ht="15" customHeight="1" x14ac:dyDescent="0.3">
      <c r="A329" s="33"/>
      <c r="B329" s="557"/>
    </row>
    <row r="330" spans="1:7" ht="15" customHeight="1" x14ac:dyDescent="0.3">
      <c r="A330" s="536" t="s">
        <v>299</v>
      </c>
      <c r="B330" s="576" t="s">
        <v>300</v>
      </c>
      <c r="C330" s="643"/>
      <c r="D330" s="643"/>
      <c r="E330" s="643"/>
      <c r="F330" s="601" t="s">
        <v>299</v>
      </c>
      <c r="G330" s="576" t="s">
        <v>300</v>
      </c>
    </row>
    <row r="331" spans="1:7" ht="15" customHeight="1" x14ac:dyDescent="0.3">
      <c r="A331" s="33"/>
      <c r="B331" s="103"/>
      <c r="F331" s="35"/>
      <c r="G331" s="103"/>
    </row>
    <row r="332" spans="1:7" ht="15" customHeight="1" x14ac:dyDescent="0.3">
      <c r="A332" s="570"/>
      <c r="B332" s="487" t="s">
        <v>301</v>
      </c>
      <c r="C332" s="643"/>
      <c r="D332" s="643"/>
      <c r="E332" s="643"/>
      <c r="F332" s="242" t="s">
        <v>402</v>
      </c>
      <c r="G332" s="487" t="s">
        <v>301</v>
      </c>
    </row>
    <row r="333" spans="1:7" ht="15" customHeight="1" x14ac:dyDescent="0.3">
      <c r="A333" s="33"/>
      <c r="B333" s="471" t="s">
        <v>302</v>
      </c>
      <c r="F333" s="604" t="s">
        <v>403</v>
      </c>
      <c r="G333" s="554" t="s">
        <v>302</v>
      </c>
    </row>
    <row r="334" spans="1:7" ht="15" customHeight="1" x14ac:dyDescent="0.3">
      <c r="A334" s="33"/>
      <c r="B334" s="471" t="s">
        <v>303</v>
      </c>
      <c r="F334" s="604" t="s">
        <v>404</v>
      </c>
      <c r="G334" s="554" t="s">
        <v>303</v>
      </c>
    </row>
    <row r="335" spans="1:7" ht="15" customHeight="1" x14ac:dyDescent="0.3">
      <c r="A335" s="33"/>
      <c r="B335" s="471" t="s">
        <v>304</v>
      </c>
      <c r="F335" s="604" t="s">
        <v>405</v>
      </c>
      <c r="G335" s="554" t="s">
        <v>304</v>
      </c>
    </row>
    <row r="336" spans="1:7" ht="15" customHeight="1" x14ac:dyDescent="0.3">
      <c r="A336" s="33"/>
      <c r="B336" s="92"/>
      <c r="F336" s="35"/>
      <c r="G336" s="92"/>
    </row>
    <row r="337" spans="1:7" ht="15" customHeight="1" x14ac:dyDescent="0.3">
      <c r="A337" s="570"/>
      <c r="B337" s="487" t="s">
        <v>305</v>
      </c>
      <c r="C337" s="643"/>
      <c r="D337" s="643"/>
      <c r="E337" s="643"/>
      <c r="F337" s="242" t="s">
        <v>406</v>
      </c>
      <c r="G337" s="487" t="s">
        <v>305</v>
      </c>
    </row>
    <row r="338" spans="1:7" ht="15" customHeight="1" x14ac:dyDescent="0.3">
      <c r="A338" s="33"/>
      <c r="B338" s="471" t="s">
        <v>303</v>
      </c>
      <c r="F338" s="604" t="s">
        <v>407</v>
      </c>
      <c r="G338" s="554" t="s">
        <v>303</v>
      </c>
    </row>
    <row r="339" spans="1:7" ht="15" customHeight="1" x14ac:dyDescent="0.3">
      <c r="A339" s="33"/>
      <c r="B339" s="471" t="s">
        <v>304</v>
      </c>
      <c r="F339" s="604" t="s">
        <v>408</v>
      </c>
      <c r="G339" s="554" t="s">
        <v>304</v>
      </c>
    </row>
    <row r="340" spans="1:7" ht="15" customHeight="1" x14ac:dyDescent="0.3">
      <c r="A340" s="33"/>
      <c r="B340" s="103"/>
      <c r="F340" s="35"/>
      <c r="G340" s="103"/>
    </row>
    <row r="341" spans="1:7" ht="15" customHeight="1" x14ac:dyDescent="0.3">
      <c r="A341" s="570"/>
      <c r="B341" s="487" t="s">
        <v>306</v>
      </c>
      <c r="C341" s="643"/>
      <c r="D341" s="643"/>
      <c r="E341" s="643"/>
      <c r="F341" s="242" t="s">
        <v>409</v>
      </c>
      <c r="G341" s="487" t="s">
        <v>306</v>
      </c>
    </row>
    <row r="342" spans="1:7" ht="15" customHeight="1" x14ac:dyDescent="0.25">
      <c r="A342" s="75"/>
      <c r="B342" s="92"/>
    </row>
    <row r="343" spans="1:7" ht="15" customHeight="1" x14ac:dyDescent="0.3">
      <c r="A343" s="75"/>
      <c r="B343" s="899" t="s">
        <v>546</v>
      </c>
      <c r="F343" s="898" t="s">
        <v>545</v>
      </c>
      <c r="G343" s="899" t="s">
        <v>546</v>
      </c>
    </row>
    <row r="344" spans="1:7" ht="15" customHeight="1" x14ac:dyDescent="0.3">
      <c r="A344" s="75"/>
      <c r="B344" s="895" t="s">
        <v>303</v>
      </c>
      <c r="F344" s="894" t="s">
        <v>547</v>
      </c>
      <c r="G344" s="895" t="s">
        <v>303</v>
      </c>
    </row>
    <row r="345" spans="1:7" ht="15" customHeight="1" x14ac:dyDescent="0.3">
      <c r="A345" s="75"/>
      <c r="B345" s="895" t="s">
        <v>304</v>
      </c>
      <c r="F345" s="894" t="s">
        <v>548</v>
      </c>
      <c r="G345" s="895" t="s">
        <v>304</v>
      </c>
    </row>
    <row r="346" spans="1:7" ht="15.6" x14ac:dyDescent="0.3">
      <c r="F346" s="35"/>
    </row>
    <row r="347" spans="1:7" ht="15.6" x14ac:dyDescent="0.3">
      <c r="F347" s="35"/>
    </row>
    <row r="348" spans="1:7" ht="15.6" x14ac:dyDescent="0.3">
      <c r="F348" s="35"/>
    </row>
    <row r="349" spans="1:7" ht="15.6" x14ac:dyDescent="0.3">
      <c r="F349" s="35"/>
      <c r="G349" s="557"/>
    </row>
    <row r="351" spans="1:7" ht="15.6" x14ac:dyDescent="0.3">
      <c r="F351" s="35"/>
      <c r="G351" s="524"/>
    </row>
    <row r="352" spans="1:7" ht="15.6" x14ac:dyDescent="0.3">
      <c r="F352" s="35"/>
      <c r="G352" s="103"/>
    </row>
    <row r="353" spans="6:7" ht="15.6" x14ac:dyDescent="0.3">
      <c r="F353" s="35"/>
      <c r="G353" s="103"/>
    </row>
    <row r="354" spans="6:7" ht="15.6" x14ac:dyDescent="0.3">
      <c r="F354" s="35"/>
      <c r="G354" s="103"/>
    </row>
    <row r="355" spans="6:7" ht="15.6" x14ac:dyDescent="0.3">
      <c r="F355" s="35"/>
    </row>
    <row r="356" spans="6:7" ht="15.6" x14ac:dyDescent="0.3">
      <c r="F356" s="35"/>
    </row>
    <row r="357" spans="6:7" ht="15.6" x14ac:dyDescent="0.3">
      <c r="F357" s="35"/>
      <c r="G357" s="103"/>
    </row>
    <row r="358" spans="6:7" ht="15.6" x14ac:dyDescent="0.3">
      <c r="F358" s="35"/>
    </row>
    <row r="359" spans="6:7" ht="15.6" x14ac:dyDescent="0.3">
      <c r="F359" s="35"/>
    </row>
    <row r="360" spans="6:7" ht="15.6" x14ac:dyDescent="0.3">
      <c r="F360" s="35"/>
    </row>
    <row r="361" spans="6:7" ht="15.6" x14ac:dyDescent="0.3">
      <c r="F361" s="35"/>
    </row>
    <row r="362" spans="6:7" ht="15.6" x14ac:dyDescent="0.3">
      <c r="F362" s="35"/>
      <c r="G362" s="103"/>
    </row>
    <row r="375" spans="6:7" ht="15" x14ac:dyDescent="0.25">
      <c r="F375" s="635"/>
      <c r="G375" s="92"/>
    </row>
    <row r="376" spans="6:7" ht="15.6" x14ac:dyDescent="0.3">
      <c r="F376" s="635"/>
      <c r="G376" s="140"/>
    </row>
    <row r="377" spans="6:7" ht="15.6" x14ac:dyDescent="0.3">
      <c r="F377" s="635"/>
      <c r="G377" s="140"/>
    </row>
    <row r="378" spans="6:7" ht="15.6" x14ac:dyDescent="0.3">
      <c r="F378" s="635"/>
      <c r="G378" s="140"/>
    </row>
    <row r="379" spans="6:7" ht="15.6" x14ac:dyDescent="0.3">
      <c r="F379" s="635"/>
      <c r="G379" s="140"/>
    </row>
    <row r="380" spans="6:7" ht="15.6" x14ac:dyDescent="0.3">
      <c r="F380" s="635"/>
      <c r="G380" s="140"/>
    </row>
    <row r="381" spans="6:7" ht="15.6" x14ac:dyDescent="0.3">
      <c r="F381" s="635"/>
      <c r="G381" s="140"/>
    </row>
    <row r="382" spans="6:7" ht="15.6" x14ac:dyDescent="0.3">
      <c r="F382" s="28"/>
      <c r="G382" s="580"/>
    </row>
    <row r="383" spans="6:7" x14ac:dyDescent="0.25">
      <c r="F383" s="638"/>
      <c r="G383" s="587"/>
    </row>
    <row r="384" spans="6:7" x14ac:dyDescent="0.25">
      <c r="G384" s="197"/>
    </row>
    <row r="387" spans="6:7" x14ac:dyDescent="0.25">
      <c r="G387" s="2"/>
    </row>
    <row r="388" spans="6:7" x14ac:dyDescent="0.25">
      <c r="G388" s="2"/>
    </row>
    <row r="389" spans="6:7" x14ac:dyDescent="0.25">
      <c r="F389" s="639"/>
      <c r="G389" s="197"/>
    </row>
    <row r="390" spans="6:7" x14ac:dyDescent="0.25">
      <c r="G390" s="2"/>
    </row>
    <row r="391" spans="6:7" x14ac:dyDescent="0.25">
      <c r="G391" s="2"/>
    </row>
    <row r="392" spans="6:7" x14ac:dyDescent="0.25">
      <c r="G392" s="2"/>
    </row>
    <row r="393" spans="6:7" x14ac:dyDescent="0.25">
      <c r="G393" s="2"/>
    </row>
    <row r="394" spans="6:7" x14ac:dyDescent="0.25">
      <c r="G394" s="197"/>
    </row>
    <row r="395" spans="6:7" x14ac:dyDescent="0.25">
      <c r="G395" s="2"/>
    </row>
    <row r="396" spans="6:7" x14ac:dyDescent="0.25">
      <c r="G396" s="2"/>
    </row>
    <row r="397" spans="6:7" x14ac:dyDescent="0.25">
      <c r="F397" s="639"/>
      <c r="G397" s="197"/>
    </row>
    <row r="399" spans="6:7" ht="14.4" x14ac:dyDescent="0.3">
      <c r="G399" s="599"/>
    </row>
    <row r="405" spans="7:7" x14ac:dyDescent="0.25">
      <c r="G405" s="197"/>
    </row>
    <row r="406" spans="7:7" x14ac:dyDescent="0.25">
      <c r="G406" s="2"/>
    </row>
    <row r="407" spans="7:7" x14ac:dyDescent="0.25">
      <c r="G407" s="2"/>
    </row>
    <row r="408" spans="7:7" x14ac:dyDescent="0.25">
      <c r="G408" s="2"/>
    </row>
    <row r="409" spans="7:7" x14ac:dyDescent="0.25">
      <c r="G409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367"/>
  <sheetViews>
    <sheetView topLeftCell="B13" zoomScale="55" zoomScaleNormal="55" workbookViewId="0">
      <selection activeCell="W169" sqref="W169"/>
    </sheetView>
  </sheetViews>
  <sheetFormatPr defaultColWidth="8.44140625" defaultRowHeight="13.2" x14ac:dyDescent="0.25"/>
  <cols>
    <col min="1" max="1" width="17.33203125" customWidth="1"/>
    <col min="2" max="2" width="63" customWidth="1"/>
    <col min="3" max="6" width="9.6640625" hidden="1" customWidth="1"/>
    <col min="7" max="10" width="9.6640625" customWidth="1"/>
    <col min="11" max="11" width="10.33203125" customWidth="1"/>
    <col min="21" max="21" width="9.33203125" customWidth="1"/>
  </cols>
  <sheetData>
    <row r="1" spans="1:30" ht="15.6" x14ac:dyDescent="0.3">
      <c r="A1" s="6" t="s">
        <v>0</v>
      </c>
      <c r="B1" s="6"/>
      <c r="C1" s="6">
        <f>OHJELMOINTINÄKYMÄ!C1</f>
        <v>0</v>
      </c>
      <c r="D1" s="6"/>
      <c r="E1" s="6"/>
      <c r="F1" s="6"/>
      <c r="G1" s="2"/>
      <c r="H1" s="8"/>
      <c r="I1" s="8"/>
    </row>
    <row r="2" spans="1:30" ht="15.6" x14ac:dyDescent="0.3">
      <c r="A2" s="6" t="s">
        <v>419</v>
      </c>
      <c r="B2" s="6"/>
      <c r="C2" s="6"/>
      <c r="D2" s="6"/>
      <c r="E2" s="6"/>
      <c r="F2" s="6"/>
      <c r="G2" s="6"/>
      <c r="H2" s="6"/>
      <c r="I2" s="6"/>
    </row>
    <row r="3" spans="1:30" ht="15.6" x14ac:dyDescent="0.3">
      <c r="A3" s="6" t="s">
        <v>420</v>
      </c>
      <c r="B3" s="6"/>
      <c r="C3" s="14" t="str">
        <f>OHJELMOINTINÄKYMÄ!C3</f>
        <v xml:space="preserve"> </v>
      </c>
      <c r="D3" s="14"/>
      <c r="E3" s="6"/>
      <c r="F3" s="6"/>
      <c r="G3" s="2"/>
      <c r="H3" s="16"/>
      <c r="I3" s="15"/>
      <c r="L3" s="2" t="s">
        <v>421</v>
      </c>
    </row>
    <row r="4" spans="1:30" ht="15.6" x14ac:dyDescent="0.3">
      <c r="A4" s="22"/>
      <c r="B4" s="22"/>
      <c r="C4" s="22"/>
      <c r="D4" s="22"/>
      <c r="E4" s="22"/>
      <c r="F4" s="22"/>
      <c r="G4" s="663"/>
      <c r="H4" s="664"/>
      <c r="I4" s="664"/>
    </row>
    <row r="5" spans="1:30" ht="17.399999999999999" x14ac:dyDescent="0.3">
      <c r="A5" s="665" t="s">
        <v>422</v>
      </c>
      <c r="B5" s="22"/>
      <c r="C5" s="22"/>
      <c r="D5" s="22"/>
      <c r="E5" s="22"/>
      <c r="F5" s="22"/>
      <c r="G5" s="22"/>
      <c r="H5" s="664"/>
      <c r="I5" s="664"/>
      <c r="K5" s="666"/>
      <c r="O5" s="7"/>
      <c r="U5" s="667">
        <v>43595</v>
      </c>
    </row>
    <row r="6" spans="1:30" ht="15.6" x14ac:dyDescent="0.3">
      <c r="A6" s="557" t="s">
        <v>423</v>
      </c>
      <c r="B6" s="668"/>
      <c r="C6" s="22"/>
      <c r="D6" s="22"/>
      <c r="E6" s="22"/>
      <c r="F6" s="22"/>
      <c r="G6" s="22"/>
      <c r="H6" s="664"/>
      <c r="I6" s="664"/>
    </row>
    <row r="7" spans="1:30" ht="15.6" x14ac:dyDescent="0.3">
      <c r="A7" s="557"/>
      <c r="B7" s="6"/>
      <c r="C7" s="22"/>
      <c r="D7" s="22"/>
      <c r="E7" s="22"/>
      <c r="F7" s="22"/>
      <c r="G7" s="22"/>
      <c r="H7" s="664"/>
      <c r="I7" s="669"/>
      <c r="J7" s="670"/>
      <c r="L7" s="2" t="s">
        <v>3</v>
      </c>
    </row>
    <row r="8" spans="1:30" ht="15.6" x14ac:dyDescent="0.3">
      <c r="A8" s="24" t="s">
        <v>6</v>
      </c>
      <c r="B8" s="25"/>
      <c r="C8" s="671" t="s">
        <v>7</v>
      </c>
      <c r="D8" s="28" t="s">
        <v>7</v>
      </c>
      <c r="E8" s="671" t="s">
        <v>7</v>
      </c>
      <c r="F8" s="672" t="s">
        <v>424</v>
      </c>
      <c r="G8" s="671" t="s">
        <v>7</v>
      </c>
      <c r="H8" s="28" t="s">
        <v>7</v>
      </c>
      <c r="I8" s="672" t="s">
        <v>7</v>
      </c>
      <c r="J8" s="671" t="s">
        <v>7</v>
      </c>
      <c r="K8" s="672" t="s">
        <v>7</v>
      </c>
      <c r="L8" s="673" t="s">
        <v>7</v>
      </c>
      <c r="M8" s="671" t="s">
        <v>8</v>
      </c>
      <c r="N8" s="674" t="s">
        <v>9</v>
      </c>
      <c r="O8" s="671" t="s">
        <v>10</v>
      </c>
      <c r="P8" s="671" t="s">
        <v>10</v>
      </c>
      <c r="Q8" s="671" t="s">
        <v>425</v>
      </c>
      <c r="R8" s="671" t="s">
        <v>425</v>
      </c>
      <c r="S8" s="671" t="s">
        <v>425</v>
      </c>
      <c r="T8" s="671" t="s">
        <v>425</v>
      </c>
      <c r="U8" s="671" t="s">
        <v>425</v>
      </c>
      <c r="V8" s="671" t="s">
        <v>425</v>
      </c>
    </row>
    <row r="9" spans="1:30" ht="21" x14ac:dyDescent="0.4">
      <c r="A9" s="33" t="s">
        <v>12</v>
      </c>
      <c r="B9" s="34" t="s">
        <v>426</v>
      </c>
      <c r="C9" s="675">
        <f>OHJELMOINTINÄKYMÄ!C7</f>
        <v>2010</v>
      </c>
      <c r="D9" s="675">
        <f>OHJELMOINTINÄKYMÄ!D7</f>
        <v>2011</v>
      </c>
      <c r="E9" s="675">
        <f>OHJELMOINTINÄKYMÄ!E7</f>
        <v>2012</v>
      </c>
      <c r="F9" s="675">
        <f>OHJELMOINTINÄKYMÄ!F7</f>
        <v>2013</v>
      </c>
      <c r="G9" s="675">
        <f>OHJELMOINTINÄKYMÄ!G7</f>
        <v>2014</v>
      </c>
      <c r="H9" s="35">
        <f>OHJELMOINTINÄKYMÄ!H7</f>
        <v>2015</v>
      </c>
      <c r="I9" s="624">
        <f>OHJELMOINTINÄKYMÄ!I7</f>
        <v>2016</v>
      </c>
      <c r="J9" s="675">
        <f>OHJELMOINTINÄKYMÄ!J7</f>
        <v>2017</v>
      </c>
      <c r="K9" s="624">
        <f>OHJELMOINTINÄKYMÄ!K7</f>
        <v>2018</v>
      </c>
      <c r="L9" s="676">
        <f>OHJELMOINTINÄKYMÄ!L7</f>
        <v>2019</v>
      </c>
      <c r="M9" s="675">
        <f>OHJELMOINTINÄKYMÄ!M7</f>
        <v>2020</v>
      </c>
      <c r="N9" s="677">
        <f>OHJELMOINTINÄKYMÄ!O7</f>
        <v>2022</v>
      </c>
      <c r="O9" s="675">
        <f>OHJELMOINTINÄKYMÄ!P7</f>
        <v>2023</v>
      </c>
      <c r="P9" s="675">
        <f>OHJELMOINTINÄKYMÄ!Q7</f>
        <v>2024</v>
      </c>
      <c r="Q9" s="675">
        <f>OHJELMOINTINÄKYMÄ!R7</f>
        <v>2025</v>
      </c>
      <c r="R9" s="675">
        <f>OHJELMOINTINÄKYMÄ!S7</f>
        <v>2026</v>
      </c>
      <c r="S9" s="675">
        <f>OHJELMOINTINÄKYMÄ!T7</f>
        <v>2027</v>
      </c>
      <c r="T9" s="675">
        <f>OHJELMOINTINÄKYMÄ!U7</f>
        <v>2028</v>
      </c>
      <c r="U9" s="675">
        <f>OHJELMOINTINÄKYMÄ!V7</f>
        <v>2029</v>
      </c>
      <c r="V9" s="675">
        <f>OHJELMOINTINÄKYMÄ!W7</f>
        <v>2030</v>
      </c>
      <c r="AD9" s="678" t="s">
        <v>427</v>
      </c>
    </row>
    <row r="10" spans="1:30" ht="15" x14ac:dyDescent="0.25">
      <c r="A10" s="42"/>
      <c r="B10" s="43"/>
      <c r="C10" s="679" t="s">
        <v>428</v>
      </c>
      <c r="D10" s="679" t="s">
        <v>428</v>
      </c>
      <c r="E10" s="679" t="s">
        <v>428</v>
      </c>
      <c r="F10" s="679" t="s">
        <v>428</v>
      </c>
      <c r="G10" s="679" t="s">
        <v>428</v>
      </c>
      <c r="H10" s="44" t="s">
        <v>428</v>
      </c>
      <c r="I10" s="680" t="s">
        <v>428</v>
      </c>
      <c r="J10" s="679" t="s">
        <v>428</v>
      </c>
      <c r="K10" s="680" t="s">
        <v>428</v>
      </c>
      <c r="L10" s="681" t="s">
        <v>428</v>
      </c>
      <c r="M10" s="679" t="s">
        <v>428</v>
      </c>
      <c r="N10" s="682" t="s">
        <v>428</v>
      </c>
      <c r="O10" s="679" t="s">
        <v>428</v>
      </c>
      <c r="P10" s="679" t="s">
        <v>428</v>
      </c>
      <c r="Q10" s="679" t="s">
        <v>428</v>
      </c>
      <c r="R10" s="679" t="s">
        <v>428</v>
      </c>
      <c r="S10" s="679" t="s">
        <v>428</v>
      </c>
      <c r="T10" s="679" t="s">
        <v>428</v>
      </c>
      <c r="U10" s="679" t="s">
        <v>428</v>
      </c>
      <c r="V10" s="683" t="s">
        <v>428</v>
      </c>
    </row>
    <row r="11" spans="1:30" ht="15" x14ac:dyDescent="0.25">
      <c r="A11" s="51"/>
      <c r="B11" s="684"/>
      <c r="C11" s="685"/>
      <c r="D11" s="686"/>
      <c r="E11" s="685"/>
      <c r="F11" s="685"/>
      <c r="G11" s="685"/>
      <c r="H11" s="687"/>
      <c r="I11" s="688"/>
      <c r="J11" s="685"/>
      <c r="K11" s="688"/>
      <c r="L11" s="689"/>
      <c r="M11" s="685"/>
      <c r="N11" s="690"/>
      <c r="O11" s="685"/>
      <c r="P11" s="685"/>
      <c r="Q11" s="685"/>
      <c r="R11" s="685"/>
      <c r="S11" s="685"/>
      <c r="T11" s="685"/>
      <c r="V11" s="691"/>
    </row>
    <row r="12" spans="1:30" ht="15.6" x14ac:dyDescent="0.3">
      <c r="A12" s="692" t="s">
        <v>338</v>
      </c>
      <c r="B12" s="693" t="s">
        <v>64</v>
      </c>
      <c r="C12" s="694">
        <f>OHJELMOINTINÄKYMÄ!C65/1000</f>
        <v>25.450591220000003</v>
      </c>
      <c r="D12" s="694">
        <f>OHJELMOINTINÄKYMÄ!D65/1000</f>
        <v>27.704363000000001</v>
      </c>
      <c r="E12" s="694">
        <f>OHJELMOINTINÄKYMÄ!E65/1000</f>
        <v>21.495999999999999</v>
      </c>
      <c r="F12" s="694" t="e">
        <f>OHJELMOINTINÄKYMÄ!F65/1000+OHJELMOINTINÄKYMÄ!#REF!/1000</f>
        <v>#REF!</v>
      </c>
      <c r="G12" s="694">
        <f>OHJELMOINTINÄKYMÄ!G65/1000</f>
        <v>16.562999999999999</v>
      </c>
      <c r="H12" s="695">
        <f>OHJELMOINTINÄKYMÄ!H65/1000</f>
        <v>14.757999999999999</v>
      </c>
      <c r="I12" s="696">
        <f>OHJELMOINTINÄKYMÄ!I65/1000</f>
        <v>14.579000000000001</v>
      </c>
      <c r="J12" s="694">
        <f>OHJELMOINTINÄKYMÄ!J65/1000</f>
        <v>16.263000000000002</v>
      </c>
      <c r="K12" s="696">
        <f>OHJELMOINTINÄKYMÄ!K65/1000</f>
        <v>16.09</v>
      </c>
      <c r="L12" s="697">
        <f>OHJELMOINTINÄKYMÄ!L65/1000</f>
        <v>22.765000000000001</v>
      </c>
      <c r="M12" s="694">
        <f>OHJELMOINTINÄKYMÄ!M65/1000</f>
        <v>31.799675999999998</v>
      </c>
      <c r="N12" s="698">
        <f>OHJELMOINTINÄKYMÄ!O65/1000</f>
        <v>20.100000000000001</v>
      </c>
      <c r="O12" s="694">
        <f>OHJELMOINTINÄKYMÄ!P65/1000</f>
        <v>16.3</v>
      </c>
      <c r="P12" s="694">
        <f>OHJELMOINTINÄKYMÄ!Q65/1000</f>
        <v>20.6</v>
      </c>
      <c r="Q12" s="694">
        <f>OHJELMOINTINÄKYMÄ!R65/1000</f>
        <v>25.4</v>
      </c>
      <c r="R12" s="694">
        <f>OHJELMOINTINÄKYMÄ!S65/1000</f>
        <v>21.2</v>
      </c>
      <c r="S12" s="694">
        <f>OHJELMOINTINÄKYMÄ!T65/1000</f>
        <v>24.5</v>
      </c>
      <c r="T12" s="694">
        <f>OHJELMOINTINÄKYMÄ!U65/1000</f>
        <v>34.799999999999997</v>
      </c>
      <c r="U12" s="694">
        <f>OHJELMOINTINÄKYMÄ!V65/1000</f>
        <v>48.1</v>
      </c>
      <c r="V12" s="694">
        <f>OHJELMOINTINÄKYMÄ!W65/1000</f>
        <v>45.9</v>
      </c>
    </row>
    <row r="13" spans="1:30" ht="15.6" x14ac:dyDescent="0.3">
      <c r="A13" s="69" t="s">
        <v>339</v>
      </c>
      <c r="B13" s="693" t="s">
        <v>429</v>
      </c>
      <c r="C13" s="694" t="e">
        <f>OHJELMOINTINÄKYMÄ!C93/1000</f>
        <v>#REF!</v>
      </c>
      <c r="D13" s="694" t="e">
        <f>OHJELMOINTINÄKYMÄ!D93/1000</f>
        <v>#REF!</v>
      </c>
      <c r="E13" s="694">
        <f>OHJELMOINTINÄKYMÄ!E93/1000</f>
        <v>16.488</v>
      </c>
      <c r="F13" s="694" t="e">
        <f>OHJELMOINTINÄKYMÄ!F93/1000+OHJELMOINTINÄKYMÄ!F94/1000</f>
        <v>#VALUE!</v>
      </c>
      <c r="G13" s="694" t="e">
        <f>OHJELMOINTINÄKYMÄ!G93/1000</f>
        <v>#REF!</v>
      </c>
      <c r="H13" s="695">
        <f>OHJELMOINTINÄKYMÄ!H93/1000</f>
        <v>28.099</v>
      </c>
      <c r="I13" s="696">
        <f>OHJELMOINTINÄKYMÄ!I93/1000</f>
        <v>30.012</v>
      </c>
      <c r="J13" s="694">
        <f>OHJELMOINTINÄKYMÄ!J93/1000</f>
        <v>36.481000000000002</v>
      </c>
      <c r="K13" s="696" t="e">
        <f>OHJELMOINTINÄKYMÄ!K93/1000</f>
        <v>#REF!</v>
      </c>
      <c r="L13" s="697">
        <f>OHJELMOINTINÄKYMÄ!L93/1000</f>
        <v>49.956000000000003</v>
      </c>
      <c r="M13" s="694">
        <f>OHJELMOINTINÄKYMÄ!M93/1000</f>
        <v>66.202769000000004</v>
      </c>
      <c r="N13" s="698" t="e">
        <f>OHJELMOINTINÄKYMÄ!O93/1000</f>
        <v>#REF!</v>
      </c>
      <c r="O13" s="694" t="e">
        <f>OHJELMOINTINÄKYMÄ!P93/1000</f>
        <v>#REF!</v>
      </c>
      <c r="P13" s="694" t="e">
        <f>OHJELMOINTINÄKYMÄ!Q93/1000</f>
        <v>#REF!</v>
      </c>
      <c r="Q13" s="694" t="e">
        <f>OHJELMOINTINÄKYMÄ!R93/1000</f>
        <v>#REF!</v>
      </c>
      <c r="R13" s="694" t="e">
        <f>OHJELMOINTINÄKYMÄ!S93/1000</f>
        <v>#REF!</v>
      </c>
      <c r="S13" s="694" t="e">
        <f>OHJELMOINTINÄKYMÄ!T93/1000</f>
        <v>#REF!</v>
      </c>
      <c r="T13" s="694" t="e">
        <f>OHJELMOINTINÄKYMÄ!U93/1000</f>
        <v>#REF!</v>
      </c>
      <c r="U13" s="694" t="e">
        <f>OHJELMOINTINÄKYMÄ!V93/1000</f>
        <v>#REF!</v>
      </c>
      <c r="V13" s="694" t="e">
        <f>OHJELMOINTINÄKYMÄ!W93/1000</f>
        <v>#REF!</v>
      </c>
    </row>
    <row r="14" spans="1:30" s="1" customFormat="1" ht="15.6" x14ac:dyDescent="0.3">
      <c r="A14" s="69" t="s">
        <v>430</v>
      </c>
      <c r="B14" s="693" t="s">
        <v>342</v>
      </c>
      <c r="C14" s="694" t="e">
        <f>OHJELMOINTINÄKYMÄ!#REF!/1000</f>
        <v>#REF!</v>
      </c>
      <c r="D14" s="694" t="e">
        <f>OHJELMOINTINÄKYMÄ!#REF!/1000</f>
        <v>#REF!</v>
      </c>
      <c r="E14" s="694" t="e">
        <f>OHJELMOINTINÄKYMÄ!#REF!/1000</f>
        <v>#REF!</v>
      </c>
      <c r="F14" s="694" t="e">
        <f>OHJELMOINTINÄKYMÄ!#REF!/1000+OHJELMOINTINÄKYMÄ!#REF!/1000</f>
        <v>#REF!</v>
      </c>
      <c r="G14" s="694">
        <f>OHJELMOINTINÄKYMÄ!G182/1000</f>
        <v>5.3259999999999996</v>
      </c>
      <c r="H14" s="695">
        <f>OHJELMOINTINÄKYMÄ!H182/1000</f>
        <v>4.0839999999999996</v>
      </c>
      <c r="I14" s="696">
        <f>OHJELMOINTINÄKYMÄ!I182/1000</f>
        <v>3.4289999999999998</v>
      </c>
      <c r="J14" s="694">
        <f>OHJELMOINTINÄKYMÄ!J182/1000</f>
        <v>2.0699999999999998</v>
      </c>
      <c r="K14" s="694">
        <f>OHJELMOINTINÄKYMÄ!K182/1000</f>
        <v>1.147</v>
      </c>
      <c r="L14" s="697">
        <f>OHJELMOINTINÄKYMÄ!L182/1000</f>
        <v>3.1739999999999999</v>
      </c>
      <c r="M14" s="694">
        <f>OHJELMOINTINÄKYMÄ!M182/1000</f>
        <v>3.2530640000000002</v>
      </c>
      <c r="N14" s="698">
        <f>OHJELMOINTINÄKYMÄ!O182/1000</f>
        <v>4</v>
      </c>
      <c r="O14" s="694">
        <f>OHJELMOINTINÄKYMÄ!P182/1000</f>
        <v>7.3</v>
      </c>
      <c r="P14" s="694">
        <f>OHJELMOINTINÄKYMÄ!Q182/1000</f>
        <v>6.2</v>
      </c>
      <c r="Q14" s="694">
        <f>OHJELMOINTINÄKYMÄ!R182/1000</f>
        <v>6.4</v>
      </c>
      <c r="R14" s="694">
        <f>OHJELMOINTINÄKYMÄ!S182/1000</f>
        <v>29.95</v>
      </c>
      <c r="S14" s="694">
        <f>OHJELMOINTINÄKYMÄ!T182/1000</f>
        <v>29.7</v>
      </c>
      <c r="T14" s="694">
        <f>OHJELMOINTINÄKYMÄ!U182/1000</f>
        <v>26</v>
      </c>
      <c r="U14" s="694">
        <f>OHJELMOINTINÄKYMÄ!V182/1000</f>
        <v>26</v>
      </c>
      <c r="V14" s="694">
        <f>OHJELMOINTINÄKYMÄ!W182/1000</f>
        <v>26.1</v>
      </c>
    </row>
    <row r="15" spans="1:30" ht="15.6" x14ac:dyDescent="0.3">
      <c r="A15" s="699" t="s">
        <v>130</v>
      </c>
      <c r="B15" s="34" t="s">
        <v>431</v>
      </c>
      <c r="C15" s="700"/>
      <c r="D15" s="700"/>
      <c r="E15" s="700"/>
      <c r="F15" s="700"/>
      <c r="G15" s="694">
        <f>OHJELMOINTINÄKYMÄ!G198/1000</f>
        <v>29.212</v>
      </c>
      <c r="H15" s="695">
        <f>OHJELMOINTINÄKYMÄ!H198/1000</f>
        <v>35.716999999999999</v>
      </c>
      <c r="I15" s="696">
        <f>OHJELMOINTINÄKYMÄ!I198/1000</f>
        <v>52.41</v>
      </c>
      <c r="J15" s="694">
        <f>OHJELMOINTINÄKYMÄ!J198/1000</f>
        <v>80.819000000000003</v>
      </c>
      <c r="K15" s="694">
        <f>OHJELMOINTINÄKYMÄ!K198/1000</f>
        <v>79.195999999999998</v>
      </c>
      <c r="L15" s="697">
        <f>OHJELMOINTINÄKYMÄ!L198/1000</f>
        <v>81.905000000000001</v>
      </c>
      <c r="M15" s="694">
        <f>OHJELMOINTINÄKYMÄ!M198/1000</f>
        <v>71.084733999999983</v>
      </c>
      <c r="N15" s="698">
        <f>OHJELMOINTINÄKYMÄ!O198/1000</f>
        <v>0</v>
      </c>
      <c r="O15" s="694">
        <f>OHJELMOINTINÄKYMÄ!P198/1000</f>
        <v>0</v>
      </c>
      <c r="P15" s="694">
        <f>OHJELMOINTINÄKYMÄ!Q198/1000</f>
        <v>0</v>
      </c>
      <c r="Q15" s="694">
        <f>OHJELMOINTINÄKYMÄ!R198/1000</f>
        <v>0</v>
      </c>
      <c r="R15" s="694">
        <f>OHJELMOINTINÄKYMÄ!S198/1000</f>
        <v>0</v>
      </c>
      <c r="S15" s="694">
        <f>OHJELMOINTINÄKYMÄ!T198/1000</f>
        <v>0</v>
      </c>
      <c r="T15" s="694">
        <f>OHJELMOINTINÄKYMÄ!U198/1000</f>
        <v>0</v>
      </c>
      <c r="U15" s="694">
        <f>OHJELMOINTINÄKYMÄ!V198/1000</f>
        <v>0</v>
      </c>
      <c r="V15" s="694">
        <f>OHJELMOINTINÄKYMÄ!W198/1000</f>
        <v>0</v>
      </c>
      <c r="X15" s="7"/>
    </row>
    <row r="16" spans="1:30" ht="15.6" x14ac:dyDescent="0.3">
      <c r="A16" s="69"/>
      <c r="B16" s="693" t="s">
        <v>432</v>
      </c>
      <c r="C16" s="694">
        <f>OHJELMOINTINÄKYMÄ!C203/1000</f>
        <v>3.0796348099999999</v>
      </c>
      <c r="D16" s="694">
        <f>OHJELMOINTINÄKYMÄ!D203/1000</f>
        <v>5.1279831800000002</v>
      </c>
      <c r="E16" s="694">
        <f>OHJELMOINTINÄKYMÄ!E203/1000</f>
        <v>2.48</v>
      </c>
      <c r="F16" s="694" t="e">
        <f>OHJELMOINTINÄKYMÄ!F203/1000+OHJELMOINTINÄKYMÄ!F204/1000</f>
        <v>#VALUE!</v>
      </c>
      <c r="G16" s="694">
        <f>OHJELMOINTINÄKYMÄ!G203/1000</f>
        <v>3.0539999999999998</v>
      </c>
      <c r="H16" s="695">
        <f>OHJELMOINTINÄKYMÄ!H203/1000</f>
        <v>0.14099999999999999</v>
      </c>
      <c r="I16" s="696">
        <f>OHJELMOINTINÄKYMÄ!I203/1000</f>
        <v>0.28199999999999997</v>
      </c>
      <c r="J16" s="694">
        <f>OHJELMOINTINÄKYMÄ!J203/1000</f>
        <v>0.23499999999999999</v>
      </c>
      <c r="K16" s="696">
        <f>OHJELMOINTINÄKYMÄ!K203/1000</f>
        <v>4.83</v>
      </c>
      <c r="L16" s="697">
        <f>OHJELMOINTINÄKYMÄ!L203/1000</f>
        <v>2.617</v>
      </c>
      <c r="M16" s="694">
        <f>OHJELMOINTINÄKYMÄ!M203/1000</f>
        <v>0.188606</v>
      </c>
      <c r="N16" s="698">
        <f>OHJELMOINTINÄKYMÄ!O203/1000</f>
        <v>0</v>
      </c>
      <c r="O16" s="694">
        <f>OHJELMOINTINÄKYMÄ!P203/1000</f>
        <v>0</v>
      </c>
      <c r="P16" s="694">
        <f>OHJELMOINTINÄKYMÄ!Q203/1000</f>
        <v>0</v>
      </c>
      <c r="Q16" s="694">
        <f>OHJELMOINTINÄKYMÄ!R203/1000</f>
        <v>0</v>
      </c>
      <c r="R16" s="694">
        <f>OHJELMOINTINÄKYMÄ!S203/1000</f>
        <v>0</v>
      </c>
      <c r="S16" s="694">
        <f>OHJELMOINTINÄKYMÄ!T203/1000</f>
        <v>0</v>
      </c>
      <c r="T16" s="694">
        <f>OHJELMOINTINÄKYMÄ!U203/1000</f>
        <v>0</v>
      </c>
      <c r="U16" s="694">
        <f>OHJELMOINTINÄKYMÄ!V203/1000</f>
        <v>0</v>
      </c>
      <c r="V16" s="694">
        <f>OHJELMOINTINÄKYMÄ!W203/1000</f>
        <v>0</v>
      </c>
    </row>
    <row r="17" spans="1:23" ht="15.6" x14ac:dyDescent="0.3">
      <c r="A17" s="90" t="s">
        <v>3</v>
      </c>
      <c r="B17" s="34" t="s">
        <v>367</v>
      </c>
      <c r="C17" s="694">
        <f>OHJELMOINTINÄKYMÄ!C210/1000</f>
        <v>17.993877600000001</v>
      </c>
      <c r="D17" s="694">
        <f>OHJELMOINTINÄKYMÄ!D210/1000</f>
        <v>13.061999999999999</v>
      </c>
      <c r="E17" s="694">
        <f>OHJELMOINTINÄKYMÄ!E210/1000</f>
        <v>5.2729999999999997</v>
      </c>
      <c r="F17" s="694" t="e">
        <f>OHJELMOINTINÄKYMÄ!F210/1000+OHJELMOINTINÄKYMÄ!F211/1000</f>
        <v>#VALUE!</v>
      </c>
      <c r="G17" s="694">
        <f>OHJELMOINTINÄKYMÄ!G210/1000</f>
        <v>3.8450000000000002</v>
      </c>
      <c r="H17" s="695">
        <f>OHJELMOINTINÄKYMÄ!H210/1000</f>
        <v>2.7949999999999999</v>
      </c>
      <c r="I17" s="696">
        <f>OHJELMOINTINÄKYMÄ!I210/1000</f>
        <v>6.024</v>
      </c>
      <c r="J17" s="694">
        <f>OHJELMOINTINÄKYMÄ!J210/1000</f>
        <v>22.12</v>
      </c>
      <c r="K17" s="696">
        <f>OHJELMOINTINÄKYMÄ!K210/1000</f>
        <v>13.27</v>
      </c>
      <c r="L17" s="697">
        <f>OHJELMOINTINÄKYMÄ!L210/1000</f>
        <v>16.920000000000002</v>
      </c>
      <c r="M17" s="696">
        <f>OHJELMOINTINÄKYMÄ!M210/1000</f>
        <v>22.806918000000003</v>
      </c>
      <c r="N17" s="698">
        <f>OHJELMOINTINÄKYMÄ!O210/1000</f>
        <v>0</v>
      </c>
      <c r="O17" s="694">
        <f>OHJELMOINTINÄKYMÄ!P210/1000</f>
        <v>0</v>
      </c>
      <c r="P17" s="694">
        <f>OHJELMOINTINÄKYMÄ!Q210/1000</f>
        <v>0</v>
      </c>
      <c r="Q17" s="694">
        <f>OHJELMOINTINÄKYMÄ!R210/1000</f>
        <v>0</v>
      </c>
      <c r="R17" s="694">
        <f>OHJELMOINTINÄKYMÄ!S210/1000</f>
        <v>0</v>
      </c>
      <c r="S17" s="694">
        <f>OHJELMOINTINÄKYMÄ!T210/1000</f>
        <v>0</v>
      </c>
      <c r="T17" s="694">
        <f>OHJELMOINTINÄKYMÄ!U210/1000</f>
        <v>0</v>
      </c>
      <c r="U17" s="694">
        <f>OHJELMOINTINÄKYMÄ!V210/1000</f>
        <v>0</v>
      </c>
      <c r="V17" s="694">
        <f>OHJELMOINTINÄKYMÄ!W210/1000</f>
        <v>0</v>
      </c>
    </row>
    <row r="18" spans="1:23" ht="15.6" x14ac:dyDescent="0.3">
      <c r="A18" s="90" t="s">
        <v>3</v>
      </c>
      <c r="B18" s="34" t="s">
        <v>151</v>
      </c>
      <c r="C18" s="694">
        <f>OHJELMOINTINÄKYMÄ!C222/1000</f>
        <v>4.0102876199999997</v>
      </c>
      <c r="D18" s="694">
        <f>OHJELMOINTINÄKYMÄ!D222/1000</f>
        <v>8.6724960800000002</v>
      </c>
      <c r="E18" s="694">
        <f>OHJELMOINTINÄKYMÄ!E222/1000</f>
        <v>10.507</v>
      </c>
      <c r="F18" s="694" t="e">
        <f>OHJELMOINTINÄKYMÄ!F222/1000+OHJELMOINTINÄKYMÄ!F223/1000</f>
        <v>#VALUE!</v>
      </c>
      <c r="G18" s="694">
        <f>OHJELMOINTINÄKYMÄ!G222/1000</f>
        <v>4.1369999999999996</v>
      </c>
      <c r="H18" s="695">
        <f>OHJELMOINTINÄKYMÄ!H222/1000</f>
        <v>9.1</v>
      </c>
      <c r="I18" s="696">
        <f>OHJELMOINTINÄKYMÄ!I222/1000</f>
        <v>13.21</v>
      </c>
      <c r="J18" s="694">
        <f>OHJELMOINTINÄKYMÄ!J222/1000</f>
        <v>18.262</v>
      </c>
      <c r="K18" s="696">
        <f>OHJELMOINTINÄKYMÄ!K222/1000</f>
        <v>14.964</v>
      </c>
      <c r="L18" s="697">
        <f>OHJELMOINTINÄKYMÄ!L222/1000</f>
        <v>15.704000000000001</v>
      </c>
      <c r="M18" s="696">
        <f>OHJELMOINTINÄKYMÄ!M222/1000</f>
        <v>14.397551</v>
      </c>
      <c r="N18" s="698">
        <f>OHJELMOINTINÄKYMÄ!O222/1000</f>
        <v>0</v>
      </c>
      <c r="O18" s="694">
        <f>OHJELMOINTINÄKYMÄ!P222/1000</f>
        <v>0</v>
      </c>
      <c r="P18" s="694">
        <f>OHJELMOINTINÄKYMÄ!Q222/1000</f>
        <v>0</v>
      </c>
      <c r="Q18" s="694">
        <f>OHJELMOINTINÄKYMÄ!R222/1000</f>
        <v>0</v>
      </c>
      <c r="R18" s="694">
        <f>OHJELMOINTINÄKYMÄ!S222/1000</f>
        <v>0</v>
      </c>
      <c r="S18" s="694">
        <f>OHJELMOINTINÄKYMÄ!T222/1000</f>
        <v>0</v>
      </c>
      <c r="T18" s="694">
        <f>OHJELMOINTINÄKYMÄ!U222/1000</f>
        <v>0</v>
      </c>
      <c r="U18" s="694">
        <f>OHJELMOINTINÄKYMÄ!V222/1000</f>
        <v>0</v>
      </c>
      <c r="V18" s="694">
        <f>OHJELMOINTINÄKYMÄ!W222/1000</f>
        <v>0</v>
      </c>
    </row>
    <row r="19" spans="1:23" ht="15.6" x14ac:dyDescent="0.3">
      <c r="A19" s="90" t="s">
        <v>3</v>
      </c>
      <c r="B19" s="34" t="s">
        <v>166</v>
      </c>
      <c r="C19" s="694">
        <f>OHJELMOINTINÄKYMÄ!C238/1000</f>
        <v>1.2020620500000001</v>
      </c>
      <c r="D19" s="694">
        <f>OHJELMOINTINÄKYMÄ!D238/1000</f>
        <v>0.88986321999999995</v>
      </c>
      <c r="E19" s="694">
        <f>OHJELMOINTINÄKYMÄ!E238/1000</f>
        <v>1.1259999999999999</v>
      </c>
      <c r="F19" s="694" t="e">
        <f>OHJELMOINTINÄKYMÄ!F238/1000+OHJELMOINTINÄKYMÄ!F239/1000</f>
        <v>#VALUE!</v>
      </c>
      <c r="G19" s="694">
        <f>OHJELMOINTINÄKYMÄ!G238/1000</f>
        <v>5.343</v>
      </c>
      <c r="H19" s="695">
        <f>OHJELMOINTINÄKYMÄ!H238/1000</f>
        <v>5.524</v>
      </c>
      <c r="I19" s="696">
        <f>OHJELMOINTINÄKYMÄ!I238/1000</f>
        <v>7.2460000000000004</v>
      </c>
      <c r="J19" s="694">
        <f>OHJELMOINTINÄKYMÄ!J238/1000</f>
        <v>6.5880000000000001</v>
      </c>
      <c r="K19" s="696">
        <f>OHJELMOINTINÄKYMÄ!K238/1000</f>
        <v>6.1619999999999999</v>
      </c>
      <c r="L19" s="697">
        <f>OHJELMOINTINÄKYMÄ!L238/1000</f>
        <v>2.91</v>
      </c>
      <c r="M19" s="696">
        <f>OHJELMOINTINÄKYMÄ!M238/1000</f>
        <v>7.8985510000000003</v>
      </c>
      <c r="N19" s="698">
        <f>OHJELMOINTINÄKYMÄ!O238/1000</f>
        <v>0</v>
      </c>
      <c r="O19" s="694">
        <f>OHJELMOINTINÄKYMÄ!P238/1000</f>
        <v>0</v>
      </c>
      <c r="P19" s="694">
        <f>OHJELMOINTINÄKYMÄ!Q238/1000</f>
        <v>0</v>
      </c>
      <c r="Q19" s="694">
        <f>OHJELMOINTINÄKYMÄ!R238/1000</f>
        <v>0</v>
      </c>
      <c r="R19" s="694">
        <f>OHJELMOINTINÄKYMÄ!S238/1000</f>
        <v>0</v>
      </c>
      <c r="S19" s="694">
        <f>OHJELMOINTINÄKYMÄ!T238/1000</f>
        <v>0</v>
      </c>
      <c r="T19" s="694">
        <f>OHJELMOINTINÄKYMÄ!U238/1000</f>
        <v>0</v>
      </c>
      <c r="U19" s="694">
        <f>OHJELMOINTINÄKYMÄ!V238/1000</f>
        <v>0</v>
      </c>
      <c r="V19" s="694">
        <f>OHJELMOINTINÄKYMÄ!W238/1000</f>
        <v>0</v>
      </c>
      <c r="W19" s="624" t="s">
        <v>3</v>
      </c>
    </row>
    <row r="20" spans="1:23" ht="15.75" customHeight="1" x14ac:dyDescent="0.3">
      <c r="A20" s="90" t="s">
        <v>3</v>
      </c>
      <c r="B20" s="34" t="s">
        <v>183</v>
      </c>
      <c r="C20" s="694">
        <f>OHJELMOINTINÄKYMÄ!C256/1000</f>
        <v>0.38600000000000001</v>
      </c>
      <c r="D20" s="694">
        <f>OHJELMOINTINÄKYMÄ!D256/1000</f>
        <v>1.8725732399999999</v>
      </c>
      <c r="E20" s="694">
        <f>OHJELMOINTINÄKYMÄ!E256/1000</f>
        <v>1.615</v>
      </c>
      <c r="F20" s="694" t="e">
        <f>OHJELMOINTINÄKYMÄ!F256/1000+OHJELMOINTINÄKYMÄ!F257/1000</f>
        <v>#VALUE!</v>
      </c>
      <c r="G20" s="694">
        <f>OHJELMOINTINÄKYMÄ!G256/1000</f>
        <v>9.9019999999999992</v>
      </c>
      <c r="H20" s="695">
        <f>OHJELMOINTINÄKYMÄ!H256/1000</f>
        <v>13.35</v>
      </c>
      <c r="I20" s="696">
        <f>OHJELMOINTINÄKYMÄ!I256/1000</f>
        <v>18.609000000000002</v>
      </c>
      <c r="J20" s="694">
        <f>OHJELMOINTINÄKYMÄ!J256/1000</f>
        <v>26.158000000000001</v>
      </c>
      <c r="K20" s="696">
        <f>(OHJELMOINTINÄKYMÄ!K256/1000)</f>
        <v>33.095999999999997</v>
      </c>
      <c r="L20" s="697">
        <f>(OHJELMOINTINÄKYMÄ!L256/1000)</f>
        <v>34.896999999999998</v>
      </c>
      <c r="M20" s="696">
        <f>OHJELMOINTINÄKYMÄ!M256/1000</f>
        <v>18.964599</v>
      </c>
      <c r="N20" s="698">
        <f>OHJELMOINTINÄKYMÄ!O256/1000</f>
        <v>0</v>
      </c>
      <c r="O20" s="694">
        <f>OHJELMOINTINÄKYMÄ!P256/1000</f>
        <v>0</v>
      </c>
      <c r="P20" s="694">
        <f>OHJELMOINTINÄKYMÄ!Q256/1000</f>
        <v>0</v>
      </c>
      <c r="Q20" s="694">
        <f>OHJELMOINTINÄKYMÄ!R256/1000</f>
        <v>0</v>
      </c>
      <c r="R20" s="694">
        <f>OHJELMOINTINÄKYMÄ!S256/1000</f>
        <v>0</v>
      </c>
      <c r="S20" s="694">
        <f>OHJELMOINTINÄKYMÄ!T256/1000</f>
        <v>0</v>
      </c>
      <c r="T20" s="694">
        <f>OHJELMOINTINÄKYMÄ!U256/1000</f>
        <v>0</v>
      </c>
      <c r="U20" s="694">
        <f>OHJELMOINTINÄKYMÄ!V256/1000</f>
        <v>0</v>
      </c>
      <c r="V20" s="694">
        <f>OHJELMOINTINÄKYMÄ!W256/1000</f>
        <v>0</v>
      </c>
    </row>
    <row r="21" spans="1:23" ht="15.6" x14ac:dyDescent="0.3">
      <c r="A21" s="90" t="s">
        <v>3</v>
      </c>
      <c r="B21" s="34" t="s">
        <v>199</v>
      </c>
      <c r="C21" s="694">
        <f>OHJELMOINTINÄKYMÄ!C257/1000</f>
        <v>0</v>
      </c>
      <c r="D21" s="694">
        <f>OHJELMOINTINÄKYMÄ!D257/1000</f>
        <v>0</v>
      </c>
      <c r="E21" s="694" t="e">
        <f>OHJELMOINTINÄKYMÄ!E257/1000</f>
        <v>#VALUE!</v>
      </c>
      <c r="F21" s="694" t="e">
        <f>OHJELMOINTINÄKYMÄ!F257/1000+OHJELMOINTINÄKYMÄ!F258/1000</f>
        <v>#VALUE!</v>
      </c>
      <c r="G21" s="694">
        <f>OHJELMOINTINÄKYMÄ!G273/1000</f>
        <v>1.7769999999999999</v>
      </c>
      <c r="H21" s="695">
        <f>OHJELMOINTINÄKYMÄ!H273/1000</f>
        <v>2.6509999999999998</v>
      </c>
      <c r="I21" s="696">
        <f>OHJELMOINTINÄKYMÄ!I273/1000</f>
        <v>4.1130000000000004</v>
      </c>
      <c r="J21" s="694">
        <f>OHJELMOINTINÄKYMÄ!J273/1000</f>
        <v>3.101</v>
      </c>
      <c r="K21" s="696">
        <f>OHJELMOINTINÄKYMÄ!K273/1000</f>
        <v>2.2269999999999999</v>
      </c>
      <c r="L21" s="697">
        <f>OHJELMOINTINÄKYMÄ!L273/1000</f>
        <v>5.9130000000000003</v>
      </c>
      <c r="M21" s="694">
        <f>OHJELMOINTINÄKYMÄ!M273/1000</f>
        <v>3.835464</v>
      </c>
      <c r="N21" s="698">
        <f>OHJELMOINTINÄKYMÄ!O273/1000</f>
        <v>0</v>
      </c>
      <c r="O21" s="694">
        <f>OHJELMOINTINÄKYMÄ!P273/1000</f>
        <v>0</v>
      </c>
      <c r="P21" s="694">
        <f>OHJELMOINTINÄKYMÄ!Q273/1000</f>
        <v>0</v>
      </c>
      <c r="Q21" s="694">
        <f>OHJELMOINTINÄKYMÄ!R273/1000</f>
        <v>0</v>
      </c>
      <c r="R21" s="694">
        <f>OHJELMOINTINÄKYMÄ!S273/1000</f>
        <v>0</v>
      </c>
      <c r="S21" s="694">
        <f>OHJELMOINTINÄKYMÄ!T273/1000</f>
        <v>0</v>
      </c>
      <c r="T21" s="694">
        <f>OHJELMOINTINÄKYMÄ!U273/1000</f>
        <v>0</v>
      </c>
      <c r="U21" s="694">
        <f>OHJELMOINTINÄKYMÄ!V273/1000</f>
        <v>0</v>
      </c>
      <c r="V21" s="694">
        <f>OHJELMOINTINÄKYMÄ!W273/1000</f>
        <v>0</v>
      </c>
    </row>
    <row r="22" spans="1:23" ht="15.6" x14ac:dyDescent="0.3">
      <c r="A22" s="701"/>
      <c r="B22" s="34" t="s">
        <v>301</v>
      </c>
      <c r="C22" s="702"/>
      <c r="D22" s="702"/>
      <c r="E22" s="702"/>
      <c r="F22" s="702"/>
      <c r="G22" s="702"/>
      <c r="H22" s="702"/>
      <c r="I22" s="696">
        <f>OHJELMOINTINÄKYMÄ!I278/1000</f>
        <v>2.2370000000000001</v>
      </c>
      <c r="J22" s="694">
        <f>OHJELMOINTINÄKYMÄ!J278/1000</f>
        <v>2.3170000000000002</v>
      </c>
      <c r="K22" s="694">
        <f>OHJELMOINTINÄKYMÄ!K278/1000</f>
        <v>1.554</v>
      </c>
      <c r="L22" s="697">
        <f>OHJELMOINTINÄKYMÄ!L278/1000</f>
        <v>0.50800000000000001</v>
      </c>
      <c r="M22" s="694">
        <f>OHJELMOINTINÄKYMÄ!M278/1000</f>
        <v>2.472302</v>
      </c>
      <c r="N22" s="698">
        <f>OHJELMOINTINÄKYMÄ!O278/1000</f>
        <v>0</v>
      </c>
      <c r="O22" s="694">
        <f>OHJELMOINTINÄKYMÄ!P278/1000</f>
        <v>0</v>
      </c>
      <c r="P22" s="694">
        <f>OHJELMOINTINÄKYMÄ!Q278/1000</f>
        <v>0</v>
      </c>
      <c r="Q22" s="694">
        <f>OHJELMOINTINÄKYMÄ!R278/1000</f>
        <v>0</v>
      </c>
      <c r="R22" s="694">
        <f>OHJELMOINTINÄKYMÄ!S278/1000</f>
        <v>0</v>
      </c>
      <c r="S22" s="694">
        <f>OHJELMOINTINÄKYMÄ!T278/1000</f>
        <v>0</v>
      </c>
      <c r="T22" s="694">
        <f>OHJELMOINTINÄKYMÄ!U278/1000</f>
        <v>0</v>
      </c>
      <c r="U22" s="694">
        <f>OHJELMOINTINÄKYMÄ!V278/1000</f>
        <v>0</v>
      </c>
      <c r="V22" s="694">
        <f>OHJELMOINTINÄKYMÄ!W278/1000</f>
        <v>0</v>
      </c>
    </row>
    <row r="23" spans="1:23" ht="15.6" x14ac:dyDescent="0.3">
      <c r="B23" s="34" t="s">
        <v>433</v>
      </c>
      <c r="I23" s="696">
        <f>OHJELMOINTINÄKYMÄ!I280/1000</f>
        <v>0.68899999999999995</v>
      </c>
      <c r="J23" s="694">
        <f>OHJELMOINTINÄKYMÄ!J280/1000</f>
        <v>2.0379999999999998</v>
      </c>
      <c r="K23" s="696">
        <f>OHJELMOINTINÄKYMÄ!K280/1000</f>
        <v>3.093</v>
      </c>
      <c r="L23" s="697">
        <f>OHJELMOINTINÄKYMÄ!L280/1000</f>
        <v>2.4359999999999999</v>
      </c>
      <c r="M23" s="694">
        <f>OHJELMOINTINÄKYMÄ!M280/1000</f>
        <v>0.35628199999999999</v>
      </c>
      <c r="N23" s="698">
        <f>OHJELMOINTINÄKYMÄ!O280/1000</f>
        <v>0</v>
      </c>
      <c r="O23" s="694">
        <f>OHJELMOINTINÄKYMÄ!P280/1000</f>
        <v>0</v>
      </c>
      <c r="P23" s="694">
        <f>OHJELMOINTINÄKYMÄ!Q280/1000</f>
        <v>0</v>
      </c>
      <c r="Q23" s="694">
        <f>OHJELMOINTINÄKYMÄ!R280/1000</f>
        <v>0</v>
      </c>
      <c r="R23" s="694">
        <f>OHJELMOINTINÄKYMÄ!S280/1000</f>
        <v>0</v>
      </c>
      <c r="S23" s="694">
        <f>OHJELMOINTINÄKYMÄ!T280/1000</f>
        <v>0</v>
      </c>
      <c r="T23" s="694">
        <f>OHJELMOINTINÄKYMÄ!U280/1000</f>
        <v>0</v>
      </c>
      <c r="U23" s="694">
        <f>OHJELMOINTINÄKYMÄ!V280/1000</f>
        <v>0</v>
      </c>
      <c r="V23" s="694">
        <f>OHJELMOINTINÄKYMÄ!W280/1000</f>
        <v>0</v>
      </c>
    </row>
    <row r="24" spans="1:23" ht="15.6" x14ac:dyDescent="0.3">
      <c r="A24" s="69" t="s">
        <v>345</v>
      </c>
      <c r="B24" s="693" t="s">
        <v>434</v>
      </c>
      <c r="C24" s="694">
        <f>OHJELMOINTINÄKYMÄ!C300/1000</f>
        <v>0</v>
      </c>
      <c r="D24" s="694">
        <f>OHJELMOINTINÄKYMÄ!D300/1000</f>
        <v>0</v>
      </c>
      <c r="E24" s="694">
        <f>OHJELMOINTINÄKYMÄ!E300/1000</f>
        <v>0</v>
      </c>
      <c r="F24" s="694">
        <f>OHJELMOINTINÄKYMÄ!F300/1000+OHJELMOINTINÄKYMÄ!F301/1000</f>
        <v>0</v>
      </c>
      <c r="G24" s="694">
        <f>OHJELMOINTINÄKYMÄ!G286/1000</f>
        <v>2.746</v>
      </c>
      <c r="H24" s="695">
        <f>OHJELMOINTINÄKYMÄ!H286/1000</f>
        <v>8.7840000000000007</v>
      </c>
      <c r="I24" s="696">
        <f>OHJELMOINTINÄKYMÄ!I286/1000</f>
        <v>8.7750000000000004</v>
      </c>
      <c r="J24" s="694">
        <f>OHJELMOINTINÄKYMÄ!J286/1000</f>
        <v>1.121</v>
      </c>
      <c r="K24" s="694">
        <f>OHJELMOINTINÄKYMÄ!K286/1000</f>
        <v>1.65</v>
      </c>
      <c r="L24" s="697">
        <f>OHJELMOINTINÄKYMÄ!L286/1000</f>
        <v>0.91900000000000004</v>
      </c>
      <c r="M24" s="694">
        <f>OHJELMOINTINÄKYMÄ!M286/1000</f>
        <v>0.87262400000000007</v>
      </c>
      <c r="N24" s="698">
        <f>OHJELMOINTINÄKYMÄ!O286/1000</f>
        <v>2.09</v>
      </c>
      <c r="O24" s="694">
        <f>OHJELMOINTINÄKYMÄ!P286/1000</f>
        <v>0.9</v>
      </c>
      <c r="P24" s="694">
        <f>OHJELMOINTINÄKYMÄ!Q286/1000</f>
        <v>0.6</v>
      </c>
      <c r="Q24" s="694">
        <f>OHJELMOINTINÄKYMÄ!R286/1000</f>
        <v>1.1000000000000001</v>
      </c>
      <c r="R24" s="694">
        <f>OHJELMOINTINÄKYMÄ!S286/1000</f>
        <v>7.8</v>
      </c>
      <c r="S24" s="694">
        <f>OHJELMOINTINÄKYMÄ!T286/1000</f>
        <v>21.7</v>
      </c>
      <c r="T24" s="694">
        <f>OHJELMOINTINÄKYMÄ!U286/1000</f>
        <v>12.9</v>
      </c>
      <c r="U24" s="694">
        <f>OHJELMOINTINÄKYMÄ!V286/1000</f>
        <v>8.5</v>
      </c>
      <c r="V24" s="694">
        <f>OHJELMOINTINÄKYMÄ!W286/1000</f>
        <v>7.5</v>
      </c>
    </row>
    <row r="25" spans="1:23" x14ac:dyDescent="0.25">
      <c r="L25" s="703"/>
    </row>
    <row r="26" spans="1:23" ht="15.6" x14ac:dyDescent="0.3">
      <c r="B26" s="34" t="s">
        <v>3</v>
      </c>
      <c r="H26" s="2" t="s">
        <v>3</v>
      </c>
      <c r="I26" s="704" t="s">
        <v>3</v>
      </c>
    </row>
    <row r="52" spans="8:10" x14ac:dyDescent="0.25">
      <c r="H52" s="2" t="s">
        <v>3</v>
      </c>
    </row>
    <row r="53" spans="8:10" x14ac:dyDescent="0.25">
      <c r="I53" t="s">
        <v>3</v>
      </c>
      <c r="J53" t="s">
        <v>3</v>
      </c>
    </row>
    <row r="54" spans="8:10" ht="13.8" x14ac:dyDescent="0.25">
      <c r="H54" t="s">
        <v>3</v>
      </c>
      <c r="I54" s="705" t="s">
        <v>3</v>
      </c>
    </row>
    <row r="56" spans="8:10" ht="14.4" x14ac:dyDescent="0.3">
      <c r="I56" s="706" t="s">
        <v>3</v>
      </c>
    </row>
    <row r="67" spans="9:9" ht="14.4" x14ac:dyDescent="0.3">
      <c r="I67" s="704" t="s">
        <v>3</v>
      </c>
    </row>
    <row r="69" spans="9:9" hidden="1" x14ac:dyDescent="0.25"/>
    <row r="70" spans="9:9" hidden="1" x14ac:dyDescent="0.25"/>
    <row r="71" spans="9:9" hidden="1" x14ac:dyDescent="0.25"/>
    <row r="72" spans="9:9" hidden="1" x14ac:dyDescent="0.25"/>
    <row r="73" spans="9:9" hidden="1" x14ac:dyDescent="0.25"/>
    <row r="74" spans="9:9" hidden="1" x14ac:dyDescent="0.25"/>
    <row r="75" spans="9:9" hidden="1" x14ac:dyDescent="0.25"/>
    <row r="76" spans="9:9" hidden="1" x14ac:dyDescent="0.25"/>
    <row r="77" spans="9:9" hidden="1" x14ac:dyDescent="0.25"/>
    <row r="78" spans="9:9" hidden="1" x14ac:dyDescent="0.25"/>
    <row r="79" spans="9:9" hidden="1" x14ac:dyDescent="0.25"/>
    <row r="80" spans="9:9" hidden="1" x14ac:dyDescent="0.25"/>
    <row r="81" spans="1:9" hidden="1" x14ac:dyDescent="0.25"/>
    <row r="82" spans="1:9" hidden="1" x14ac:dyDescent="0.25"/>
    <row r="83" spans="1:9" hidden="1" x14ac:dyDescent="0.25"/>
    <row r="84" spans="1:9" hidden="1" x14ac:dyDescent="0.25"/>
    <row r="85" spans="1:9" hidden="1" x14ac:dyDescent="0.25"/>
    <row r="86" spans="1:9" hidden="1" x14ac:dyDescent="0.25"/>
    <row r="87" spans="1:9" hidden="1" x14ac:dyDescent="0.25"/>
    <row r="88" spans="1:9" hidden="1" x14ac:dyDescent="0.25"/>
    <row r="89" spans="1:9" ht="17.399999999999999" hidden="1" x14ac:dyDescent="0.3">
      <c r="A89" s="665" t="s">
        <v>435</v>
      </c>
      <c r="B89" s="22"/>
      <c r="C89" s="22"/>
      <c r="D89" s="22"/>
      <c r="E89" s="22"/>
      <c r="F89" s="22"/>
      <c r="G89" s="22"/>
      <c r="H89" s="664"/>
      <c r="I89" s="664"/>
    </row>
    <row r="90" spans="1:9" ht="15.6" hidden="1" x14ac:dyDescent="0.3">
      <c r="A90" s="557" t="s">
        <v>436</v>
      </c>
      <c r="B90" s="668"/>
      <c r="C90" s="22"/>
      <c r="D90" s="22"/>
      <c r="E90" s="22"/>
      <c r="F90" s="22"/>
      <c r="G90" s="22"/>
      <c r="H90" s="664"/>
      <c r="I90" s="664"/>
    </row>
    <row r="91" spans="1:9" ht="15.6" hidden="1" x14ac:dyDescent="0.3">
      <c r="A91" s="557" t="s">
        <v>437</v>
      </c>
      <c r="B91" s="6"/>
      <c r="C91" s="22"/>
      <c r="D91" s="22"/>
      <c r="E91" s="22"/>
      <c r="F91" s="22"/>
      <c r="G91" s="22"/>
      <c r="H91" s="664"/>
      <c r="I91" s="664"/>
    </row>
    <row r="92" spans="1:9" ht="15.6" hidden="1" x14ac:dyDescent="0.3">
      <c r="A92" s="24" t="s">
        <v>6</v>
      </c>
      <c r="B92" s="25"/>
      <c r="C92" s="671"/>
      <c r="D92" s="672"/>
      <c r="E92" s="671"/>
      <c r="F92" s="671"/>
      <c r="G92" s="707"/>
      <c r="H92" s="36"/>
    </row>
    <row r="93" spans="1:9" ht="15.6" hidden="1" x14ac:dyDescent="0.3">
      <c r="A93" s="33" t="s">
        <v>12</v>
      </c>
      <c r="B93" s="34" t="s">
        <v>426</v>
      </c>
      <c r="C93" s="708">
        <f>OHJELMOINTINÄKYMÄ!E7</f>
        <v>2012</v>
      </c>
      <c r="D93" s="708">
        <f>OHJELMOINTINÄKYMÄ!F7</f>
        <v>2013</v>
      </c>
      <c r="E93" s="708">
        <f>OHJELMOINTINÄKYMÄ!G7</f>
        <v>2014</v>
      </c>
      <c r="F93" s="708">
        <f>OHJELMOINTINÄKYMÄ!H7</f>
        <v>2015</v>
      </c>
      <c r="G93" s="708">
        <f>OHJELMOINTINÄKYMÄ!I7</f>
        <v>2016</v>
      </c>
      <c r="H93" s="35"/>
    </row>
    <row r="94" spans="1:9" ht="15" hidden="1" x14ac:dyDescent="0.25">
      <c r="A94" s="42"/>
      <c r="B94" s="43"/>
      <c r="C94" s="709" t="s">
        <v>428</v>
      </c>
      <c r="D94" s="709" t="s">
        <v>428</v>
      </c>
      <c r="E94" s="709" t="s">
        <v>428</v>
      </c>
      <c r="F94" s="709" t="s">
        <v>428</v>
      </c>
      <c r="G94" s="709" t="s">
        <v>428</v>
      </c>
      <c r="H94" s="53"/>
    </row>
    <row r="95" spans="1:9" ht="15" hidden="1" x14ac:dyDescent="0.25">
      <c r="A95" s="51"/>
      <c r="B95" s="710"/>
      <c r="C95" s="688"/>
      <c r="D95" s="685"/>
      <c r="E95" s="685"/>
      <c r="F95" s="685"/>
      <c r="G95" s="685"/>
    </row>
    <row r="96" spans="1:9" ht="15.6" hidden="1" x14ac:dyDescent="0.3">
      <c r="A96" s="692" t="s">
        <v>56</v>
      </c>
      <c r="B96" s="693" t="s">
        <v>438</v>
      </c>
      <c r="C96" s="694">
        <f>OHJELMOINTINÄKYMÄ!E56/1000</f>
        <v>60.493000000000002</v>
      </c>
      <c r="D96" s="694">
        <f>OHJELMOINTINÄKYMÄ!F56/1000</f>
        <v>70.251999999999995</v>
      </c>
      <c r="E96" s="694" t="e">
        <f>OHJELMOINTINÄKYMÄ!G56/1000</f>
        <v>#REF!</v>
      </c>
      <c r="F96" s="694">
        <f>OHJELMOINTINÄKYMÄ!H56/1000</f>
        <v>91.441999999999993</v>
      </c>
      <c r="G96" s="694">
        <f>OHJELMOINTINÄKYMÄ!I56/1000</f>
        <v>109.205</v>
      </c>
    </row>
    <row r="97" spans="1:7" ht="15.6" hidden="1" x14ac:dyDescent="0.3">
      <c r="A97" s="69" t="s">
        <v>56</v>
      </c>
      <c r="B97" s="693" t="s">
        <v>439</v>
      </c>
      <c r="C97" s="695">
        <v>140.26</v>
      </c>
      <c r="D97" s="695">
        <v>146.46</v>
      </c>
      <c r="E97" s="695">
        <v>148.29</v>
      </c>
      <c r="F97" s="695">
        <v>155</v>
      </c>
      <c r="G97" s="694">
        <v>0</v>
      </c>
    </row>
    <row r="98" spans="1:7" hidden="1" x14ac:dyDescent="0.25"/>
    <row r="99" spans="1:7" hidden="1" x14ac:dyDescent="0.25"/>
    <row r="100" spans="1:7" hidden="1" x14ac:dyDescent="0.25"/>
    <row r="101" spans="1:7" hidden="1" x14ac:dyDescent="0.25"/>
    <row r="102" spans="1:7" hidden="1" x14ac:dyDescent="0.25"/>
    <row r="103" spans="1:7" hidden="1" x14ac:dyDescent="0.25"/>
    <row r="104" spans="1:7" hidden="1" x14ac:dyDescent="0.25"/>
    <row r="105" spans="1:7" hidden="1" x14ac:dyDescent="0.25"/>
    <row r="106" spans="1:7" hidden="1" x14ac:dyDescent="0.25"/>
    <row r="107" spans="1:7" hidden="1" x14ac:dyDescent="0.25"/>
    <row r="108" spans="1:7" hidden="1" x14ac:dyDescent="0.25"/>
    <row r="109" spans="1:7" hidden="1" x14ac:dyDescent="0.25"/>
    <row r="110" spans="1:7" hidden="1" x14ac:dyDescent="0.25"/>
    <row r="111" spans="1:7" hidden="1" x14ac:dyDescent="0.25"/>
    <row r="112" spans="1:7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spans="8:8" hidden="1" x14ac:dyDescent="0.25"/>
    <row r="130" spans="8:8" hidden="1" x14ac:dyDescent="0.25"/>
    <row r="131" spans="8:8" hidden="1" x14ac:dyDescent="0.25"/>
    <row r="132" spans="8:8" x14ac:dyDescent="0.25">
      <c r="H132" s="2" t="s">
        <v>3</v>
      </c>
    </row>
    <row r="133" spans="8:8" hidden="1" x14ac:dyDescent="0.25"/>
    <row r="134" spans="8:8" hidden="1" x14ac:dyDescent="0.25"/>
    <row r="135" spans="8:8" hidden="1" x14ac:dyDescent="0.25"/>
    <row r="136" spans="8:8" hidden="1" x14ac:dyDescent="0.25"/>
    <row r="137" spans="8:8" hidden="1" x14ac:dyDescent="0.25"/>
    <row r="138" spans="8:8" hidden="1" x14ac:dyDescent="0.25"/>
    <row r="145" spans="2:20" x14ac:dyDescent="0.25">
      <c r="B145" s="2" t="s">
        <v>440</v>
      </c>
    </row>
    <row r="147" spans="2:20" hidden="1" x14ac:dyDescent="0.25"/>
    <row r="148" spans="2:20" hidden="1" x14ac:dyDescent="0.25">
      <c r="I148">
        <v>1000</v>
      </c>
    </row>
    <row r="149" spans="2:20" hidden="1" x14ac:dyDescent="0.25"/>
    <row r="150" spans="2:20" hidden="1" x14ac:dyDescent="0.25"/>
    <row r="151" spans="2:20" hidden="1" x14ac:dyDescent="0.25"/>
    <row r="152" spans="2:20" hidden="1" x14ac:dyDescent="0.25"/>
    <row r="153" spans="2:20" hidden="1" x14ac:dyDescent="0.25"/>
    <row r="156" spans="2:20" ht="14.4" x14ac:dyDescent="0.3">
      <c r="I156" s="706" t="s">
        <v>3</v>
      </c>
    </row>
    <row r="157" spans="2:20" hidden="1" x14ac:dyDescent="0.25">
      <c r="I157" t="s">
        <v>3</v>
      </c>
      <c r="J157" t="s">
        <v>3</v>
      </c>
      <c r="K157" t="s">
        <v>3</v>
      </c>
      <c r="L157" t="s">
        <v>3</v>
      </c>
      <c r="M157" t="s">
        <v>3</v>
      </c>
      <c r="N157" t="s">
        <v>3</v>
      </c>
      <c r="O157" t="s">
        <v>3</v>
      </c>
      <c r="P157" t="s">
        <v>3</v>
      </c>
      <c r="Q157" t="s">
        <v>3</v>
      </c>
      <c r="R157" t="s">
        <v>3</v>
      </c>
      <c r="S157" t="s">
        <v>3</v>
      </c>
      <c r="T157" t="s">
        <v>441</v>
      </c>
    </row>
    <row r="158" spans="2:20" hidden="1" x14ac:dyDescent="0.25">
      <c r="T158" t="s">
        <v>442</v>
      </c>
    </row>
    <row r="159" spans="2:20" hidden="1" x14ac:dyDescent="0.25">
      <c r="T159" t="s">
        <v>443</v>
      </c>
    </row>
    <row r="160" spans="2:2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84" spans="9:10" x14ac:dyDescent="0.25">
      <c r="I184" s="2" t="s">
        <v>3</v>
      </c>
      <c r="J184" t="s">
        <v>3</v>
      </c>
    </row>
    <row r="212" spans="2:9" ht="13.8" x14ac:dyDescent="0.25">
      <c r="H212" t="s">
        <v>3</v>
      </c>
      <c r="I212" s="711"/>
    </row>
    <row r="219" spans="2:9" ht="14.4" x14ac:dyDescent="0.3">
      <c r="H219" t="s">
        <v>3</v>
      </c>
      <c r="I219" s="706" t="s">
        <v>3</v>
      </c>
    </row>
    <row r="220" spans="2:9" x14ac:dyDescent="0.25">
      <c r="H220" t="s">
        <v>3</v>
      </c>
    </row>
    <row r="223" spans="2:9" x14ac:dyDescent="0.25">
      <c r="B223" s="2" t="s">
        <v>3</v>
      </c>
      <c r="H223" t="s">
        <v>53</v>
      </c>
    </row>
    <row r="224" spans="2:9" x14ac:dyDescent="0.25">
      <c r="B224" s="2" t="s">
        <v>3</v>
      </c>
      <c r="H224" t="s">
        <v>3</v>
      </c>
    </row>
    <row r="226" spans="2:9" ht="13.8" x14ac:dyDescent="0.25">
      <c r="B226" s="2" t="s">
        <v>3</v>
      </c>
      <c r="I226" s="705"/>
    </row>
    <row r="233" spans="2:9" ht="13.8" x14ac:dyDescent="0.25">
      <c r="B233" s="2" t="s">
        <v>3</v>
      </c>
      <c r="H233" t="s">
        <v>3</v>
      </c>
      <c r="I233" s="705"/>
    </row>
    <row r="242" spans="2:9" ht="13.8" x14ac:dyDescent="0.25">
      <c r="B242" s="2" t="s">
        <v>3</v>
      </c>
      <c r="H242" t="s">
        <v>3</v>
      </c>
      <c r="I242" s="705"/>
    </row>
    <row r="243" spans="2:9" x14ac:dyDescent="0.25">
      <c r="B243" s="2" t="s">
        <v>3</v>
      </c>
    </row>
    <row r="244" spans="2:9" ht="13.8" x14ac:dyDescent="0.25">
      <c r="I244" s="705"/>
    </row>
    <row r="246" spans="2:9" ht="13.8" x14ac:dyDescent="0.25">
      <c r="I246" s="705"/>
    </row>
    <row r="258" spans="2:9" x14ac:dyDescent="0.25">
      <c r="I258" s="2" t="s">
        <v>3</v>
      </c>
    </row>
    <row r="259" spans="2:9" ht="13.8" x14ac:dyDescent="0.25">
      <c r="B259" s="2" t="s">
        <v>3</v>
      </c>
      <c r="H259" t="s">
        <v>3</v>
      </c>
      <c r="I259" s="705" t="s">
        <v>3</v>
      </c>
    </row>
    <row r="260" spans="2:9" x14ac:dyDescent="0.25">
      <c r="I260" s="2" t="s">
        <v>3</v>
      </c>
    </row>
    <row r="261" spans="2:9" ht="13.8" x14ac:dyDescent="0.25">
      <c r="I261" s="705" t="s">
        <v>3</v>
      </c>
    </row>
    <row r="279" spans="2:9" ht="13.8" x14ac:dyDescent="0.25">
      <c r="B279" s="2" t="s">
        <v>3</v>
      </c>
      <c r="H279" t="s">
        <v>3</v>
      </c>
      <c r="I279" s="705" t="s">
        <v>3</v>
      </c>
    </row>
    <row r="284" spans="2:9" ht="13.8" x14ac:dyDescent="0.25">
      <c r="I284" s="705" t="s">
        <v>3</v>
      </c>
    </row>
    <row r="295" spans="2:9" ht="13.8" x14ac:dyDescent="0.25">
      <c r="I295" s="705">
        <v>250</v>
      </c>
    </row>
    <row r="297" spans="2:9" ht="13.8" x14ac:dyDescent="0.25">
      <c r="B297" t="s">
        <v>444</v>
      </c>
      <c r="H297" t="s">
        <v>3</v>
      </c>
      <c r="I297" s="705">
        <v>1050</v>
      </c>
    </row>
    <row r="298" spans="2:9" x14ac:dyDescent="0.25">
      <c r="B298" t="s">
        <v>200</v>
      </c>
    </row>
    <row r="299" spans="2:9" ht="13.8" x14ac:dyDescent="0.25">
      <c r="I299" s="705">
        <v>1050</v>
      </c>
    </row>
    <row r="307" spans="8:9" ht="13.8" x14ac:dyDescent="0.25">
      <c r="H307" t="s">
        <v>3</v>
      </c>
      <c r="I307" s="705">
        <f>I310+I335</f>
        <v>2900</v>
      </c>
    </row>
    <row r="310" spans="8:9" ht="13.8" x14ac:dyDescent="0.25">
      <c r="H310" t="s">
        <v>3</v>
      </c>
      <c r="I310" s="705"/>
    </row>
    <row r="334" spans="8:19" x14ac:dyDescent="0.25">
      <c r="S334" s="500"/>
    </row>
    <row r="335" spans="8:19" x14ac:dyDescent="0.25">
      <c r="H335" t="s">
        <v>3</v>
      </c>
      <c r="I335" s="712">
        <f>I338+I344+I350+I359</f>
        <v>2900</v>
      </c>
    </row>
    <row r="338" spans="8:9" ht="13.8" x14ac:dyDescent="0.25">
      <c r="H338" t="s">
        <v>3</v>
      </c>
      <c r="I338" s="705">
        <v>1280</v>
      </c>
    </row>
    <row r="344" spans="8:9" ht="13.8" x14ac:dyDescent="0.25">
      <c r="H344" t="s">
        <v>3</v>
      </c>
      <c r="I344" s="705">
        <v>1100</v>
      </c>
    </row>
    <row r="350" spans="8:9" ht="13.8" x14ac:dyDescent="0.25">
      <c r="H350" t="s">
        <v>3</v>
      </c>
      <c r="I350" s="705">
        <v>460</v>
      </c>
    </row>
    <row r="353" spans="1:10" ht="13.8" x14ac:dyDescent="0.25">
      <c r="I353" s="711"/>
    </row>
    <row r="358" spans="1:10" x14ac:dyDescent="0.25">
      <c r="I358">
        <f>SUM(I360+I362)</f>
        <v>0</v>
      </c>
    </row>
    <row r="359" spans="1:10" ht="13.8" x14ac:dyDescent="0.25">
      <c r="B359" t="s">
        <v>445</v>
      </c>
      <c r="I359" s="705">
        <v>60</v>
      </c>
    </row>
    <row r="361" spans="1:10" ht="13.8" x14ac:dyDescent="0.25">
      <c r="I361" s="705">
        <v>60</v>
      </c>
    </row>
    <row r="362" spans="1:10" x14ac:dyDescent="0.25">
      <c r="H362" s="713"/>
    </row>
    <row r="365" spans="1:10" x14ac:dyDescent="0.25">
      <c r="I365" s="670"/>
      <c r="J365" s="714"/>
    </row>
    <row r="366" spans="1:10" x14ac:dyDescent="0.25">
      <c r="A366" t="s">
        <v>446</v>
      </c>
      <c r="H366" t="s">
        <v>3</v>
      </c>
    </row>
    <row r="367" spans="1:10" x14ac:dyDescent="0.25">
      <c r="H367" t="s">
        <v>53</v>
      </c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7"/>
  <sheetViews>
    <sheetView showGridLines="0" topLeftCell="A10" zoomScale="55" zoomScaleNormal="55" workbookViewId="0">
      <selection activeCell="AI45" sqref="AI45"/>
    </sheetView>
  </sheetViews>
  <sheetFormatPr defaultColWidth="8.44140625" defaultRowHeight="13.2" x14ac:dyDescent="0.25"/>
  <cols>
    <col min="1" max="1" width="13.5546875" customWidth="1"/>
    <col min="2" max="2" width="28.44140625" customWidth="1"/>
    <col min="3" max="5" width="9.33203125" hidden="1" customWidth="1"/>
    <col min="6" max="6" width="9.6640625" hidden="1" customWidth="1"/>
    <col min="10" max="10" width="9.6640625" customWidth="1"/>
  </cols>
  <sheetData>
    <row r="1" spans="1:22" ht="15.6" x14ac:dyDescent="0.3">
      <c r="A1" s="6" t="s">
        <v>0</v>
      </c>
      <c r="B1" s="6"/>
      <c r="C1" s="6">
        <f>OHJELMOINTINÄKYMÄ!C1</f>
        <v>0</v>
      </c>
      <c r="D1" s="6"/>
      <c r="E1" s="6"/>
      <c r="F1" s="6"/>
      <c r="G1" s="2"/>
      <c r="H1" s="8"/>
      <c r="I1" s="8"/>
    </row>
    <row r="2" spans="1:22" ht="15.6" x14ac:dyDescent="0.3">
      <c r="A2" s="6" t="s">
        <v>1</v>
      </c>
      <c r="B2" s="6"/>
      <c r="C2" s="6"/>
      <c r="D2" s="6"/>
      <c r="E2" s="6"/>
      <c r="F2" s="6"/>
      <c r="G2" s="6"/>
      <c r="H2" s="6"/>
      <c r="I2" s="6"/>
    </row>
    <row r="3" spans="1:22" ht="15.6" x14ac:dyDescent="0.3">
      <c r="A3" s="6" t="s">
        <v>420</v>
      </c>
      <c r="B3" s="6"/>
      <c r="C3" s="14" t="str">
        <f>OHJELMOINTINÄKYMÄ!C3</f>
        <v xml:space="preserve"> </v>
      </c>
      <c r="D3" s="14"/>
      <c r="E3" s="6"/>
      <c r="F3" s="6"/>
      <c r="G3" s="2"/>
      <c r="H3" s="16"/>
      <c r="I3" s="15"/>
    </row>
    <row r="4" spans="1:22" ht="15.6" x14ac:dyDescent="0.3">
      <c r="A4" s="22"/>
      <c r="B4" s="22"/>
      <c r="C4" s="22"/>
      <c r="D4" s="22"/>
      <c r="E4" s="22"/>
      <c r="F4" s="22"/>
      <c r="G4" s="663"/>
      <c r="H4" s="664"/>
      <c r="I4" s="664"/>
    </row>
    <row r="5" spans="1:22" ht="17.399999999999999" x14ac:dyDescent="0.3">
      <c r="A5" s="665" t="s">
        <v>447</v>
      </c>
      <c r="B5" s="22"/>
      <c r="C5" s="22"/>
      <c r="D5" s="22"/>
      <c r="E5" s="22"/>
      <c r="F5" s="22"/>
      <c r="G5" s="22"/>
      <c r="H5" s="664"/>
      <c r="I5" s="664">
        <v>0</v>
      </c>
      <c r="M5" s="666"/>
      <c r="N5" s="197"/>
      <c r="O5" s="197"/>
      <c r="P5" s="715" t="s">
        <v>448</v>
      </c>
    </row>
    <row r="6" spans="1:22" ht="15.6" x14ac:dyDescent="0.3">
      <c r="A6" s="557" t="s">
        <v>423</v>
      </c>
      <c r="B6" s="668"/>
      <c r="C6" s="22"/>
      <c r="D6" s="22"/>
      <c r="E6" s="22"/>
      <c r="F6" s="22"/>
      <c r="G6" s="22"/>
      <c r="H6" s="664"/>
      <c r="I6" s="664"/>
    </row>
    <row r="7" spans="1:22" ht="15.6" x14ac:dyDescent="0.3">
      <c r="A7" s="557"/>
      <c r="B7" s="668"/>
      <c r="C7" s="22"/>
      <c r="D7" s="22"/>
      <c r="E7" s="22"/>
      <c r="F7" s="22"/>
      <c r="G7" s="22"/>
      <c r="H7" s="664"/>
      <c r="I7" s="664"/>
    </row>
    <row r="8" spans="1:22" ht="15.6" x14ac:dyDescent="0.3">
      <c r="A8" s="24" t="s">
        <v>6</v>
      </c>
      <c r="B8" s="25"/>
      <c r="C8" s="671" t="s">
        <v>7</v>
      </c>
      <c r="D8" s="28" t="s">
        <v>7</v>
      </c>
      <c r="E8" s="671" t="s">
        <v>7</v>
      </c>
      <c r="F8" s="672" t="s">
        <v>424</v>
      </c>
      <c r="G8" s="671" t="s">
        <v>7</v>
      </c>
      <c r="H8" s="671" t="s">
        <v>7</v>
      </c>
      <c r="I8" s="672" t="s">
        <v>7</v>
      </c>
      <c r="J8" s="671" t="s">
        <v>7</v>
      </c>
      <c r="K8" s="716" t="s">
        <v>7</v>
      </c>
      <c r="L8" s="671" t="s">
        <v>7</v>
      </c>
      <c r="M8" s="671" t="s">
        <v>8</v>
      </c>
      <c r="N8" s="674" t="s">
        <v>9</v>
      </c>
      <c r="O8" s="671" t="s">
        <v>10</v>
      </c>
      <c r="P8" s="671" t="s">
        <v>10</v>
      </c>
      <c r="Q8" s="671" t="s">
        <v>425</v>
      </c>
      <c r="R8" s="671" t="s">
        <v>425</v>
      </c>
      <c r="S8" s="671" t="s">
        <v>425</v>
      </c>
      <c r="T8" s="671" t="s">
        <v>425</v>
      </c>
      <c r="U8" s="671" t="s">
        <v>425</v>
      </c>
      <c r="V8" s="671" t="s">
        <v>425</v>
      </c>
    </row>
    <row r="9" spans="1:22" ht="15.6" x14ac:dyDescent="0.3">
      <c r="A9" s="33" t="s">
        <v>12</v>
      </c>
      <c r="B9" s="34" t="s">
        <v>426</v>
      </c>
      <c r="C9" s="675" t="str">
        <f>OHJELMOINTINÄKYMÄ!C6</f>
        <v>TP</v>
      </c>
      <c r="D9" s="675" t="str">
        <f>OHJELMOINTINÄKYMÄ!D6</f>
        <v>TP</v>
      </c>
      <c r="E9" s="675" t="str">
        <f>OHJELMOINTINÄKYMÄ!E6</f>
        <v>TP</v>
      </c>
      <c r="F9" s="675" t="str">
        <f>OHJELMOINTINÄKYMÄ!F6</f>
        <v>TP</v>
      </c>
      <c r="G9" s="675">
        <v>2014</v>
      </c>
      <c r="H9" s="675">
        <v>2015</v>
      </c>
      <c r="I9" s="624">
        <v>2016</v>
      </c>
      <c r="J9" s="675">
        <v>2017</v>
      </c>
      <c r="K9" s="717">
        <v>2018</v>
      </c>
      <c r="L9" s="675">
        <v>2019</v>
      </c>
      <c r="M9" s="675">
        <v>2020</v>
      </c>
      <c r="N9" s="677">
        <v>2021</v>
      </c>
      <c r="O9" s="675">
        <v>2022</v>
      </c>
      <c r="P9" s="675">
        <v>2023</v>
      </c>
      <c r="Q9" s="675">
        <v>2024</v>
      </c>
      <c r="R9" s="675">
        <v>2025</v>
      </c>
      <c r="S9" s="675">
        <v>2026</v>
      </c>
      <c r="T9" s="675">
        <v>2027</v>
      </c>
      <c r="U9" s="675">
        <v>2028</v>
      </c>
      <c r="V9" s="675">
        <v>2029</v>
      </c>
    </row>
    <row r="10" spans="1:22" ht="15" x14ac:dyDescent="0.25">
      <c r="A10" s="42"/>
      <c r="B10" s="43"/>
      <c r="C10" s="679" t="s">
        <v>428</v>
      </c>
      <c r="D10" s="679" t="s">
        <v>428</v>
      </c>
      <c r="E10" s="679" t="s">
        <v>428</v>
      </c>
      <c r="F10" s="679" t="s">
        <v>428</v>
      </c>
      <c r="G10" s="679" t="s">
        <v>428</v>
      </c>
      <c r="H10" s="679" t="s">
        <v>428</v>
      </c>
      <c r="I10" s="680" t="s">
        <v>428</v>
      </c>
      <c r="J10" s="679" t="s">
        <v>428</v>
      </c>
      <c r="K10" s="718" t="s">
        <v>428</v>
      </c>
      <c r="L10" s="679" t="s">
        <v>428</v>
      </c>
      <c r="M10" s="679" t="s">
        <v>428</v>
      </c>
      <c r="N10" s="682" t="s">
        <v>428</v>
      </c>
      <c r="O10" s="679" t="s">
        <v>428</v>
      </c>
      <c r="P10" s="679" t="s">
        <v>428</v>
      </c>
      <c r="Q10" s="679" t="s">
        <v>428</v>
      </c>
      <c r="R10" s="679" t="s">
        <v>428</v>
      </c>
      <c r="S10" s="679" t="s">
        <v>428</v>
      </c>
      <c r="T10" s="679" t="s">
        <v>428</v>
      </c>
      <c r="U10" s="679" t="s">
        <v>428</v>
      </c>
      <c r="V10" s="679" t="s">
        <v>428</v>
      </c>
    </row>
    <row r="11" spans="1:22" ht="15" x14ac:dyDescent="0.25">
      <c r="A11" s="51"/>
      <c r="B11" s="684"/>
      <c r="C11" s="685"/>
      <c r="D11" s="686"/>
      <c r="E11" s="685"/>
      <c r="F11" s="685"/>
      <c r="G11" s="685"/>
      <c r="H11" s="685"/>
      <c r="I11" s="688"/>
      <c r="J11" s="685"/>
      <c r="K11" s="719"/>
      <c r="L11" s="685"/>
      <c r="M11" s="685"/>
      <c r="N11" s="690"/>
      <c r="O11" s="685"/>
      <c r="P11" s="685"/>
      <c r="Q11" s="685"/>
      <c r="R11" s="685"/>
      <c r="S11" s="685"/>
      <c r="T11" s="685"/>
      <c r="U11" s="685"/>
      <c r="V11" s="685"/>
    </row>
    <row r="12" spans="1:22" ht="15.6" x14ac:dyDescent="0.3">
      <c r="A12" s="69" t="s">
        <v>60</v>
      </c>
      <c r="B12" s="318" t="s">
        <v>449</v>
      </c>
      <c r="C12" s="685"/>
      <c r="D12" s="685"/>
      <c r="E12" s="685"/>
      <c r="F12" s="685"/>
      <c r="G12" s="694" t="e">
        <f>OHJELMOINTINÄKYMÄ!G61/1000</f>
        <v>#REF!</v>
      </c>
      <c r="H12" s="694">
        <f>OHJELMOINTINÄKYMÄ!H61/1000</f>
        <v>46.941000000000003</v>
      </c>
      <c r="I12" s="694">
        <f>OHJELMOINTINÄKYMÄ!I61/1000</f>
        <v>48.02</v>
      </c>
      <c r="J12" s="694">
        <f>OHJELMOINTINÄKYMÄ!J61/1000</f>
        <v>54.814</v>
      </c>
      <c r="K12" s="697" t="e">
        <f>OHJELMOINTINÄKYMÄ!K61/1000</f>
        <v>#REF!</v>
      </c>
      <c r="L12" s="694">
        <f>OHJELMOINTINÄKYMÄ!L61/1000</f>
        <v>75.894999999999996</v>
      </c>
      <c r="M12" s="694">
        <f>OHJELMOINTINÄKYMÄ!M61/1000</f>
        <v>101.255509</v>
      </c>
      <c r="N12" s="698" t="e">
        <f>OHJELMOINTINÄKYMÄ!O61/1000</f>
        <v>#REF!</v>
      </c>
      <c r="O12" s="694" t="e">
        <f>OHJELMOINTINÄKYMÄ!P61/1000</f>
        <v>#REF!</v>
      </c>
      <c r="P12" s="694" t="e">
        <f>OHJELMOINTINÄKYMÄ!Q61/1000</f>
        <v>#REF!</v>
      </c>
      <c r="Q12" s="694" t="e">
        <f>OHJELMOINTINÄKYMÄ!R61/1000</f>
        <v>#REF!</v>
      </c>
      <c r="R12" s="694" t="e">
        <f>OHJELMOINTINÄKYMÄ!S61/1000</f>
        <v>#REF!</v>
      </c>
      <c r="S12" s="694" t="e">
        <f>OHJELMOINTINÄKYMÄ!T61/1000</f>
        <v>#REF!</v>
      </c>
      <c r="T12" s="694" t="e">
        <f>OHJELMOINTINÄKYMÄ!U61/1000</f>
        <v>#REF!</v>
      </c>
      <c r="U12" s="694" t="e">
        <f>OHJELMOINTINÄKYMÄ!V61/1000</f>
        <v>#REF!</v>
      </c>
      <c r="V12" s="694" t="e">
        <f>OHJELMOINTINÄKYMÄ!W61/1000</f>
        <v>#REF!</v>
      </c>
    </row>
    <row r="13" spans="1:22" ht="15.6" x14ac:dyDescent="0.3">
      <c r="A13" s="720" t="s">
        <v>338</v>
      </c>
      <c r="B13" s="721" t="s">
        <v>64</v>
      </c>
      <c r="C13" s="694">
        <f>OHJELMOINTINÄKYMÄ!C64/1000</f>
        <v>0</v>
      </c>
      <c r="D13" s="694">
        <f>OHJELMOINTINÄKYMÄ!D64/1000</f>
        <v>0</v>
      </c>
      <c r="E13" s="694">
        <f>OHJELMOINTINÄKYMÄ!E64/1000</f>
        <v>0</v>
      </c>
      <c r="F13" s="694">
        <f>OHJELMOINTINÄKYMÄ!F64/1000+OHJELMOINTINÄKYMÄ!F65/1000</f>
        <v>21.895</v>
      </c>
      <c r="G13" s="722">
        <f>OHJELMOINTINÄKYMÄ!G65/1000</f>
        <v>16.562999999999999</v>
      </c>
      <c r="H13" s="722">
        <f>OHJELMOINTINÄKYMÄ!H65/1000</f>
        <v>14.757999999999999</v>
      </c>
      <c r="I13" s="722">
        <f>OHJELMOINTINÄKYMÄ!I65/1000</f>
        <v>14.579000000000001</v>
      </c>
      <c r="J13" s="723">
        <f>OHJELMOINTINÄKYMÄ!J65/1000</f>
        <v>16.263000000000002</v>
      </c>
      <c r="K13" s="724">
        <f>OHJELMOINTINÄKYMÄ!K65/1000</f>
        <v>16.09</v>
      </c>
      <c r="L13" s="722">
        <f>OHJELMOINTINÄKYMÄ!L65/1000</f>
        <v>22.765000000000001</v>
      </c>
      <c r="M13" s="722">
        <f>OHJELMOINTINÄKYMÄ!M65/1000</f>
        <v>31.799675999999998</v>
      </c>
      <c r="N13" s="725">
        <f>OHJELMOINTINÄKYMÄ!O65/1000</f>
        <v>20.100000000000001</v>
      </c>
      <c r="O13" s="722">
        <f>OHJELMOINTINÄKYMÄ!P65/1000</f>
        <v>16.3</v>
      </c>
      <c r="P13" s="722">
        <f>OHJELMOINTINÄKYMÄ!Q65/1000</f>
        <v>20.6</v>
      </c>
      <c r="Q13" s="722">
        <f>OHJELMOINTINÄKYMÄ!R65/1000</f>
        <v>25.4</v>
      </c>
      <c r="R13" s="722">
        <f>OHJELMOINTINÄKYMÄ!S65/1000</f>
        <v>21.2</v>
      </c>
      <c r="S13" s="722">
        <f>OHJELMOINTINÄKYMÄ!T65/1000</f>
        <v>24.5</v>
      </c>
      <c r="T13" s="722">
        <f>OHJELMOINTINÄKYMÄ!U65/1000</f>
        <v>34.799999999999997</v>
      </c>
      <c r="U13" s="722">
        <f>OHJELMOINTINÄKYMÄ!V65/1000</f>
        <v>48.1</v>
      </c>
      <c r="V13" s="722">
        <f>OHJELMOINTINÄKYMÄ!W65/1000</f>
        <v>45.9</v>
      </c>
    </row>
    <row r="14" spans="1:22" ht="15.6" x14ac:dyDescent="0.3">
      <c r="A14" s="35" t="s">
        <v>339</v>
      </c>
      <c r="B14" s="721" t="s">
        <v>429</v>
      </c>
      <c r="C14" s="694">
        <f>OHJELMOINTINÄKYMÄ!C92/1000</f>
        <v>0</v>
      </c>
      <c r="D14" s="694">
        <f>OHJELMOINTINÄKYMÄ!D92/1000</f>
        <v>0</v>
      </c>
      <c r="E14" s="694">
        <f>OHJELMOINTINÄKYMÄ!E92/1000</f>
        <v>0</v>
      </c>
      <c r="F14" s="694">
        <f>OHJELMOINTINÄKYMÄ!F92/1000+OHJELMOINTINÄKYMÄ!F93/1000</f>
        <v>22.585999999999999</v>
      </c>
      <c r="G14" s="722" t="e">
        <f>OHJELMOINTINÄKYMÄ!G93/1000</f>
        <v>#REF!</v>
      </c>
      <c r="H14" s="722">
        <f>OHJELMOINTINÄKYMÄ!H93/1000</f>
        <v>28.099</v>
      </c>
      <c r="I14" s="722">
        <f>OHJELMOINTINÄKYMÄ!I93/1000</f>
        <v>30.012</v>
      </c>
      <c r="J14" s="723">
        <f>OHJELMOINTINÄKYMÄ!J93/1000</f>
        <v>36.481000000000002</v>
      </c>
      <c r="K14" s="724" t="e">
        <f>OHJELMOINTINÄKYMÄ!K93/1000</f>
        <v>#REF!</v>
      </c>
      <c r="L14" s="722">
        <f>OHJELMOINTINÄKYMÄ!L541/1000</f>
        <v>0</v>
      </c>
      <c r="M14" s="722">
        <f>OHJELMOINTINÄKYMÄ!M541/1000</f>
        <v>0</v>
      </c>
      <c r="N14" s="725">
        <f>OHJELMOINTINÄKYMÄ!O540/1000</f>
        <v>0.15</v>
      </c>
      <c r="O14" s="722">
        <f>OHJELMOINTINÄKYMÄ!P540/1000</f>
        <v>0.1</v>
      </c>
      <c r="P14" s="722">
        <f>OHJELMOINTINÄKYMÄ!Q540/1000</f>
        <v>0.5</v>
      </c>
      <c r="Q14" s="722">
        <f>OHJELMOINTINÄKYMÄ!R540/1000</f>
        <v>0.8</v>
      </c>
      <c r="R14" s="722">
        <f>OHJELMOINTINÄKYMÄ!S540/1000</f>
        <v>0.25</v>
      </c>
      <c r="S14" s="722">
        <f>OHJELMOINTINÄKYMÄ!T540/1000</f>
        <v>0.2</v>
      </c>
      <c r="T14" s="722">
        <f>OHJELMOINTINÄKYMÄ!U540/1000</f>
        <v>1</v>
      </c>
      <c r="U14" s="722">
        <f>OHJELMOINTINÄKYMÄ!V540/1000</f>
        <v>1</v>
      </c>
      <c r="V14" s="722">
        <f>OHJELMOINTINÄKYMÄ!W540/1000</f>
        <v>1</v>
      </c>
    </row>
    <row r="15" spans="1:22" ht="15.6" x14ac:dyDescent="0.3">
      <c r="A15" s="35" t="s">
        <v>430</v>
      </c>
      <c r="B15" s="721" t="s">
        <v>342</v>
      </c>
      <c r="C15" s="694">
        <f>OHJELMOINTINÄKYMÄ!C308/1000</f>
        <v>0</v>
      </c>
      <c r="D15" s="694">
        <f>OHJELMOINTINÄKYMÄ!D308/1000</f>
        <v>0</v>
      </c>
      <c r="E15" s="694">
        <f>OHJELMOINTINÄKYMÄ!E308/1000</f>
        <v>0</v>
      </c>
      <c r="F15" s="694" t="e">
        <f>OHJELMOINTINÄKYMÄ!F308/1000+OHJELMOINTINÄKYMÄ!#REF!/1000</f>
        <v>#REF!</v>
      </c>
      <c r="G15" s="722">
        <f>OHJELMOINTINÄKYMÄ!G182/1000</f>
        <v>5.3259999999999996</v>
      </c>
      <c r="H15" s="722">
        <f>OHJELMOINTINÄKYMÄ!H182/1000</f>
        <v>4.0839999999999996</v>
      </c>
      <c r="I15" s="722">
        <f>OHJELMOINTINÄKYMÄ!I182/1000</f>
        <v>3.4289999999999998</v>
      </c>
      <c r="J15" s="723">
        <f>OHJELMOINTINÄKYMÄ!J182/1000</f>
        <v>2.0699999999999998</v>
      </c>
      <c r="K15" s="726">
        <f>OHJELMOINTINÄKYMÄ!K182/1000</f>
        <v>1.147</v>
      </c>
      <c r="L15" s="722">
        <f>OHJELMOINTINÄKYMÄ!L182/1000</f>
        <v>3.1739999999999999</v>
      </c>
      <c r="M15" s="722">
        <f>OHJELMOINTINÄKYMÄ!M182/1000</f>
        <v>3.2530640000000002</v>
      </c>
      <c r="N15" s="725">
        <f>OHJELMOINTINÄKYMÄ!O182/1000</f>
        <v>4</v>
      </c>
      <c r="O15" s="722">
        <f>OHJELMOINTINÄKYMÄ!P182/1000</f>
        <v>7.3</v>
      </c>
      <c r="P15" s="722">
        <f>OHJELMOINTINÄKYMÄ!Q182/1000</f>
        <v>6.2</v>
      </c>
      <c r="Q15" s="722">
        <f>OHJELMOINTINÄKYMÄ!R182/1000</f>
        <v>6.4</v>
      </c>
      <c r="R15" s="722">
        <f>OHJELMOINTINÄKYMÄ!S182/1000</f>
        <v>29.95</v>
      </c>
      <c r="S15" s="722">
        <f>OHJELMOINTINÄKYMÄ!T182/1000</f>
        <v>29.7</v>
      </c>
      <c r="T15" s="722">
        <f>OHJELMOINTINÄKYMÄ!U182/1000</f>
        <v>26</v>
      </c>
      <c r="U15" s="722">
        <f>OHJELMOINTINÄKYMÄ!V182/1000</f>
        <v>26</v>
      </c>
      <c r="V15" s="722">
        <f>OHJELMOINTINÄKYMÄ!W182/1000</f>
        <v>26.1</v>
      </c>
    </row>
    <row r="16" spans="1:22" ht="15.6" x14ac:dyDescent="0.3">
      <c r="A16" s="727" t="s">
        <v>130</v>
      </c>
      <c r="B16" s="34" t="s">
        <v>450</v>
      </c>
      <c r="C16" s="700"/>
      <c r="D16" s="700"/>
      <c r="E16" s="700"/>
      <c r="F16" s="700"/>
      <c r="G16" s="694">
        <f>OHJELMOINTINÄKYMÄ!G198/1000</f>
        <v>29.212</v>
      </c>
      <c r="H16" s="694">
        <f>OHJELMOINTINÄKYMÄ!H198/1000</f>
        <v>35.716999999999999</v>
      </c>
      <c r="I16" s="694">
        <f>OHJELMOINTINÄKYMÄ!I198/1000</f>
        <v>52.41</v>
      </c>
      <c r="J16" s="694">
        <f>OHJELMOINTINÄKYMÄ!J198/1000</f>
        <v>80.819000000000003</v>
      </c>
      <c r="K16" s="697">
        <f>OHJELMOINTINÄKYMÄ!K198/1000</f>
        <v>79.195999999999998</v>
      </c>
      <c r="L16" s="694">
        <f>OHJELMOINTINÄKYMÄ!L198/1000</f>
        <v>81.905000000000001</v>
      </c>
      <c r="M16" s="694">
        <f>OHJELMOINTINÄKYMÄ!M198/1000</f>
        <v>71.084733999999983</v>
      </c>
      <c r="N16" s="698">
        <f>OHJELMOINTINÄKYMÄ!O198/1000</f>
        <v>0</v>
      </c>
      <c r="O16" s="694">
        <f>OHJELMOINTINÄKYMÄ!P198/1000</f>
        <v>0</v>
      </c>
      <c r="P16" s="694">
        <f>OHJELMOINTINÄKYMÄ!Q198/1000</f>
        <v>0</v>
      </c>
      <c r="Q16" s="694">
        <f>OHJELMOINTINÄKYMÄ!R198/1000</f>
        <v>0</v>
      </c>
      <c r="R16" s="694">
        <f>OHJELMOINTINÄKYMÄ!S198/1000</f>
        <v>0</v>
      </c>
      <c r="S16" s="694">
        <f>OHJELMOINTINÄKYMÄ!T198/1000</f>
        <v>0</v>
      </c>
      <c r="T16" s="694">
        <f>OHJELMOINTINÄKYMÄ!U198/1000</f>
        <v>0</v>
      </c>
      <c r="U16" s="694">
        <f>OHJELMOINTINÄKYMÄ!V198/1000</f>
        <v>0</v>
      </c>
      <c r="V16" s="694">
        <f>OHJELMOINTINÄKYMÄ!W198/1000</f>
        <v>0</v>
      </c>
    </row>
    <row r="17" spans="1:22" ht="15.6" x14ac:dyDescent="0.3">
      <c r="A17" s="728" t="s">
        <v>3</v>
      </c>
      <c r="B17" s="52" t="s">
        <v>432</v>
      </c>
      <c r="C17" s="694">
        <f>OHJELMOINTINÄKYMÄ!C201/1000</f>
        <v>0</v>
      </c>
      <c r="D17" s="694">
        <f>OHJELMOINTINÄKYMÄ!D201/1000</f>
        <v>0</v>
      </c>
      <c r="E17" s="694">
        <f>OHJELMOINTINÄKYMÄ!E201/1000</f>
        <v>0</v>
      </c>
      <c r="F17" s="694">
        <f>OHJELMOINTINÄKYMÄ!F201/1000+OHJELMOINTINÄKYMÄ!F203/1000</f>
        <v>0.33</v>
      </c>
      <c r="G17" s="723">
        <f>OHJELMOINTINÄKYMÄ!G203/1000</f>
        <v>3.0539999999999998</v>
      </c>
      <c r="H17" s="723">
        <f>OHJELMOINTINÄKYMÄ!H203/1000</f>
        <v>0.14099999999999999</v>
      </c>
      <c r="I17" s="722">
        <f>OHJELMOINTINÄKYMÄ!I203/1000</f>
        <v>0.28199999999999997</v>
      </c>
      <c r="J17" s="723">
        <f>OHJELMOINTINÄKYMÄ!J203/1000</f>
        <v>0.23499999999999999</v>
      </c>
      <c r="K17" s="724">
        <f>OHJELMOINTINÄKYMÄ!K203/1000</f>
        <v>4.83</v>
      </c>
      <c r="L17" s="723">
        <f>OHJELMOINTINÄKYMÄ!L203/1000</f>
        <v>2.617</v>
      </c>
      <c r="M17" s="723">
        <f>OHJELMOINTINÄKYMÄ!M203/1000</f>
        <v>0.188606</v>
      </c>
      <c r="N17" s="729">
        <f>OHJELMOINTINÄKYMÄ!O203/1000</f>
        <v>0</v>
      </c>
      <c r="O17" s="723">
        <f>OHJELMOINTINÄKYMÄ!P203/1000</f>
        <v>0</v>
      </c>
      <c r="P17" s="723">
        <f>OHJELMOINTINÄKYMÄ!Q203/1000</f>
        <v>0</v>
      </c>
      <c r="Q17" s="723">
        <f>OHJELMOINTINÄKYMÄ!R203/1000</f>
        <v>0</v>
      </c>
      <c r="R17" s="723">
        <f>OHJELMOINTINÄKYMÄ!S203/1000</f>
        <v>0</v>
      </c>
      <c r="S17" s="723">
        <f>OHJELMOINTINÄKYMÄ!T203/1000</f>
        <v>0</v>
      </c>
      <c r="T17" s="723">
        <f>OHJELMOINTINÄKYMÄ!U203/1000</f>
        <v>0</v>
      </c>
      <c r="U17" s="723">
        <f>OHJELMOINTINÄKYMÄ!V203/1000</f>
        <v>0</v>
      </c>
      <c r="V17" s="723">
        <f>OHJELMOINTINÄKYMÄ!W203/1000</f>
        <v>0</v>
      </c>
    </row>
    <row r="18" spans="1:22" ht="15.6" x14ac:dyDescent="0.3">
      <c r="A18" s="730" t="s">
        <v>3</v>
      </c>
      <c r="B18" s="52" t="s">
        <v>367</v>
      </c>
      <c r="C18" s="694">
        <f>OHJELMOINTINÄKYMÄ!C209/1000</f>
        <v>0</v>
      </c>
      <c r="D18" s="694">
        <f>OHJELMOINTINÄKYMÄ!D209/1000</f>
        <v>0</v>
      </c>
      <c r="E18" s="694">
        <f>OHJELMOINTINÄKYMÄ!E209/1000</f>
        <v>0</v>
      </c>
      <c r="F18" s="694">
        <f>OHJELMOINTINÄKYMÄ!F209/1000+OHJELMOINTINÄKYMÄ!F210/1000</f>
        <v>4.7389999999999999</v>
      </c>
      <c r="G18" s="722">
        <f>OHJELMOINTINÄKYMÄ!G210/1000</f>
        <v>3.8450000000000002</v>
      </c>
      <c r="H18" s="722">
        <f>OHJELMOINTINÄKYMÄ!H210/1000</f>
        <v>2.7949999999999999</v>
      </c>
      <c r="I18" s="722">
        <f>OHJELMOINTINÄKYMÄ!I210/1000</f>
        <v>6.024</v>
      </c>
      <c r="J18" s="723">
        <f>OHJELMOINTINÄKYMÄ!J210/1000</f>
        <v>22.12</v>
      </c>
      <c r="K18" s="724">
        <f>OHJELMOINTINÄKYMÄ!K210/1000</f>
        <v>13.27</v>
      </c>
      <c r="L18" s="723">
        <f>OHJELMOINTINÄKYMÄ!L210/1000</f>
        <v>16.920000000000002</v>
      </c>
      <c r="M18" s="722">
        <f>OHJELMOINTINÄKYMÄ!M210/1000</f>
        <v>22.806918000000003</v>
      </c>
      <c r="N18" s="725">
        <f>OHJELMOINTINÄKYMÄ!O210/1000</f>
        <v>0</v>
      </c>
      <c r="O18" s="722">
        <f>OHJELMOINTINÄKYMÄ!P210/1000</f>
        <v>0</v>
      </c>
      <c r="P18" s="722">
        <f>OHJELMOINTINÄKYMÄ!Q210/1000</f>
        <v>0</v>
      </c>
      <c r="Q18" s="722">
        <f>OHJELMOINTINÄKYMÄ!R210/1000</f>
        <v>0</v>
      </c>
      <c r="R18" s="722">
        <f>OHJELMOINTINÄKYMÄ!S210/1000</f>
        <v>0</v>
      </c>
      <c r="S18" s="722">
        <f>OHJELMOINTINÄKYMÄ!T210/1000</f>
        <v>0</v>
      </c>
      <c r="T18" s="722">
        <f>OHJELMOINTINÄKYMÄ!U210/1000</f>
        <v>0</v>
      </c>
      <c r="U18" s="722">
        <f>OHJELMOINTINÄKYMÄ!V210/1000</f>
        <v>0</v>
      </c>
      <c r="V18" s="722">
        <f>OHJELMOINTINÄKYMÄ!W210/1000</f>
        <v>0</v>
      </c>
    </row>
    <row r="19" spans="1:22" ht="15.6" x14ac:dyDescent="0.3">
      <c r="A19" s="730" t="s">
        <v>3</v>
      </c>
      <c r="B19" s="52" t="s">
        <v>151</v>
      </c>
      <c r="C19" s="694">
        <f>OHJELMOINTINÄKYMÄ!C221/1000</f>
        <v>0</v>
      </c>
      <c r="D19" s="694">
        <f>OHJELMOINTINÄKYMÄ!D221/1000</f>
        <v>0</v>
      </c>
      <c r="E19" s="694">
        <f>OHJELMOINTINÄKYMÄ!E221/1000</f>
        <v>0</v>
      </c>
      <c r="F19" s="694">
        <f>OHJELMOINTINÄKYMÄ!F221/1000+OHJELMOINTINÄKYMÄ!F222/1000</f>
        <v>9.2639999999999993</v>
      </c>
      <c r="G19" s="723">
        <f>OHJELMOINTINÄKYMÄ!G222/1000</f>
        <v>4.1369999999999996</v>
      </c>
      <c r="H19" s="723">
        <f>OHJELMOINTINÄKYMÄ!H222/1000</f>
        <v>9.1</v>
      </c>
      <c r="I19" s="722">
        <f>OHJELMOINTINÄKYMÄ!I222/1000</f>
        <v>13.21</v>
      </c>
      <c r="J19" s="723">
        <f>OHJELMOINTINÄKYMÄ!J222/1000</f>
        <v>18.262</v>
      </c>
      <c r="K19" s="724">
        <f>OHJELMOINTINÄKYMÄ!K222/1000</f>
        <v>14.964</v>
      </c>
      <c r="L19" s="723">
        <f>OHJELMOINTINÄKYMÄ!L222/1000</f>
        <v>15.704000000000001</v>
      </c>
      <c r="M19" s="722">
        <f>OHJELMOINTINÄKYMÄ!M222/1000</f>
        <v>14.397551</v>
      </c>
      <c r="N19" s="725">
        <f>OHJELMOINTINÄKYMÄ!O222/1000</f>
        <v>0</v>
      </c>
      <c r="O19" s="722">
        <f>OHJELMOINTINÄKYMÄ!P222/1000</f>
        <v>0</v>
      </c>
      <c r="P19" s="722">
        <f>OHJELMOINTINÄKYMÄ!Q222/1000</f>
        <v>0</v>
      </c>
      <c r="Q19" s="722">
        <f>OHJELMOINTINÄKYMÄ!R222/1000</f>
        <v>0</v>
      </c>
      <c r="R19" s="722">
        <f>OHJELMOINTINÄKYMÄ!S222/1000</f>
        <v>0</v>
      </c>
      <c r="S19" s="722">
        <f>OHJELMOINTINÄKYMÄ!T222/1000</f>
        <v>0</v>
      </c>
      <c r="T19" s="722">
        <f>OHJELMOINTINÄKYMÄ!U222/1000</f>
        <v>0</v>
      </c>
      <c r="U19" s="722">
        <f>OHJELMOINTINÄKYMÄ!V222/1000</f>
        <v>0</v>
      </c>
      <c r="V19" s="722">
        <f>OHJELMOINTINÄKYMÄ!W222/1000</f>
        <v>0</v>
      </c>
    </row>
    <row r="20" spans="1:22" ht="15.6" x14ac:dyDescent="0.3">
      <c r="A20" s="730" t="s">
        <v>3</v>
      </c>
      <c r="B20" s="52" t="s">
        <v>166</v>
      </c>
      <c r="C20" s="694">
        <f>OHJELMOINTINÄKYMÄ!C237/1000</f>
        <v>0</v>
      </c>
      <c r="D20" s="694">
        <f>OHJELMOINTINÄKYMÄ!D237/1000</f>
        <v>0</v>
      </c>
      <c r="E20" s="694">
        <f>OHJELMOINTINÄKYMÄ!E237/1000</f>
        <v>0</v>
      </c>
      <c r="F20" s="694">
        <f>OHJELMOINTINÄKYMÄ!F237/1000+OHJELMOINTINÄKYMÄ!F238/1000</f>
        <v>4.3440000000000003</v>
      </c>
      <c r="G20" s="723">
        <f>OHJELMOINTINÄKYMÄ!G238/1000</f>
        <v>5.343</v>
      </c>
      <c r="H20" s="723">
        <f>OHJELMOINTINÄKYMÄ!H238/1000</f>
        <v>5.524</v>
      </c>
      <c r="I20" s="722">
        <f>OHJELMOINTINÄKYMÄ!I238/1000</f>
        <v>7.2460000000000004</v>
      </c>
      <c r="J20" s="723">
        <f>OHJELMOINTINÄKYMÄ!J238/1000</f>
        <v>6.5880000000000001</v>
      </c>
      <c r="K20" s="724">
        <f>OHJELMOINTINÄKYMÄ!K238/1000</f>
        <v>6.1619999999999999</v>
      </c>
      <c r="L20" s="723">
        <f>OHJELMOINTINÄKYMÄ!L238/1000</f>
        <v>2.91</v>
      </c>
      <c r="M20" s="722">
        <f>OHJELMOINTINÄKYMÄ!M238/1000</f>
        <v>7.8985510000000003</v>
      </c>
      <c r="N20" s="725">
        <f>OHJELMOINTINÄKYMÄ!O238/1000</f>
        <v>0</v>
      </c>
      <c r="O20" s="722">
        <f>OHJELMOINTINÄKYMÄ!P238/1000</f>
        <v>0</v>
      </c>
      <c r="P20" s="722">
        <f>OHJELMOINTINÄKYMÄ!Q238/1000</f>
        <v>0</v>
      </c>
      <c r="Q20" s="722">
        <f>OHJELMOINTINÄKYMÄ!R238/1000</f>
        <v>0</v>
      </c>
      <c r="R20" s="722">
        <f>OHJELMOINTINÄKYMÄ!S238/1000</f>
        <v>0</v>
      </c>
      <c r="S20" s="722">
        <f>OHJELMOINTINÄKYMÄ!T238/1000</f>
        <v>0</v>
      </c>
      <c r="T20" s="722">
        <f>OHJELMOINTINÄKYMÄ!U238/1000</f>
        <v>0</v>
      </c>
      <c r="U20" s="722">
        <f>OHJELMOINTINÄKYMÄ!V238/1000</f>
        <v>0</v>
      </c>
      <c r="V20" s="722">
        <f>OHJELMOINTINÄKYMÄ!W238/1000</f>
        <v>0</v>
      </c>
    </row>
    <row r="21" spans="1:22" ht="15.6" x14ac:dyDescent="0.3">
      <c r="A21" s="730" t="s">
        <v>3</v>
      </c>
      <c r="B21" s="52" t="s">
        <v>183</v>
      </c>
      <c r="C21" s="694">
        <f>OHJELMOINTINÄKYMÄ!C255/1000</f>
        <v>0</v>
      </c>
      <c r="D21" s="694">
        <f>OHJELMOINTINÄKYMÄ!D255/1000</f>
        <v>0</v>
      </c>
      <c r="E21" s="694">
        <f>OHJELMOINTINÄKYMÄ!E255/1000</f>
        <v>0</v>
      </c>
      <c r="F21" s="694">
        <f>OHJELMOINTINÄKYMÄ!F255/1000+OHJELMOINTINÄKYMÄ!F256/1000</f>
        <v>3.4169999999999998</v>
      </c>
      <c r="G21" s="723">
        <f>OHJELMOINTINÄKYMÄ!G256/1000</f>
        <v>9.9019999999999992</v>
      </c>
      <c r="H21" s="723">
        <f>OHJELMOINTINÄKYMÄ!H256/1000</f>
        <v>13.35</v>
      </c>
      <c r="I21" s="722">
        <f>OHJELMOINTINÄKYMÄ!I256/1000</f>
        <v>18.609000000000002</v>
      </c>
      <c r="J21" s="723">
        <f>OHJELMOINTINÄKYMÄ!J256/1000</f>
        <v>26.158000000000001</v>
      </c>
      <c r="K21" s="724">
        <f>(OHJELMOINTINÄKYMÄ!K256/1000)</f>
        <v>33.095999999999997</v>
      </c>
      <c r="L21" s="723">
        <f>(OHJELMOINTINÄKYMÄ!L256/1000)</f>
        <v>34.896999999999998</v>
      </c>
      <c r="M21" s="722">
        <f>OHJELMOINTINÄKYMÄ!M256/1000</f>
        <v>18.964599</v>
      </c>
      <c r="N21" s="725">
        <f>OHJELMOINTINÄKYMÄ!O256/1000</f>
        <v>0</v>
      </c>
      <c r="O21" s="722">
        <f>OHJELMOINTINÄKYMÄ!P256/1000</f>
        <v>0</v>
      </c>
      <c r="P21" s="722">
        <f>OHJELMOINTINÄKYMÄ!Q256/1000</f>
        <v>0</v>
      </c>
      <c r="Q21" s="722">
        <f>OHJELMOINTINÄKYMÄ!R256/1000</f>
        <v>0</v>
      </c>
      <c r="R21" s="722">
        <f>OHJELMOINTINÄKYMÄ!S256/1000</f>
        <v>0</v>
      </c>
      <c r="S21" s="722">
        <f>OHJELMOINTINÄKYMÄ!T256/1000</f>
        <v>0</v>
      </c>
      <c r="T21" s="722">
        <f>OHJELMOINTINÄKYMÄ!U256/1000</f>
        <v>0</v>
      </c>
      <c r="U21" s="722">
        <f>OHJELMOINTINÄKYMÄ!V256/1000</f>
        <v>0</v>
      </c>
      <c r="V21" s="722">
        <f>OHJELMOINTINÄKYMÄ!W256/1000</f>
        <v>0</v>
      </c>
    </row>
    <row r="22" spans="1:22" ht="15.6" x14ac:dyDescent="0.3">
      <c r="A22" s="730" t="s">
        <v>3</v>
      </c>
      <c r="B22" s="52" t="s">
        <v>199</v>
      </c>
      <c r="C22" s="694">
        <f>OHJELMOINTINÄKYMÄ!C256/1000</f>
        <v>0.38600000000000001</v>
      </c>
      <c r="D22" s="694">
        <f>OHJELMOINTINÄKYMÄ!D256/1000</f>
        <v>1.8725732399999999</v>
      </c>
      <c r="E22" s="694">
        <f>OHJELMOINTINÄKYMÄ!E256/1000</f>
        <v>1.615</v>
      </c>
      <c r="F22" s="694" t="e">
        <f>OHJELMOINTINÄKYMÄ!F256/1000+OHJELMOINTINÄKYMÄ!F257/1000</f>
        <v>#VALUE!</v>
      </c>
      <c r="G22" s="723">
        <f>OHJELMOINTINÄKYMÄ!G273/1000</f>
        <v>1.7769999999999999</v>
      </c>
      <c r="H22" s="723">
        <f>OHJELMOINTINÄKYMÄ!H273/1000</f>
        <v>2.6509999999999998</v>
      </c>
      <c r="I22" s="722">
        <f>OHJELMOINTINÄKYMÄ!I273/1000</f>
        <v>4.1130000000000004</v>
      </c>
      <c r="J22" s="723">
        <f>OHJELMOINTINÄKYMÄ!J273/1000</f>
        <v>3.101</v>
      </c>
      <c r="K22" s="724">
        <f>OHJELMOINTINÄKYMÄ!K273/1000</f>
        <v>2.2269999999999999</v>
      </c>
      <c r="L22" s="723">
        <f>OHJELMOINTINÄKYMÄ!L273/1000</f>
        <v>5.9130000000000003</v>
      </c>
      <c r="M22" s="723">
        <f>OHJELMOINTINÄKYMÄ!M273/1000</f>
        <v>3.835464</v>
      </c>
      <c r="N22" s="729">
        <f>OHJELMOINTINÄKYMÄ!O273/1000</f>
        <v>0</v>
      </c>
      <c r="O22" s="723">
        <f>OHJELMOINTINÄKYMÄ!P273/1000</f>
        <v>0</v>
      </c>
      <c r="P22" s="723">
        <f>OHJELMOINTINÄKYMÄ!Q273/1000</f>
        <v>0</v>
      </c>
      <c r="Q22" s="723">
        <f>OHJELMOINTINÄKYMÄ!R273/1000</f>
        <v>0</v>
      </c>
      <c r="R22" s="723">
        <f>OHJELMOINTINÄKYMÄ!S273/1000</f>
        <v>0</v>
      </c>
      <c r="S22" s="723">
        <f>OHJELMOINTINÄKYMÄ!T273/1000</f>
        <v>0</v>
      </c>
      <c r="T22" s="723">
        <f>OHJELMOINTINÄKYMÄ!U273/1000</f>
        <v>0</v>
      </c>
      <c r="U22" s="723">
        <f>OHJELMOINTINÄKYMÄ!V273/1000</f>
        <v>0</v>
      </c>
      <c r="V22" s="723">
        <f>OHJELMOINTINÄKYMÄ!W273/1000</f>
        <v>0</v>
      </c>
    </row>
    <row r="23" spans="1:22" ht="15.6" x14ac:dyDescent="0.3">
      <c r="A23" s="524"/>
      <c r="B23" s="52" t="s">
        <v>301</v>
      </c>
      <c r="C23" s="702"/>
      <c r="D23" s="702"/>
      <c r="E23" s="702"/>
      <c r="F23" s="702"/>
      <c r="G23" s="722"/>
      <c r="H23" s="722"/>
      <c r="I23" s="722">
        <f>OHJELMOINTINÄKYMÄ!I278/1000</f>
        <v>2.2370000000000001</v>
      </c>
      <c r="J23" s="723">
        <f>OHJELMOINTINÄKYMÄ!J278/1000</f>
        <v>2.3170000000000002</v>
      </c>
      <c r="K23" s="726">
        <f>OHJELMOINTINÄKYMÄ!K278/1000</f>
        <v>1.554</v>
      </c>
      <c r="L23" s="723">
        <f>OHJELMOINTINÄKYMÄ!L278/1000</f>
        <v>0.50800000000000001</v>
      </c>
      <c r="M23" s="723">
        <f>OHJELMOINTINÄKYMÄ!M278/1000</f>
        <v>2.472302</v>
      </c>
      <c r="N23" s="729">
        <f>OHJELMOINTINÄKYMÄ!O278/1000</f>
        <v>0</v>
      </c>
      <c r="O23" s="723">
        <f>OHJELMOINTINÄKYMÄ!P278/1000</f>
        <v>0</v>
      </c>
      <c r="P23" s="723">
        <f>OHJELMOINTINÄKYMÄ!Q278/1000</f>
        <v>0</v>
      </c>
      <c r="Q23" s="723">
        <f>OHJELMOINTINÄKYMÄ!R278/1000</f>
        <v>0</v>
      </c>
      <c r="R23" s="723">
        <f>OHJELMOINTINÄKYMÄ!S278/1000</f>
        <v>0</v>
      </c>
      <c r="S23" s="723">
        <f>OHJELMOINTINÄKYMÄ!T278/1000</f>
        <v>0</v>
      </c>
      <c r="T23" s="723">
        <f>OHJELMOINTINÄKYMÄ!U278/1000</f>
        <v>0</v>
      </c>
      <c r="U23" s="723">
        <f>OHJELMOINTINÄKYMÄ!V278/1000</f>
        <v>0</v>
      </c>
      <c r="V23" s="723">
        <f>OHJELMOINTINÄKYMÄ!W278/1000</f>
        <v>0</v>
      </c>
    </row>
    <row r="24" spans="1:22" ht="15" x14ac:dyDescent="0.25">
      <c r="A24" s="500"/>
      <c r="B24" s="52" t="s">
        <v>433</v>
      </c>
      <c r="G24" s="616"/>
      <c r="H24" s="616"/>
      <c r="I24" s="722">
        <f>OHJELMOINTINÄKYMÄ!I280/1000</f>
        <v>0.68899999999999995</v>
      </c>
      <c r="J24" s="723">
        <f>OHJELMOINTINÄKYMÄ!J280/1000</f>
        <v>2.0379999999999998</v>
      </c>
      <c r="K24" s="724">
        <f>OHJELMOINTINÄKYMÄ!K280/1000</f>
        <v>3.093</v>
      </c>
      <c r="L24" s="723">
        <f>OHJELMOINTINÄKYMÄ!L280/1000</f>
        <v>2.4359999999999999</v>
      </c>
      <c r="M24" s="723">
        <f>OHJELMOINTINÄKYMÄ!M280/1000</f>
        <v>0.35628199999999999</v>
      </c>
      <c r="N24" s="729">
        <f>OHJELMOINTINÄKYMÄ!O280/1000</f>
        <v>0</v>
      </c>
      <c r="O24" s="723">
        <f>OHJELMOINTINÄKYMÄ!P280/1000</f>
        <v>0</v>
      </c>
      <c r="P24" s="723">
        <f>OHJELMOINTINÄKYMÄ!Q280/1000</f>
        <v>0</v>
      </c>
      <c r="Q24" s="723">
        <f>OHJELMOINTINÄKYMÄ!R280/1000</f>
        <v>0</v>
      </c>
      <c r="R24" s="723">
        <f>OHJELMOINTINÄKYMÄ!S280/1000</f>
        <v>0</v>
      </c>
      <c r="S24" s="723">
        <f>OHJELMOINTINÄKYMÄ!T280/1000</f>
        <v>0</v>
      </c>
      <c r="T24" s="723">
        <f>OHJELMOINTINÄKYMÄ!U280/1000</f>
        <v>0</v>
      </c>
      <c r="U24" s="723">
        <f>OHJELMOINTINÄKYMÄ!V280/1000</f>
        <v>0</v>
      </c>
      <c r="V24" s="723">
        <f>OHJELMOINTINÄKYMÄ!W280/1000</f>
        <v>0</v>
      </c>
    </row>
    <row r="25" spans="1:22" ht="15.6" x14ac:dyDescent="0.3">
      <c r="A25" s="728" t="s">
        <v>345</v>
      </c>
      <c r="B25" s="34" t="s">
        <v>451</v>
      </c>
      <c r="C25" s="694">
        <f>OHJELMOINTINÄKYMÄ!C299/1000</f>
        <v>0</v>
      </c>
      <c r="D25" s="694">
        <f>OHJELMOINTINÄKYMÄ!D299/1000</f>
        <v>0</v>
      </c>
      <c r="E25" s="694">
        <f>OHJELMOINTINÄKYMÄ!E299/1000</f>
        <v>0</v>
      </c>
      <c r="F25" s="694">
        <f>OHJELMOINTINÄKYMÄ!F299/1000+OHJELMOINTINÄKYMÄ!F300/1000</f>
        <v>0</v>
      </c>
      <c r="G25" s="694">
        <f>OHJELMOINTINÄKYMÄ!G286/1000</f>
        <v>2.746</v>
      </c>
      <c r="H25" s="694">
        <f>OHJELMOINTINÄKYMÄ!H286/1000</f>
        <v>8.7840000000000007</v>
      </c>
      <c r="I25" s="694">
        <f>OHJELMOINTINÄKYMÄ!I286/1000</f>
        <v>8.7750000000000004</v>
      </c>
      <c r="J25" s="694">
        <f>OHJELMOINTINÄKYMÄ!J286/1000</f>
        <v>1.121</v>
      </c>
      <c r="K25" s="697">
        <f>OHJELMOINTINÄKYMÄ!K286/1000</f>
        <v>1.65</v>
      </c>
      <c r="L25" s="694">
        <f>OHJELMOINTINÄKYMÄ!L286/1000</f>
        <v>0.91900000000000004</v>
      </c>
      <c r="M25" s="694">
        <f>OHJELMOINTINÄKYMÄ!M286/1000</f>
        <v>0.87262400000000007</v>
      </c>
      <c r="N25" s="698">
        <f>OHJELMOINTINÄKYMÄ!O286/1000</f>
        <v>2.09</v>
      </c>
      <c r="O25" s="694">
        <f>OHJELMOINTINÄKYMÄ!P286/1000</f>
        <v>0.9</v>
      </c>
      <c r="P25" s="694">
        <f>OHJELMOINTINÄKYMÄ!Q286/1000</f>
        <v>0.6</v>
      </c>
      <c r="Q25" s="694">
        <f>OHJELMOINTINÄKYMÄ!R286/1000</f>
        <v>1.1000000000000001</v>
      </c>
      <c r="R25" s="694">
        <f>OHJELMOINTINÄKYMÄ!S286/1000</f>
        <v>7.8</v>
      </c>
      <c r="S25" s="694">
        <f>OHJELMOINTINÄKYMÄ!T286/1000</f>
        <v>21.7</v>
      </c>
      <c r="T25" s="694">
        <f>OHJELMOINTINÄKYMÄ!U286/1000</f>
        <v>12.9</v>
      </c>
      <c r="U25" s="694">
        <f>OHJELMOINTINÄKYMÄ!V286/1000</f>
        <v>8.5</v>
      </c>
      <c r="V25" s="694">
        <f>OHJELMOINTINÄKYMÄ!W286/1000</f>
        <v>7.5</v>
      </c>
    </row>
    <row r="26" spans="1:22" ht="15" x14ac:dyDescent="0.25">
      <c r="A26" s="500"/>
      <c r="B26" s="52"/>
      <c r="G26" s="500"/>
      <c r="I26" s="731"/>
      <c r="J26" s="731"/>
      <c r="K26" s="731"/>
      <c r="L26" s="731"/>
      <c r="M26" s="731"/>
      <c r="N26" s="731"/>
      <c r="O26" s="731"/>
      <c r="P26" s="731"/>
      <c r="Q26" s="731"/>
      <c r="R26" s="731"/>
      <c r="S26" s="731"/>
      <c r="T26" s="732"/>
      <c r="U26" s="732"/>
    </row>
    <row r="27" spans="1:22" ht="15" x14ac:dyDescent="0.25">
      <c r="A27" s="500"/>
      <c r="B27" s="52"/>
      <c r="G27" s="500"/>
      <c r="H27" s="732"/>
      <c r="J27" s="731"/>
      <c r="K27" s="731"/>
      <c r="L27" s="731"/>
      <c r="M27" s="731"/>
      <c r="N27" s="731"/>
      <c r="O27" s="731"/>
      <c r="P27" s="731"/>
      <c r="Q27" s="731"/>
      <c r="R27" s="731"/>
      <c r="S27" s="731"/>
      <c r="T27" s="732"/>
      <c r="U27" s="732"/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22"/>
  <sheetViews>
    <sheetView showGridLines="0" topLeftCell="A22" zoomScale="55" zoomScaleNormal="55" workbookViewId="0">
      <selection activeCell="O14" sqref="O14"/>
    </sheetView>
  </sheetViews>
  <sheetFormatPr defaultColWidth="8.44140625" defaultRowHeight="13.2" x14ac:dyDescent="0.25"/>
  <cols>
    <col min="1" max="1" width="12.33203125" customWidth="1"/>
    <col min="2" max="2" width="60.33203125" customWidth="1"/>
    <col min="3" max="5" width="11.5546875" hidden="1" customWidth="1"/>
    <col min="6" max="6" width="9.6640625" hidden="1" customWidth="1"/>
    <col min="7" max="7" width="11.5546875" hidden="1" customWidth="1"/>
  </cols>
  <sheetData>
    <row r="1" spans="1:22" ht="15.6" x14ac:dyDescent="0.3">
      <c r="A1" s="6" t="s">
        <v>0</v>
      </c>
      <c r="B1" s="6"/>
      <c r="C1" s="6">
        <f>OHJELMOINTINÄKYMÄ!C1</f>
        <v>0</v>
      </c>
      <c r="D1" s="6"/>
      <c r="E1" s="6"/>
      <c r="F1" s="6"/>
      <c r="G1" s="2"/>
      <c r="H1" s="8"/>
      <c r="I1" s="8"/>
    </row>
    <row r="2" spans="1:22" ht="15.6" x14ac:dyDescent="0.3">
      <c r="A2" s="6" t="s">
        <v>452</v>
      </c>
      <c r="B2" s="6"/>
      <c r="C2" s="6"/>
      <c r="D2" s="6"/>
      <c r="E2" s="6"/>
      <c r="F2" s="6"/>
      <c r="G2" s="6"/>
      <c r="H2" s="6"/>
      <c r="I2" s="6"/>
    </row>
    <row r="3" spans="1:22" ht="15.6" x14ac:dyDescent="0.3">
      <c r="A3" s="6" t="s">
        <v>453</v>
      </c>
      <c r="B3" s="6"/>
      <c r="C3" s="14" t="str">
        <f>OHJELMOINTINÄKYMÄ!C3</f>
        <v xml:space="preserve"> </v>
      </c>
      <c r="D3" s="14"/>
      <c r="E3" s="6"/>
      <c r="F3" s="6"/>
      <c r="G3" s="2"/>
      <c r="H3" s="16"/>
      <c r="I3" s="15"/>
      <c r="N3" s="2" t="s">
        <v>454</v>
      </c>
    </row>
    <row r="4" spans="1:22" ht="15.6" x14ac:dyDescent="0.3">
      <c r="A4" s="22"/>
      <c r="B4" s="22"/>
      <c r="C4" s="22"/>
      <c r="D4" s="22"/>
      <c r="E4" s="22"/>
      <c r="F4" s="22"/>
      <c r="G4" s="663"/>
      <c r="H4" s="664"/>
      <c r="I4" s="664"/>
    </row>
    <row r="5" spans="1:22" ht="17.399999999999999" x14ac:dyDescent="0.3">
      <c r="A5" s="665" t="s">
        <v>455</v>
      </c>
      <c r="B5" s="22"/>
      <c r="C5" s="22"/>
      <c r="D5" s="22"/>
      <c r="E5" s="22"/>
      <c r="F5" s="22"/>
      <c r="G5" s="22"/>
      <c r="H5" s="664"/>
      <c r="I5" s="664"/>
    </row>
    <row r="6" spans="1:22" ht="15.6" x14ac:dyDescent="0.3">
      <c r="A6" s="557" t="s">
        <v>456</v>
      </c>
      <c r="B6" s="668"/>
      <c r="C6" s="22"/>
      <c r="D6" s="22"/>
      <c r="E6" s="22"/>
      <c r="F6" s="22"/>
      <c r="G6" s="22"/>
      <c r="H6" s="22"/>
      <c r="I6" s="664"/>
    </row>
    <row r="7" spans="1:22" ht="15.6" x14ac:dyDescent="0.3">
      <c r="A7" s="557"/>
      <c r="B7" s="6"/>
      <c r="C7" s="22"/>
      <c r="D7" s="22"/>
      <c r="E7" s="22"/>
      <c r="F7" s="22"/>
      <c r="G7" s="22"/>
      <c r="H7" s="22"/>
      <c r="I7" s="664"/>
    </row>
    <row r="8" spans="1:22" ht="15.6" x14ac:dyDescent="0.3">
      <c r="A8" s="24" t="s">
        <v>6</v>
      </c>
      <c r="B8" s="25"/>
      <c r="C8" s="671" t="s">
        <v>7</v>
      </c>
      <c r="D8" s="28" t="s">
        <v>7</v>
      </c>
      <c r="E8" s="671" t="s">
        <v>7</v>
      </c>
      <c r="F8" s="672" t="s">
        <v>7</v>
      </c>
      <c r="G8" s="671" t="s">
        <v>424</v>
      </c>
      <c r="H8" s="671" t="s">
        <v>7</v>
      </c>
      <c r="I8" s="671" t="s">
        <v>7</v>
      </c>
      <c r="J8" s="671" t="s">
        <v>7</v>
      </c>
      <c r="K8" s="671" t="s">
        <v>7</v>
      </c>
      <c r="L8" s="671" t="s">
        <v>8</v>
      </c>
      <c r="M8" s="733" t="s">
        <v>9</v>
      </c>
      <c r="N8" s="671" t="s">
        <v>425</v>
      </c>
      <c r="O8" s="671" t="s">
        <v>425</v>
      </c>
      <c r="P8" s="671" t="s">
        <v>425</v>
      </c>
      <c r="Q8" s="671" t="s">
        <v>425</v>
      </c>
      <c r="R8" s="671" t="s">
        <v>425</v>
      </c>
      <c r="S8" s="671" t="s">
        <v>425</v>
      </c>
      <c r="T8" s="671" t="s">
        <v>425</v>
      </c>
      <c r="U8" s="671" t="s">
        <v>425</v>
      </c>
      <c r="V8" s="671" t="s">
        <v>425</v>
      </c>
    </row>
    <row r="9" spans="1:22" ht="15.6" x14ac:dyDescent="0.3">
      <c r="A9" s="33" t="s">
        <v>12</v>
      </c>
      <c r="B9" s="34" t="s">
        <v>426</v>
      </c>
      <c r="C9" s="675">
        <f>OHJELMOINTINÄKYMÄ!C7</f>
        <v>2010</v>
      </c>
      <c r="D9" s="675">
        <f>OHJELMOINTINÄKYMÄ!D7</f>
        <v>2011</v>
      </c>
      <c r="E9" s="675">
        <f>OHJELMOINTINÄKYMÄ!E7</f>
        <v>2012</v>
      </c>
      <c r="F9" s="675">
        <f>OHJELMOINTINÄKYMÄ!F7</f>
        <v>2013</v>
      </c>
      <c r="G9" s="675">
        <f>OHJELMOINTINÄKYMÄ!G7</f>
        <v>2014</v>
      </c>
      <c r="H9" s="675">
        <f>OHJELMOINTINÄKYMÄ!H7</f>
        <v>2015</v>
      </c>
      <c r="I9" s="675">
        <f>OHJELMOINTINÄKYMÄ!I7</f>
        <v>2016</v>
      </c>
      <c r="J9" s="675">
        <f>OHJELMOINTINÄKYMÄ!J7</f>
        <v>2017</v>
      </c>
      <c r="K9" s="675">
        <f>OHJELMOINTINÄKYMÄ!K7</f>
        <v>2018</v>
      </c>
      <c r="L9" s="675">
        <f>OHJELMOINTINÄKYMÄ!L7</f>
        <v>2019</v>
      </c>
      <c r="M9" s="734">
        <f>OHJELMOINTINÄKYMÄ!M7</f>
        <v>2020</v>
      </c>
      <c r="N9" s="675">
        <f>OHJELMOINTINÄKYMÄ!O7</f>
        <v>2022</v>
      </c>
      <c r="O9" s="675">
        <f>OHJELMOINTINÄKYMÄ!P7</f>
        <v>2023</v>
      </c>
      <c r="P9" s="675">
        <f>OHJELMOINTINÄKYMÄ!Q7</f>
        <v>2024</v>
      </c>
      <c r="Q9" s="675">
        <f>OHJELMOINTINÄKYMÄ!R7</f>
        <v>2025</v>
      </c>
      <c r="R9" s="675">
        <f>OHJELMOINTINÄKYMÄ!S7</f>
        <v>2026</v>
      </c>
      <c r="S9" s="675">
        <f>OHJELMOINTINÄKYMÄ!T7</f>
        <v>2027</v>
      </c>
      <c r="T9" s="675">
        <f>OHJELMOINTINÄKYMÄ!U7</f>
        <v>2028</v>
      </c>
      <c r="U9" s="675">
        <f>OHJELMOINTINÄKYMÄ!V7</f>
        <v>2029</v>
      </c>
      <c r="V9" s="675">
        <f>OHJELMOINTINÄKYMÄ!W7</f>
        <v>2030</v>
      </c>
    </row>
    <row r="10" spans="1:22" ht="15" x14ac:dyDescent="0.25">
      <c r="A10" s="42"/>
      <c r="B10" s="43"/>
      <c r="C10" s="44" t="s">
        <v>428</v>
      </c>
      <c r="D10" s="44" t="s">
        <v>428</v>
      </c>
      <c r="E10" s="44" t="s">
        <v>428</v>
      </c>
      <c r="F10" s="44" t="s">
        <v>428</v>
      </c>
      <c r="G10" s="44" t="s">
        <v>428</v>
      </c>
      <c r="H10" s="44" t="s">
        <v>428</v>
      </c>
      <c r="I10" s="679" t="s">
        <v>428</v>
      </c>
      <c r="J10" s="679" t="s">
        <v>428</v>
      </c>
      <c r="K10" s="679" t="s">
        <v>428</v>
      </c>
      <c r="L10" s="679" t="s">
        <v>428</v>
      </c>
      <c r="M10" s="735" t="s">
        <v>428</v>
      </c>
      <c r="N10" s="679" t="s">
        <v>428</v>
      </c>
      <c r="O10" s="679" t="s">
        <v>428</v>
      </c>
      <c r="P10" s="679" t="s">
        <v>428</v>
      </c>
      <c r="Q10" s="679" t="s">
        <v>428</v>
      </c>
      <c r="R10" s="679" t="s">
        <v>428</v>
      </c>
      <c r="S10" s="679" t="s">
        <v>428</v>
      </c>
      <c r="T10" s="679" t="s">
        <v>428</v>
      </c>
      <c r="U10" s="679" t="s">
        <v>428</v>
      </c>
      <c r="V10" s="679" t="s">
        <v>428</v>
      </c>
    </row>
    <row r="11" spans="1:22" ht="15" x14ac:dyDescent="0.25">
      <c r="A11" s="51"/>
      <c r="B11" s="52"/>
      <c r="C11" s="53"/>
      <c r="D11" s="71"/>
      <c r="E11" s="71"/>
      <c r="F11" s="53"/>
      <c r="G11" s="53"/>
      <c r="H11" s="53"/>
      <c r="I11" s="683"/>
      <c r="J11" s="683"/>
      <c r="K11" s="683"/>
      <c r="L11" s="683"/>
      <c r="M11" s="736"/>
      <c r="N11" s="683"/>
      <c r="O11" s="683"/>
      <c r="P11" s="683"/>
      <c r="Q11" s="683"/>
      <c r="R11" s="683"/>
      <c r="S11" s="683"/>
      <c r="T11" s="683"/>
      <c r="U11" s="683"/>
      <c r="V11" s="683"/>
    </row>
    <row r="12" spans="1:22" ht="15.6" x14ac:dyDescent="0.3">
      <c r="A12" s="90" t="s">
        <v>346</v>
      </c>
      <c r="B12" s="34" t="s">
        <v>457</v>
      </c>
      <c r="C12" s="687"/>
      <c r="D12" s="686"/>
      <c r="E12" s="688"/>
      <c r="F12" s="685"/>
      <c r="G12" s="685"/>
      <c r="H12" s="694">
        <f>OHJELMOINTINÄKYMÄ!H319/1000</f>
        <v>13.776999999999999</v>
      </c>
      <c r="I12" s="694">
        <f>OHJELMOINTINÄKYMÄ!I319/1000</f>
        <v>12.837999999999999</v>
      </c>
      <c r="J12" s="694">
        <f>OHJELMOINTINÄKYMÄ!J319/1000</f>
        <v>12.077</v>
      </c>
      <c r="K12" s="694">
        <f>OHJELMOINTINÄKYMÄ!K319/1000</f>
        <v>13.54059151</v>
      </c>
      <c r="L12" s="694">
        <f>OHJELMOINTINÄKYMÄ!L319/1000</f>
        <v>11.62</v>
      </c>
      <c r="M12" s="737" t="e">
        <f>OHJELMOINTINÄKYMÄ!#REF!/1000</f>
        <v>#REF!</v>
      </c>
      <c r="N12" s="694" t="e">
        <f>OHJELMOINTINÄKYMÄ!#REF!/1000</f>
        <v>#REF!</v>
      </c>
      <c r="O12" s="694" t="e">
        <f>OHJELMOINTINÄKYMÄ!#REF!/1000</f>
        <v>#REF!</v>
      </c>
      <c r="P12" s="694" t="e">
        <f>OHJELMOINTINÄKYMÄ!#REF!/1000</f>
        <v>#REF!</v>
      </c>
      <c r="Q12" s="694" t="e">
        <f>OHJELMOINTINÄKYMÄ!#REF!/1000</f>
        <v>#REF!</v>
      </c>
      <c r="R12" s="694" t="e">
        <f>OHJELMOINTINÄKYMÄ!#REF!/1000</f>
        <v>#REF!</v>
      </c>
      <c r="S12" s="694" t="e">
        <f>OHJELMOINTINÄKYMÄ!#REF!/1000</f>
        <v>#REF!</v>
      </c>
      <c r="T12" s="694" t="e">
        <f>OHJELMOINTINÄKYMÄ!#REF!/1000</f>
        <v>#REF!</v>
      </c>
      <c r="U12" s="694" t="e">
        <f>OHJELMOINTINÄKYMÄ!#REF!/1000</f>
        <v>#REF!</v>
      </c>
      <c r="V12" s="694" t="e">
        <f>OHJELMOINTINÄKYMÄ!#REF!/1000</f>
        <v>#REF!</v>
      </c>
    </row>
    <row r="13" spans="1:22" ht="15.6" x14ac:dyDescent="0.3">
      <c r="A13" s="720" t="s">
        <v>347</v>
      </c>
      <c r="B13" s="34" t="s">
        <v>458</v>
      </c>
      <c r="C13" s="694">
        <f>OHJELMOINTINÄKYMÄ!C325/1000</f>
        <v>8.4433129999999998</v>
      </c>
      <c r="D13" s="694">
        <f>OHJELMOINTINÄKYMÄ!D325/1000</f>
        <v>4.5495489999999998</v>
      </c>
      <c r="E13" s="694">
        <f>OHJELMOINTINÄKYMÄ!E325/1000</f>
        <v>1.546</v>
      </c>
      <c r="F13" s="694">
        <f>OHJELMOINTINÄKYMÄ!F325/1000</f>
        <v>2.2759999999999998</v>
      </c>
      <c r="G13" s="694">
        <f>OHJELMOINTINÄKYMÄ!G325/1000+OHJELMOINTINÄKYMÄ!G326/1000</f>
        <v>6.5720000000000001</v>
      </c>
      <c r="H13" s="694">
        <f>OHJELMOINTINÄKYMÄ!H321/1000</f>
        <v>3.3039999999999998</v>
      </c>
      <c r="I13" s="694">
        <f>OHJELMOINTINÄKYMÄ!I321/1000</f>
        <v>4.34</v>
      </c>
      <c r="J13" s="694">
        <f>OHJELMOINTINÄKYMÄ!J321/1000</f>
        <v>4.9489999999999998</v>
      </c>
      <c r="K13" s="694">
        <f>OHJELMOINTINÄKYMÄ!K321/1000</f>
        <v>6.5170000000000003</v>
      </c>
      <c r="L13" s="694">
        <f>OHJELMOINTINÄKYMÄ!L321/1000</f>
        <v>0.192</v>
      </c>
      <c r="M13" s="737">
        <f>OHJELMOINTINÄKYMÄ!M321/1000</f>
        <v>18.888017000000001</v>
      </c>
      <c r="N13" s="694">
        <f>OHJELMOINTINÄKYMÄ!O321/1000</f>
        <v>14.4</v>
      </c>
      <c r="O13" s="694">
        <f>OHJELMOINTINÄKYMÄ!P321/1000</f>
        <v>6.2</v>
      </c>
      <c r="P13" s="694">
        <f>OHJELMOINTINÄKYMÄ!Q321/1000</f>
        <v>13</v>
      </c>
      <c r="Q13" s="694">
        <f>OHJELMOINTINÄKYMÄ!R321/1000</f>
        <v>13</v>
      </c>
      <c r="R13" s="694">
        <f>OHJELMOINTINÄKYMÄ!S321/1000</f>
        <v>12.4</v>
      </c>
      <c r="S13" s="694">
        <f>OHJELMOINTINÄKYMÄ!T321/1000</f>
        <v>9.8000000000000007</v>
      </c>
      <c r="T13" s="694">
        <f>OHJELMOINTINÄKYMÄ!U321/1000</f>
        <v>16.8</v>
      </c>
      <c r="U13" s="694">
        <f>OHJELMOINTINÄKYMÄ!V321/1000</f>
        <v>39.6</v>
      </c>
      <c r="V13" s="694">
        <f>OHJELMOINTINÄKYMÄ!W321/1000</f>
        <v>41.2</v>
      </c>
    </row>
    <row r="14" spans="1:22" ht="15.6" x14ac:dyDescent="0.3">
      <c r="A14" s="720" t="s">
        <v>351</v>
      </c>
      <c r="B14" s="34" t="s">
        <v>459</v>
      </c>
      <c r="C14" s="694">
        <f>OHJELMOINTINÄKYMÄ!C337/1000</f>
        <v>3.3456120000000005</v>
      </c>
      <c r="D14" s="694">
        <f>OHJELMOINTINÄKYMÄ!D337/1000</f>
        <v>0.64068399999999992</v>
      </c>
      <c r="E14" s="694">
        <f>OHJELMOINTINÄKYMÄ!E337/1000</f>
        <v>0.89200000000000002</v>
      </c>
      <c r="F14" s="694">
        <f>OHJELMOINTINÄKYMÄ!F337/1000</f>
        <v>2.5870000000000002</v>
      </c>
      <c r="G14" s="694">
        <f>OHJELMOINTINÄKYMÄ!G337/1000+OHJELMOINTINÄKYMÄ!G338/1000</f>
        <v>6.6690000000000005</v>
      </c>
      <c r="H14" s="694">
        <f>OHJELMOINTINÄKYMÄ!H349/1000</f>
        <v>10.473000000000001</v>
      </c>
      <c r="I14" s="694">
        <f>OHJELMOINTINÄKYMÄ!I349/1000</f>
        <v>8.4979999999999993</v>
      </c>
      <c r="J14" s="694">
        <f>OHJELMOINTINÄKYMÄ!J349/1000</f>
        <v>7.1280000000000001</v>
      </c>
      <c r="K14" s="694">
        <f>OHJELMOINTINÄKYMÄ!K349/1000</f>
        <v>7.024</v>
      </c>
      <c r="L14" s="694">
        <f>OHJELMOINTINÄKYMÄ!L349/1000</f>
        <v>11.428000000000001</v>
      </c>
      <c r="M14" s="737">
        <f>OHJELMOINTINÄKYMÄ!M349/1000</f>
        <v>9.6592700000000011</v>
      </c>
      <c r="N14" s="694">
        <f>OHJELMOINTINÄKYMÄ!O349/1000</f>
        <v>17.5</v>
      </c>
      <c r="O14" s="694">
        <f>OHJELMOINTINÄKYMÄ!P349/1000</f>
        <v>14.6</v>
      </c>
      <c r="P14" s="694">
        <f>OHJELMOINTINÄKYMÄ!Q349/1000</f>
        <v>9.8000000000000007</v>
      </c>
      <c r="Q14" s="694">
        <f>OHJELMOINTINÄKYMÄ!R349/1000</f>
        <v>8.8000000000000007</v>
      </c>
      <c r="R14" s="694">
        <f>OHJELMOINTINÄKYMÄ!S349/1000</f>
        <v>9</v>
      </c>
      <c r="S14" s="694">
        <f>OHJELMOINTINÄKYMÄ!T349/1000</f>
        <v>9.3000000000000007</v>
      </c>
      <c r="T14" s="694">
        <f>OHJELMOINTINÄKYMÄ!U349/1000</f>
        <v>7.6</v>
      </c>
      <c r="U14" s="694">
        <f>OHJELMOINTINÄKYMÄ!V349/1000</f>
        <v>5</v>
      </c>
      <c r="V14" s="694">
        <f>OHJELMOINTINÄKYMÄ!W349/1000</f>
        <v>8.1</v>
      </c>
    </row>
    <row r="15" spans="1:22" ht="15.6" x14ac:dyDescent="0.3">
      <c r="A15" s="438" t="s">
        <v>249</v>
      </c>
      <c r="B15" s="34" t="s">
        <v>460</v>
      </c>
      <c r="C15" s="694"/>
      <c r="D15" s="694"/>
      <c r="E15" s="694"/>
      <c r="F15" s="694">
        <f>SUM(F16:F21)</f>
        <v>1.5289999999999999</v>
      </c>
      <c r="G15" s="694" t="e">
        <f>SUM(G16:G21)</f>
        <v>#VALUE!</v>
      </c>
      <c r="H15" s="694">
        <f>OHJELMOINTINÄKYMÄ!H364/1000</f>
        <v>6.2240000000000002</v>
      </c>
      <c r="I15" s="694">
        <f>OHJELMOINTINÄKYMÄ!I364/1000</f>
        <v>3.83</v>
      </c>
      <c r="J15" s="694">
        <f>OHJELMOINTINÄKYMÄ!J364/1000</f>
        <v>3.75</v>
      </c>
      <c r="K15" s="694">
        <f>OHJELMOINTINÄKYMÄ!K364/1000</f>
        <v>9.6950000000000003</v>
      </c>
      <c r="L15" s="694">
        <f>OHJELMOINTINÄKYMÄ!L364/1000</f>
        <v>11.458</v>
      </c>
      <c r="M15" s="737">
        <f>OHJELMOINTINÄKYMÄ!M364/1000</f>
        <v>8.8566890000000011</v>
      </c>
      <c r="N15" s="694">
        <f>OHJELMOINTINÄKYMÄ!O364/1000</f>
        <v>0</v>
      </c>
      <c r="O15" s="694">
        <f>OHJELMOINTINÄKYMÄ!P364/1000</f>
        <v>0</v>
      </c>
      <c r="P15" s="694">
        <f>OHJELMOINTINÄKYMÄ!Q364/1000</f>
        <v>0</v>
      </c>
      <c r="Q15" s="694">
        <f>OHJELMOINTINÄKYMÄ!R364/1000</f>
        <v>0</v>
      </c>
      <c r="R15" s="694">
        <f>OHJELMOINTINÄKYMÄ!S364/1000</f>
        <v>0</v>
      </c>
      <c r="S15" s="694">
        <f>OHJELMOINTINÄKYMÄ!T364/1000</f>
        <v>0</v>
      </c>
      <c r="T15" s="694">
        <f>OHJELMOINTINÄKYMÄ!U364/1000</f>
        <v>0</v>
      </c>
      <c r="U15" s="694">
        <f>OHJELMOINTINÄKYMÄ!V364/1000</f>
        <v>0</v>
      </c>
      <c r="V15" s="694">
        <f>OHJELMOINTINÄKYMÄ!W364/1000</f>
        <v>0</v>
      </c>
    </row>
    <row r="16" spans="1:22" ht="15.6" x14ac:dyDescent="0.3">
      <c r="A16" s="35" t="s">
        <v>3</v>
      </c>
      <c r="B16" s="52" t="s">
        <v>365</v>
      </c>
      <c r="C16" s="731">
        <f>OHJELMOINTINÄKYMÄ!C369/1000</f>
        <v>0.45100000000000001</v>
      </c>
      <c r="D16" s="731">
        <f>OHJELMOINTINÄKYMÄ!D369/1000</f>
        <v>1.5209999999999999</v>
      </c>
      <c r="E16" s="731">
        <f>OHJELMOINTINÄKYMÄ!E369/1000</f>
        <v>1.502</v>
      </c>
      <c r="F16" s="731">
        <f>OHJELMOINTINÄKYMÄ!F369/1000</f>
        <v>0.58399999999999996</v>
      </c>
      <c r="G16" s="731" t="e">
        <f>OHJELMOINTINÄKYMÄ!G369/1000+OHJELMOINTINÄKYMÄ!G370/1000</f>
        <v>#VALUE!</v>
      </c>
      <c r="H16" s="731">
        <f>OHJELMOINTINÄKYMÄ!H369/1000</f>
        <v>5.3979999999999997</v>
      </c>
      <c r="I16" s="731">
        <f>OHJELMOINTINÄKYMÄ!I369/1000</f>
        <v>0.45700000000000002</v>
      </c>
      <c r="J16" s="731">
        <f>OHJELMOINTINÄKYMÄ!J369/1000</f>
        <v>0.25</v>
      </c>
      <c r="K16" s="731">
        <f>OHJELMOINTINÄKYMÄ!K369/1000</f>
        <v>5</v>
      </c>
      <c r="L16" s="731">
        <f>OHJELMOINTINÄKYMÄ!L369/1000</f>
        <v>2.496</v>
      </c>
      <c r="M16" s="738">
        <f>OHJELMOINTINÄKYMÄ!M369/1000</f>
        <v>0.19914999999999999</v>
      </c>
      <c r="N16" s="731">
        <f>OHJELMOINTINÄKYMÄ!O369/1000</f>
        <v>0</v>
      </c>
      <c r="O16" s="731">
        <f>OHJELMOINTINÄKYMÄ!P369/1000</f>
        <v>0</v>
      </c>
      <c r="P16" s="731">
        <f>OHJELMOINTINÄKYMÄ!Q369/1000</f>
        <v>0</v>
      </c>
      <c r="Q16" s="731">
        <f>OHJELMOINTINÄKYMÄ!R369/1000</f>
        <v>0</v>
      </c>
      <c r="R16" s="731">
        <f>OHJELMOINTINÄKYMÄ!S369/1000</f>
        <v>0</v>
      </c>
      <c r="S16" s="731">
        <f>OHJELMOINTINÄKYMÄ!T369/1000</f>
        <v>0</v>
      </c>
      <c r="T16" s="731">
        <f>OHJELMOINTINÄKYMÄ!U369/1000</f>
        <v>0</v>
      </c>
      <c r="U16" s="731">
        <f>OHJELMOINTINÄKYMÄ!V369/1000</f>
        <v>0</v>
      </c>
      <c r="V16" s="731">
        <f>OHJELMOINTINÄKYMÄ!W369/1000</f>
        <v>0</v>
      </c>
    </row>
    <row r="17" spans="1:22" ht="15.6" x14ac:dyDescent="0.3">
      <c r="A17" s="35" t="s">
        <v>3</v>
      </c>
      <c r="B17" s="52" t="s">
        <v>367</v>
      </c>
      <c r="C17" s="731">
        <f>OHJELMOINTINÄKYMÄ!C375/1000</f>
        <v>4.9999929999999998E-2</v>
      </c>
      <c r="D17" s="731">
        <f>OHJELMOINTINÄKYMÄ!D375/1000</f>
        <v>0.70016676</v>
      </c>
      <c r="E17" s="731">
        <f>OHJELMOINTINÄKYMÄ!E375/1000</f>
        <v>1.0089999999999999</v>
      </c>
      <c r="F17" s="731">
        <f>OHJELMOINTINÄKYMÄ!F375/1000</f>
        <v>0.88500000000000001</v>
      </c>
      <c r="G17" s="731" t="e">
        <f>OHJELMOINTINÄKYMÄ!G375/1000+OHJELMOINTINÄKYMÄ!G376/1000</f>
        <v>#VALUE!</v>
      </c>
      <c r="H17" s="731">
        <f>OHJELMOINTINÄKYMÄ!H375/1000</f>
        <v>0.34899999999999998</v>
      </c>
      <c r="I17" s="731">
        <f>OHJELMOINTINÄKYMÄ!I375/1000</f>
        <v>1.5820000000000001</v>
      </c>
      <c r="J17" s="731">
        <f>OHJELMOINTINÄKYMÄ!J375/1000</f>
        <v>1.355</v>
      </c>
      <c r="K17" s="731">
        <f>OHJELMOINTINÄKYMÄ!K375/1000</f>
        <v>2.879</v>
      </c>
      <c r="L17" s="731">
        <f>OHJELMOINTINÄKYMÄ!L375/1000</f>
        <v>6.4409999999999998</v>
      </c>
      <c r="M17" s="738">
        <f>OHJELMOINTINÄKYMÄ!M375/1000</f>
        <v>4.1460499999999998</v>
      </c>
      <c r="N17" s="731">
        <f>OHJELMOINTINÄKYMÄ!O375/1000</f>
        <v>0</v>
      </c>
      <c r="O17" s="731">
        <f>OHJELMOINTINÄKYMÄ!P375/1000</f>
        <v>0</v>
      </c>
      <c r="P17" s="731">
        <f>OHJELMOINTINÄKYMÄ!Q375/1000</f>
        <v>0</v>
      </c>
      <c r="Q17" s="731">
        <f>OHJELMOINTINÄKYMÄ!R375/1000</f>
        <v>0</v>
      </c>
      <c r="R17" s="731">
        <f>OHJELMOINTINÄKYMÄ!S375/1000</f>
        <v>0</v>
      </c>
      <c r="S17" s="731">
        <f>OHJELMOINTINÄKYMÄ!T375/1000</f>
        <v>0</v>
      </c>
      <c r="T17" s="731">
        <f>OHJELMOINTINÄKYMÄ!U375/1000</f>
        <v>0</v>
      </c>
      <c r="U17" s="731">
        <f>OHJELMOINTINÄKYMÄ!V375/1000</f>
        <v>0</v>
      </c>
      <c r="V17" s="731">
        <f>OHJELMOINTINÄKYMÄ!W375/1000</f>
        <v>0</v>
      </c>
    </row>
    <row r="18" spans="1:22" ht="15.6" x14ac:dyDescent="0.3">
      <c r="A18" s="35" t="s">
        <v>3</v>
      </c>
      <c r="B18" s="52" t="s">
        <v>151</v>
      </c>
      <c r="C18" s="731">
        <f>OHJELMOINTINÄKYMÄ!C381/1000</f>
        <v>0</v>
      </c>
      <c r="D18" s="731">
        <f>OHJELMOINTINÄKYMÄ!D381/1000</f>
        <v>0</v>
      </c>
      <c r="E18" s="731">
        <f>OHJELMOINTINÄKYMÄ!E381/1000</f>
        <v>0</v>
      </c>
      <c r="F18" s="731">
        <f>OHJELMOINTINÄKYMÄ!F381/1000</f>
        <v>0.06</v>
      </c>
      <c r="G18" s="731" t="e">
        <f>OHJELMOINTINÄKYMÄ!G381/1000+OHJELMOINTINÄKYMÄ!G382/1000</f>
        <v>#VALUE!</v>
      </c>
      <c r="H18" s="731">
        <f>OHJELMOINTINÄKYMÄ!H381/1000</f>
        <v>0.41799999999999998</v>
      </c>
      <c r="I18" s="731">
        <f>OHJELMOINTINÄKYMÄ!I381/1000</f>
        <v>1.3680000000000001</v>
      </c>
      <c r="J18" s="731">
        <f>OHJELMOINTINÄKYMÄ!J381/1000</f>
        <v>1.0880000000000001</v>
      </c>
      <c r="K18" s="731">
        <f>OHJELMOINTINÄKYMÄ!K381/1000</f>
        <v>0.42199999999999999</v>
      </c>
      <c r="L18" s="731">
        <f>OHJELMOINTINÄKYMÄ!L381/1000</f>
        <v>1.2929999999999999</v>
      </c>
      <c r="M18" s="738">
        <f>OHJELMOINTINÄKYMÄ!M381/1000</f>
        <v>1.58283</v>
      </c>
      <c r="N18" s="731">
        <f>OHJELMOINTINÄKYMÄ!O381/1000</f>
        <v>0</v>
      </c>
      <c r="O18" s="731">
        <f>OHJELMOINTINÄKYMÄ!P381/1000</f>
        <v>0</v>
      </c>
      <c r="P18" s="731">
        <f>OHJELMOINTINÄKYMÄ!Q381/1000</f>
        <v>0</v>
      </c>
      <c r="Q18" s="731">
        <f>OHJELMOINTINÄKYMÄ!R381/1000</f>
        <v>0</v>
      </c>
      <c r="R18" s="731">
        <f>OHJELMOINTINÄKYMÄ!S381/1000</f>
        <v>0</v>
      </c>
      <c r="S18" s="731">
        <f>OHJELMOINTINÄKYMÄ!T381/1000</f>
        <v>0</v>
      </c>
      <c r="T18" s="731">
        <f>OHJELMOINTINÄKYMÄ!U381/1000</f>
        <v>0</v>
      </c>
      <c r="U18" s="731">
        <f>OHJELMOINTINÄKYMÄ!V381/1000</f>
        <v>0</v>
      </c>
      <c r="V18" s="731">
        <f>OHJELMOINTINÄKYMÄ!W381/1000</f>
        <v>0</v>
      </c>
    </row>
    <row r="19" spans="1:22" ht="15.6" x14ac:dyDescent="0.3">
      <c r="A19" s="35" t="s">
        <v>3</v>
      </c>
      <c r="B19" s="52" t="s">
        <v>166</v>
      </c>
      <c r="C19" s="731">
        <f>OHJELMOINTINÄKYMÄ!C384/1000</f>
        <v>0</v>
      </c>
      <c r="D19" s="731">
        <f>OHJELMOINTINÄKYMÄ!D384/1000</f>
        <v>0</v>
      </c>
      <c r="E19" s="731">
        <f>OHJELMOINTINÄKYMÄ!E384/1000</f>
        <v>0</v>
      </c>
      <c r="F19" s="731">
        <f>OHJELMOINTINÄKYMÄ!F384/1000</f>
        <v>0</v>
      </c>
      <c r="G19" s="731" t="e">
        <f>OHJELMOINTINÄKYMÄ!G384/1000+OHJELMOINTINÄKYMÄ!G385/1000</f>
        <v>#VALUE!</v>
      </c>
      <c r="H19" s="731">
        <f>OHJELMOINTINÄKYMÄ!H384/1000</f>
        <v>0</v>
      </c>
      <c r="I19" s="731">
        <f>OHJELMOINTINÄKYMÄ!I384/1000</f>
        <v>0</v>
      </c>
      <c r="J19" s="731">
        <f>OHJELMOINTINÄKYMÄ!J384/1000</f>
        <v>0.12</v>
      </c>
      <c r="K19" s="731">
        <f>OHJELMOINTINÄKYMÄ!K384/1000</f>
        <v>0.26800000000000002</v>
      </c>
      <c r="L19" s="731">
        <f>OHJELMOINTINÄKYMÄ!L384/1000</f>
        <v>0.47099999999999997</v>
      </c>
      <c r="M19" s="738">
        <f>OHJELMOINTINÄKYMÄ!M384/1000</f>
        <v>1.036373</v>
      </c>
      <c r="N19" s="731">
        <f>OHJELMOINTINÄKYMÄ!O384/1000</f>
        <v>0</v>
      </c>
      <c r="O19" s="731">
        <f>OHJELMOINTINÄKYMÄ!P384/1000</f>
        <v>0</v>
      </c>
      <c r="P19" s="731">
        <f>OHJELMOINTINÄKYMÄ!Q384/1000</f>
        <v>0</v>
      </c>
      <c r="Q19" s="731">
        <f>OHJELMOINTINÄKYMÄ!R384/1000</f>
        <v>0</v>
      </c>
      <c r="R19" s="731">
        <f>OHJELMOINTINÄKYMÄ!S384/1000</f>
        <v>0</v>
      </c>
      <c r="S19" s="731">
        <f>OHJELMOINTINÄKYMÄ!T384/1000</f>
        <v>0</v>
      </c>
      <c r="T19" s="731">
        <f>OHJELMOINTINÄKYMÄ!U384/1000</f>
        <v>0</v>
      </c>
      <c r="U19" s="731">
        <f>OHJELMOINTINÄKYMÄ!V384/1000</f>
        <v>0</v>
      </c>
      <c r="V19" s="731">
        <f>OHJELMOINTINÄKYMÄ!W384/1000</f>
        <v>0</v>
      </c>
    </row>
    <row r="20" spans="1:22" ht="15.6" x14ac:dyDescent="0.3">
      <c r="A20" s="35" t="s">
        <v>3</v>
      </c>
      <c r="B20" s="52" t="s">
        <v>266</v>
      </c>
      <c r="C20" s="731">
        <f>OHJELMOINTINÄKYMÄ!C385/1000</f>
        <v>0</v>
      </c>
      <c r="D20" s="731">
        <f>OHJELMOINTINÄKYMÄ!D385/1000</f>
        <v>0</v>
      </c>
      <c r="E20" s="731">
        <f>OHJELMOINTINÄKYMÄ!E385/1000</f>
        <v>0</v>
      </c>
      <c r="F20" s="731">
        <f>OHJELMOINTINÄKYMÄ!F387/1000</f>
        <v>0</v>
      </c>
      <c r="G20" s="731" t="e">
        <f>OHJELMOINTINÄKYMÄ!G387/1000+OHJELMOINTINÄKYMÄ!G388/1000</f>
        <v>#VALUE!</v>
      </c>
      <c r="H20" s="731">
        <f>OHJELMOINTINÄKYMÄ!H387/1000</f>
        <v>0</v>
      </c>
      <c r="I20" s="731">
        <f>OHJELMOINTINÄKYMÄ!I387/1000</f>
        <v>9.5000000000000001E-2</v>
      </c>
      <c r="J20" s="731">
        <f>OHJELMOINTINÄKYMÄ!J387/1000</f>
        <v>0.19500000000000001</v>
      </c>
      <c r="K20" s="731">
        <f>OHJELMOINTINÄKYMÄ!K387/1000</f>
        <v>0.89600000000000002</v>
      </c>
      <c r="L20" s="731">
        <f>OHJELMOINTINÄKYMÄ!L387/1000</f>
        <v>5.0999999999999997E-2</v>
      </c>
      <c r="M20" s="738">
        <f>OHJELMOINTINÄKYMÄ!M387/1000</f>
        <v>0.11430800000000001</v>
      </c>
      <c r="N20" s="731">
        <f>OHJELMOINTINÄKYMÄ!O387/1000</f>
        <v>0</v>
      </c>
      <c r="O20" s="731">
        <f>OHJELMOINTINÄKYMÄ!P387/1000</f>
        <v>0</v>
      </c>
      <c r="P20" s="731">
        <f>OHJELMOINTINÄKYMÄ!Q387/1000</f>
        <v>0</v>
      </c>
      <c r="Q20" s="731">
        <f>OHJELMOINTINÄKYMÄ!R387/1000</f>
        <v>0</v>
      </c>
      <c r="R20" s="731">
        <f>OHJELMOINTINÄKYMÄ!S387/1000</f>
        <v>0</v>
      </c>
      <c r="S20" s="731">
        <f>OHJELMOINTINÄKYMÄ!T387/1000</f>
        <v>0</v>
      </c>
      <c r="T20" s="731">
        <f>OHJELMOINTINÄKYMÄ!U387/1000</f>
        <v>0</v>
      </c>
      <c r="U20" s="731">
        <f>OHJELMOINTINÄKYMÄ!V387/1000</f>
        <v>0</v>
      </c>
      <c r="V20" s="731">
        <f>OHJELMOINTINÄKYMÄ!W387/1000</f>
        <v>0</v>
      </c>
    </row>
    <row r="21" spans="1:22" ht="15.6" x14ac:dyDescent="0.3">
      <c r="A21" s="35" t="s">
        <v>3</v>
      </c>
      <c r="B21" s="52" t="s">
        <v>268</v>
      </c>
      <c r="C21" s="731">
        <f>OHJELMOINTINÄKYMÄ!C386/1000</f>
        <v>0</v>
      </c>
      <c r="D21" s="731">
        <f>OHJELMOINTINÄKYMÄ!D386/1000</f>
        <v>0</v>
      </c>
      <c r="E21" s="731">
        <f>OHJELMOINTINÄKYMÄ!E386/1000</f>
        <v>0</v>
      </c>
      <c r="F21" s="731">
        <f>OHJELMOINTINÄKYMÄ!F386/1000+OHJELMOINTINÄKYMÄ!F389/1000</f>
        <v>0</v>
      </c>
      <c r="G21" s="731" t="e">
        <f>OHJELMOINTINÄKYMÄ!G390/1000+OHJELMOINTINÄKYMÄ!G391/1000</f>
        <v>#VALUE!</v>
      </c>
      <c r="H21" s="731">
        <f>OHJELMOINTINÄKYMÄ!H390/1000</f>
        <v>5.8999999999999997E-2</v>
      </c>
      <c r="I21" s="731">
        <f>OHJELMOINTINÄKYMÄ!I390/1000</f>
        <v>0.32800000000000001</v>
      </c>
      <c r="J21" s="731">
        <f>OHJELMOINTINÄKYMÄ!J390/1000</f>
        <v>0.74199999999999999</v>
      </c>
      <c r="K21" s="731">
        <f>OHJELMOINTINÄKYMÄ!K390/1000</f>
        <v>0.23</v>
      </c>
      <c r="L21" s="731">
        <f>OHJELMOINTINÄKYMÄ!L390/1000</f>
        <v>0.70599999999999996</v>
      </c>
      <c r="M21" s="738">
        <f>OHJELMOINTINÄKYMÄ!M390/1000</f>
        <v>1.6882929999999998</v>
      </c>
      <c r="N21" s="731">
        <f>OHJELMOINTINÄKYMÄ!O390/1000</f>
        <v>0</v>
      </c>
      <c r="O21" s="731">
        <f>OHJELMOINTINÄKYMÄ!P390/1000</f>
        <v>0</v>
      </c>
      <c r="P21" s="731">
        <f>OHJELMOINTINÄKYMÄ!Q390/1000</f>
        <v>0</v>
      </c>
      <c r="Q21" s="731">
        <f>OHJELMOINTINÄKYMÄ!R390/1000</f>
        <v>0</v>
      </c>
      <c r="R21" s="731">
        <f>OHJELMOINTINÄKYMÄ!S390/1000</f>
        <v>0</v>
      </c>
      <c r="S21" s="731">
        <f>OHJELMOINTINÄKYMÄ!T390/1000</f>
        <v>0</v>
      </c>
      <c r="T21" s="731">
        <f>OHJELMOINTINÄKYMÄ!U390/1000</f>
        <v>0</v>
      </c>
      <c r="U21" s="731">
        <f>OHJELMOINTINÄKYMÄ!V390/1000</f>
        <v>0</v>
      </c>
      <c r="V21" s="731">
        <f>OHJELMOINTINÄKYMÄ!W390/1000</f>
        <v>0</v>
      </c>
    </row>
    <row r="22" spans="1:22" ht="15" x14ac:dyDescent="0.25">
      <c r="B22" s="52" t="s">
        <v>273</v>
      </c>
      <c r="M22" s="738">
        <f>OHJELMOINTINÄKYMÄ!M398/1000</f>
        <v>8.9685000000000001E-2</v>
      </c>
      <c r="N22" s="731">
        <f>OHJELMOINTINÄKYMÄ!O398/1000</f>
        <v>0</v>
      </c>
      <c r="O22" s="731">
        <f>OHJELMOINTINÄKYMÄ!P398/1000</f>
        <v>0</v>
      </c>
      <c r="P22" s="731">
        <f>OHJELMOINTINÄKYMÄ!Q398/1000</f>
        <v>0</v>
      </c>
      <c r="Q22" s="731">
        <f>OHJELMOINTINÄKYMÄ!R398/1000</f>
        <v>0</v>
      </c>
      <c r="R22" s="731">
        <f>OHJELMOINTINÄKYMÄ!S398/1000</f>
        <v>0</v>
      </c>
      <c r="S22" s="731">
        <f>OHJELMOINTINÄKYMÄ!T398/1000</f>
        <v>0</v>
      </c>
      <c r="T22" s="731">
        <f>OHJELMOINTINÄKYMÄ!U398/1000</f>
        <v>0</v>
      </c>
      <c r="U22" s="731">
        <f>OHJELMOINTINÄKYMÄ!V398/1000</f>
        <v>0</v>
      </c>
      <c r="V22" s="731">
        <f>OHJELMOINTINÄKYMÄ!W398/1000</f>
        <v>0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7"/>
  <sheetViews>
    <sheetView topLeftCell="A16" zoomScale="55" zoomScaleNormal="55" workbookViewId="0">
      <selection activeCell="G66" sqref="G66"/>
    </sheetView>
  </sheetViews>
  <sheetFormatPr defaultColWidth="9.33203125" defaultRowHeight="15" x14ac:dyDescent="0.25"/>
  <cols>
    <col min="1" max="1" width="9.6640625" style="22" customWidth="1"/>
    <col min="2" max="2" width="48.6640625" style="22" customWidth="1"/>
    <col min="3" max="7" width="12.6640625" style="22" customWidth="1"/>
    <col min="8" max="8" width="14.44140625" style="22" customWidth="1"/>
    <col min="9" max="14" width="12.6640625" style="22" customWidth="1"/>
    <col min="15" max="15" width="12.5546875" style="22" customWidth="1"/>
    <col min="16" max="16" width="11.6640625" style="22" customWidth="1"/>
    <col min="17" max="16384" width="9.33203125" style="22"/>
  </cols>
  <sheetData>
    <row r="1" spans="1:19" ht="15.6" x14ac:dyDescent="0.3">
      <c r="A1" s="6" t="s">
        <v>0</v>
      </c>
      <c r="B1" s="6"/>
      <c r="C1" s="6"/>
      <c r="D1" s="2"/>
      <c r="E1" s="8"/>
      <c r="F1" s="8"/>
      <c r="G1" s="8"/>
      <c r="H1" s="8"/>
    </row>
    <row r="2" spans="1:19" ht="15.6" x14ac:dyDescent="0.3">
      <c r="A2" s="6" t="s">
        <v>452</v>
      </c>
      <c r="B2" s="6"/>
      <c r="C2" s="6"/>
      <c r="D2" s="739"/>
      <c r="E2" s="6"/>
      <c r="F2" s="6"/>
      <c r="G2" s="6"/>
      <c r="H2" s="6"/>
    </row>
    <row r="3" spans="1:19" ht="17.399999999999999" x14ac:dyDescent="0.3">
      <c r="A3" s="6" t="s">
        <v>453</v>
      </c>
      <c r="B3" s="6"/>
      <c r="C3" s="6"/>
      <c r="D3" s="2"/>
      <c r="E3" s="740" t="s">
        <v>3</v>
      </c>
      <c r="F3" s="741" t="s">
        <v>3</v>
      </c>
      <c r="G3" s="742"/>
    </row>
    <row r="4" spans="1:19" ht="15.6" x14ac:dyDescent="0.3">
      <c r="D4" s="663"/>
      <c r="E4" s="664"/>
      <c r="F4" s="664"/>
    </row>
    <row r="5" spans="1:19" ht="17.399999999999999" x14ac:dyDescent="0.3">
      <c r="A5" s="665" t="s">
        <v>461</v>
      </c>
      <c r="E5" s="664"/>
      <c r="F5" s="664"/>
      <c r="I5" s="743" t="s">
        <v>462</v>
      </c>
    </row>
    <row r="6" spans="1:19" ht="15.6" x14ac:dyDescent="0.3">
      <c r="A6" s="557" t="s">
        <v>436</v>
      </c>
      <c r="B6" s="668"/>
      <c r="F6" s="664"/>
    </row>
    <row r="7" spans="1:19" ht="15.6" x14ac:dyDescent="0.3">
      <c r="A7" s="557" t="s">
        <v>456</v>
      </c>
      <c r="B7" s="6"/>
      <c r="F7" s="744"/>
    </row>
    <row r="8" spans="1:19" ht="15.6" x14ac:dyDescent="0.3">
      <c r="A8" s="24" t="s">
        <v>6</v>
      </c>
      <c r="B8" s="25"/>
      <c r="C8" s="672" t="s">
        <v>7</v>
      </c>
      <c r="D8" s="671" t="s">
        <v>7</v>
      </c>
      <c r="E8" s="671" t="s">
        <v>7</v>
      </c>
      <c r="F8" s="671" t="s">
        <v>7</v>
      </c>
      <c r="G8" s="671" t="s">
        <v>7</v>
      </c>
      <c r="H8" s="671" t="s">
        <v>7</v>
      </c>
      <c r="I8" s="671" t="s">
        <v>8</v>
      </c>
      <c r="J8" s="745" t="s">
        <v>9</v>
      </c>
      <c r="K8" s="671" t="s">
        <v>10</v>
      </c>
      <c r="L8" s="671" t="s">
        <v>10</v>
      </c>
      <c r="M8" s="671" t="s">
        <v>425</v>
      </c>
      <c r="N8" s="671" t="s">
        <v>425</v>
      </c>
      <c r="O8" s="671" t="s">
        <v>425</v>
      </c>
      <c r="P8" s="671" t="s">
        <v>425</v>
      </c>
      <c r="Q8" s="671" t="s">
        <v>425</v>
      </c>
      <c r="R8" s="671" t="s">
        <v>425</v>
      </c>
      <c r="S8" s="671" t="s">
        <v>425</v>
      </c>
    </row>
    <row r="9" spans="1:19" ht="15.6" x14ac:dyDescent="0.3">
      <c r="A9" s="33" t="s">
        <v>12</v>
      </c>
      <c r="B9" s="34" t="s">
        <v>426</v>
      </c>
      <c r="C9" s="675">
        <f>OHJELMOINTINÄKYMÄ!F7</f>
        <v>2013</v>
      </c>
      <c r="D9" s="675">
        <f>OHJELMOINTINÄKYMÄ!G7</f>
        <v>2014</v>
      </c>
      <c r="E9" s="675">
        <f>OHJELMOINTINÄKYMÄ!H7</f>
        <v>2015</v>
      </c>
      <c r="F9" s="675">
        <f>OHJELMOINTINÄKYMÄ!I7</f>
        <v>2016</v>
      </c>
      <c r="G9" s="675">
        <f>OHJELMOINTINÄKYMÄ!J7</f>
        <v>2017</v>
      </c>
      <c r="H9" s="675">
        <f>OHJELMOINTINÄKYMÄ!K7</f>
        <v>2018</v>
      </c>
      <c r="I9" s="675">
        <f>OHJELMOINTINÄKYMÄ!L7</f>
        <v>2019</v>
      </c>
      <c r="J9" s="746">
        <f>OHJELMOINTINÄKYMÄ!M7</f>
        <v>2020</v>
      </c>
      <c r="K9" s="675">
        <f>OHJELMOINTINÄKYMÄ!O7</f>
        <v>2022</v>
      </c>
      <c r="L9" s="675">
        <f>OHJELMOINTINÄKYMÄ!P7</f>
        <v>2023</v>
      </c>
      <c r="M9" s="675">
        <f>OHJELMOINTINÄKYMÄ!Q7</f>
        <v>2024</v>
      </c>
      <c r="N9" s="675">
        <f>OHJELMOINTINÄKYMÄ!R7</f>
        <v>2025</v>
      </c>
      <c r="O9" s="675">
        <f>OHJELMOINTINÄKYMÄ!S7</f>
        <v>2026</v>
      </c>
      <c r="P9" s="675">
        <f>OHJELMOINTINÄKYMÄ!T7</f>
        <v>2027</v>
      </c>
      <c r="Q9" s="675">
        <f>OHJELMOINTINÄKYMÄ!U7</f>
        <v>2028</v>
      </c>
      <c r="R9" s="675">
        <f>OHJELMOINTINÄKYMÄ!V7</f>
        <v>2029</v>
      </c>
      <c r="S9" s="675">
        <f>OHJELMOINTINÄKYMÄ!W7</f>
        <v>2030</v>
      </c>
    </row>
    <row r="10" spans="1:19" x14ac:dyDescent="0.25">
      <c r="A10" s="42"/>
      <c r="B10" s="43"/>
      <c r="C10" s="709" t="s">
        <v>428</v>
      </c>
      <c r="D10" s="709" t="s">
        <v>428</v>
      </c>
      <c r="E10" s="709" t="s">
        <v>428</v>
      </c>
      <c r="F10" s="709" t="s">
        <v>428</v>
      </c>
      <c r="G10" s="709" t="s">
        <v>428</v>
      </c>
      <c r="H10" s="709" t="s">
        <v>428</v>
      </c>
      <c r="I10" s="709" t="s">
        <v>428</v>
      </c>
      <c r="J10" s="747" t="s">
        <v>428</v>
      </c>
      <c r="K10" s="709" t="s">
        <v>428</v>
      </c>
      <c r="L10" s="709" t="s">
        <v>428</v>
      </c>
      <c r="M10" s="709" t="s">
        <v>428</v>
      </c>
      <c r="N10" s="709" t="s">
        <v>428</v>
      </c>
      <c r="O10" s="709" t="s">
        <v>428</v>
      </c>
      <c r="P10" s="709" t="s">
        <v>428</v>
      </c>
      <c r="Q10" s="709" t="s">
        <v>428</v>
      </c>
      <c r="R10" s="709" t="s">
        <v>428</v>
      </c>
      <c r="S10" s="709" t="s">
        <v>428</v>
      </c>
    </row>
    <row r="11" spans="1:19" x14ac:dyDescent="0.25">
      <c r="A11" s="51"/>
      <c r="B11" s="52"/>
      <c r="C11" s="71"/>
      <c r="D11" s="71"/>
      <c r="E11" s="71"/>
      <c r="F11" s="71"/>
      <c r="G11" s="71"/>
      <c r="H11" s="71"/>
      <c r="I11" s="71"/>
      <c r="J11" s="748"/>
      <c r="K11" s="71"/>
      <c r="L11" s="71"/>
      <c r="M11" s="71"/>
      <c r="N11" s="71"/>
      <c r="O11" s="71"/>
      <c r="P11" s="71"/>
      <c r="Q11" s="71"/>
      <c r="R11" s="71"/>
      <c r="S11" s="71"/>
    </row>
    <row r="12" spans="1:19" ht="15.6" x14ac:dyDescent="0.3">
      <c r="A12" s="69" t="s">
        <v>16</v>
      </c>
      <c r="B12" s="34" t="s">
        <v>43</v>
      </c>
      <c r="C12" s="749"/>
      <c r="D12" s="749"/>
      <c r="E12" s="749"/>
      <c r="F12" s="749"/>
      <c r="G12" s="749">
        <v>66.7</v>
      </c>
      <c r="H12" s="749">
        <v>64.5</v>
      </c>
      <c r="I12" s="749">
        <v>85.6</v>
      </c>
      <c r="J12" s="750">
        <v>107.6</v>
      </c>
      <c r="K12" s="749">
        <v>92.6</v>
      </c>
      <c r="L12" s="749">
        <v>79.599999999999994</v>
      </c>
      <c r="M12" s="749">
        <v>69.5</v>
      </c>
      <c r="N12" s="749">
        <v>62</v>
      </c>
      <c r="O12" s="749">
        <v>64.900000000000006</v>
      </c>
      <c r="P12" s="749">
        <v>76.400000000000006</v>
      </c>
      <c r="Q12" s="749">
        <v>63.1</v>
      </c>
      <c r="R12" s="749">
        <v>63.2</v>
      </c>
      <c r="S12" s="749">
        <v>63.4</v>
      </c>
    </row>
    <row r="13" spans="1:19" ht="15.6" x14ac:dyDescent="0.3">
      <c r="A13" s="69" t="s">
        <v>56</v>
      </c>
      <c r="B13" s="318" t="s">
        <v>463</v>
      </c>
      <c r="C13" s="694">
        <f>OHJELMOINTINÄKYMÄ!F56/1000</f>
        <v>70.251999999999995</v>
      </c>
      <c r="D13" s="694" t="e">
        <f>OHJELMOINTINÄKYMÄ!G56/1000</f>
        <v>#REF!</v>
      </c>
      <c r="E13" s="694">
        <f>OHJELMOINTINÄKYMÄ!H56/1000</f>
        <v>91.441999999999993</v>
      </c>
      <c r="F13" s="694">
        <f>OHJELMOINTINÄKYMÄ!I56/1000</f>
        <v>109.205</v>
      </c>
      <c r="G13" s="694">
        <f>OHJELMOINTINÄKYMÄ!J56/1000</f>
        <v>136.75399999999999</v>
      </c>
      <c r="H13" s="694" t="e">
        <f>OHJELMOINTINÄKYMÄ!K56/1000</f>
        <v>#REF!</v>
      </c>
      <c r="I13" s="694">
        <f>OHJELMOINTINÄKYMÄ!L56/1000</f>
        <v>158.71899999999999</v>
      </c>
      <c r="J13" s="751">
        <f>OHJELMOINTINÄKYMÄ!M56/1000</f>
        <v>173.21286699999999</v>
      </c>
      <c r="K13" s="694" t="e">
        <f>OHJELMOINTINÄKYMÄ!O56/1000</f>
        <v>#REF!</v>
      </c>
      <c r="L13" s="694" t="e">
        <f>OHJELMOINTINÄKYMÄ!P56/1000</f>
        <v>#REF!</v>
      </c>
      <c r="M13" s="694" t="e">
        <f>OHJELMOINTINÄKYMÄ!Q56/1000</f>
        <v>#REF!</v>
      </c>
      <c r="N13" s="694" t="e">
        <f>OHJELMOINTINÄKYMÄ!R56/1000</f>
        <v>#REF!</v>
      </c>
      <c r="O13" s="694" t="e">
        <f>OHJELMOINTINÄKYMÄ!S56/1000</f>
        <v>#REF!</v>
      </c>
      <c r="P13" s="694" t="e">
        <f>OHJELMOINTINÄKYMÄ!T56/1000</f>
        <v>#REF!</v>
      </c>
      <c r="Q13" s="694" t="e">
        <f>OHJELMOINTINÄKYMÄ!U56/1000</f>
        <v>#REF!</v>
      </c>
      <c r="R13" s="694" t="e">
        <f>OHJELMOINTINÄKYMÄ!V56/1000</f>
        <v>#REF!</v>
      </c>
      <c r="S13" s="694" t="e">
        <f>OHJELMOINTINÄKYMÄ!W56/1000</f>
        <v>#REF!</v>
      </c>
    </row>
    <row r="14" spans="1:19" ht="15.6" x14ac:dyDescent="0.3">
      <c r="A14" s="69" t="s">
        <v>232</v>
      </c>
      <c r="B14" s="318" t="s">
        <v>233</v>
      </c>
      <c r="C14" s="694">
        <f>OHJELMOINTINÄKYMÄ!F313/1000</f>
        <v>20.574000000000002</v>
      </c>
      <c r="D14" s="694">
        <f>OHJELMOINTINÄKYMÄ!G313/1000</f>
        <v>20.562999999999999</v>
      </c>
      <c r="E14" s="694">
        <f>OHJELMOINTINÄKYMÄ!H313/1000</f>
        <v>20.001000000000001</v>
      </c>
      <c r="F14" s="694">
        <f>OHJELMOINTINÄKYMÄ!I313/1000</f>
        <v>16.667999999999999</v>
      </c>
      <c r="G14" s="694">
        <f>OHJELMOINTINÄKYMÄ!J313/1000</f>
        <v>15.827</v>
      </c>
      <c r="H14" s="694">
        <f>OHJELMOINTINÄKYMÄ!K313/1000</f>
        <v>23.235591509999999</v>
      </c>
      <c r="I14" s="694">
        <f>OHJELMOINTINÄKYMÄ!L313/1000</f>
        <v>23.077999999999999</v>
      </c>
      <c r="J14" s="751">
        <f>OHJELMOINTINÄKYMÄ!M313/1000</f>
        <v>37.403515239999997</v>
      </c>
      <c r="K14" s="694">
        <f>OHJELMOINTINÄKYMÄ!O313/1000</f>
        <v>32.700000000000003</v>
      </c>
      <c r="L14" s="694">
        <f>OHJELMOINTINÄKYMÄ!P313/1000</f>
        <v>20.8</v>
      </c>
      <c r="M14" s="694">
        <f>OHJELMOINTINÄKYMÄ!Q313/1000</f>
        <v>22.8</v>
      </c>
      <c r="N14" s="694">
        <f>OHJELMOINTINÄKYMÄ!R313/1000</f>
        <v>21.8</v>
      </c>
      <c r="O14" s="694">
        <f>OHJELMOINTINÄKYMÄ!S313/1000</f>
        <v>21.4</v>
      </c>
      <c r="P14" s="694">
        <f>OHJELMOINTINÄKYMÄ!T313/1000</f>
        <v>19.100000000000001</v>
      </c>
      <c r="Q14" s="694">
        <f>OHJELMOINTINÄKYMÄ!U313/1000</f>
        <v>24.4</v>
      </c>
      <c r="R14" s="694">
        <f>OHJELMOINTINÄKYMÄ!V313/1000</f>
        <v>44.6</v>
      </c>
      <c r="S14" s="694">
        <f>OHJELMOINTINÄKYMÄ!W313/1000</f>
        <v>49.3</v>
      </c>
    </row>
    <row r="15" spans="1:19" ht="15.6" x14ac:dyDescent="0.3">
      <c r="A15" s="51"/>
      <c r="B15" s="6"/>
      <c r="C15" s="394"/>
      <c r="D15" s="394"/>
      <c r="E15" s="394"/>
      <c r="F15" s="394"/>
      <c r="G15" s="394"/>
      <c r="H15" s="394"/>
      <c r="I15" s="394"/>
      <c r="J15" s="752"/>
      <c r="K15" s="394"/>
      <c r="L15" s="394"/>
      <c r="M15" s="394"/>
      <c r="N15" s="394"/>
    </row>
    <row r="16" spans="1:19" ht="15.6" x14ac:dyDescent="0.3">
      <c r="A16" s="602"/>
      <c r="B16" s="6"/>
      <c r="C16" s="396"/>
      <c r="D16" s="396"/>
      <c r="E16" s="396"/>
      <c r="F16" s="396"/>
    </row>
    <row r="17" spans="1:6" ht="15.6" x14ac:dyDescent="0.3">
      <c r="A17" s="557"/>
      <c r="B17" s="6"/>
      <c r="C17" s="396"/>
      <c r="D17" s="396"/>
      <c r="E17" s="396"/>
      <c r="F17" s="396"/>
    </row>
  </sheetData>
  <pageMargins left="0.75" right="0.75" top="1" bottom="1" header="0.511811023622047" footer="0.511811023622047"/>
  <pageSetup paperSize="9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6"/>
  <sheetViews>
    <sheetView topLeftCell="A2" zoomScale="55" zoomScaleNormal="55" workbookViewId="0">
      <selection activeCell="D19" sqref="D19"/>
    </sheetView>
  </sheetViews>
  <sheetFormatPr defaultColWidth="8.44140625" defaultRowHeight="13.2" x14ac:dyDescent="0.25"/>
  <cols>
    <col min="4" max="4" width="18.33203125" customWidth="1"/>
    <col min="13" max="13" width="10.33203125" customWidth="1"/>
  </cols>
  <sheetData>
    <row r="1" spans="1:19" ht="15.6" x14ac:dyDescent="0.3">
      <c r="A1" s="6" t="s">
        <v>0</v>
      </c>
      <c r="B1" s="6"/>
      <c r="C1" s="6"/>
      <c r="D1" s="2"/>
      <c r="E1" s="8"/>
      <c r="F1" s="8"/>
      <c r="G1" s="8"/>
      <c r="H1" s="8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9" ht="15.6" x14ac:dyDescent="0.3">
      <c r="A2" s="6" t="s">
        <v>464</v>
      </c>
      <c r="B2" s="6"/>
      <c r="C2" s="6"/>
      <c r="D2" s="739"/>
      <c r="E2" s="6"/>
      <c r="F2" s="6"/>
      <c r="G2" s="6"/>
      <c r="H2" s="6"/>
      <c r="I2" s="22"/>
      <c r="J2" s="22"/>
      <c r="K2" s="22"/>
      <c r="L2" s="22"/>
      <c r="M2" s="22"/>
      <c r="N2" s="22"/>
      <c r="O2" s="22"/>
      <c r="P2" s="22"/>
      <c r="Q2" s="22"/>
      <c r="R2" s="22"/>
    </row>
    <row r="3" spans="1:19" ht="17.399999999999999" x14ac:dyDescent="0.3">
      <c r="A3" s="6" t="s">
        <v>465</v>
      </c>
      <c r="B3" s="6"/>
      <c r="C3" s="6"/>
      <c r="D3" s="2"/>
      <c r="E3" s="740" t="s">
        <v>3</v>
      </c>
      <c r="F3" s="741" t="s">
        <v>3</v>
      </c>
      <c r="G3" s="74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</row>
    <row r="4" spans="1:19" ht="15.6" x14ac:dyDescent="0.3">
      <c r="A4" s="22"/>
      <c r="B4" s="22"/>
      <c r="C4" s="22"/>
      <c r="D4" s="663"/>
      <c r="E4" s="664"/>
      <c r="F4" s="664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</row>
    <row r="5" spans="1:19" ht="17.399999999999999" x14ac:dyDescent="0.3">
      <c r="A5" s="665" t="s">
        <v>461</v>
      </c>
      <c r="B5" s="22"/>
      <c r="C5" s="22"/>
      <c r="D5" s="22"/>
      <c r="E5" s="664"/>
      <c r="F5" s="664"/>
      <c r="G5" s="22"/>
      <c r="H5" s="22"/>
      <c r="I5" s="743" t="s">
        <v>3</v>
      </c>
      <c r="J5" s="22"/>
      <c r="K5" s="22"/>
      <c r="L5" s="22"/>
      <c r="M5" s="753">
        <v>43255</v>
      </c>
      <c r="N5" s="22"/>
      <c r="O5" s="22"/>
      <c r="P5" s="22"/>
      <c r="Q5" s="22"/>
      <c r="R5" s="22"/>
    </row>
    <row r="6" spans="1:19" ht="15.6" x14ac:dyDescent="0.3">
      <c r="A6" s="557" t="s">
        <v>466</v>
      </c>
      <c r="B6" s="668"/>
      <c r="C6" s="22"/>
      <c r="D6" s="22"/>
      <c r="E6" s="22"/>
      <c r="F6" s="664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</row>
    <row r="7" spans="1:19" ht="15.6" x14ac:dyDescent="0.3">
      <c r="A7" s="557"/>
      <c r="B7" s="6"/>
      <c r="C7" s="22"/>
      <c r="D7" s="22"/>
      <c r="E7" s="22"/>
      <c r="F7" s="744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</row>
    <row r="8" spans="1:19" ht="15.6" x14ac:dyDescent="0.3">
      <c r="A8" s="24" t="s">
        <v>6</v>
      </c>
      <c r="B8" s="25"/>
      <c r="C8" s="672" t="s">
        <v>7</v>
      </c>
      <c r="D8" s="671" t="s">
        <v>7</v>
      </c>
      <c r="E8" s="671" t="s">
        <v>7</v>
      </c>
      <c r="F8" s="671" t="s">
        <v>7</v>
      </c>
      <c r="G8" s="671" t="s">
        <v>7</v>
      </c>
      <c r="H8" s="671" t="s">
        <v>7</v>
      </c>
      <c r="I8" s="671" t="s">
        <v>8</v>
      </c>
      <c r="J8" s="754" t="s">
        <v>9</v>
      </c>
      <c r="K8" s="671" t="s">
        <v>10</v>
      </c>
      <c r="L8" s="671" t="s">
        <v>10</v>
      </c>
      <c r="M8" s="671" t="s">
        <v>425</v>
      </c>
      <c r="N8" s="671" t="s">
        <v>425</v>
      </c>
      <c r="O8" s="671" t="s">
        <v>425</v>
      </c>
      <c r="P8" s="671" t="s">
        <v>425</v>
      </c>
      <c r="Q8" s="671" t="s">
        <v>425</v>
      </c>
      <c r="R8" s="671" t="s">
        <v>425</v>
      </c>
      <c r="S8" s="671" t="s">
        <v>425</v>
      </c>
    </row>
    <row r="9" spans="1:19" ht="15.6" x14ac:dyDescent="0.3">
      <c r="A9" s="33" t="s">
        <v>12</v>
      </c>
      <c r="B9" s="34" t="s">
        <v>426</v>
      </c>
      <c r="C9" s="675">
        <f>OHJELMOINTINÄKYMÄ!F7</f>
        <v>2013</v>
      </c>
      <c r="D9" s="675">
        <f>OHJELMOINTINÄKYMÄ!G7</f>
        <v>2014</v>
      </c>
      <c r="E9" s="675">
        <f>OHJELMOINTINÄKYMÄ!H7</f>
        <v>2015</v>
      </c>
      <c r="F9" s="675">
        <f>OHJELMOINTINÄKYMÄ!I7</f>
        <v>2016</v>
      </c>
      <c r="G9" s="675">
        <f>OHJELMOINTINÄKYMÄ!J7</f>
        <v>2017</v>
      </c>
      <c r="H9" s="675">
        <f>OHJELMOINTINÄKYMÄ!K7</f>
        <v>2018</v>
      </c>
      <c r="I9" s="675">
        <f>OHJELMOINTINÄKYMÄ!L7</f>
        <v>2019</v>
      </c>
      <c r="J9" s="755">
        <f>OHJELMOINTINÄKYMÄ!M7</f>
        <v>2020</v>
      </c>
      <c r="K9" s="675">
        <f>OHJELMOINTINÄKYMÄ!O7</f>
        <v>2022</v>
      </c>
      <c r="L9" s="675">
        <f>OHJELMOINTINÄKYMÄ!P7</f>
        <v>2023</v>
      </c>
      <c r="M9" s="675">
        <f>OHJELMOINTINÄKYMÄ!Q7</f>
        <v>2024</v>
      </c>
      <c r="N9" s="675">
        <f>OHJELMOINTINÄKYMÄ!R7</f>
        <v>2025</v>
      </c>
      <c r="O9" s="675">
        <f>OHJELMOINTINÄKYMÄ!S7</f>
        <v>2026</v>
      </c>
      <c r="P9" s="675">
        <f>OHJELMOINTINÄKYMÄ!T7</f>
        <v>2027</v>
      </c>
      <c r="Q9" s="675">
        <f>OHJELMOINTINÄKYMÄ!U7</f>
        <v>2028</v>
      </c>
      <c r="R9" s="675">
        <f>OHJELMOINTINÄKYMÄ!V7</f>
        <v>2029</v>
      </c>
      <c r="S9" s="675">
        <f>OHJELMOINTINÄKYMÄ!W7</f>
        <v>2030</v>
      </c>
    </row>
    <row r="10" spans="1:19" ht="15" x14ac:dyDescent="0.25">
      <c r="A10" s="42"/>
      <c r="B10" s="43"/>
      <c r="C10" s="709" t="s">
        <v>428</v>
      </c>
      <c r="D10" s="709" t="s">
        <v>428</v>
      </c>
      <c r="E10" s="709" t="s">
        <v>428</v>
      </c>
      <c r="F10" s="709" t="s">
        <v>428</v>
      </c>
      <c r="G10" s="709" t="s">
        <v>428</v>
      </c>
      <c r="H10" s="709" t="s">
        <v>428</v>
      </c>
      <c r="I10" s="709" t="s">
        <v>428</v>
      </c>
      <c r="J10" s="756" t="s">
        <v>428</v>
      </c>
      <c r="K10" s="709" t="s">
        <v>428</v>
      </c>
      <c r="L10" s="709" t="s">
        <v>428</v>
      </c>
      <c r="M10" s="709" t="s">
        <v>428</v>
      </c>
      <c r="N10" s="709" t="s">
        <v>428</v>
      </c>
      <c r="O10" s="709" t="s">
        <v>428</v>
      </c>
      <c r="P10" s="709" t="s">
        <v>428</v>
      </c>
      <c r="Q10" s="709" t="s">
        <v>428</v>
      </c>
      <c r="R10" s="709" t="s">
        <v>428</v>
      </c>
      <c r="S10" s="709" t="s">
        <v>428</v>
      </c>
    </row>
    <row r="11" spans="1:19" ht="15" x14ac:dyDescent="0.25">
      <c r="A11" s="51"/>
      <c r="B11" s="52"/>
      <c r="C11" s="71"/>
      <c r="D11" s="71"/>
      <c r="E11" s="71"/>
      <c r="F11" s="71"/>
      <c r="G11" s="71"/>
      <c r="H11" s="71"/>
      <c r="I11" s="71"/>
      <c r="J11" s="757"/>
      <c r="K11" s="71"/>
      <c r="L11" s="71"/>
      <c r="M11" s="71"/>
      <c r="N11" s="71"/>
      <c r="O11" s="71"/>
      <c r="P11" s="71"/>
      <c r="Q11" s="71"/>
      <c r="R11" s="71"/>
      <c r="S11" s="71"/>
    </row>
    <row r="12" spans="1:19" ht="15.6" x14ac:dyDescent="0.3">
      <c r="A12" s="69" t="s">
        <v>16</v>
      </c>
      <c r="B12" s="34" t="s">
        <v>467</v>
      </c>
      <c r="C12" s="749"/>
      <c r="D12" s="749"/>
      <c r="E12" s="749"/>
      <c r="F12" s="628"/>
      <c r="G12" s="671" t="s">
        <v>3</v>
      </c>
      <c r="H12" s="671" t="s">
        <v>3</v>
      </c>
      <c r="I12" s="671" t="s">
        <v>3</v>
      </c>
      <c r="J12" s="754" t="s">
        <v>3</v>
      </c>
      <c r="K12" s="671" t="s">
        <v>3</v>
      </c>
      <c r="L12" s="671" t="s">
        <v>3</v>
      </c>
      <c r="M12" s="671" t="s">
        <v>3</v>
      </c>
      <c r="N12" s="671" t="s">
        <v>3</v>
      </c>
      <c r="O12" s="671" t="s">
        <v>3</v>
      </c>
      <c r="P12" s="671" t="s">
        <v>3</v>
      </c>
      <c r="Q12" s="671" t="s">
        <v>3</v>
      </c>
      <c r="R12" s="671" t="s">
        <v>3</v>
      </c>
      <c r="S12" s="671" t="s">
        <v>3</v>
      </c>
    </row>
    <row r="13" spans="1:19" ht="15.6" x14ac:dyDescent="0.3">
      <c r="A13" s="16">
        <v>80101</v>
      </c>
      <c r="B13" s="197" t="s">
        <v>468</v>
      </c>
      <c r="C13" s="660"/>
      <c r="D13" s="660"/>
      <c r="E13" s="660"/>
      <c r="F13" s="660"/>
      <c r="G13" s="302"/>
      <c r="H13" s="758"/>
      <c r="I13" s="758">
        <v>12</v>
      </c>
      <c r="J13" s="759">
        <v>12</v>
      </c>
      <c r="K13" s="758">
        <v>12</v>
      </c>
      <c r="L13" s="758">
        <v>12</v>
      </c>
      <c r="M13" s="758">
        <v>12</v>
      </c>
      <c r="N13" s="758">
        <v>12</v>
      </c>
      <c r="O13" s="758">
        <v>12</v>
      </c>
      <c r="P13" s="758">
        <v>12</v>
      </c>
      <c r="Q13" s="758">
        <v>12</v>
      </c>
      <c r="R13" s="758">
        <v>12</v>
      </c>
      <c r="S13" s="758">
        <v>12</v>
      </c>
    </row>
    <row r="14" spans="1:19" x14ac:dyDescent="0.25">
      <c r="A14" s="197">
        <v>80102</v>
      </c>
      <c r="B14" s="197" t="s">
        <v>469</v>
      </c>
      <c r="C14" s="197"/>
      <c r="D14" s="197"/>
      <c r="E14" s="197"/>
      <c r="F14" s="197"/>
      <c r="G14" s="760">
        <v>52.7</v>
      </c>
      <c r="H14" s="761">
        <v>44</v>
      </c>
      <c r="I14" s="762">
        <f>OHJELMOINTINÄKYMÄ!L22/1000</f>
        <v>55.557000000000002</v>
      </c>
      <c r="J14" s="763">
        <f>OHJELMOINTINÄKYMÄ!M22/1000</f>
        <v>96.40528599999999</v>
      </c>
      <c r="K14" s="762">
        <f>OHJELMOINTINÄKYMÄ!O22/1000</f>
        <v>0</v>
      </c>
      <c r="L14" s="762">
        <f>OHJELMOINTINÄKYMÄ!P22/1000</f>
        <v>0</v>
      </c>
      <c r="M14" s="762">
        <f>OHJELMOINTINÄKYMÄ!Q22/1000</f>
        <v>0</v>
      </c>
      <c r="N14" s="762">
        <f>OHJELMOINTINÄKYMÄ!R22/1000</f>
        <v>0</v>
      </c>
      <c r="O14" s="762">
        <f>OHJELMOINTINÄKYMÄ!S22/1000</f>
        <v>0</v>
      </c>
      <c r="P14" s="762">
        <f>OHJELMOINTINÄKYMÄ!T22/1000</f>
        <v>0</v>
      </c>
      <c r="Q14" s="762">
        <f>OHJELMOINTINÄKYMÄ!U22/1000</f>
        <v>0</v>
      </c>
      <c r="R14" s="762">
        <f>OHJELMOINTINÄKYMÄ!V22/1000</f>
        <v>0</v>
      </c>
      <c r="S14" s="762">
        <f>OHJELMOINTINÄKYMÄ!W22/1000</f>
        <v>0</v>
      </c>
    </row>
    <row r="15" spans="1:19" s="769" customFormat="1" x14ac:dyDescent="0.25">
      <c r="A15" s="764">
        <v>80103</v>
      </c>
      <c r="B15" s="765" t="s">
        <v>470</v>
      </c>
      <c r="C15" s="765"/>
      <c r="D15" s="765"/>
      <c r="E15" s="765"/>
      <c r="F15" s="765"/>
      <c r="G15" s="766">
        <v>14</v>
      </c>
      <c r="H15" s="766">
        <v>20.399999999999999</v>
      </c>
      <c r="I15" s="766">
        <v>38</v>
      </c>
      <c r="J15" s="767">
        <f>OHJELMOINTINÄKYMÄ!M42/1000</f>
        <v>28.560129</v>
      </c>
      <c r="K15" s="768">
        <f>OHJELMOINTINÄKYMÄ!O42/1000</f>
        <v>19.899999999999999</v>
      </c>
      <c r="L15" s="768">
        <f>OHJELMOINTINÄKYMÄ!P42/1000</f>
        <v>18.7</v>
      </c>
      <c r="M15" s="768">
        <f>OHJELMOINTINÄKYMÄ!Q42/1000</f>
        <v>15.4</v>
      </c>
      <c r="N15" s="768">
        <f>OHJELMOINTINÄKYMÄ!R42/1000</f>
        <v>17.899999999999999</v>
      </c>
      <c r="O15" s="768">
        <f>OHJELMOINTINÄKYMÄ!S42/1000</f>
        <v>27.1</v>
      </c>
      <c r="P15" s="768">
        <f>OHJELMOINTINÄKYMÄ!T42/1000</f>
        <v>29.8</v>
      </c>
      <c r="Q15" s="768">
        <f>OHJELMOINTINÄKYMÄ!U42/1000</f>
        <v>28.4</v>
      </c>
      <c r="R15" s="768">
        <f>OHJELMOINTINÄKYMÄ!V42/1000</f>
        <v>35.9</v>
      </c>
      <c r="S15" s="768">
        <f>OHJELMOINTINÄKYMÄ!W42/1000</f>
        <v>35</v>
      </c>
    </row>
    <row r="16" spans="1:19" x14ac:dyDescent="0.25">
      <c r="B16" s="197" t="s">
        <v>3</v>
      </c>
      <c r="C16" s="197"/>
      <c r="D16" s="197"/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S41"/>
  <sheetViews>
    <sheetView topLeftCell="A4" zoomScale="55" zoomScaleNormal="55" workbookViewId="0">
      <selection activeCell="AH29" sqref="AH29"/>
    </sheetView>
  </sheetViews>
  <sheetFormatPr defaultColWidth="8.44140625" defaultRowHeight="13.2" x14ac:dyDescent="0.25"/>
  <cols>
    <col min="1" max="1" width="44.5546875" customWidth="1"/>
    <col min="2" max="9" width="9.33203125" customWidth="1"/>
    <col min="10" max="29" width="9.33203125" hidden="1" customWidth="1"/>
    <col min="32" max="33" width="9.33203125" customWidth="1"/>
    <col min="41" max="41" width="9.6640625" customWidth="1"/>
  </cols>
  <sheetData>
    <row r="1" spans="1:45" ht="15.6" x14ac:dyDescent="0.3">
      <c r="A1" s="6" t="s">
        <v>471</v>
      </c>
      <c r="B1" s="6"/>
      <c r="C1" s="6"/>
      <c r="D1" s="6"/>
      <c r="E1" s="6"/>
      <c r="F1" s="6"/>
      <c r="G1" s="6"/>
      <c r="H1" s="6"/>
      <c r="I1" s="6"/>
    </row>
    <row r="3" spans="1:45" ht="15.6" x14ac:dyDescent="0.3">
      <c r="A3" s="6" t="s">
        <v>472</v>
      </c>
      <c r="B3" s="6"/>
      <c r="C3" s="6"/>
      <c r="D3" s="6"/>
      <c r="E3" s="6"/>
      <c r="I3" s="770">
        <v>42916</v>
      </c>
    </row>
    <row r="4" spans="1:45" ht="15.6" x14ac:dyDescent="0.3">
      <c r="A4" s="197" t="s">
        <v>473</v>
      </c>
      <c r="B4" s="197"/>
      <c r="C4" s="197"/>
      <c r="D4" s="197"/>
      <c r="E4" s="197"/>
      <c r="AH4" s="7" t="s">
        <v>474</v>
      </c>
      <c r="AI4" s="395"/>
      <c r="AJ4" s="395"/>
      <c r="AK4" s="395"/>
    </row>
    <row r="7" spans="1:45" ht="15.6" x14ac:dyDescent="0.3">
      <c r="A7" s="771"/>
      <c r="B7" s="772"/>
      <c r="C7" s="772"/>
      <c r="D7" s="773">
        <v>2009</v>
      </c>
      <c r="E7" s="774"/>
      <c r="F7" s="772"/>
      <c r="G7" s="772"/>
      <c r="H7" s="773">
        <v>2010</v>
      </c>
      <c r="I7" s="773"/>
      <c r="J7" s="775"/>
      <c r="K7" s="773"/>
      <c r="L7" s="773">
        <v>2011</v>
      </c>
      <c r="M7" s="774"/>
      <c r="N7" s="773"/>
      <c r="O7" s="773"/>
      <c r="P7" s="773">
        <v>2012</v>
      </c>
      <c r="Q7" s="776"/>
      <c r="R7" s="775"/>
      <c r="S7" s="773"/>
      <c r="T7" s="773">
        <v>2013</v>
      </c>
      <c r="U7" s="774"/>
      <c r="V7" s="773"/>
      <c r="W7" s="773"/>
      <c r="X7" s="773">
        <v>2014</v>
      </c>
      <c r="Y7" s="777"/>
      <c r="Z7" s="773"/>
      <c r="AA7" s="773"/>
      <c r="AB7" s="773">
        <v>2015</v>
      </c>
      <c r="AC7" s="777"/>
      <c r="AD7" s="775"/>
      <c r="AE7" s="773"/>
      <c r="AF7" s="773">
        <v>2016</v>
      </c>
      <c r="AG7" s="777"/>
      <c r="AH7" s="773"/>
      <c r="AI7" s="773"/>
      <c r="AJ7" s="773">
        <v>2017</v>
      </c>
      <c r="AK7" s="777"/>
      <c r="AL7" s="773"/>
      <c r="AM7" s="773"/>
      <c r="AN7" s="773">
        <v>2018</v>
      </c>
      <c r="AO7" s="777"/>
      <c r="AP7" s="773"/>
      <c r="AQ7" s="773"/>
      <c r="AR7" s="773">
        <v>2019</v>
      </c>
      <c r="AS7" s="777"/>
    </row>
    <row r="8" spans="1:45" x14ac:dyDescent="0.25">
      <c r="A8" s="778"/>
      <c r="B8" s="779" t="s">
        <v>475</v>
      </c>
      <c r="C8" s="780" t="s">
        <v>8</v>
      </c>
      <c r="D8" s="781" t="s">
        <v>7</v>
      </c>
      <c r="E8" s="782" t="s">
        <v>476</v>
      </c>
      <c r="F8" s="779" t="s">
        <v>475</v>
      </c>
      <c r="G8" s="780" t="s">
        <v>8</v>
      </c>
      <c r="H8" s="781" t="s">
        <v>7</v>
      </c>
      <c r="I8" s="782" t="s">
        <v>476</v>
      </c>
      <c r="J8" s="783" t="s">
        <v>475</v>
      </c>
      <c r="K8" s="781" t="s">
        <v>8</v>
      </c>
      <c r="L8" s="781" t="s">
        <v>7</v>
      </c>
      <c r="M8" s="784" t="s">
        <v>476</v>
      </c>
      <c r="N8" s="780" t="s">
        <v>475</v>
      </c>
      <c r="O8" s="780" t="s">
        <v>8</v>
      </c>
      <c r="P8" s="781" t="s">
        <v>7</v>
      </c>
      <c r="Q8" s="782" t="s">
        <v>476</v>
      </c>
      <c r="R8" s="779" t="s">
        <v>475</v>
      </c>
      <c r="S8" s="780" t="s">
        <v>8</v>
      </c>
      <c r="T8" s="781" t="s">
        <v>7</v>
      </c>
      <c r="U8" s="784" t="s">
        <v>476</v>
      </c>
      <c r="V8" s="780" t="s">
        <v>475</v>
      </c>
      <c r="W8" s="780" t="s">
        <v>8</v>
      </c>
      <c r="X8" s="781" t="s">
        <v>7</v>
      </c>
      <c r="Y8" s="785" t="s">
        <v>476</v>
      </c>
      <c r="Z8" s="786" t="s">
        <v>475</v>
      </c>
      <c r="AA8" s="786" t="s">
        <v>8</v>
      </c>
      <c r="AB8" s="787" t="s">
        <v>7</v>
      </c>
      <c r="AC8" s="788" t="s">
        <v>476</v>
      </c>
      <c r="AD8" s="789" t="s">
        <v>475</v>
      </c>
      <c r="AE8" s="786" t="s">
        <v>8</v>
      </c>
      <c r="AF8" s="787" t="s">
        <v>7</v>
      </c>
      <c r="AG8" s="788" t="s">
        <v>476</v>
      </c>
      <c r="AH8" s="786" t="s">
        <v>475</v>
      </c>
      <c r="AI8" s="786" t="s">
        <v>8</v>
      </c>
      <c r="AJ8" s="787" t="s">
        <v>7</v>
      </c>
      <c r="AK8" s="788" t="s">
        <v>476</v>
      </c>
      <c r="AL8" s="786" t="s">
        <v>475</v>
      </c>
      <c r="AM8" s="786" t="s">
        <v>8</v>
      </c>
      <c r="AN8" s="787" t="s">
        <v>7</v>
      </c>
      <c r="AO8" s="788" t="s">
        <v>476</v>
      </c>
      <c r="AP8" s="786" t="s">
        <v>475</v>
      </c>
      <c r="AQ8" s="786" t="s">
        <v>8</v>
      </c>
      <c r="AR8" s="787" t="s">
        <v>7</v>
      </c>
      <c r="AS8" s="788" t="s">
        <v>476</v>
      </c>
    </row>
    <row r="9" spans="1:45" ht="15.6" x14ac:dyDescent="0.3">
      <c r="A9" s="790" t="s">
        <v>393</v>
      </c>
      <c r="B9" s="791">
        <v>43.8</v>
      </c>
      <c r="C9" s="792">
        <v>41.9</v>
      </c>
      <c r="D9" s="793">
        <v>40.6</v>
      </c>
      <c r="E9" s="794">
        <f>D9/B9*100</f>
        <v>92.694063926940657</v>
      </c>
      <c r="F9" s="791">
        <v>41.76</v>
      </c>
      <c r="G9" s="792">
        <v>36.5</v>
      </c>
      <c r="H9" s="793">
        <v>28.4</v>
      </c>
      <c r="I9" s="794">
        <f>H9/F9*100</f>
        <v>68.007662835249036</v>
      </c>
      <c r="J9" s="795">
        <v>31.2</v>
      </c>
      <c r="K9" s="793">
        <v>26.7</v>
      </c>
      <c r="L9" s="793">
        <v>28.8</v>
      </c>
      <c r="M9" s="796">
        <f>L9/J9*100</f>
        <v>92.307692307692307</v>
      </c>
      <c r="N9" s="792">
        <v>24.3</v>
      </c>
      <c r="O9" s="792">
        <v>22.8</v>
      </c>
      <c r="P9" s="793">
        <v>22.8</v>
      </c>
      <c r="Q9" s="794">
        <f>P9/N9*100</f>
        <v>93.827160493827151</v>
      </c>
      <c r="R9" s="791">
        <v>27.4</v>
      </c>
      <c r="S9" s="792">
        <v>27.4</v>
      </c>
      <c r="T9" s="793">
        <v>24.6</v>
      </c>
      <c r="U9" s="796">
        <f>T9/R9*100</f>
        <v>89.781021897810234</v>
      </c>
      <c r="V9" s="792">
        <v>26.3</v>
      </c>
      <c r="W9" s="792">
        <v>26</v>
      </c>
      <c r="X9" s="793">
        <v>21.3</v>
      </c>
      <c r="Y9" s="797">
        <f>X9/V9*100</f>
        <v>80.98859315589354</v>
      </c>
      <c r="Z9" s="798">
        <v>24.2</v>
      </c>
      <c r="AA9" s="798">
        <v>23.5</v>
      </c>
      <c r="AB9" s="799">
        <v>23.7</v>
      </c>
      <c r="AC9" s="800">
        <f>AB9/Z9*100</f>
        <v>97.933884297520663</v>
      </c>
      <c r="AD9" s="801">
        <v>20.9</v>
      </c>
      <c r="AE9" s="798">
        <v>20.399999999999999</v>
      </c>
      <c r="AF9" s="799">
        <v>18.600000000000001</v>
      </c>
      <c r="AG9" s="800">
        <f>AF9/AD9*100</f>
        <v>88.995215311004799</v>
      </c>
      <c r="AH9" s="798">
        <v>16.2</v>
      </c>
      <c r="AI9" s="798">
        <v>16.2</v>
      </c>
      <c r="AJ9" s="799">
        <v>16.2</v>
      </c>
      <c r="AK9" s="800">
        <f>AJ9/AH9*100</f>
        <v>100</v>
      </c>
      <c r="AL9" s="798">
        <v>17.600000000000001</v>
      </c>
      <c r="AM9" s="798">
        <v>17.600000000000001</v>
      </c>
      <c r="AN9" s="799">
        <v>16.100000000000001</v>
      </c>
      <c r="AO9" s="800">
        <f>AN9/AL9*100</f>
        <v>91.477272727272734</v>
      </c>
      <c r="AP9" s="798">
        <v>18.399999999999999</v>
      </c>
      <c r="AQ9" s="798">
        <v>17.5</v>
      </c>
      <c r="AR9" s="799">
        <v>22.8</v>
      </c>
      <c r="AS9" s="800">
        <f>AR9/AP9*100</f>
        <v>123.91304347826089</v>
      </c>
    </row>
    <row r="10" spans="1:45" ht="15.6" x14ac:dyDescent="0.3">
      <c r="A10" s="790"/>
      <c r="B10" s="791"/>
      <c r="C10" s="792"/>
      <c r="D10" s="793"/>
      <c r="E10" s="794"/>
      <c r="F10" s="791"/>
      <c r="G10" s="792"/>
      <c r="H10" s="793"/>
      <c r="I10" s="794"/>
      <c r="J10" s="795"/>
      <c r="K10" s="793"/>
      <c r="L10" s="793"/>
      <c r="M10" s="796"/>
      <c r="N10" s="792"/>
      <c r="O10" s="792"/>
      <c r="P10" s="793"/>
      <c r="Q10" s="794"/>
      <c r="R10" s="791"/>
      <c r="S10" s="792"/>
      <c r="T10" s="793"/>
      <c r="U10" s="796"/>
      <c r="V10" s="792"/>
      <c r="W10" s="792"/>
      <c r="X10" s="793"/>
      <c r="Y10" s="797"/>
      <c r="Z10" s="798"/>
      <c r="AA10" s="798"/>
      <c r="AB10" s="799"/>
      <c r="AC10" s="800"/>
      <c r="AD10" s="801"/>
      <c r="AE10" s="798"/>
      <c r="AF10" s="799"/>
      <c r="AG10" s="800"/>
      <c r="AH10" s="798"/>
      <c r="AI10" s="798"/>
      <c r="AJ10" s="799"/>
      <c r="AK10" s="800"/>
      <c r="AL10" s="798"/>
      <c r="AM10" s="798"/>
      <c r="AN10" s="799"/>
      <c r="AO10" s="800"/>
      <c r="AP10" s="798"/>
      <c r="AQ10" s="798"/>
      <c r="AR10" s="799"/>
      <c r="AS10" s="800"/>
    </row>
    <row r="11" spans="1:45" ht="15.6" x14ac:dyDescent="0.3">
      <c r="A11" s="790" t="s">
        <v>477</v>
      </c>
      <c r="B11" s="802">
        <v>24.6</v>
      </c>
      <c r="C11" s="803">
        <v>23.9</v>
      </c>
      <c r="D11" s="804">
        <v>23.8</v>
      </c>
      <c r="E11" s="805">
        <f>D11/B11*100</f>
        <v>96.747967479674784</v>
      </c>
      <c r="F11" s="802">
        <v>27.7</v>
      </c>
      <c r="G11" s="803">
        <v>27</v>
      </c>
      <c r="H11" s="804">
        <v>27.5</v>
      </c>
      <c r="I11" s="805">
        <f>H11/F11*100</f>
        <v>99.277978339350184</v>
      </c>
      <c r="J11" s="806">
        <v>27.4</v>
      </c>
      <c r="K11" s="804">
        <v>26.9</v>
      </c>
      <c r="L11" s="804">
        <v>24.8</v>
      </c>
      <c r="M11" s="807">
        <f>L11/J11*100</f>
        <v>90.510948905109501</v>
      </c>
      <c r="N11" s="803">
        <v>20.399999999999999</v>
      </c>
      <c r="O11" s="803">
        <v>19.399999999999999</v>
      </c>
      <c r="P11" s="804">
        <v>18.100000000000001</v>
      </c>
      <c r="Q11" s="805">
        <f>P11/N11*100</f>
        <v>88.725490196078454</v>
      </c>
      <c r="R11" s="802">
        <v>27.7</v>
      </c>
      <c r="S11" s="803">
        <v>26.4</v>
      </c>
      <c r="T11" s="804">
        <v>23</v>
      </c>
      <c r="U11" s="807">
        <f>T11/R11*100</f>
        <v>83.032490974729242</v>
      </c>
      <c r="V11" s="803">
        <v>30.4</v>
      </c>
      <c r="W11" s="803">
        <v>26.2</v>
      </c>
      <c r="X11" s="804">
        <v>22.3</v>
      </c>
      <c r="Y11" s="808">
        <f>X11/V11*100</f>
        <v>73.35526315789474</v>
      </c>
      <c r="Z11" s="809">
        <v>37.700000000000003</v>
      </c>
      <c r="AA11" s="809">
        <v>30.9</v>
      </c>
      <c r="AB11" s="810">
        <v>24.7</v>
      </c>
      <c r="AC11" s="811">
        <f>AB11/Z11*100</f>
        <v>65.517241379310349</v>
      </c>
      <c r="AD11" s="812">
        <v>46.3</v>
      </c>
      <c r="AE11" s="809">
        <v>34</v>
      </c>
      <c r="AF11" s="810">
        <v>31.7</v>
      </c>
      <c r="AG11" s="811">
        <f>AF11/AD11*100</f>
        <v>68.466522678185754</v>
      </c>
      <c r="AH11" s="809">
        <v>50.3</v>
      </c>
      <c r="AI11" s="809">
        <v>33.9</v>
      </c>
      <c r="AJ11" s="810">
        <v>36.5</v>
      </c>
      <c r="AK11" s="811">
        <f>AJ11/AH11*100</f>
        <v>72.564612326043743</v>
      </c>
      <c r="AL11" s="809">
        <v>55.6</v>
      </c>
      <c r="AM11" s="809">
        <v>41.78</v>
      </c>
      <c r="AN11" s="810">
        <v>42</v>
      </c>
      <c r="AO11" s="811">
        <f>AN11/AL11*100</f>
        <v>75.539568345323744</v>
      </c>
      <c r="AP11" s="809">
        <v>56.8</v>
      </c>
      <c r="AQ11" s="809">
        <v>43.6</v>
      </c>
      <c r="AR11" s="810">
        <v>49.9</v>
      </c>
      <c r="AS11" s="811">
        <f>AR11/AP11*100</f>
        <v>87.852112676056336</v>
      </c>
    </row>
    <row r="12" spans="1:45" ht="15.6" x14ac:dyDescent="0.3">
      <c r="A12" s="790"/>
      <c r="B12" s="802"/>
      <c r="C12" s="803"/>
      <c r="D12" s="804"/>
      <c r="E12" s="805"/>
      <c r="F12" s="802"/>
      <c r="G12" s="803"/>
      <c r="H12" s="804"/>
      <c r="I12" s="805"/>
      <c r="J12" s="806"/>
      <c r="K12" s="804"/>
      <c r="L12" s="804"/>
      <c r="M12" s="807"/>
      <c r="N12" s="803"/>
      <c r="O12" s="803"/>
      <c r="P12" s="804"/>
      <c r="Q12" s="805"/>
      <c r="R12" s="802"/>
      <c r="S12" s="803"/>
      <c r="T12" s="804"/>
      <c r="U12" s="807"/>
      <c r="V12" s="803"/>
      <c r="W12" s="803"/>
      <c r="X12" s="804"/>
      <c r="Y12" s="808"/>
      <c r="Z12" s="809"/>
      <c r="AA12" s="809"/>
      <c r="AB12" s="810"/>
      <c r="AC12" s="811"/>
      <c r="AD12" s="812"/>
      <c r="AE12" s="809"/>
      <c r="AF12" s="810"/>
      <c r="AG12" s="811"/>
      <c r="AH12" s="809"/>
      <c r="AI12" s="809"/>
      <c r="AJ12" s="810"/>
      <c r="AK12" s="811"/>
      <c r="AL12" s="809"/>
      <c r="AM12" s="809"/>
      <c r="AN12" s="810"/>
      <c r="AO12" s="811"/>
      <c r="AP12" s="809"/>
      <c r="AQ12" s="809"/>
      <c r="AR12" s="810"/>
      <c r="AS12" s="811"/>
    </row>
    <row r="13" spans="1:45" ht="15.6" x14ac:dyDescent="0.3">
      <c r="A13" s="790" t="s">
        <v>478</v>
      </c>
      <c r="B13" s="813">
        <v>12.1</v>
      </c>
      <c r="C13" s="814">
        <v>12.1</v>
      </c>
      <c r="D13" s="815">
        <v>12.2</v>
      </c>
      <c r="E13" s="816">
        <f>D13/B13*100</f>
        <v>100.82644628099173</v>
      </c>
      <c r="F13" s="813">
        <v>7.85</v>
      </c>
      <c r="G13" s="814">
        <v>4.8</v>
      </c>
      <c r="H13" s="815">
        <v>4</v>
      </c>
      <c r="I13" s="816">
        <f>H13/F13*100</f>
        <v>50.955414012738856</v>
      </c>
      <c r="J13" s="817">
        <v>4.0999999999999996</v>
      </c>
      <c r="K13" s="815">
        <v>3.8</v>
      </c>
      <c r="L13" s="815">
        <v>2.5</v>
      </c>
      <c r="M13" s="818">
        <f>L13/J13*100</f>
        <v>60.975609756097569</v>
      </c>
      <c r="N13" s="814">
        <v>10</v>
      </c>
      <c r="O13" s="814">
        <v>10</v>
      </c>
      <c r="P13" s="815">
        <v>0.6</v>
      </c>
      <c r="Q13" s="816">
        <f>P13/N13*100</f>
        <v>6</v>
      </c>
      <c r="R13" s="813">
        <v>19.600000000000001</v>
      </c>
      <c r="S13" s="814">
        <v>10.3</v>
      </c>
      <c r="T13" s="815">
        <v>1.9</v>
      </c>
      <c r="U13" s="818">
        <f>T13/R13*100</f>
        <v>9.6938775510204067</v>
      </c>
      <c r="V13" s="814">
        <v>16</v>
      </c>
      <c r="W13" s="814">
        <v>8.3000000000000007</v>
      </c>
      <c r="X13" s="815">
        <v>2.7</v>
      </c>
      <c r="Y13" s="819">
        <f>X13/V13*100</f>
        <v>16.875</v>
      </c>
      <c r="Z13" s="820">
        <v>24.9</v>
      </c>
      <c r="AA13" s="820">
        <v>1.8</v>
      </c>
      <c r="AB13" s="821">
        <v>8.8000000000000007</v>
      </c>
      <c r="AC13" s="822">
        <f>AB13/Z13*100</f>
        <v>35.341365461847396</v>
      </c>
      <c r="AD13" s="823">
        <v>17.600000000000001</v>
      </c>
      <c r="AE13" s="820">
        <v>1.7</v>
      </c>
      <c r="AF13" s="821">
        <v>8.8000000000000007</v>
      </c>
      <c r="AG13" s="822">
        <f>AF13/AD13*100</f>
        <v>50</v>
      </c>
      <c r="AH13" s="820">
        <v>3.2</v>
      </c>
      <c r="AI13" s="820">
        <v>0.8</v>
      </c>
      <c r="AJ13" s="821">
        <v>1.1000000000000001</v>
      </c>
      <c r="AK13" s="822">
        <f>AJ13/AH13*100</f>
        <v>34.375</v>
      </c>
      <c r="AL13" s="820">
        <v>2.2999999999999998</v>
      </c>
      <c r="AM13" s="820">
        <v>0.8</v>
      </c>
      <c r="AN13" s="821">
        <v>1.6</v>
      </c>
      <c r="AO13" s="822">
        <f>AN13/AL13*100</f>
        <v>69.565217391304358</v>
      </c>
      <c r="AP13" s="820">
        <v>1.4</v>
      </c>
      <c r="AQ13" s="820">
        <v>0.8</v>
      </c>
      <c r="AR13" s="821">
        <v>0.9</v>
      </c>
      <c r="AS13" s="822">
        <f>AR13/AP13*100</f>
        <v>64.285714285714292</v>
      </c>
    </row>
    <row r="14" spans="1:45" ht="15.6" x14ac:dyDescent="0.3">
      <c r="A14" s="790"/>
      <c r="B14" s="813"/>
      <c r="C14" s="814"/>
      <c r="D14" s="815"/>
      <c r="E14" s="816"/>
      <c r="F14" s="813"/>
      <c r="G14" s="814"/>
      <c r="H14" s="815"/>
      <c r="I14" s="816"/>
      <c r="J14" s="817"/>
      <c r="K14" s="815"/>
      <c r="L14" s="815"/>
      <c r="M14" s="818"/>
      <c r="N14" s="814"/>
      <c r="O14" s="814"/>
      <c r="P14" s="815"/>
      <c r="Q14" s="816"/>
      <c r="R14" s="813"/>
      <c r="S14" s="814"/>
      <c r="T14" s="815"/>
      <c r="U14" s="818"/>
      <c r="V14" s="814"/>
      <c r="W14" s="814"/>
      <c r="X14" s="815"/>
      <c r="Y14" s="819"/>
      <c r="Z14" s="820"/>
      <c r="AA14" s="820"/>
      <c r="AB14" s="821"/>
      <c r="AC14" s="822"/>
      <c r="AD14" s="823"/>
      <c r="AE14" s="820"/>
      <c r="AF14" s="821"/>
      <c r="AG14" s="822"/>
      <c r="AH14" s="820"/>
      <c r="AI14" s="820"/>
      <c r="AJ14" s="821"/>
      <c r="AK14" s="822"/>
      <c r="AL14" s="820"/>
      <c r="AM14" s="820"/>
      <c r="AN14" s="821"/>
      <c r="AO14" s="822"/>
      <c r="AP14" s="820"/>
      <c r="AQ14" s="820"/>
      <c r="AR14" s="821"/>
      <c r="AS14" s="822"/>
    </row>
    <row r="15" spans="1:45" ht="15.6" x14ac:dyDescent="0.3">
      <c r="A15" s="790" t="s">
        <v>479</v>
      </c>
      <c r="B15" s="802">
        <v>3.2</v>
      </c>
      <c r="C15" s="803">
        <v>1.7</v>
      </c>
      <c r="D15" s="804">
        <v>1.1000000000000001</v>
      </c>
      <c r="E15" s="805">
        <f>D15/B15*100</f>
        <v>34.375</v>
      </c>
      <c r="F15" s="802">
        <v>2.6</v>
      </c>
      <c r="G15" s="803">
        <v>1.4</v>
      </c>
      <c r="H15" s="804">
        <v>2.4</v>
      </c>
      <c r="I15" s="805">
        <f>H15/F15*100</f>
        <v>92.307692307692307</v>
      </c>
      <c r="J15" s="806">
        <v>0.9</v>
      </c>
      <c r="K15" s="804">
        <v>0.9</v>
      </c>
      <c r="L15" s="804">
        <v>0.9</v>
      </c>
      <c r="M15" s="807">
        <f>L15/J15*100</f>
        <v>100</v>
      </c>
      <c r="N15" s="803">
        <v>1.1000000000000001</v>
      </c>
      <c r="O15" s="803">
        <v>1.1000000000000001</v>
      </c>
      <c r="P15" s="804">
        <v>0.9</v>
      </c>
      <c r="Q15" s="805">
        <f>P15/N15*100</f>
        <v>81.818181818181813</v>
      </c>
      <c r="R15" s="802">
        <v>2.1</v>
      </c>
      <c r="S15" s="803">
        <v>2</v>
      </c>
      <c r="T15" s="804">
        <v>1.8</v>
      </c>
      <c r="U15" s="807">
        <f>T15/R15*100</f>
        <v>85.714285714285708</v>
      </c>
      <c r="V15" s="803">
        <v>1.4</v>
      </c>
      <c r="W15" s="803">
        <v>1.4</v>
      </c>
      <c r="X15" s="804">
        <v>1.4</v>
      </c>
      <c r="Y15" s="808">
        <f>X15/V15*100</f>
        <v>100</v>
      </c>
      <c r="Z15" s="809">
        <v>1.4</v>
      </c>
      <c r="AA15" s="809">
        <v>1.4</v>
      </c>
      <c r="AB15" s="810">
        <v>1.3</v>
      </c>
      <c r="AC15" s="811">
        <f>AB15/Z15*100</f>
        <v>92.857142857142875</v>
      </c>
      <c r="AD15" s="812">
        <v>1</v>
      </c>
      <c r="AE15" s="809">
        <v>1</v>
      </c>
      <c r="AF15" s="810">
        <v>1</v>
      </c>
      <c r="AG15" s="811">
        <f>AF15/AD15*100</f>
        <v>100</v>
      </c>
      <c r="AH15" s="809">
        <v>3.4</v>
      </c>
      <c r="AI15" s="809">
        <v>2</v>
      </c>
      <c r="AJ15" s="810">
        <v>2.9</v>
      </c>
      <c r="AK15" s="811">
        <f>AJ15/AH15*100</f>
        <v>85.294117647058826</v>
      </c>
      <c r="AL15" s="809">
        <v>2.1</v>
      </c>
      <c r="AM15" s="809">
        <v>1.8</v>
      </c>
      <c r="AN15" s="810">
        <v>1.2</v>
      </c>
      <c r="AO15" s="811">
        <f>AN15/AL15*100</f>
        <v>57.142857142857139</v>
      </c>
      <c r="AP15" s="809">
        <v>4.7</v>
      </c>
      <c r="AQ15" s="809">
        <v>3.7</v>
      </c>
      <c r="AR15" s="810">
        <v>3.1</v>
      </c>
      <c r="AS15" s="811">
        <f>AR15/AP15*100</f>
        <v>65.957446808510639</v>
      </c>
    </row>
    <row r="16" spans="1:45" ht="15.6" x14ac:dyDescent="0.3">
      <c r="A16" s="790"/>
      <c r="B16" s="802"/>
      <c r="C16" s="803"/>
      <c r="D16" s="804"/>
      <c r="E16" s="805"/>
      <c r="F16" s="802"/>
      <c r="G16" s="803"/>
      <c r="H16" s="804"/>
      <c r="I16" s="805"/>
      <c r="J16" s="806"/>
      <c r="K16" s="804"/>
      <c r="L16" s="804"/>
      <c r="M16" s="807"/>
      <c r="N16" s="803"/>
      <c r="O16" s="803"/>
      <c r="P16" s="804"/>
      <c r="Q16" s="805"/>
      <c r="R16" s="802"/>
      <c r="S16" s="803"/>
      <c r="T16" s="804"/>
      <c r="U16" s="807"/>
      <c r="V16" s="803"/>
      <c r="W16" s="803"/>
      <c r="X16" s="804"/>
      <c r="Y16" s="808"/>
      <c r="Z16" s="809"/>
      <c r="AA16" s="809"/>
      <c r="AB16" s="810"/>
      <c r="AC16" s="811"/>
      <c r="AD16" s="812"/>
      <c r="AE16" s="809"/>
      <c r="AF16" s="810"/>
      <c r="AG16" s="811"/>
      <c r="AH16" s="809"/>
      <c r="AI16" s="809"/>
      <c r="AJ16" s="810"/>
      <c r="AK16" s="811"/>
      <c r="AL16" s="809"/>
      <c r="AM16" s="809"/>
      <c r="AN16" s="810"/>
      <c r="AO16" s="811"/>
      <c r="AP16" s="809"/>
      <c r="AQ16" s="809"/>
      <c r="AR16" s="810"/>
      <c r="AS16" s="811"/>
    </row>
    <row r="17" spans="1:45" ht="15.6" x14ac:dyDescent="0.3">
      <c r="A17" s="790" t="s">
        <v>480</v>
      </c>
      <c r="B17" s="813">
        <v>40</v>
      </c>
      <c r="C17" s="814">
        <v>36.200000000000003</v>
      </c>
      <c r="D17" s="815">
        <v>26.4</v>
      </c>
      <c r="E17" s="816">
        <f>D17/B17*100</f>
        <v>65.999999999999986</v>
      </c>
      <c r="F17" s="813">
        <v>51.5</v>
      </c>
      <c r="G17" s="814">
        <v>42.6</v>
      </c>
      <c r="H17" s="815">
        <v>26.3</v>
      </c>
      <c r="I17" s="816">
        <f>H17/F17*100</f>
        <v>51.067961165048544</v>
      </c>
      <c r="J17" s="817">
        <v>47.3</v>
      </c>
      <c r="K17" s="815">
        <v>33.9</v>
      </c>
      <c r="L17" s="815">
        <v>29.8</v>
      </c>
      <c r="M17" s="818">
        <f>L17/J17*100</f>
        <v>63.002114164904867</v>
      </c>
      <c r="N17" s="814">
        <v>47</v>
      </c>
      <c r="O17" s="814">
        <v>38.6</v>
      </c>
      <c r="P17" s="815">
        <v>21</v>
      </c>
      <c r="Q17" s="816">
        <f>P17/N17*100</f>
        <v>44.680851063829785</v>
      </c>
      <c r="R17" s="813">
        <v>45.7</v>
      </c>
      <c r="S17" s="814">
        <v>42.5</v>
      </c>
      <c r="T17" s="815">
        <v>23</v>
      </c>
      <c r="U17" s="818">
        <f>T17/R17*100</f>
        <v>50.328227571115967</v>
      </c>
      <c r="V17" s="814">
        <v>49</v>
      </c>
      <c r="W17" s="814">
        <v>40.6</v>
      </c>
      <c r="X17" s="815">
        <v>29.2</v>
      </c>
      <c r="Y17" s="819">
        <f>X17/V17*100</f>
        <v>59.591836734693885</v>
      </c>
      <c r="Z17" s="820">
        <v>63.2</v>
      </c>
      <c r="AA17" s="820">
        <v>43.9</v>
      </c>
      <c r="AB17" s="821">
        <v>35.700000000000003</v>
      </c>
      <c r="AC17" s="822">
        <f>AB17/Z17*100</f>
        <v>56.4873417721519</v>
      </c>
      <c r="AD17" s="823">
        <v>75.8</v>
      </c>
      <c r="AE17" s="820">
        <v>49.1</v>
      </c>
      <c r="AF17" s="821">
        <v>52.4</v>
      </c>
      <c r="AG17" s="822">
        <f>AF17/AD17*100</f>
        <v>69.129287598944586</v>
      </c>
      <c r="AH17" s="820">
        <v>81.7</v>
      </c>
      <c r="AI17" s="820">
        <v>59.1</v>
      </c>
      <c r="AJ17" s="821">
        <v>80.8</v>
      </c>
      <c r="AK17" s="822">
        <f>AJ17/AH17*100</f>
        <v>98.898408812729485</v>
      </c>
      <c r="AL17" s="820">
        <v>82.3</v>
      </c>
      <c r="AM17" s="820">
        <v>81.400000000000006</v>
      </c>
      <c r="AN17" s="821">
        <v>79.2</v>
      </c>
      <c r="AO17" s="822">
        <f>AN17/AL17*100</f>
        <v>96.233292831105715</v>
      </c>
      <c r="AP17" s="820">
        <v>73.400000000000006</v>
      </c>
      <c r="AQ17" s="820">
        <v>70.3</v>
      </c>
      <c r="AR17" s="821">
        <v>82</v>
      </c>
      <c r="AS17" s="822">
        <f>AR17/AP17*100</f>
        <v>111.71662125340598</v>
      </c>
    </row>
    <row r="18" spans="1:45" ht="15.6" x14ac:dyDescent="0.3">
      <c r="A18" s="790"/>
      <c r="B18" s="824"/>
      <c r="C18" s="825"/>
      <c r="D18" s="826"/>
      <c r="E18" s="827"/>
      <c r="F18" s="824"/>
      <c r="G18" s="825"/>
      <c r="H18" s="826"/>
      <c r="I18" s="827"/>
      <c r="J18" s="828"/>
      <c r="K18" s="826"/>
      <c r="L18" s="826"/>
      <c r="M18" s="829"/>
      <c r="N18" s="825"/>
      <c r="O18" s="825"/>
      <c r="P18" s="826"/>
      <c r="Q18" s="827"/>
      <c r="R18" s="824"/>
      <c r="S18" s="825"/>
      <c r="T18" s="826"/>
      <c r="U18" s="829"/>
      <c r="V18" s="825"/>
      <c r="W18" s="825"/>
      <c r="X18" s="826"/>
      <c r="Y18" s="830"/>
      <c r="Z18" s="831"/>
      <c r="AA18" s="831"/>
      <c r="AB18" s="832"/>
      <c r="AC18" s="833"/>
      <c r="AD18" s="834"/>
      <c r="AE18" s="831"/>
      <c r="AF18" s="832"/>
      <c r="AG18" s="833"/>
      <c r="AH18" s="831"/>
      <c r="AI18" s="831"/>
      <c r="AJ18" s="832"/>
      <c r="AK18" s="833"/>
      <c r="AL18" s="831"/>
      <c r="AM18" s="831"/>
      <c r="AN18" s="832"/>
      <c r="AO18" s="833"/>
      <c r="AP18" s="831"/>
      <c r="AQ18" s="831"/>
      <c r="AR18" s="832"/>
      <c r="AS18" s="833"/>
    </row>
    <row r="19" spans="1:45" ht="15.6" x14ac:dyDescent="0.3">
      <c r="A19" s="790" t="s">
        <v>481</v>
      </c>
      <c r="B19" s="835">
        <v>0</v>
      </c>
      <c r="C19" s="836">
        <v>0</v>
      </c>
      <c r="D19" s="837">
        <v>0</v>
      </c>
      <c r="E19" s="838">
        <v>0</v>
      </c>
      <c r="F19" s="835">
        <v>0</v>
      </c>
      <c r="G19" s="836">
        <v>0</v>
      </c>
      <c r="H19" s="837">
        <v>0</v>
      </c>
      <c r="I19" s="838">
        <v>0</v>
      </c>
      <c r="J19" s="839">
        <v>0.9</v>
      </c>
      <c r="K19" s="837">
        <v>0.9</v>
      </c>
      <c r="L19" s="837">
        <v>0.2</v>
      </c>
      <c r="M19" s="840">
        <f>L19/J19*100</f>
        <v>22.222222222222225</v>
      </c>
      <c r="N19" s="836">
        <v>1.3</v>
      </c>
      <c r="O19" s="836">
        <v>1.2</v>
      </c>
      <c r="P19" s="837">
        <v>0.6</v>
      </c>
      <c r="Q19" s="838">
        <f>P19/N19*100</f>
        <v>46.153846153846153</v>
      </c>
      <c r="R19" s="835">
        <v>1.5</v>
      </c>
      <c r="S19" s="836">
        <v>1</v>
      </c>
      <c r="T19" s="837">
        <v>0.8</v>
      </c>
      <c r="U19" s="840">
        <f>T19/R19*100</f>
        <v>53.333333333333336</v>
      </c>
      <c r="V19" s="836">
        <v>2.1</v>
      </c>
      <c r="W19" s="836">
        <v>1.5</v>
      </c>
      <c r="X19" s="837">
        <v>1.3</v>
      </c>
      <c r="Y19" s="841">
        <f>X19/V19*100</f>
        <v>61.904761904761905</v>
      </c>
      <c r="Z19" s="842">
        <v>1.5</v>
      </c>
      <c r="AA19" s="842">
        <v>1.5</v>
      </c>
      <c r="AB19" s="843">
        <v>0</v>
      </c>
      <c r="AC19" s="844">
        <f>AB19/Z19*100</f>
        <v>0</v>
      </c>
      <c r="AD19" s="845">
        <v>1.5</v>
      </c>
      <c r="AE19" s="842">
        <v>1.5</v>
      </c>
      <c r="AF19" s="843">
        <v>0.1</v>
      </c>
      <c r="AG19" s="844">
        <f>AF19/AD19*100</f>
        <v>6.666666666666667</v>
      </c>
      <c r="AH19" s="842" t="s">
        <v>3</v>
      </c>
      <c r="AI19" s="842"/>
      <c r="AJ19" s="843"/>
      <c r="AK19" s="844"/>
      <c r="AL19" s="842"/>
      <c r="AM19" s="842"/>
      <c r="AN19" s="843"/>
      <c r="AO19" s="844"/>
      <c r="AP19" s="842"/>
      <c r="AQ19" s="842"/>
      <c r="AR19" s="843"/>
      <c r="AS19" s="844"/>
    </row>
    <row r="20" spans="1:45" ht="15.6" x14ac:dyDescent="0.3">
      <c r="A20" s="790"/>
      <c r="B20" s="846"/>
      <c r="C20" s="847"/>
      <c r="D20" s="848"/>
      <c r="E20" s="849"/>
      <c r="F20" s="846"/>
      <c r="G20" s="847"/>
      <c r="H20" s="848"/>
      <c r="I20" s="849"/>
      <c r="J20" s="850"/>
      <c r="K20" s="848"/>
      <c r="L20" s="848"/>
      <c r="M20" s="851"/>
      <c r="N20" s="847"/>
      <c r="O20" s="847"/>
      <c r="P20" s="848"/>
      <c r="Q20" s="849"/>
      <c r="R20" s="846"/>
      <c r="S20" s="847"/>
      <c r="T20" s="848"/>
      <c r="U20" s="851"/>
      <c r="V20" s="847"/>
      <c r="W20" s="847"/>
      <c r="X20" s="848"/>
      <c r="Y20" s="852"/>
      <c r="Z20" s="853"/>
      <c r="AA20" s="853"/>
      <c r="AB20" s="854"/>
      <c r="AC20" s="855"/>
      <c r="AD20" s="856"/>
      <c r="AE20" s="853"/>
      <c r="AF20" s="854"/>
      <c r="AG20" s="855"/>
      <c r="AH20" s="853"/>
      <c r="AI20" s="853"/>
      <c r="AJ20" s="854"/>
      <c r="AK20" s="855"/>
      <c r="AL20" s="853"/>
      <c r="AM20" s="853"/>
      <c r="AN20" s="854"/>
      <c r="AO20" s="855"/>
      <c r="AP20" s="853"/>
      <c r="AQ20" s="853"/>
      <c r="AR20" s="854"/>
      <c r="AS20" s="855"/>
    </row>
    <row r="21" spans="1:45" ht="15.6" x14ac:dyDescent="0.3">
      <c r="A21" s="857" t="s">
        <v>324</v>
      </c>
      <c r="B21" s="858">
        <f>SUM(B9:B19)</f>
        <v>123.7</v>
      </c>
      <c r="C21" s="858">
        <f>SUM(C9:C19)</f>
        <v>115.8</v>
      </c>
      <c r="D21" s="859">
        <f>SUM(D9:D19)</f>
        <v>104.1</v>
      </c>
      <c r="E21" s="860">
        <f>D21/B21*100</f>
        <v>84.155214227970887</v>
      </c>
      <c r="F21" s="858">
        <f>SUM(F9:F19)</f>
        <v>131.40999999999997</v>
      </c>
      <c r="G21" s="858">
        <f>SUM(G9:G19)</f>
        <v>112.30000000000001</v>
      </c>
      <c r="H21" s="859">
        <f>SUM(H9:H19)</f>
        <v>88.6</v>
      </c>
      <c r="I21" s="860">
        <f>H21/F21*100</f>
        <v>67.422570580625546</v>
      </c>
      <c r="J21" s="861">
        <f>SUM(J9:J19)</f>
        <v>111.8</v>
      </c>
      <c r="K21" s="861">
        <f>SUM(K9:K19)</f>
        <v>93.1</v>
      </c>
      <c r="L21" s="859">
        <f>SUM(L9:L19)</f>
        <v>87</v>
      </c>
      <c r="M21" s="862">
        <f>L21/J21*100</f>
        <v>77.817531305903401</v>
      </c>
      <c r="N21" s="863">
        <f>SUM(N9:N19)</f>
        <v>104.10000000000001</v>
      </c>
      <c r="O21" s="863">
        <f>SUM(O9:O19)</f>
        <v>93.100000000000009</v>
      </c>
      <c r="P21" s="859">
        <f>SUM(P9:P19)</f>
        <v>64</v>
      </c>
      <c r="Q21" s="860">
        <f>P21/N21*100</f>
        <v>61.479346781940436</v>
      </c>
      <c r="R21" s="858">
        <f>SUM(R9:R19)</f>
        <v>123.99999999999999</v>
      </c>
      <c r="S21" s="858">
        <f>SUM(S9:S19)</f>
        <v>109.6</v>
      </c>
      <c r="T21" s="859">
        <f>SUM(T9:T19)</f>
        <v>75.099999999999994</v>
      </c>
      <c r="U21" s="862">
        <f>T21/R21*100</f>
        <v>60.564516129032263</v>
      </c>
      <c r="V21" s="863">
        <f>SUM(V9:V19)</f>
        <v>125.2</v>
      </c>
      <c r="W21" s="858">
        <f>SUM(W9:W19)</f>
        <v>104</v>
      </c>
      <c r="X21" s="859">
        <f>SUM(X9:X19)</f>
        <v>78.2</v>
      </c>
      <c r="Y21" s="864">
        <f>X21/V21*100</f>
        <v>62.460063897763575</v>
      </c>
      <c r="Z21" s="865">
        <f>SUM(Z9:Z19)</f>
        <v>152.90000000000003</v>
      </c>
      <c r="AA21" s="858">
        <f>SUM(AA9:AA19)</f>
        <v>103</v>
      </c>
      <c r="AB21" s="866">
        <f>SUM(AB9:AB19)</f>
        <v>94.2</v>
      </c>
      <c r="AC21" s="867">
        <f>AB21/Z21*100</f>
        <v>61.608894702419867</v>
      </c>
      <c r="AD21" s="868">
        <f>SUM(AD9:AD19)</f>
        <v>163.09999999999997</v>
      </c>
      <c r="AE21" s="868">
        <f>SUM(AE9:AE19)</f>
        <v>107.7</v>
      </c>
      <c r="AF21" s="866">
        <f>SUM(AF9:AF19)</f>
        <v>112.6</v>
      </c>
      <c r="AG21" s="867">
        <f>AF21/AD21*100</f>
        <v>69.037400367872479</v>
      </c>
      <c r="AH21" s="865">
        <f>SUM(AH9:AH19)</f>
        <v>154.80000000000001</v>
      </c>
      <c r="AI21" s="865">
        <f>SUM(AI9:AI19)</f>
        <v>112</v>
      </c>
      <c r="AJ21" s="866">
        <f>SUM(AJ9:AJ19)</f>
        <v>137.5</v>
      </c>
      <c r="AK21" s="867">
        <f>AJ21/AH21*100</f>
        <v>88.824289405684752</v>
      </c>
      <c r="AL21" s="865">
        <f>SUM(AL9:AL19)</f>
        <v>159.89999999999998</v>
      </c>
      <c r="AM21" s="865">
        <f>SUM(AM9:AM19)</f>
        <v>143.38</v>
      </c>
      <c r="AN21" s="866">
        <f>SUM(AN9:AN19)</f>
        <v>140.10000000000002</v>
      </c>
      <c r="AO21" s="867">
        <f>AN21/AL21*100</f>
        <v>87.617260787992521</v>
      </c>
      <c r="AP21" s="865">
        <f>SUM(AP9:AP19)</f>
        <v>154.69999999999999</v>
      </c>
      <c r="AQ21" s="865">
        <f>SUM(AQ9:AQ19)</f>
        <v>135.89999999999998</v>
      </c>
      <c r="AR21" s="866">
        <f>SUM(AR9:AR19)</f>
        <v>158.69999999999999</v>
      </c>
      <c r="AS21" s="867">
        <f>AR21/AP21*100</f>
        <v>102.58564964447316</v>
      </c>
    </row>
    <row r="23" spans="1:45" ht="15.6" x14ac:dyDescent="0.3">
      <c r="Z23" s="7"/>
      <c r="AA23" s="7"/>
    </row>
    <row r="24" spans="1:45" ht="15.75" customHeight="1" x14ac:dyDescent="0.25"/>
    <row r="25" spans="1:45" x14ac:dyDescent="0.25">
      <c r="A25" s="197"/>
      <c r="B25" s="197"/>
      <c r="C25" s="197"/>
      <c r="D25" s="197"/>
      <c r="E25" s="197"/>
      <c r="N25" s="197"/>
      <c r="O25" s="197"/>
      <c r="P25" s="197"/>
      <c r="Q25" s="869"/>
      <c r="R25" s="765"/>
      <c r="S25" s="765"/>
      <c r="T25" s="197"/>
      <c r="U25" s="869"/>
      <c r="V25" s="197"/>
      <c r="W25" s="197"/>
      <c r="X25" s="197"/>
      <c r="Y25" s="869"/>
      <c r="Z25" s="197"/>
      <c r="AA25" s="197"/>
      <c r="AB25" s="197"/>
      <c r="AC25" s="869"/>
      <c r="AD25" s="197"/>
      <c r="AE25" s="197"/>
      <c r="AF25" s="197"/>
      <c r="AG25" s="869"/>
    </row>
    <row r="26" spans="1:45" x14ac:dyDescent="0.25">
      <c r="A26" s="2"/>
      <c r="B26" s="2"/>
      <c r="C26" s="2"/>
      <c r="D26" s="2"/>
      <c r="E26" s="2"/>
      <c r="I26" s="765"/>
      <c r="M26" s="765"/>
      <c r="Q26" s="869"/>
      <c r="U26" s="869"/>
      <c r="Y26" s="869"/>
      <c r="AC26" s="869"/>
      <c r="AG26" s="869"/>
    </row>
    <row r="28" spans="1:45" ht="15.6" x14ac:dyDescent="0.3">
      <c r="A28" s="6" t="s">
        <v>482</v>
      </c>
      <c r="B28" s="6"/>
      <c r="C28" s="6"/>
      <c r="D28" s="6"/>
      <c r="E28" s="6"/>
      <c r="AH28" s="7" t="s">
        <v>474</v>
      </c>
      <c r="AI28" s="7"/>
    </row>
    <row r="31" spans="1:45" ht="15.6" x14ac:dyDescent="0.3">
      <c r="A31" s="771"/>
      <c r="B31" s="772"/>
      <c r="C31" s="772"/>
      <c r="D31" s="773">
        <v>2009</v>
      </c>
      <c r="E31" s="774"/>
      <c r="F31" s="772"/>
      <c r="G31" s="772"/>
      <c r="H31" s="773">
        <v>2010</v>
      </c>
      <c r="I31" s="773"/>
      <c r="J31" s="775"/>
      <c r="K31" s="773"/>
      <c r="L31" s="773">
        <v>2011</v>
      </c>
      <c r="M31" s="774"/>
      <c r="N31" s="773"/>
      <c r="O31" s="773"/>
      <c r="P31" s="773">
        <v>2012</v>
      </c>
      <c r="Q31" s="776"/>
      <c r="R31" s="775"/>
      <c r="S31" s="773"/>
      <c r="T31" s="773">
        <v>2013</v>
      </c>
      <c r="U31" s="776"/>
      <c r="V31" s="775"/>
      <c r="W31" s="773"/>
      <c r="X31" s="773">
        <v>2014</v>
      </c>
      <c r="Y31" s="777"/>
      <c r="Z31" s="773"/>
      <c r="AA31" s="773"/>
      <c r="AB31" s="773">
        <v>2015</v>
      </c>
      <c r="AC31" s="777"/>
      <c r="AD31" s="775"/>
      <c r="AE31" s="773"/>
      <c r="AF31" s="773">
        <v>2016</v>
      </c>
      <c r="AG31" s="772"/>
      <c r="AH31" s="775"/>
      <c r="AI31" s="773"/>
      <c r="AJ31" s="773">
        <v>2017</v>
      </c>
      <c r="AK31" s="777"/>
      <c r="AL31" s="773"/>
      <c r="AM31" s="773"/>
      <c r="AN31" s="773">
        <v>2018</v>
      </c>
      <c r="AO31" s="777"/>
      <c r="AP31" s="773"/>
      <c r="AQ31" s="773"/>
      <c r="AR31" s="773">
        <v>2019</v>
      </c>
      <c r="AS31" s="777"/>
    </row>
    <row r="32" spans="1:45" x14ac:dyDescent="0.25">
      <c r="A32" s="778"/>
      <c r="B32" s="779" t="s">
        <v>475</v>
      </c>
      <c r="C32" s="780" t="s">
        <v>8</v>
      </c>
      <c r="D32" s="781" t="s">
        <v>7</v>
      </c>
      <c r="E32" s="782" t="s">
        <v>476</v>
      </c>
      <c r="F32" s="779" t="s">
        <v>475</v>
      </c>
      <c r="G32" s="780" t="s">
        <v>8</v>
      </c>
      <c r="H32" s="781" t="s">
        <v>7</v>
      </c>
      <c r="I32" s="782" t="s">
        <v>476</v>
      </c>
      <c r="J32" s="783" t="s">
        <v>475</v>
      </c>
      <c r="K32" s="781" t="s">
        <v>8</v>
      </c>
      <c r="L32" s="781" t="s">
        <v>7</v>
      </c>
      <c r="M32" s="784" t="s">
        <v>476</v>
      </c>
      <c r="N32" s="780" t="s">
        <v>475</v>
      </c>
      <c r="O32" s="780" t="s">
        <v>8</v>
      </c>
      <c r="P32" s="781" t="s">
        <v>7</v>
      </c>
      <c r="Q32" s="782" t="s">
        <v>476</v>
      </c>
      <c r="R32" s="779" t="s">
        <v>475</v>
      </c>
      <c r="S32" s="780" t="s">
        <v>8</v>
      </c>
      <c r="T32" s="781" t="s">
        <v>7</v>
      </c>
      <c r="U32" s="782" t="s">
        <v>476</v>
      </c>
      <c r="V32" s="779" t="s">
        <v>475</v>
      </c>
      <c r="W32" s="780" t="s">
        <v>8</v>
      </c>
      <c r="X32" s="781" t="s">
        <v>7</v>
      </c>
      <c r="Y32" s="785" t="s">
        <v>476</v>
      </c>
      <c r="Z32" s="786" t="s">
        <v>475</v>
      </c>
      <c r="AA32" s="786" t="s">
        <v>8</v>
      </c>
      <c r="AB32" s="787" t="s">
        <v>7</v>
      </c>
      <c r="AC32" s="788" t="s">
        <v>476</v>
      </c>
      <c r="AD32" s="789" t="s">
        <v>475</v>
      </c>
      <c r="AE32" s="786" t="s">
        <v>8</v>
      </c>
      <c r="AF32" s="787" t="s">
        <v>7</v>
      </c>
      <c r="AG32" s="870" t="s">
        <v>476</v>
      </c>
      <c r="AH32" s="789" t="s">
        <v>475</v>
      </c>
      <c r="AI32" s="786" t="s">
        <v>8</v>
      </c>
      <c r="AJ32" s="787" t="s">
        <v>7</v>
      </c>
      <c r="AK32" s="788" t="s">
        <v>476</v>
      </c>
      <c r="AL32" s="786" t="s">
        <v>475</v>
      </c>
      <c r="AM32" s="786" t="s">
        <v>8</v>
      </c>
      <c r="AN32" s="787" t="s">
        <v>7</v>
      </c>
      <c r="AO32" s="788" t="s">
        <v>476</v>
      </c>
      <c r="AP32" s="786" t="s">
        <v>475</v>
      </c>
      <c r="AQ32" s="786" t="s">
        <v>8</v>
      </c>
      <c r="AR32" s="787" t="s">
        <v>7</v>
      </c>
      <c r="AS32" s="788" t="s">
        <v>476</v>
      </c>
    </row>
    <row r="33" spans="1:45" ht="15.6" x14ac:dyDescent="0.3">
      <c r="A33" s="790" t="s">
        <v>315</v>
      </c>
      <c r="B33" s="791">
        <v>16</v>
      </c>
      <c r="C33" s="792">
        <v>13.5</v>
      </c>
      <c r="D33" s="793">
        <v>15.6</v>
      </c>
      <c r="E33" s="816">
        <f>D33/B33*100</f>
        <v>97.5</v>
      </c>
      <c r="F33" s="791">
        <v>13.1</v>
      </c>
      <c r="G33" s="792">
        <v>12.6</v>
      </c>
      <c r="H33" s="793">
        <v>13.1</v>
      </c>
      <c r="I33" s="816">
        <f>H33/F33*100</f>
        <v>100</v>
      </c>
      <c r="J33" s="795">
        <v>5.0999999999999996</v>
      </c>
      <c r="K33" s="793">
        <v>5.0999999999999996</v>
      </c>
      <c r="L33" s="793">
        <v>4.9000000000000004</v>
      </c>
      <c r="M33" s="819">
        <f>L33/J33*100</f>
        <v>96.078431372549034</v>
      </c>
      <c r="N33" s="792">
        <v>4.5</v>
      </c>
      <c r="O33" s="792">
        <v>4.5</v>
      </c>
      <c r="P33" s="793">
        <v>4.5</v>
      </c>
      <c r="Q33" s="816">
        <f>P33/N33*100</f>
        <v>100</v>
      </c>
      <c r="R33" s="791">
        <v>5.5</v>
      </c>
      <c r="S33" s="792">
        <v>5.5</v>
      </c>
      <c r="T33" s="793">
        <v>5.3</v>
      </c>
      <c r="U33" s="816">
        <f>T33/R33*100</f>
        <v>96.36363636363636</v>
      </c>
      <c r="V33" s="791">
        <v>4.5999999999999996</v>
      </c>
      <c r="W33" s="792">
        <v>4.5999999999999996</v>
      </c>
      <c r="X33" s="793">
        <v>4.5999999999999996</v>
      </c>
      <c r="Y33" s="819">
        <f>X33/V33*100</f>
        <v>100</v>
      </c>
      <c r="Z33" s="798">
        <v>4.9000000000000004</v>
      </c>
      <c r="AA33" s="798">
        <v>4.9000000000000004</v>
      </c>
      <c r="AB33" s="799">
        <v>4.9000000000000004</v>
      </c>
      <c r="AC33" s="816">
        <f>AB33/Z33*100</f>
        <v>100</v>
      </c>
      <c r="AD33" s="801">
        <v>6.7</v>
      </c>
      <c r="AE33" s="798">
        <v>6.7</v>
      </c>
      <c r="AF33" s="799">
        <v>6</v>
      </c>
      <c r="AG33" s="816">
        <f>AF33/AD33*100</f>
        <v>89.552238805970148</v>
      </c>
      <c r="AH33" s="801">
        <v>6.7</v>
      </c>
      <c r="AI33" s="798">
        <v>6</v>
      </c>
      <c r="AJ33" s="799">
        <v>4.9000000000000004</v>
      </c>
      <c r="AK33" s="819">
        <f>AJ33/AH33*100</f>
        <v>73.134328358208961</v>
      </c>
      <c r="AL33" s="798">
        <v>8.9</v>
      </c>
      <c r="AM33" s="798">
        <v>7.1</v>
      </c>
      <c r="AN33" s="799">
        <v>6.5</v>
      </c>
      <c r="AO33" s="819">
        <f>AN33/AL33*100</f>
        <v>73.033707865168537</v>
      </c>
      <c r="AP33" s="798">
        <v>12.3</v>
      </c>
      <c r="AQ33" s="798">
        <v>12.3</v>
      </c>
      <c r="AR33" s="799">
        <v>12</v>
      </c>
      <c r="AS33" s="819">
        <f>AR33/AP33*100</f>
        <v>97.560975609756099</v>
      </c>
    </row>
    <row r="34" spans="1:45" ht="15.6" x14ac:dyDescent="0.3">
      <c r="A34" s="790"/>
      <c r="B34" s="791"/>
      <c r="C34" s="792"/>
      <c r="D34" s="793"/>
      <c r="E34" s="794"/>
      <c r="F34" s="791"/>
      <c r="G34" s="792"/>
      <c r="H34" s="793"/>
      <c r="I34" s="794"/>
      <c r="J34" s="795"/>
      <c r="K34" s="793"/>
      <c r="L34" s="793"/>
      <c r="M34" s="796"/>
      <c r="N34" s="792"/>
      <c r="O34" s="792"/>
      <c r="P34" s="793"/>
      <c r="Q34" s="794"/>
      <c r="R34" s="791"/>
      <c r="S34" s="792"/>
      <c r="T34" s="793"/>
      <c r="U34" s="871"/>
      <c r="V34" s="791"/>
      <c r="W34" s="792"/>
      <c r="X34" s="793"/>
      <c r="Y34" s="797"/>
      <c r="Z34" s="798"/>
      <c r="AA34" s="798"/>
      <c r="AB34" s="799"/>
      <c r="AC34" s="800"/>
      <c r="AD34" s="801"/>
      <c r="AE34" s="798"/>
      <c r="AF34" s="799"/>
      <c r="AG34" s="872"/>
      <c r="AH34" s="801"/>
      <c r="AI34" s="798"/>
      <c r="AJ34" s="799"/>
      <c r="AK34" s="800"/>
      <c r="AL34" s="798"/>
      <c r="AM34" s="798"/>
      <c r="AN34" s="799"/>
      <c r="AO34" s="800"/>
      <c r="AP34" s="798"/>
      <c r="AQ34" s="798"/>
      <c r="AR34" s="799"/>
      <c r="AS34" s="800"/>
    </row>
    <row r="35" spans="1:45" ht="15.6" x14ac:dyDescent="0.3">
      <c r="A35" s="790" t="s">
        <v>483</v>
      </c>
      <c r="B35" s="791"/>
      <c r="C35" s="792"/>
      <c r="D35" s="793"/>
      <c r="E35" s="794"/>
      <c r="F35" s="791"/>
      <c r="G35" s="792"/>
      <c r="H35" s="793"/>
      <c r="I35" s="794"/>
      <c r="J35" s="795"/>
      <c r="K35" s="793"/>
      <c r="L35" s="793"/>
      <c r="M35" s="796"/>
      <c r="N35" s="792"/>
      <c r="O35" s="792"/>
      <c r="P35" s="793"/>
      <c r="Q35" s="794"/>
      <c r="R35" s="791"/>
      <c r="S35" s="792"/>
      <c r="T35" s="793"/>
      <c r="U35" s="871"/>
      <c r="V35" s="791"/>
      <c r="W35" s="792"/>
      <c r="X35" s="793"/>
      <c r="Y35" s="797"/>
      <c r="Z35" s="798"/>
      <c r="AA35" s="798"/>
      <c r="AB35" s="799"/>
      <c r="AC35" s="800"/>
      <c r="AD35" s="801"/>
      <c r="AE35" s="798"/>
      <c r="AF35" s="799"/>
      <c r="AG35" s="872"/>
      <c r="AH35" s="801">
        <v>10.1</v>
      </c>
      <c r="AI35" s="798">
        <v>8.3000000000000007</v>
      </c>
      <c r="AJ35" s="799">
        <v>7.1</v>
      </c>
      <c r="AK35" s="819">
        <f>AJ35/AH35*100</f>
        <v>70.297029702970292</v>
      </c>
      <c r="AL35" s="798">
        <v>10.7</v>
      </c>
      <c r="AM35" s="798">
        <v>7.7</v>
      </c>
      <c r="AN35" s="799">
        <v>9.6999999999999993</v>
      </c>
      <c r="AO35" s="819">
        <f>AN35/AL35*100</f>
        <v>90.654205607476641</v>
      </c>
      <c r="AP35" s="798">
        <v>8.6</v>
      </c>
      <c r="AQ35" s="798">
        <v>6.7</v>
      </c>
      <c r="AR35" s="799">
        <v>11.4</v>
      </c>
      <c r="AS35" s="819">
        <f>AR35/AP35*100</f>
        <v>132.55813953488374</v>
      </c>
    </row>
    <row r="36" spans="1:45" ht="15.6" x14ac:dyDescent="0.3">
      <c r="A36" s="790"/>
      <c r="B36" s="791"/>
      <c r="C36" s="792"/>
      <c r="D36" s="793"/>
      <c r="E36" s="794"/>
      <c r="F36" s="791"/>
      <c r="G36" s="792"/>
      <c r="H36" s="793"/>
      <c r="I36" s="794"/>
      <c r="J36" s="795"/>
      <c r="K36" s="793"/>
      <c r="L36" s="793"/>
      <c r="M36" s="796"/>
      <c r="N36" s="792"/>
      <c r="O36" s="792"/>
      <c r="P36" s="793"/>
      <c r="Q36" s="794"/>
      <c r="R36" s="791"/>
      <c r="S36" s="792"/>
      <c r="T36" s="793"/>
      <c r="U36" s="871"/>
      <c r="V36" s="791"/>
      <c r="W36" s="792"/>
      <c r="X36" s="793"/>
      <c r="Y36" s="797"/>
      <c r="Z36" s="798"/>
      <c r="AA36" s="798"/>
      <c r="AB36" s="799"/>
      <c r="AC36" s="800"/>
      <c r="AD36" s="801"/>
      <c r="AE36" s="798"/>
      <c r="AF36" s="799"/>
      <c r="AG36" s="872"/>
      <c r="AH36" s="801"/>
      <c r="AI36" s="798"/>
      <c r="AJ36" s="799"/>
      <c r="AK36" s="800"/>
      <c r="AL36" s="798"/>
      <c r="AM36" s="798"/>
      <c r="AN36" s="799"/>
      <c r="AO36" s="800"/>
      <c r="AP36" s="798"/>
      <c r="AQ36" s="798"/>
      <c r="AR36" s="799"/>
      <c r="AS36" s="800"/>
    </row>
    <row r="37" spans="1:45" ht="15.6" x14ac:dyDescent="0.3">
      <c r="A37" s="790" t="s">
        <v>484</v>
      </c>
      <c r="B37" s="813">
        <v>9.6</v>
      </c>
      <c r="C37" s="814">
        <v>8.1999999999999993</v>
      </c>
      <c r="D37" s="815">
        <v>4.8</v>
      </c>
      <c r="E37" s="816">
        <f>D37/B37*100</f>
        <v>50</v>
      </c>
      <c r="F37" s="813">
        <v>9.5</v>
      </c>
      <c r="G37" s="814">
        <v>6.4</v>
      </c>
      <c r="H37" s="815">
        <v>5.4</v>
      </c>
      <c r="I37" s="816">
        <f>H37/F37*100</f>
        <v>56.84210526315789</v>
      </c>
      <c r="J37" s="817">
        <v>4.7</v>
      </c>
      <c r="K37" s="815">
        <v>4.0999999999999996</v>
      </c>
      <c r="L37" s="815">
        <v>3.4</v>
      </c>
      <c r="M37" s="819">
        <f>L37/J37*100</f>
        <v>72.340425531914889</v>
      </c>
      <c r="N37" s="814">
        <v>3.2</v>
      </c>
      <c r="O37" s="814">
        <v>2.2000000000000002</v>
      </c>
      <c r="P37" s="815">
        <v>1</v>
      </c>
      <c r="Q37" s="816">
        <f>P37/N37*100</f>
        <v>31.25</v>
      </c>
      <c r="R37" s="813">
        <v>4</v>
      </c>
      <c r="S37" s="814">
        <v>3.7</v>
      </c>
      <c r="T37" s="815">
        <v>1.5</v>
      </c>
      <c r="U37" s="816">
        <f>T37/R37*100</f>
        <v>37.5</v>
      </c>
      <c r="V37" s="813">
        <v>5.2</v>
      </c>
      <c r="W37" s="814">
        <v>3.4</v>
      </c>
      <c r="X37" s="815">
        <v>1.8</v>
      </c>
      <c r="Y37" s="819">
        <f>X37/V37*100</f>
        <v>34.615384615384613</v>
      </c>
      <c r="Z37" s="820">
        <v>9.1</v>
      </c>
      <c r="AA37" s="820">
        <v>5.7</v>
      </c>
      <c r="AB37" s="821">
        <v>6.2</v>
      </c>
      <c r="AC37" s="816">
        <f>AB37/Z37*100</f>
        <v>68.131868131868131</v>
      </c>
      <c r="AD37" s="823">
        <v>5.6</v>
      </c>
      <c r="AE37" s="820">
        <v>2.7</v>
      </c>
      <c r="AF37" s="821">
        <v>3.8</v>
      </c>
      <c r="AG37" s="816">
        <f>AF37/AD37*100</f>
        <v>67.857142857142861</v>
      </c>
      <c r="AH37" s="823" t="s">
        <v>3</v>
      </c>
      <c r="AI37" s="820" t="s">
        <v>3</v>
      </c>
      <c r="AJ37" s="821" t="s">
        <v>3</v>
      </c>
      <c r="AK37" s="822"/>
      <c r="AL37" s="820"/>
      <c r="AM37" s="820"/>
      <c r="AN37" s="821"/>
      <c r="AO37" s="822"/>
      <c r="AP37" s="820"/>
      <c r="AQ37" s="820"/>
      <c r="AR37" s="821"/>
      <c r="AS37" s="822"/>
    </row>
    <row r="38" spans="1:45" ht="15.6" x14ac:dyDescent="0.3">
      <c r="A38" s="790"/>
      <c r="B38" s="824"/>
      <c r="C38" s="825"/>
      <c r="D38" s="826"/>
      <c r="E38" s="827"/>
      <c r="F38" s="824"/>
      <c r="G38" s="825"/>
      <c r="H38" s="826"/>
      <c r="I38" s="827"/>
      <c r="J38" s="828"/>
      <c r="K38" s="826"/>
      <c r="L38" s="826"/>
      <c r="M38" s="829"/>
      <c r="N38" s="825"/>
      <c r="O38" s="825"/>
      <c r="P38" s="826"/>
      <c r="Q38" s="827"/>
      <c r="R38" s="824"/>
      <c r="S38" s="825"/>
      <c r="T38" s="826"/>
      <c r="U38" s="873"/>
      <c r="V38" s="824"/>
      <c r="W38" s="825"/>
      <c r="X38" s="826"/>
      <c r="Y38" s="830"/>
      <c r="Z38" s="831"/>
      <c r="AA38" s="831"/>
      <c r="AB38" s="832"/>
      <c r="AC38" s="833"/>
      <c r="AD38" s="834"/>
      <c r="AE38" s="831"/>
      <c r="AF38" s="832"/>
      <c r="AG38" s="874"/>
      <c r="AH38" s="834"/>
      <c r="AI38" s="831"/>
      <c r="AJ38" s="832"/>
      <c r="AK38" s="833"/>
      <c r="AL38" s="831"/>
      <c r="AM38" s="831"/>
      <c r="AN38" s="832"/>
      <c r="AO38" s="833"/>
      <c r="AP38" s="831"/>
      <c r="AQ38" s="831"/>
      <c r="AR38" s="832"/>
      <c r="AS38" s="833"/>
    </row>
    <row r="39" spans="1:45" ht="15.6" x14ac:dyDescent="0.3">
      <c r="A39" s="790" t="s">
        <v>317</v>
      </c>
      <c r="B39" s="824"/>
      <c r="C39" s="825"/>
      <c r="D39" s="826"/>
      <c r="E39" s="827"/>
      <c r="F39" s="824"/>
      <c r="G39" s="825"/>
      <c r="H39" s="826"/>
      <c r="I39" s="827"/>
      <c r="J39" s="828"/>
      <c r="K39" s="826"/>
      <c r="L39" s="826"/>
      <c r="M39" s="829"/>
      <c r="N39" s="825"/>
      <c r="O39" s="825"/>
      <c r="P39" s="826"/>
      <c r="Q39" s="827"/>
      <c r="R39" s="824"/>
      <c r="S39" s="825"/>
      <c r="T39" s="826"/>
      <c r="U39" s="873"/>
      <c r="V39" s="824"/>
      <c r="W39" s="825"/>
      <c r="X39" s="826"/>
      <c r="Y39" s="830"/>
      <c r="Z39" s="831"/>
      <c r="AA39" s="831"/>
      <c r="AB39" s="832"/>
      <c r="AC39" s="833"/>
      <c r="AD39" s="834"/>
      <c r="AE39" s="831"/>
      <c r="AF39" s="832"/>
      <c r="AG39" s="874"/>
      <c r="AH39" s="834">
        <v>4.3</v>
      </c>
      <c r="AI39" s="831">
        <v>2.6</v>
      </c>
      <c r="AJ39" s="832">
        <v>3.8</v>
      </c>
      <c r="AK39" s="819">
        <f>AJ39/AH39*100</f>
        <v>88.372093023255815</v>
      </c>
      <c r="AL39" s="831">
        <v>5.6</v>
      </c>
      <c r="AM39" s="831">
        <v>5.0999999999999996</v>
      </c>
      <c r="AN39" s="832">
        <v>7</v>
      </c>
      <c r="AO39" s="819">
        <f>AN39/AL39*100</f>
        <v>125</v>
      </c>
      <c r="AP39" s="831">
        <v>8.1</v>
      </c>
      <c r="AQ39" s="831">
        <v>8.1</v>
      </c>
      <c r="AR39" s="832">
        <v>11.5</v>
      </c>
      <c r="AS39" s="819">
        <f>AR39/AP39*100</f>
        <v>141.97530864197532</v>
      </c>
    </row>
    <row r="40" spans="1:45" ht="15.6" x14ac:dyDescent="0.3">
      <c r="A40" s="790"/>
      <c r="B40" s="824"/>
      <c r="C40" s="825"/>
      <c r="D40" s="826"/>
      <c r="E40" s="827"/>
      <c r="F40" s="824"/>
      <c r="G40" s="825"/>
      <c r="H40" s="826"/>
      <c r="I40" s="827"/>
      <c r="J40" s="828"/>
      <c r="K40" s="826"/>
      <c r="L40" s="826"/>
      <c r="M40" s="829"/>
      <c r="N40" s="825"/>
      <c r="O40" s="825"/>
      <c r="P40" s="826"/>
      <c r="Q40" s="827"/>
      <c r="R40" s="824"/>
      <c r="S40" s="825"/>
      <c r="T40" s="826"/>
      <c r="U40" s="873"/>
      <c r="V40" s="824"/>
      <c r="W40" s="825"/>
      <c r="X40" s="826"/>
      <c r="Y40" s="830"/>
      <c r="Z40" s="831"/>
      <c r="AA40" s="831"/>
      <c r="AB40" s="832"/>
      <c r="AC40" s="833"/>
      <c r="AD40" s="834"/>
      <c r="AE40" s="831"/>
      <c r="AF40" s="832" t="s">
        <v>3</v>
      </c>
      <c r="AG40" s="874"/>
      <c r="AH40" s="834"/>
      <c r="AI40" s="831"/>
      <c r="AJ40" s="832"/>
      <c r="AK40" s="833"/>
      <c r="AL40" s="831"/>
      <c r="AM40" s="831"/>
      <c r="AN40" s="832"/>
      <c r="AO40" s="833"/>
      <c r="AP40" s="831"/>
      <c r="AQ40" s="831"/>
      <c r="AR40" s="832"/>
      <c r="AS40" s="833"/>
    </row>
    <row r="41" spans="1:45" ht="15.6" x14ac:dyDescent="0.3">
      <c r="A41" s="857" t="s">
        <v>324</v>
      </c>
      <c r="B41" s="858">
        <f>SUM(B33:B40)</f>
        <v>25.6</v>
      </c>
      <c r="C41" s="858">
        <f>SUM(C33:C40)</f>
        <v>21.7</v>
      </c>
      <c r="D41" s="859">
        <f>SUM(D33:D40)</f>
        <v>20.399999999999999</v>
      </c>
      <c r="E41" s="860">
        <f>D41/B41*100</f>
        <v>79.687499999999986</v>
      </c>
      <c r="F41" s="858">
        <f>SUM(F33:F40)</f>
        <v>22.6</v>
      </c>
      <c r="G41" s="858">
        <f>SUM(G33:G40)</f>
        <v>19</v>
      </c>
      <c r="H41" s="859">
        <f>SUM(H33:H40)</f>
        <v>18.5</v>
      </c>
      <c r="I41" s="860">
        <f>H41/F41*100</f>
        <v>81.858407079646014</v>
      </c>
      <c r="J41" s="861">
        <f>SUM(J33:J40)</f>
        <v>9.8000000000000007</v>
      </c>
      <c r="K41" s="861">
        <f>SUM(K33:K40)</f>
        <v>9.1999999999999993</v>
      </c>
      <c r="L41" s="859">
        <f>SUM(L33:L40)</f>
        <v>8.3000000000000007</v>
      </c>
      <c r="M41" s="862">
        <f>L41/J41*100</f>
        <v>84.693877551020407</v>
      </c>
      <c r="N41" s="863">
        <f>SUM(N33:N40)</f>
        <v>7.7</v>
      </c>
      <c r="O41" s="863">
        <f>SUM(O33:O40)</f>
        <v>6.7</v>
      </c>
      <c r="P41" s="859">
        <f>SUM(P33:P40)</f>
        <v>5.5</v>
      </c>
      <c r="Q41" s="860">
        <f>P41/N41*100</f>
        <v>71.428571428571431</v>
      </c>
      <c r="R41" s="858">
        <f>SUM(R33:R40)</f>
        <v>9.5</v>
      </c>
      <c r="S41" s="858">
        <f>SUM(S33:S40)</f>
        <v>9.1999999999999993</v>
      </c>
      <c r="T41" s="859">
        <f>SUM(T33:T40)</f>
        <v>6.8</v>
      </c>
      <c r="U41" s="875">
        <f>T41/R41*100</f>
        <v>71.578947368421055</v>
      </c>
      <c r="V41" s="858">
        <f>SUM(V33:V40)</f>
        <v>9.8000000000000007</v>
      </c>
      <c r="W41" s="858">
        <f>SUM(W33:W40)</f>
        <v>8</v>
      </c>
      <c r="X41" s="859">
        <f>SUM(X33:X40)</f>
        <v>6.3999999999999995</v>
      </c>
      <c r="Y41" s="864">
        <f>X41/V41*100</f>
        <v>65.306122448979593</v>
      </c>
      <c r="Z41" s="865">
        <f>SUM(Z33:Z40)</f>
        <v>14</v>
      </c>
      <c r="AA41" s="858">
        <f>SUM(AA33:AA40)</f>
        <v>10.600000000000001</v>
      </c>
      <c r="AB41" s="866">
        <f>SUM(AB33:AB40)</f>
        <v>11.100000000000001</v>
      </c>
      <c r="AC41" s="867">
        <f>AB41/Z41*100</f>
        <v>79.285714285714292</v>
      </c>
      <c r="AD41" s="868">
        <f>SUM(AD33:AD40)</f>
        <v>12.3</v>
      </c>
      <c r="AE41" s="868">
        <f>SUM(AE33:AE40)</f>
        <v>9.4</v>
      </c>
      <c r="AF41" s="866">
        <f>SUM(AF33:AF40)</f>
        <v>9.8000000000000007</v>
      </c>
      <c r="AG41" s="876">
        <f>AF41/AD41*100</f>
        <v>79.674796747967477</v>
      </c>
      <c r="AH41" s="868">
        <f>SUM(AH33:AH40)</f>
        <v>21.1</v>
      </c>
      <c r="AI41" s="865">
        <f>SUM(AI33:AI40)</f>
        <v>16.900000000000002</v>
      </c>
      <c r="AJ41" s="866">
        <f>SUM(AJ33:AJ40)</f>
        <v>15.8</v>
      </c>
      <c r="AK41" s="867">
        <f>AJ41/AH41*100</f>
        <v>74.881516587677723</v>
      </c>
      <c r="AL41" s="865">
        <f>SUM(AL33:AL40)</f>
        <v>25.200000000000003</v>
      </c>
      <c r="AM41" s="865">
        <f>SUM(AM33:AM40)</f>
        <v>19.899999999999999</v>
      </c>
      <c r="AN41" s="866">
        <f>SUM(AN33:AN40)</f>
        <v>23.2</v>
      </c>
      <c r="AO41" s="867">
        <f>AN41/AL41*100</f>
        <v>92.063492063492049</v>
      </c>
      <c r="AP41" s="865">
        <f>SUM(AP33:AP40)</f>
        <v>29</v>
      </c>
      <c r="AQ41" s="865">
        <f>SUM(AQ33:AQ40)</f>
        <v>27.1</v>
      </c>
      <c r="AR41" s="866">
        <f>SUM(AR33:AR40)</f>
        <v>34.9</v>
      </c>
      <c r="AS41" s="867">
        <f>AR41/AP41*100</f>
        <v>120.34482758620688</v>
      </c>
    </row>
  </sheetData>
  <conditionalFormatting sqref="F8:Y2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8:Y21">
    <cfRule type="colorScale" priority="3">
      <colorScale>
        <cfvo type="min"/>
        <cfvo type="max"/>
        <color rgb="FFFCFCFF"/>
        <color rgb="FFF8696B"/>
      </colorScale>
    </cfRule>
  </conditionalFormatting>
  <conditionalFormatting sqref="Z8:AC20 Z21 AB21:AC21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8:AC20 Z21 AB21:AC21">
    <cfRule type="colorScale" priority="5">
      <colorScale>
        <cfvo type="min"/>
        <cfvo type="max"/>
        <color rgb="FFFCFCFF"/>
        <color rgb="FFF8696B"/>
      </colorScale>
    </cfRule>
  </conditionalFormatting>
  <conditionalFormatting sqref="AD8:AG21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D8:AG21">
    <cfRule type="colorScale" priority="7">
      <colorScale>
        <cfvo type="min"/>
        <cfvo type="max"/>
        <color rgb="FFFCFCFF"/>
        <color rgb="FFF8696B"/>
      </colorScale>
    </cfRule>
  </conditionalFormatting>
  <conditionalFormatting sqref="AH8:AK21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8:AK21">
    <cfRule type="colorScale" priority="9">
      <colorScale>
        <cfvo type="min"/>
        <cfvo type="max"/>
        <color rgb="FFFCFCFF"/>
        <color rgb="FFF8696B"/>
      </colorScale>
    </cfRule>
  </conditionalFormatting>
  <conditionalFormatting sqref="AL8:AO21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8:AO21">
    <cfRule type="colorScale" priority="11">
      <colorScale>
        <cfvo type="min"/>
        <cfvo type="max"/>
        <color rgb="FFFCFCFF"/>
        <color rgb="FFF8696B"/>
      </colorScale>
    </cfRule>
  </conditionalFormatting>
  <conditionalFormatting sqref="AA21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21">
    <cfRule type="colorScale" priority="13">
      <colorScale>
        <cfvo type="min"/>
        <cfvo type="max"/>
        <color rgb="FFFCFCFF"/>
        <color rgb="FFF8696B"/>
      </colorScale>
    </cfRule>
  </conditionalFormatting>
  <conditionalFormatting sqref="Z32:AC32 Z41 AB41:AC41 Z34:AC36 Z33:AB33 Z38:AC40 Z37:AB37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32:AC32 Z41 AB41:AC41 Z34:AC36 Z33:AB33 Z38:AC40 Z37:AB37">
    <cfRule type="colorScale" priority="15">
      <colorScale>
        <cfvo type="min"/>
        <cfvo type="max"/>
        <color rgb="FFFCFCFF"/>
        <color rgb="FFF8696B"/>
      </colorScale>
    </cfRule>
  </conditionalFormatting>
  <conditionalFormatting sqref="AA41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41">
    <cfRule type="colorScale" priority="17">
      <colorScale>
        <cfvo type="min"/>
        <cfvo type="max"/>
        <color rgb="FFFCFCFF"/>
        <color rgb="FFF8696B"/>
      </colorScale>
    </cfRule>
  </conditionalFormatting>
  <conditionalFormatting sqref="F32:Y41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2:Y41">
    <cfRule type="colorScale" priority="19">
      <colorScale>
        <cfvo type="min"/>
        <cfvo type="max"/>
        <color rgb="FFFCFCFF"/>
        <color rgb="FFF8696B"/>
      </colorScale>
    </cfRule>
  </conditionalFormatting>
  <conditionalFormatting sqref="AD32:AG32 AD34:AG36 AD33:AF33 AD38:AG41 AD37:AF37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D32:AG32 AD34:AG36 AD33:AF33 AD38:AG41 AD37:AF37">
    <cfRule type="colorScale" priority="21">
      <colorScale>
        <cfvo type="min"/>
        <cfvo type="max"/>
        <color rgb="FFFCFCFF"/>
        <color rgb="FFF8696B"/>
      </colorScale>
    </cfRule>
  </conditionalFormatting>
  <conditionalFormatting sqref="AH32:AK32 AH34:AK34 AH33:AJ33 AH36:AK38 AH35:AJ35 AH40:AK41 AH39:AJ39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32:AK32 AH34:AK34 AH33:AJ33 AH36:AK38 AH35:AJ35 AH40:AK41 AH39:AJ39">
    <cfRule type="colorScale" priority="23">
      <colorScale>
        <cfvo type="min"/>
        <cfvo type="max"/>
        <color rgb="FFFCFCFF"/>
        <color rgb="FFF8696B"/>
      </colorScale>
    </cfRule>
  </conditionalFormatting>
  <conditionalFormatting sqref="AL32:AO32 AL34:AO34 AL33:AN33 AL36:AO38 AL35:AN35 AL39:AN39 AL40:AO41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32:AO32 AL34:AO34 AL33:AN33 AL36:AO38 AL35:AN35 AL39:AN39 AL40:AO41">
    <cfRule type="colorScale" priority="25">
      <colorScale>
        <cfvo type="min"/>
        <cfvo type="max"/>
        <color rgb="FFFCFCFF"/>
        <color rgb="FFF8696B"/>
      </colorScale>
    </cfRule>
  </conditionalFormatting>
  <conditionalFormatting sqref="AC33 AO33 AK39 AK35 AK33 AG37 AG33 AC37 AO35 AO39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33 AO33 AK39 AK35 AK33 AG37 AG33 AC37 AO35 AO39">
    <cfRule type="colorScale" priority="27">
      <colorScale>
        <cfvo type="min"/>
        <cfvo type="max"/>
        <color rgb="FFFCFCFF"/>
        <color rgb="FFF8696B"/>
      </colorScale>
    </cfRule>
  </conditionalFormatting>
  <conditionalFormatting sqref="B32:E41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2:E41">
    <cfRule type="colorScale" priority="29">
      <colorScale>
        <cfvo type="min"/>
        <cfvo type="max"/>
        <color rgb="FFFCFCFF"/>
        <color rgb="FFF8696B"/>
      </colorScale>
    </cfRule>
  </conditionalFormatting>
  <conditionalFormatting sqref="B8:E21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8:E21">
    <cfRule type="colorScale" priority="31">
      <colorScale>
        <cfvo type="min"/>
        <cfvo type="max"/>
        <color rgb="FFFCFCFF"/>
        <color rgb="FFF8696B"/>
      </colorScale>
    </cfRule>
  </conditionalFormatting>
  <conditionalFormatting sqref="AP8:AS21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P8:AS21">
    <cfRule type="colorScale" priority="33">
      <colorScale>
        <cfvo type="min"/>
        <cfvo type="max"/>
        <color rgb="FFFCFCFF"/>
        <color rgb="FFF8696B"/>
      </colorScale>
    </cfRule>
  </conditionalFormatting>
  <conditionalFormatting sqref="AP32:AS32 AP34:AS34 AP33:AR33 AP36:AS38 AP35:AR35 AP39:AR39 AP40:AS41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P32:AS32 AP34:AS34 AP33:AR33 AP36:AS38 AP35:AR35 AP39:AR39 AP40:AS4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S33 AS35 AS39">
    <cfRule type="colorScale" priority="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33 AS35 AS39">
    <cfRule type="colorScale" priority="37">
      <colorScale>
        <cfvo type="min"/>
        <cfvo type="max"/>
        <color rgb="FFFCFCFF"/>
        <color rgb="FFF8696B"/>
      </colorScale>
    </cfRule>
  </conditionalFormatting>
  <pageMargins left="0.7" right="0.7" top="0.75" bottom="0.75" header="0.511811023622047" footer="0.511811023622047"/>
  <pageSetup paperSize="8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12</vt:i4>
      </vt:variant>
      <vt:variant>
        <vt:lpstr>Nimetyt alueet</vt:lpstr>
      </vt:variant>
      <vt:variant>
        <vt:i4>3</vt:i4>
      </vt:variant>
    </vt:vector>
  </HeadingPairs>
  <TitlesOfParts>
    <vt:vector size="15" baseType="lpstr">
      <vt:lpstr>OHJELMOINTINÄKYMÄ</vt:lpstr>
      <vt:lpstr>KOORDINOINTINÄKYMÄ</vt:lpstr>
      <vt:lpstr>VERTAILUTAULUKKO</vt:lpstr>
      <vt:lpstr>Kaavio, kadut</vt:lpstr>
      <vt:lpstr>Sitovat alakohdat, kadut</vt:lpstr>
      <vt:lpstr>Sitovat alakohdat, puistot</vt:lpstr>
      <vt:lpstr>Kaavio, yht.</vt:lpstr>
      <vt:lpstr>Esirak.</vt:lpstr>
      <vt:lpstr>Toteumat</vt:lpstr>
      <vt:lpstr>Pyöräily</vt:lpstr>
      <vt:lpstr>Kaavio, puistot</vt:lpstr>
      <vt:lpstr>Peruskorjaukset</vt:lpstr>
      <vt:lpstr>OHJELMOINTINÄKYMÄ!Tulostusalue</vt:lpstr>
      <vt:lpstr>Toteumat!Tulostusalue</vt:lpstr>
      <vt:lpstr>OHJELMOINTINÄKYMÄ!Tulostusotsikot</vt:lpstr>
    </vt:vector>
  </TitlesOfParts>
  <Manager/>
  <Company>HKR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Osmo Torvinen</dc:creator>
  <cp:keywords/>
  <dc:description/>
  <cp:lastModifiedBy>EXT Indrén Vesa</cp:lastModifiedBy>
  <cp:revision>17</cp:revision>
  <dcterms:created xsi:type="dcterms:W3CDTF">2004-10-21T18:39:44Z</dcterms:created>
  <dcterms:modified xsi:type="dcterms:W3CDTF">2023-07-26T12:42:59Z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0x01010062AF756DB2C7624EB8F103FFFECC76D3</vt:lpwstr>
  </property>
</Properties>
</file>