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_rels/drawing16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ml.chartshapes+xml"/>
  <Override PartName="/xl/drawings/vmlDrawing1.vml" ContentType="application/vnd.openxmlformats-officedocument.vmlDrawing"/>
  <Override PartName="/xl/drawings/drawing9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_rels/chart64.xml.rels" ContentType="application/vnd.openxmlformats-package.relationships+xml"/>
  <Override PartName="/xl/charts/_rels/chart62.xml.rels" ContentType="application/vnd.openxmlformats-package.relationships+xml"/>
  <Override PartName="/xl/charts/_rels/chart61.xml.rels" ContentType="application/vnd.openxmlformats-package.relationships+xml"/>
  <Override PartName="/xl/charts/_rels/chart60.xml.rels" ContentType="application/vnd.openxmlformats-package.relationships+xml"/>
  <Override PartName="/xl/charts/_rels/chart59.xml.rels" ContentType="application/vnd.openxmlformats-package.relationships+xml"/>
  <Override PartName="/xl/charts/_rels/chart58.xml.rels" ContentType="application/vnd.openxmlformats-package.relationships+xml"/>
  <Override PartName="/xl/charts/_rels/chart57.xml.rels" ContentType="application/vnd.openxmlformats-package.relationships+xml"/>
  <Override PartName="/xl/charts/_rels/chart55.xml.rels" ContentType="application/vnd.openxmlformats-package.relationship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60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HJELMOINTINÄKYMÄ" sheetId="1" state="visible" r:id="rId2"/>
    <sheet name="KOORDINOINTINÄKYMÄ" sheetId="2" state="visible" r:id="rId3"/>
    <sheet name="VERTAILUTAULUKKO" sheetId="3" state="visible" r:id="rId4"/>
    <sheet name="Kaavio, kadut" sheetId="4" state="hidden" r:id="rId5"/>
    <sheet name="Sitovat alakohdat, kadut" sheetId="5" state="hidden" r:id="rId6"/>
    <sheet name="Sitovat alakohdat, puistot" sheetId="6" state="hidden" r:id="rId7"/>
    <sheet name="Kaavio, yht." sheetId="7" state="hidden" r:id="rId8"/>
    <sheet name="Esirak." sheetId="8" state="hidden" r:id="rId9"/>
    <sheet name="Toteumat" sheetId="9" state="hidden" r:id="rId10"/>
    <sheet name="Pyöräily" sheetId="10" state="hidden" r:id="rId11"/>
    <sheet name="Kaavio, puistot" sheetId="11" state="hidden" r:id="rId12"/>
    <sheet name="Peruskorjaukset" sheetId="12" state="hidden" r:id="rId13"/>
  </sheets>
  <externalReferences>
    <externalReference r:id="rId14"/>
  </externalReferences>
  <definedNames>
    <definedName function="false" hidden="false" localSheetId="0" name="_xlnm.Print_Area" vbProcedure="false">OHJELMOINTINÄKYMÄ!$A$1:$W$406</definedName>
    <definedName function="false" hidden="false" localSheetId="0" name="_xlnm.Print_Titles" vbProcedure="false">OHJELMOINTINÄKYMÄ!$1:$9</definedName>
    <definedName function="false" hidden="false" localSheetId="8" name="_xlnm.Print_Area" vbProcedure="false">Toteumat!$A$1:$AO$41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8" authorId="0">
      <text>
        <r>
          <rPr>
            <sz val="10"/>
            <rFont val="Arial"/>
            <family val="0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 xml:space="preserve">Viikinmäki ja Arabianranta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0" authorId="0">
      <text>
        <r>
          <rPr>
            <sz val="10"/>
            <rFont val="Arial"/>
            <family val="0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 xml:space="preserve">Viikinmäki ja Arabianranta</t>
        </r>
      </text>
    </comment>
  </commentList>
</comments>
</file>

<file path=xl/sharedStrings.xml><?xml version="1.0" encoding="utf-8"?>
<sst xmlns="http://schemas.openxmlformats.org/spreadsheetml/2006/main" count="3185" uniqueCount="537">
  <si>
    <t xml:space="preserve">HELSINGIN KAUPUNKI</t>
  </si>
  <si>
    <t xml:space="preserve">MAANKÄYTTÖ JA KAUPUNKIRAKENNE</t>
  </si>
  <si>
    <t xml:space="preserve">Liikenne- ja katusuunnittelu/Tuula Pipinen</t>
  </si>
  <si>
    <t xml:space="preserve"> </t>
  </si>
  <si>
    <t xml:space="preserve">TALOUSARVIOEHDOTUS 2023 JA TALOUSSUUNNITELMAEHDOTUS 2023 - 2025 &amp; ALUSTAVA INVESTOINTIOHJELMA 2026-2032</t>
  </si>
  <si>
    <t xml:space="preserve">8 01 ESIRAKENTAMINEN, 8 03 KADUT JA LIIKENNEVÄYLÄT, 8 04 PUISTOT JA LIIKUNTA-ALUEET, 8 08 PROJEKTIALUEIDEN INFRARAKENTAMINEN, 8 09 KAUPUNKIUUDISTUSALUEET, 8 10 SUURET LIIKENNEHANKKEET</t>
  </si>
  <si>
    <t xml:space="preserve">Talousarvion alakohta</t>
  </si>
  <si>
    <t xml:space="preserve">TP</t>
  </si>
  <si>
    <t xml:space="preserve">TA</t>
  </si>
  <si>
    <t xml:space="preserve">TAE</t>
  </si>
  <si>
    <t xml:space="preserve">TSE</t>
  </si>
  <si>
    <t xml:space="preserve">Alustava investointiohjelma</t>
  </si>
  <si>
    <t xml:space="preserve">Nro</t>
  </si>
  <si>
    <t xml:space="preserve">Vuosi</t>
  </si>
  <si>
    <t xml:space="preserve">+ylitysoik</t>
  </si>
  <si>
    <t xml:space="preserve">1000 €</t>
  </si>
  <si>
    <t xml:space="preserve">8 01</t>
  </si>
  <si>
    <t xml:space="preserve">ESIRAKENTMAINEN (KIINTEÄ OMAISUUS)</t>
  </si>
  <si>
    <t xml:space="preserve">TA2021:n ylitysoikeus yht.</t>
  </si>
  <si>
    <t xml:space="preserve">Raami (TAE23)</t>
  </si>
  <si>
    <t xml:space="preserve">Poikkeama</t>
  </si>
  <si>
    <t xml:space="preserve">8 01 01</t>
  </si>
  <si>
    <t xml:space="preserve">Kiinteistöjen ja kiinteistöjen hallintaan oikeuttavien osakkeiden ostot ja lunastukset</t>
  </si>
  <si>
    <t xml:space="preserve">TA2021:n ylitysoikeus</t>
  </si>
  <si>
    <t xml:space="preserve">8 01 02</t>
  </si>
  <si>
    <t xml:space="preserve">PROJEKTIALUEIDEN ESIRAKENTAMINEN</t>
  </si>
  <si>
    <t xml:space="preserve">TA2020:n ylitysoikeus yht.</t>
  </si>
  <si>
    <t xml:space="preserve">8 01 02 01</t>
  </si>
  <si>
    <t xml:space="preserve">Kamppi-Töölönlahden esirakentaminen</t>
  </si>
  <si>
    <t xml:space="preserve">8 01 02 02</t>
  </si>
  <si>
    <t xml:space="preserve">Länsisataman esirakentaminen</t>
  </si>
  <si>
    <t xml:space="preserve">8 01 02 03</t>
  </si>
  <si>
    <t xml:space="preserve">Kalasataman esirakentaminen</t>
  </si>
  <si>
    <t xml:space="preserve">8 01 02 04</t>
  </si>
  <si>
    <t xml:space="preserve">Kruunuvuorenrannan esirakentaminen</t>
  </si>
  <si>
    <t xml:space="preserve">8 01 02 05</t>
  </si>
  <si>
    <t xml:space="preserve">Kuninkaankolmion esirakentaminen</t>
  </si>
  <si>
    <t xml:space="preserve">8 01 02 06</t>
  </si>
  <si>
    <t xml:space="preserve">Pasilan esirakentaminen</t>
  </si>
  <si>
    <t xml:space="preserve">8 01 02 07</t>
  </si>
  <si>
    <t xml:space="preserve">Uudet projektialueet ja muu täyd. alue esirak.</t>
  </si>
  <si>
    <t xml:space="preserve">8 01 02 09</t>
  </si>
  <si>
    <t xml:space="preserve">Malmin esirakentaminen </t>
  </si>
  <si>
    <t xml:space="preserve">ESIRAKENTAMINEN</t>
  </si>
  <si>
    <t xml:space="preserve"> on </t>
  </si>
  <si>
    <t xml:space="preserve">pääluokka</t>
  </si>
  <si>
    <t xml:space="preserve">Muu esirakentaminen</t>
  </si>
  <si>
    <t xml:space="preserve">luokka</t>
  </si>
  <si>
    <t xml:space="preserve">Täydennysrakentamiskorvaukset</t>
  </si>
  <si>
    <t xml:space="preserve">alaluokka</t>
  </si>
  <si>
    <t xml:space="preserve">80101 ja 80103 yhteensä</t>
  </si>
  <si>
    <t xml:space="preserve">uusi raami</t>
  </si>
  <si>
    <t xml:space="preserve">erotus</t>
  </si>
  <si>
    <t xml:space="preserve">  </t>
  </si>
  <si>
    <t xml:space="preserve">on </t>
  </si>
  <si>
    <t xml:space="preserve">PW:n sijaintikenttä / Suurpiirin nimi</t>
  </si>
  <si>
    <t xml:space="preserve">8 03</t>
  </si>
  <si>
    <t xml:space="preserve">KADUT, LIIKENNEVÄYLÄT</t>
  </si>
  <si>
    <t xml:space="preserve">Muutos edelliseen vuoteen, %</t>
  </si>
  <si>
    <t xml:space="preserve">Raami (TA22)</t>
  </si>
  <si>
    <t xml:space="preserve">8 03 01</t>
  </si>
  <si>
    <t xml:space="preserve">UUDISRAKENTAMINEN, PERUSPARANTAMINEN JA MUUT INVESTOINNIT/ Kylkn käytettäväksi</t>
  </si>
  <si>
    <t xml:space="preserve">Raami (TAE22)</t>
  </si>
  <si>
    <t xml:space="preserve">PW:n sijaintikenttä / Kaupunginosan nimi</t>
  </si>
  <si>
    <t xml:space="preserve">UUDISRAKENTAMINEN</t>
  </si>
  <si>
    <t xml:space="preserve">Eteläinen suurpiiri</t>
  </si>
  <si>
    <t xml:space="preserve">Kaupungiosan_nimi</t>
  </si>
  <si>
    <t xml:space="preserve">Läntinen suurpiiri</t>
  </si>
  <si>
    <t xml:space="preserve">Keskinen suurpiiri</t>
  </si>
  <si>
    <t xml:space="preserve">Pohjoinen suurpiiri</t>
  </si>
  <si>
    <t xml:space="preserve">Koillinen suurpiiri</t>
  </si>
  <si>
    <t xml:space="preserve">Kaakkoinen suurpiiri</t>
  </si>
  <si>
    <t xml:space="preserve">Itäinen suurpiiri</t>
  </si>
  <si>
    <t xml:space="preserve">Östersundomin suurpiiri</t>
  </si>
  <si>
    <t xml:space="preserve">suurpiirit yhteensä</t>
  </si>
  <si>
    <t xml:space="preserve">Meluesteet</t>
  </si>
  <si>
    <t xml:space="preserve">Suurpiirin_nimi</t>
  </si>
  <si>
    <t xml:space="preserve">Tapanilankaari Rintamasotilaantie-Moisiontie</t>
  </si>
  <si>
    <t xml:space="preserve">Kirkonkyläntie</t>
  </si>
  <si>
    <t xml:space="preserve">Vanha Porvoontie (pohj.osa ja eteläosa)</t>
  </si>
  <si>
    <t xml:space="preserve">Tapaninkyläntie(Tapanilankaari/Tapaninkyläntie)</t>
  </si>
  <si>
    <t xml:space="preserve">Tapaninvainiontie etelä- ja pohjoisosa</t>
  </si>
  <si>
    <t xml:space="preserve">Suutarilantie, eteläosa</t>
  </si>
  <si>
    <t xml:space="preserve">Itäväylä, Herttoniemi 5,0 M€</t>
  </si>
  <si>
    <t xml:space="preserve">Turuntie, Reimarla</t>
  </si>
  <si>
    <t xml:space="preserve">Itäväylä, Marjaniemi 1,4 M€</t>
  </si>
  <si>
    <t xml:space="preserve">Muu meluntorjunta</t>
  </si>
  <si>
    <t xml:space="preserve">PERUSPARANTAMINEN JA LIIKENNEJÄRJESTELYT</t>
  </si>
  <si>
    <t xml:space="preserve">Katujen peruskorjaukset</t>
  </si>
  <si>
    <t xml:space="preserve">Ulkovalaistuksen ja liik.valojen peruskorjaus sekä LED</t>
  </si>
  <si>
    <t xml:space="preserve">Östersundom</t>
  </si>
  <si>
    <t xml:space="preserve">       </t>
  </si>
  <si>
    <t xml:space="preserve">Siltojen peruskorjaus ja uusiminen</t>
  </si>
  <si>
    <t xml:space="preserve">RAAMI</t>
  </si>
  <si>
    <t xml:space="preserve">Siltojen peruskorjaus</t>
  </si>
  <si>
    <t xml:space="preserve">Uusittavat sillat</t>
  </si>
  <si>
    <t xml:space="preserve">Kulosaarensilta</t>
  </si>
  <si>
    <t xml:space="preserve">Rajasaarensilta 2,4M€</t>
  </si>
  <si>
    <t xml:space="preserve">Hakaniemensilta (kas suuret liikennehankkeet)</t>
  </si>
  <si>
    <t xml:space="preserve">Mannerheimintien silta, 1,5 M€ </t>
  </si>
  <si>
    <t xml:space="preserve">Arkadiankadun silta 2,1 M€ 2025</t>
  </si>
  <si>
    <t xml:space="preserve">Runeberginkadun silta 1,1 M€, 2028</t>
  </si>
  <si>
    <t xml:space="preserve">Vartiosaaren yhteysliikennelaiturit, 400 t€ 2022</t>
  </si>
  <si>
    <t xml:space="preserve">Kauppatorin rantamuurit ja pistolaituri, 1 M€ 2024</t>
  </si>
  <si>
    <t xml:space="preserve">Herttoniemensalmen pohjoinen silta, 4,8 M€ 2027</t>
  </si>
  <si>
    <t xml:space="preserve">Helsinginkadun jks, 0,8 M € 2027</t>
  </si>
  <si>
    <t xml:space="preserve">Killingholmansilta 170 t€ 2026</t>
  </si>
  <si>
    <t xml:space="preserve">Professorintie risteyssilta, 2,9 M€ 2030</t>
  </si>
  <si>
    <t xml:space="preserve">Päällysteiden uusiminen</t>
  </si>
  <si>
    <t xml:space="preserve">Joukkoliikenteen kehittäminen </t>
  </si>
  <si>
    <t xml:space="preserve">Runkolinjat ja muu keh.</t>
  </si>
  <si>
    <t xml:space="preserve">Pysäkkien parantaminen ja muu sujuvoittaminen</t>
  </si>
  <si>
    <t xml:space="preserve">Liikennejärjestelyt</t>
  </si>
  <si>
    <t xml:space="preserve">TA2020:n ylitysoikeus </t>
  </si>
  <si>
    <t xml:space="preserve">Jalankulun ja pyöräilyn väylät</t>
  </si>
  <si>
    <t xml:space="preserve">Auroransilta</t>
  </si>
  <si>
    <t xml:space="preserve">Paciuksenkadun alikulku</t>
  </si>
  <si>
    <t xml:space="preserve">Mätäojansilta, Pornaistenn.p.raittisilta, Kaarelanp. Raittisilta</t>
  </si>
  <si>
    <t xml:space="preserve">Latokartanontien alikulku</t>
  </si>
  <si>
    <t xml:space="preserve">Kansalaistori-Kaisaniemi akk</t>
  </si>
  <si>
    <t xml:space="preserve">Mikonpojanpolun klv -silta</t>
  </si>
  <si>
    <t xml:space="preserve">Tilkansillan levennys</t>
  </si>
  <si>
    <t xml:space="preserve">Raittisillan tyyppisuunnitelmat</t>
  </si>
  <si>
    <t xml:space="preserve">Vuosaarensilta</t>
  </si>
  <si>
    <t xml:space="preserve">TA2018:n ylitysoikeus</t>
  </si>
  <si>
    <t xml:space="preserve">MUUT KADUNPIDON INVESTOINNIT</t>
  </si>
  <si>
    <t xml:space="preserve">Täytemaan vastaanottopaikat</t>
  </si>
  <si>
    <t xml:space="preserve">Lumenvastaanottopaikat ja hiekkasiilot</t>
  </si>
  <si>
    <t xml:space="preserve">Yleiset käymälät</t>
  </si>
  <si>
    <t xml:space="preserve">Ranta-alueiden kunnostus (tulvasuojarak.)</t>
  </si>
  <si>
    <t xml:space="preserve">8 03 02</t>
  </si>
  <si>
    <t xml:space="preserve">PROJEKTIALUEIDEN KADUT / Khn käytettäväksi</t>
  </si>
  <si>
    <t xml:space="preserve">muutos-%</t>
  </si>
  <si>
    <t xml:space="preserve">8 03 02 01</t>
  </si>
  <si>
    <t xml:space="preserve">KAMPPI-TÖÖLÖNLAHTI -ALUEEN KADUT</t>
  </si>
  <si>
    <t xml:space="preserve">Kamppi - Töölönlahti -alueen kadut </t>
  </si>
  <si>
    <t xml:space="preserve">Kamppi</t>
  </si>
  <si>
    <t xml:space="preserve">Töölönlahti</t>
  </si>
  <si>
    <t xml:space="preserve">Leppäsuo</t>
  </si>
  <si>
    <t xml:space="preserve">8 03 02 02</t>
  </si>
  <si>
    <t xml:space="preserve">LÄNSISATAMA (ent. JÄTKÄSAARI)</t>
  </si>
  <si>
    <t xml:space="preserve">Hernesaaren ja Telakkarannan kadut ja rantarak.</t>
  </si>
  <si>
    <t xml:space="preserve">Hernesaari ja Telakkaranta</t>
  </si>
  <si>
    <t xml:space="preserve">Jätkäsaaren kadut ja rantarakenteet</t>
  </si>
  <si>
    <t xml:space="preserve">Saukonlaiturin kadut</t>
  </si>
  <si>
    <t xml:space="preserve">Saukonpaaden alue</t>
  </si>
  <si>
    <t xml:space="preserve">Asemakaava-alue 1:n kadut</t>
  </si>
  <si>
    <t xml:space="preserve">Atlantinkaari</t>
  </si>
  <si>
    <t xml:space="preserve">Muut asemakaava-alueiden kadut</t>
  </si>
  <si>
    <t xml:space="preserve">Salmisaari</t>
  </si>
  <si>
    <t xml:space="preserve">8 03 02 03</t>
  </si>
  <si>
    <t xml:space="preserve">KALASATAMA</t>
  </si>
  <si>
    <t xml:space="preserve">Sörnäisten liikennetunneli (160 M€)</t>
  </si>
  <si>
    <t xml:space="preserve">Kalasataman kadut ja rantarakenteet</t>
  </si>
  <si>
    <t xml:space="preserve">Kalasataman alue, suunnittelu tms. 2008 - 09</t>
  </si>
  <si>
    <t xml:space="preserve">Suvilahti, Kaasukellopuisto, kadut ja rakenteet</t>
  </si>
  <si>
    <t xml:space="preserve">Sörnäistenniemi, kadut ja rakenteet</t>
  </si>
  <si>
    <t xml:space="preserve">Kalasataman keskus, kadut ja rakenteet(SRV)</t>
  </si>
  <si>
    <t xml:space="preserve">Hanasaari, kadut ja rakenteet</t>
  </si>
  <si>
    <t xml:space="preserve">Kyläsaaren pohjoisosa, kadut</t>
  </si>
  <si>
    <t xml:space="preserve">Verkkosaari, kadut ja rakenteet</t>
  </si>
  <si>
    <t xml:space="preserve">Sompasaari, kadut ja rakenteet</t>
  </si>
  <si>
    <t xml:space="preserve">Tukkutori</t>
  </si>
  <si>
    <t xml:space="preserve">Nihti</t>
  </si>
  <si>
    <t xml:space="preserve">Hermanninranta</t>
  </si>
  <si>
    <t xml:space="preserve">8 03 02 04</t>
  </si>
  <si>
    <t xml:space="preserve">KRUUNUVUORENRANTA</t>
  </si>
  <si>
    <t xml:space="preserve">Itäväylä /Herttoniemen liittymä</t>
  </si>
  <si>
    <t xml:space="preserve">Kruunuvuorenrannan kadut ja rantarakenteet</t>
  </si>
  <si>
    <t xml:space="preserve">Koirasaarentie-Reiherintie, katu &amp; meluntorjunta</t>
  </si>
  <si>
    <t xml:space="preserve">Laajasalontien pohjoispää</t>
  </si>
  <si>
    <t xml:space="preserve">Gunillankallion alue</t>
  </si>
  <si>
    <t xml:space="preserve">Borgströminmäen alue</t>
  </si>
  <si>
    <t xml:space="preserve">Hopealaakson alue</t>
  </si>
  <si>
    <t xml:space="preserve">Haakoninlahti 1</t>
  </si>
  <si>
    <t xml:space="preserve">Päätien alue</t>
  </si>
  <si>
    <t xml:space="preserve">Palvelukorttelit ja ranta</t>
  </si>
  <si>
    <t xml:space="preserve">Haakoninlahti 2</t>
  </si>
  <si>
    <t xml:space="preserve">Kruunuvuori</t>
  </si>
  <si>
    <t xml:space="preserve">Stansvikinnummi</t>
  </si>
  <si>
    <t xml:space="preserve">Koirasaaret</t>
  </si>
  <si>
    <t xml:space="preserve">Muut (proj. Johto tms.)</t>
  </si>
  <si>
    <t xml:space="preserve">8 03 02 05</t>
  </si>
  <si>
    <t xml:space="preserve">PASILA</t>
  </si>
  <si>
    <t xml:space="preserve">Ilmala ja Länsi-Pasila, kadut ja rakenteet</t>
  </si>
  <si>
    <t xml:space="preserve">Ilmala, Kadut ja rakenteet</t>
  </si>
  <si>
    <t xml:space="preserve">Raitiotielinja 9, katutyöt Pasila - Ilmala</t>
  </si>
  <si>
    <t xml:space="preserve">Keski-Pasila, kadut ja rakenteet</t>
  </si>
  <si>
    <r>
      <rPr>
        <i val="true"/>
        <sz val="12"/>
        <rFont val="Arial"/>
        <family val="2"/>
        <charset val="1"/>
      </rPr>
      <t xml:space="preserve">Veturitie </t>
    </r>
    <r>
      <rPr>
        <i val="true"/>
        <sz val="9"/>
        <rFont val="Arial"/>
        <family val="2"/>
        <charset val="1"/>
      </rPr>
      <t xml:space="preserve">(YIT:n sop.alueella)</t>
    </r>
  </si>
  <si>
    <r>
      <rPr>
        <i val="true"/>
        <sz val="12"/>
        <rFont val="Arial"/>
        <family val="2"/>
        <charset val="1"/>
      </rPr>
      <t xml:space="preserve">Veturitie </t>
    </r>
    <r>
      <rPr>
        <i val="true"/>
        <sz val="9"/>
        <rFont val="Arial"/>
        <family val="2"/>
        <charset val="1"/>
      </rPr>
      <t xml:space="preserve">(YIT:n sop. liittyvä)</t>
    </r>
  </si>
  <si>
    <t xml:space="preserve">Keski-Pasila:YIT-sopimus (sis. Pasilansillan)</t>
  </si>
  <si>
    <r>
      <rPr>
        <i val="true"/>
        <sz val="12"/>
        <rFont val="Arial"/>
        <family val="2"/>
        <charset val="1"/>
      </rPr>
      <t xml:space="preserve">Keski-Pasila </t>
    </r>
    <r>
      <rPr>
        <i val="true"/>
        <sz val="10"/>
        <rFont val="Arial"/>
        <family val="2"/>
        <charset val="1"/>
      </rPr>
      <t xml:space="preserve">(YIT:n sop. liittyvät)</t>
    </r>
  </si>
  <si>
    <t xml:space="preserve">Muut kadut ja rakenteet</t>
  </si>
  <si>
    <t xml:space="preserve">Asemapäällikönkadun sillan leventäminen </t>
  </si>
  <si>
    <t xml:space="preserve">Teollisuuskatu</t>
  </si>
  <si>
    <t xml:space="preserve">Vauhtitien tulvaviemäri</t>
  </si>
  <si>
    <t xml:space="preserve">Pohjois-Pasila, kadut ja rakenteet</t>
  </si>
  <si>
    <t xml:space="preserve">Pasilan konepaja-alue</t>
  </si>
  <si>
    <t xml:space="preserve">8 03 02 06</t>
  </si>
  <si>
    <t xml:space="preserve">KUNINKAANKOLMIO</t>
  </si>
  <si>
    <t xml:space="preserve">Kuninkaantammen alue</t>
  </si>
  <si>
    <t xml:space="preserve">Honkasuon alue</t>
  </si>
  <si>
    <t xml:space="preserve">8 03 02 07</t>
  </si>
  <si>
    <t xml:space="preserve">KRUUNUSILLAT </t>
  </si>
  <si>
    <t xml:space="preserve">8 03 02 08</t>
  </si>
  <si>
    <t xml:space="preserve">UUDET PROJEKTIALUEET JA MUU</t>
  </si>
  <si>
    <t xml:space="preserve">TÄYDENNYSRAKENTAMINEN</t>
  </si>
  <si>
    <t xml:space="preserve">8 03 02 09</t>
  </si>
  <si>
    <t xml:space="preserve">MALMI</t>
  </si>
  <si>
    <t xml:space="preserve">YHTEISHANKKEET VÄYLÄVIRASTO</t>
  </si>
  <si>
    <t xml:space="preserve">Kehä I / Espoon raja - Vihdintie</t>
  </si>
  <si>
    <t xml:space="preserve">Kehä I / Hämeenlinnaväylän eritasoliittymä</t>
  </si>
  <si>
    <t xml:space="preserve">Kehä I / Kivikontie eritasoliittymä (sis Latokartanon meluest.)</t>
  </si>
  <si>
    <t xml:space="preserve">Kehä I / Myllypuron eritasoliittymä</t>
  </si>
  <si>
    <t xml:space="preserve">Kehä I / Itäväylä eritasoliittymä</t>
  </si>
  <si>
    <t xml:space="preserve">Kehä I / L-Pakila, lisäkaistat ja meluesteet</t>
  </si>
  <si>
    <t xml:space="preserve">Länsiväylä, Koivusaaren eritasoliittymä</t>
  </si>
  <si>
    <t xml:space="preserve">Vihdintie / Haaga-kehä III</t>
  </si>
  <si>
    <t xml:space="preserve">Hämeenlinnanväylä, Kuninkaantammen etl +Kaarela (bussik. ja melu)</t>
  </si>
  <si>
    <t xml:space="preserve">Lahdenväylä / Koskelantien liitt.+ länsip. rampit</t>
  </si>
  <si>
    <t xml:space="preserve">Lahdenväylä / Ilmasillan eritasoliittymä</t>
  </si>
  <si>
    <t xml:space="preserve">Tuusulanväylä, Jokeri 2 /Yhdyskunnantien vaihtopys.</t>
  </si>
  <si>
    <t xml:space="preserve">Tuusulanväylän kääntö Veturitielle</t>
  </si>
  <si>
    <t xml:space="preserve">Porvoonväylä (Vt 7) meluntorj. / Jakomäki</t>
  </si>
  <si>
    <t xml:space="preserve">Turunväylän ja Huopalahdentien liittymä</t>
  </si>
  <si>
    <t xml:space="preserve">Kehä I meluntorj. / Vantaanjoki - Itäväylä</t>
  </si>
  <si>
    <t xml:space="preserve">Kehä I meluntorj. / Sepänmäki </t>
  </si>
  <si>
    <t xml:space="preserve">Lahdenväylä,Viikki, melueste </t>
  </si>
  <si>
    <t xml:space="preserve">Tuusulanväylä, Torpparinmäki, melueste</t>
  </si>
  <si>
    <t xml:space="preserve">Hämeenlinnanväylä, Pohjois-Haagan melueste</t>
  </si>
  <si>
    <t xml:space="preserve">Turunväylän alittava hulevesirumpu</t>
  </si>
  <si>
    <t xml:space="preserve">Tiehankkeiden suunnittelu</t>
  </si>
  <si>
    <t xml:space="preserve">8 04</t>
  </si>
  <si>
    <t xml:space="preserve">PUISTOT JA LIIKUNTA-ALUEET</t>
  </si>
  <si>
    <t xml:space="preserve">PUISTOT JA LIIKUNTA-ALUEET/ Kylkn käytettäväksi</t>
  </si>
  <si>
    <t xml:space="preserve">UUDET PUISTOT JA PUISTOJEN PERUSKORJAUS/ Kylkn käytettäväksi</t>
  </si>
  <si>
    <t xml:space="preserve">Uudet puistot</t>
  </si>
  <si>
    <t xml:space="preserve">%-osuus</t>
  </si>
  <si>
    <t xml:space="preserve">Luonnonsuojelualueet</t>
  </si>
  <si>
    <t xml:space="preserve">Puistojen peruskorjaus</t>
  </si>
  <si>
    <t xml:space="preserve">LIIKUNTAPAIKAT JA ULKOILUALUEET/ Kylkn käytettäväksi</t>
  </si>
  <si>
    <t xml:space="preserve">Uudet liikuntapaikat ja ulkoilualueet</t>
  </si>
  <si>
    <t xml:space="preserve">Uudet liikuntapuistot</t>
  </si>
  <si>
    <t xml:space="preserve">Uudet liikuntapaikat ja kentät</t>
  </si>
  <si>
    <t xml:space="preserve">Liikunta- ja ulkoilualueiden peruskorjaus</t>
  </si>
  <si>
    <t xml:space="preserve">Peruskorjauksen erillishankkeet</t>
  </si>
  <si>
    <t xml:space="preserve">Venesatamien, vesiliikennelait. ja -väylien perusk.</t>
  </si>
  <si>
    <t xml:space="preserve">Ulkoilualueiden ja uimarantojen peruskorjaus</t>
  </si>
  <si>
    <t xml:space="preserve">Liikuntapaikkojen ja kenttien peruskorjaus</t>
  </si>
  <si>
    <t xml:space="preserve">8 04 02</t>
  </si>
  <si>
    <t xml:space="preserve">PROJEKTIALUEIDEN PUISTOT JA LIIKUNTA-ALUEET/ Khn käytettäväksi</t>
  </si>
  <si>
    <t xml:space="preserve">8 04 02 01</t>
  </si>
  <si>
    <t xml:space="preserve">KAMPPI-TÖÖLÖNLAHTI ALUEEN PUISTOT</t>
  </si>
  <si>
    <t xml:space="preserve">Makasiinipuisto</t>
  </si>
  <si>
    <t xml:space="preserve">Töölönlahdenpuisto / "väliaikainen" puisto </t>
  </si>
  <si>
    <t xml:space="preserve">Hesperianpuiston ranta</t>
  </si>
  <si>
    <t xml:space="preserve">8 04 02 02</t>
  </si>
  <si>
    <t xml:space="preserve">LÄNSISATAMAN PUISTOT JA LIIKUNTA-ALUEET</t>
  </si>
  <si>
    <t xml:space="preserve">Saukonpaasi</t>
  </si>
  <si>
    <t xml:space="preserve">Jätkäsaari /Hyväntoivonpuisto</t>
  </si>
  <si>
    <t xml:space="preserve">Jätkäsaaren liikuntapuisto</t>
  </si>
  <si>
    <t xml:space="preserve">8 04 02 03</t>
  </si>
  <si>
    <t xml:space="preserve">KALASATAMAN PUISTOT JA LIIKUNTA-ALUEET</t>
  </si>
  <si>
    <t xml:space="preserve">8 04 02 04</t>
  </si>
  <si>
    <t xml:space="preserve">KRUUNUVUORENRANNAN PUISTOT JA LIIKUNTA-ALUEET</t>
  </si>
  <si>
    <t xml:space="preserve">8 04 02 05</t>
  </si>
  <si>
    <t xml:space="preserve">PASILAN PUISTOT</t>
  </si>
  <si>
    <t xml:space="preserve">8 04 02 06</t>
  </si>
  <si>
    <t xml:space="preserve">KUNINKAANKOLMION PUISTOT</t>
  </si>
  <si>
    <t xml:space="preserve">Kuninkaantammi</t>
  </si>
  <si>
    <t xml:space="preserve">Honkasuo</t>
  </si>
  <si>
    <t xml:space="preserve">8 04 02 08</t>
  </si>
  <si>
    <t xml:space="preserve">8 04 02 09</t>
  </si>
  <si>
    <t xml:space="preserve">MALMIN PUISTOT</t>
  </si>
  <si>
    <t xml:space="preserve">8 08</t>
  </si>
  <si>
    <t xml:space="preserve">PROJEKTIALUEIDEN INFRARAKENTAMINEN </t>
  </si>
  <si>
    <t xml:space="preserve">TA2021</t>
  </si>
  <si>
    <t xml:space="preserve">Raami</t>
  </si>
  <si>
    <t xml:space="preserve">Kamppi-Töölönlahti</t>
  </si>
  <si>
    <t xml:space="preserve">Länsisatama</t>
  </si>
  <si>
    <t xml:space="preserve">Kalasatama</t>
  </si>
  <si>
    <t xml:space="preserve">Kruunuvuorenranta</t>
  </si>
  <si>
    <t xml:space="preserve">Pasila</t>
  </si>
  <si>
    <t xml:space="preserve">Kuninkaankolmio</t>
  </si>
  <si>
    <t xml:space="preserve">Malmi</t>
  </si>
  <si>
    <t xml:space="preserve">PROJEKTIALUEET KADUT </t>
  </si>
  <si>
    <t xml:space="preserve">TA2021 </t>
  </si>
  <si>
    <t xml:space="preserve">PROJEKTIALUEET PUISTOT JA LIIKUNTA-ALUEET</t>
  </si>
  <si>
    <t xml:space="preserve">8 09</t>
  </si>
  <si>
    <t xml:space="preserve">KAUPUNKIUUDISTUS</t>
  </si>
  <si>
    <t xml:space="preserve">Ylitysoikeus</t>
  </si>
  <si>
    <t xml:space="preserve">Malminkartano-Kannelmäki</t>
  </si>
  <si>
    <t xml:space="preserve">Esirakentaminen</t>
  </si>
  <si>
    <t xml:space="preserve">Kadut uudirakentaminen</t>
  </si>
  <si>
    <t xml:space="preserve">Kadut peruskorjaus</t>
  </si>
  <si>
    <t xml:space="preserve">Puistot uudisrakentaminen</t>
  </si>
  <si>
    <t xml:space="preserve">Puisto peruskorjaus</t>
  </si>
  <si>
    <t xml:space="preserve">Liikunta-alueet</t>
  </si>
  <si>
    <t xml:space="preserve">Mellunkylä</t>
  </si>
  <si>
    <t xml:space="preserve">8 10 </t>
  </si>
  <si>
    <t xml:space="preserve">SUURET LIIKENNEHANKKEET</t>
  </si>
  <si>
    <t xml:space="preserve">KRUUNUSILLAT</t>
  </si>
  <si>
    <t xml:space="preserve">Perushanke</t>
  </si>
  <si>
    <t xml:space="preserve">Liittyvä esirakentaminen</t>
  </si>
  <si>
    <t xml:space="preserve">Liittyvät kadut ja liikenneväylät</t>
  </si>
  <si>
    <t xml:space="preserve">KALASATAMA-PASILA</t>
  </si>
  <si>
    <t xml:space="preserve">SÖRNÄISTENTUNNELI</t>
  </si>
  <si>
    <t xml:space="preserve">INVESTOINNIT YHTEENSÄ</t>
  </si>
  <si>
    <t xml:space="preserve">Muutos-% edell. vuoteen</t>
  </si>
  <si>
    <t xml:space="preserve">TA22 Kylk</t>
  </si>
  <si>
    <t xml:space="preserve">Raami Kylk Khs 13.6.</t>
  </si>
  <si>
    <t xml:space="preserve">Raami Kh Khs 13.6.</t>
  </si>
  <si>
    <t xml:space="preserve">Khs 13.6.</t>
  </si>
  <si>
    <t xml:space="preserve">poikkeama</t>
  </si>
  <si>
    <t xml:space="preserve">Puistot ja liikunta-alueet </t>
  </si>
  <si>
    <t xml:space="preserve">Uudet puistot ja puistojen peruskorjaus</t>
  </si>
  <si>
    <t xml:space="preserve">Liikuntapaikat ja ulkoilualueet</t>
  </si>
  <si>
    <t xml:space="preserve">Projektialueiden puistot ja liikunta-alueet</t>
  </si>
  <si>
    <t xml:space="preserve">Kaupunkiuudistusalueiden puistot ja liikunta-alueet</t>
  </si>
  <si>
    <t xml:space="preserve">Puistot ja liikunta-alueet yhteensä</t>
  </si>
  <si>
    <t xml:space="preserve">raami TA22</t>
  </si>
  <si>
    <t xml:space="preserve">Infrainvestoinnit</t>
  </si>
  <si>
    <t xml:space="preserve">Kylkin käytettäväksi</t>
  </si>
  <si>
    <t xml:space="preserve">Khn käytettäväksi</t>
  </si>
  <si>
    <t xml:space="preserve">Yhteensä</t>
  </si>
  <si>
    <t xml:space="preserve">Tie-, katu- ja raideinvestoinnit</t>
  </si>
  <si>
    <t xml:space="preserve">Uudisinvestoinnit</t>
  </si>
  <si>
    <t xml:space="preserve">Viima</t>
  </si>
  <si>
    <t xml:space="preserve">Viikin kadut</t>
  </si>
  <si>
    <t xml:space="preserve">Kustaa Vaasan tien liittymäalue</t>
  </si>
  <si>
    <t xml:space="preserve">Kokoava ala taso</t>
  </si>
  <si>
    <t xml:space="preserve">PW:n sijaintikenttä</t>
  </si>
  <si>
    <t xml:space="preserve">Muu luokitus</t>
  </si>
  <si>
    <t xml:space="preserve">Muu luokituksen alakohta</t>
  </si>
  <si>
    <t xml:space="preserve">8 01 03</t>
  </si>
  <si>
    <t xml:space="preserve">ESIRAKENTAMINEN, TÄYTTÖTYÖT, RAK. KELP.SAATTAM.</t>
  </si>
  <si>
    <t xml:space="preserve">8 01 03 01</t>
  </si>
  <si>
    <t xml:space="preserve">8 01 03 02</t>
  </si>
  <si>
    <t xml:space="preserve">8 03 01 01</t>
  </si>
  <si>
    <t xml:space="preserve">8 03 01 02</t>
  </si>
  <si>
    <t xml:space="preserve">Jalankulun ja pyöräilyn sillat</t>
  </si>
  <si>
    <t xml:space="preserve">8 03  01 03</t>
  </si>
  <si>
    <t xml:space="preserve">MUUT INVESTOINNIT</t>
  </si>
  <si>
    <t xml:space="preserve">Liityntäpysäköintipaikat</t>
  </si>
  <si>
    <t xml:space="preserve">UUDET PROJEKTIALUEET JA MUU TÄYDENNYSRAKENTAMINEN</t>
  </si>
  <si>
    <t xml:space="preserve">8 03 03</t>
  </si>
  <si>
    <t xml:space="preserve">8 04 01</t>
  </si>
  <si>
    <t xml:space="preserve">8 04 01 01</t>
  </si>
  <si>
    <t xml:space="preserve">UUDET PUISTOT</t>
  </si>
  <si>
    <t xml:space="preserve">PUISTOJEN PERUSKORJAUS</t>
  </si>
  <si>
    <t xml:space="preserve">Kuntoportaat ja penkit</t>
  </si>
  <si>
    <t xml:space="preserve">8 04 01 02</t>
  </si>
  <si>
    <t xml:space="preserve">8 07</t>
  </si>
  <si>
    <t xml:space="preserve">LÄHIÖRAHASTO</t>
  </si>
  <si>
    <t xml:space="preserve">8 08 01</t>
  </si>
  <si>
    <t xml:space="preserve">8 08 01 01</t>
  </si>
  <si>
    <t xml:space="preserve">8 08 01 02</t>
  </si>
  <si>
    <t xml:space="preserve">8 08 01 03</t>
  </si>
  <si>
    <t xml:space="preserve">8 08 01 04</t>
  </si>
  <si>
    <t xml:space="preserve">8 08 01 05</t>
  </si>
  <si>
    <t xml:space="preserve">8 08 01 06</t>
  </si>
  <si>
    <t xml:space="preserve">8 08 01 07</t>
  </si>
  <si>
    <t xml:space="preserve">8 08 01 08</t>
  </si>
  <si>
    <t xml:space="preserve">8 08 02</t>
  </si>
  <si>
    <t xml:space="preserve">8 08 02 01</t>
  </si>
  <si>
    <t xml:space="preserve">KAMPPI-TÖÖLÖNLAHTI</t>
  </si>
  <si>
    <t xml:space="preserve">8 08 02 02</t>
  </si>
  <si>
    <t xml:space="preserve">LÄNSISATAMA</t>
  </si>
  <si>
    <t xml:space="preserve">8 08 02 03</t>
  </si>
  <si>
    <t xml:space="preserve">8 08 02 04</t>
  </si>
  <si>
    <t xml:space="preserve">8 08 02 05</t>
  </si>
  <si>
    <t xml:space="preserve">8 08 02 06</t>
  </si>
  <si>
    <t xml:space="preserve">8 08 02 07</t>
  </si>
  <si>
    <t xml:space="preserve">8 08 02 08</t>
  </si>
  <si>
    <t xml:space="preserve">8 08 03</t>
  </si>
  <si>
    <t xml:space="preserve">8 08 03 01</t>
  </si>
  <si>
    <t xml:space="preserve">KAMPPI-TÖÖLÖNLAHTI </t>
  </si>
  <si>
    <t xml:space="preserve">8 08 03 02</t>
  </si>
  <si>
    <t xml:space="preserve">8 08 03 03</t>
  </si>
  <si>
    <t xml:space="preserve">8 08 03 04</t>
  </si>
  <si>
    <t xml:space="preserve">8 08 03 05</t>
  </si>
  <si>
    <t xml:space="preserve">8 08 03 06</t>
  </si>
  <si>
    <t xml:space="preserve">8 08 03 07</t>
  </si>
  <si>
    <t xml:space="preserve">8 08 03 08</t>
  </si>
  <si>
    <t xml:space="preserve">8 09 01</t>
  </si>
  <si>
    <t xml:space="preserve">8 09 01 01</t>
  </si>
  <si>
    <t xml:space="preserve">8 09 01 02</t>
  </si>
  <si>
    <t xml:space="preserve">Kadut</t>
  </si>
  <si>
    <t xml:space="preserve">Uudirakentaminen</t>
  </si>
  <si>
    <t xml:space="preserve">Peruskorjaus</t>
  </si>
  <si>
    <t xml:space="preserve">8 09 01 03</t>
  </si>
  <si>
    <t xml:space="preserve">Puistot ja liikunta-alueet</t>
  </si>
  <si>
    <t xml:space="preserve">Puistot </t>
  </si>
  <si>
    <t xml:space="preserve">Uudisrakentaminen</t>
  </si>
  <si>
    <t xml:space="preserve">8 09 02</t>
  </si>
  <si>
    <t xml:space="preserve">8 09 02 01</t>
  </si>
  <si>
    <t xml:space="preserve">8 09 02 02</t>
  </si>
  <si>
    <t xml:space="preserve">8 09 02 03</t>
  </si>
  <si>
    <t xml:space="preserve">8 09 03</t>
  </si>
  <si>
    <t xml:space="preserve">8 09 03 01</t>
  </si>
  <si>
    <t xml:space="preserve">8 09 03 02</t>
  </si>
  <si>
    <t xml:space="preserve">8 09 03 03</t>
  </si>
  <si>
    <t xml:space="preserve">8 10 01</t>
  </si>
  <si>
    <t xml:space="preserve">8 10 01 01</t>
  </si>
  <si>
    <t xml:space="preserve">8 10 01 02</t>
  </si>
  <si>
    <t xml:space="preserve">8 10 01 03</t>
  </si>
  <si>
    <t xml:space="preserve">8 10 02</t>
  </si>
  <si>
    <t xml:space="preserve">8 10 02 01</t>
  </si>
  <si>
    <t xml:space="preserve">8 10 02 02</t>
  </si>
  <si>
    <t xml:space="preserve">8 10 03</t>
  </si>
  <si>
    <t xml:space="preserve">OHJELMOINTINÄKYMÄ</t>
  </si>
  <si>
    <t xml:space="preserve">Tarkista kohdat Talousarviokirjasta</t>
  </si>
  <si>
    <t xml:space="preserve">KOORDINAATIONÄKYMÄ</t>
  </si>
  <si>
    <t xml:space="preserve">Eteläinen</t>
  </si>
  <si>
    <t xml:space="preserve">Alaluokan alaluokka</t>
  </si>
  <si>
    <t xml:space="preserve">Ryhmä suurpiireille</t>
  </si>
  <si>
    <t xml:space="preserve">Östersundom suurpiiri</t>
  </si>
  <si>
    <t xml:space="preserve">Kadut uudisrakentaminen</t>
  </si>
  <si>
    <t xml:space="preserve">Maankäyttö ja kaupunkirakenne</t>
  </si>
  <si>
    <t xml:space="preserve">Liikenne- ja katusuunnittelu</t>
  </si>
  <si>
    <t xml:space="preserve"> 19.10.2018</t>
  </si>
  <si>
    <t xml:space="preserve">TALOUSARVIOEHDOTUS 2020 JA ALUSTAVA INVESTOINTIOHJELMA 2020 - 2029 </t>
  </si>
  <si>
    <t xml:space="preserve">8 03    KADUT JA LIIKENNEVÄYLÄT</t>
  </si>
  <si>
    <t xml:space="preserve">TS</t>
  </si>
  <si>
    <t xml:space="preserve">Alustava</t>
  </si>
  <si>
    <t xml:space="preserve">Nimi</t>
  </si>
  <si>
    <t xml:space="preserve">PROJEKTIALUEITA EI VOI JAKAA ENNEN KUIN TA-VAIHEESSA!!!</t>
  </si>
  <si>
    <t xml:space="preserve">M€</t>
  </si>
  <si>
    <t xml:space="preserve">PERUSPARANT. JA LIIK.JÄRJ.</t>
  </si>
  <si>
    <t xml:space="preserve">8 03 01 03</t>
  </si>
  <si>
    <t xml:space="preserve">PROJEKTIALUEET</t>
  </si>
  <si>
    <t xml:space="preserve">KAMPPI - TÖÖLÖNLAHTI</t>
  </si>
  <si>
    <t xml:space="preserve">UUDET PROJEKTIALUEET JA MUU TÄYD. RAK.</t>
  </si>
  <si>
    <t xml:space="preserve">VÄYLÄVIRASTO</t>
  </si>
  <si>
    <t xml:space="preserve">TALOUSARVIOEHDOTUS 2011 &amp; TALOUSSUUNNITELMAEHDOTUS 2011 - 2015 / Investointitalous</t>
  </si>
  <si>
    <t xml:space="preserve">8 03    KADUT, LIIKENNEVÄYLÄT JA RADAT</t>
  </si>
  <si>
    <t xml:space="preserve">TSE 2011 - 2015 vs. TA 2010 - 2014</t>
  </si>
  <si>
    <t xml:space="preserve">TAE &amp; TSE 2011 - 2015</t>
  </si>
  <si>
    <t xml:space="preserve">TA 2010 - 2014</t>
  </si>
  <si>
    <t xml:space="preserve">Tässä taulukossa on projektialueet yhtenä kokonaisuutena</t>
  </si>
  <si>
    <t xml:space="preserve">Mechelinink., Mansku,Tukholmank., Hesari, Runebergink., Elielinaukio, Caloniuksenk</t>
  </si>
  <si>
    <t xml:space="preserve">Mechelinink., Mansku,Tukholmank., Runebergink.,</t>
  </si>
  <si>
    <t xml:space="preserve">Sturenk., Hämeent., radanvarsi</t>
  </si>
  <si>
    <t xml:space="preserve">Kuninkaankolmion TA2015:n yl. oik. yht.</t>
  </si>
  <si>
    <t xml:space="preserve">Kuninkaankolmion puistojen TA2015:n ylitysoik.</t>
  </si>
  <si>
    <t xml:space="preserve">Ylitysoikeudet yhteensä</t>
  </si>
  <si>
    <t xml:space="preserve">TALOUSARVIO 2019 JA 2019 - 2028/ Investointitalous</t>
  </si>
  <si>
    <t xml:space="preserve"> 23.8.2019</t>
  </si>
  <si>
    <t xml:space="preserve">UUDISRAKENTAMINEN+PERUSPARANTAMINEN+MUUT INVESTOINNIT / Kylkn käyttöön</t>
  </si>
  <si>
    <t xml:space="preserve">PROJEKTIALUEET / Khn käyttöön</t>
  </si>
  <si>
    <t xml:space="preserve">VÄYLÄVIRASTO / Khn käyttöön</t>
  </si>
  <si>
    <t xml:space="preserve">RAKENNUSVIRASTO</t>
  </si>
  <si>
    <t xml:space="preserve">Katu- ja puisto-osasto</t>
  </si>
  <si>
    <t xml:space="preserve">  23.8.2019</t>
  </si>
  <si>
    <t xml:space="preserve">TALOUSARVIO 2019  JA ALUSTAVA INVESTOINTIOHJELMA 2019- 2028 / Investointitalous</t>
  </si>
  <si>
    <t xml:space="preserve">8 04 PUISTOT JA LIIKUNTA-ALUEET</t>
  </si>
  <si>
    <t xml:space="preserve">PUISTOT JA LIIKUNTA-ALUEET/Kylkn käyttöön</t>
  </si>
  <si>
    <t xml:space="preserve">UUDET PUISTOT JA PUISTOJEN PERUSKORJAUS/Kylkn käyttöön</t>
  </si>
  <si>
    <t xml:space="preserve">LIIKUNTAPAIKAT JA ULKOILUALUEET/Kylkn käyttöön</t>
  </si>
  <si>
    <t xml:space="preserve">PROJEKTIALUEIDEN PUISTOT JA LIIKUNTA-ALUEET/Khn käyttöön</t>
  </si>
  <si>
    <t xml:space="preserve">TALOUSARVIOEHDOTUS 2018 JA TALOUSSUUNNITELMAEHDOTUS 2019 - 2021 / Investointitalous</t>
  </si>
  <si>
    <t xml:space="preserve"> 22.10.2019</t>
  </si>
  <si>
    <t xml:space="preserve">KADUT JA LIIKENNEVÄYLÄT </t>
  </si>
  <si>
    <t xml:space="preserve">KYMP</t>
  </si>
  <si>
    <t xml:space="preserve">Like</t>
  </si>
  <si>
    <t xml:space="preserve">8 01    KIINTEÄ OMAISUUS</t>
  </si>
  <si>
    <t xml:space="preserve">KIINTEÄ OMAISUUS</t>
  </si>
  <si>
    <t xml:space="preserve">osakkeiden ostot ja lunastukset</t>
  </si>
  <si>
    <t xml:space="preserve">Projektialueiden esirakentaminen/kh</t>
  </si>
  <si>
    <t xml:space="preserve">Muu esirak.+täyd. rak. korv./kylk</t>
  </si>
  <si>
    <t xml:space="preserve">KYMP / Helena Ström</t>
  </si>
  <si>
    <t xml:space="preserve">Talousarvio (TA) ja tulosbudjetti (TB) / Tilinpäätös (TP) 2010-</t>
  </si>
  <si>
    <t xml:space="preserve">8 03 Kadut ja liikenneväylät</t>
  </si>
  <si>
    <t xml:space="preserve">TA-rakenne muuttui 2017 !!!</t>
  </si>
  <si>
    <t xml:space="preserve">TB</t>
  </si>
  <si>
    <t xml:space="preserve">Tot. %</t>
  </si>
  <si>
    <t xml:space="preserve">Perusparantaminen ja liikennejärjestelyt</t>
  </si>
  <si>
    <t xml:space="preserve">Yhteishankkeet / liikennevirasto</t>
  </si>
  <si>
    <t xml:space="preserve">Muut kadunpidon investoinnit</t>
  </si>
  <si>
    <t xml:space="preserve">Projektialueet</t>
  </si>
  <si>
    <t xml:space="preserve">Liityntäpysäköinti siirtyi HKL:lle. v. 2017</t>
  </si>
  <si>
    <t xml:space="preserve">8 06 Puistorakentaminen ja 8 04 Puistot ja liikunta-alueet v. 2017 -</t>
  </si>
  <si>
    <t xml:space="preserve">Liikuntapaikat ja ulkoilualueet v. 2017 -</t>
  </si>
  <si>
    <t xml:space="preserve">Projektialueiden puistot</t>
  </si>
  <si>
    <t xml:space="preserve">TALOUSARVIOEHDOTUS 2017 JA 2017 - 2026 / Investointitalous</t>
  </si>
  <si>
    <t xml:space="preserve">8 03 08</t>
  </si>
  <si>
    <t xml:space="preserve">UUDISRAKENTAMINEN sis. Projektial.</t>
  </si>
  <si>
    <t xml:space="preserve">8 03 09</t>
  </si>
  <si>
    <t xml:space="preserve">PERUSKORJ. JA LIIK.JÄRJ.</t>
  </si>
  <si>
    <t xml:space="preserve">Katujen peruskorjaus</t>
  </si>
  <si>
    <t xml:space="preserve">Ulkovalaistuksen peruskorjaus</t>
  </si>
  <si>
    <t xml:space="preserve">Raide-Jokeri (HKR:n osuus)</t>
  </si>
  <si>
    <t xml:space="preserve">8 03 10</t>
  </si>
  <si>
    <t xml:space="preserve">LIIKENNEVIRASTO</t>
  </si>
  <si>
    <t xml:space="preserve">8 03 13</t>
  </si>
  <si>
    <t xml:space="preserve">MUU KADUNPITO</t>
  </si>
  <si>
    <t xml:space="preserve">8 03 20</t>
  </si>
  <si>
    <t xml:space="preserve">LIITYNTÄPYSÄKÖINTI</t>
  </si>
  <si>
    <t xml:space="preserve">8 03 30</t>
  </si>
  <si>
    <t xml:space="preserve">TALOUSARVIO 2017  JA 2017- 2026/ Investointitalous</t>
  </si>
  <si>
    <t xml:space="preserve">26.6.2017 PÄIVITTÄMÄTTÄ!</t>
  </si>
  <si>
    <t xml:space="preserve">8 06 PUISTORAKENTAMINEN</t>
  </si>
  <si>
    <t xml:space="preserve">8 04 08</t>
  </si>
  <si>
    <t xml:space="preserve">PERUSKORJAUS</t>
  </si>
  <si>
    <t xml:space="preserve">8 06 11</t>
  </si>
  <si>
    <t xml:space="preserve">8 06 14</t>
  </si>
  <si>
    <t xml:space="preserve">8 06 15</t>
  </si>
  <si>
    <t xml:space="preserve"> KALASATAMA</t>
  </si>
  <si>
    <t xml:space="preserve">8 06 16</t>
  </si>
  <si>
    <t xml:space="preserve">8 06 17</t>
  </si>
  <si>
    <t xml:space="preserve">8 06 18</t>
  </si>
  <si>
    <t xml:space="preserve">KUNINKAANTAMMI</t>
  </si>
  <si>
    <t xml:space="preserve">TALOUSARVIO 2010 - 2014 / Investointitalous</t>
  </si>
  <si>
    <t xml:space="preserve">TAE 2011 - 2015 vs. TA 2010 - 2014</t>
  </si>
  <si>
    <t xml:space="preserve">8 06</t>
  </si>
  <si>
    <t xml:space="preserve">HKR / KPO / KPI</t>
  </si>
  <si>
    <t xml:space="preserve">PERUSKORJAUKSET 2012</t>
  </si>
  <si>
    <t xml:space="preserve">O Torvinen/H. Ström</t>
  </si>
  <si>
    <t xml:space="preserve">KATUJEN JA PUISTOJEN PERUSKORJAUKSET 2012</t>
  </si>
  <si>
    <t xml:space="preserve">TAE 2012</t>
  </si>
  <si>
    <t xml:space="preserve">    Peruskorjaukset</t>
  </si>
  <si>
    <t xml:space="preserve">osuus</t>
  </si>
  <si>
    <t xml:space="preserve">Uudisrakentaminen, kadut</t>
  </si>
  <si>
    <t xml:space="preserve">Uudelleen päällystys</t>
  </si>
  <si>
    <t xml:space="preserve">Kevyen liikenteen väylät</t>
  </si>
  <si>
    <t xml:space="preserve">Kevyen liikenteen sillat</t>
  </si>
  <si>
    <t xml:space="preserve">Raitiolinja 9 katutyöt / keskusta</t>
  </si>
  <si>
    <t xml:space="preserve">Vallilanlaakson joukkoliik.katu</t>
  </si>
  <si>
    <t xml:space="preserve">Itäväylä</t>
  </si>
  <si>
    <t xml:space="preserve">Yhteishankkeet / Liikennevirasto</t>
  </si>
  <si>
    <t xml:space="preserve">Kamppi-Töölönlahti / kadut</t>
  </si>
  <si>
    <t xml:space="preserve">Jätkäsaari</t>
  </si>
  <si>
    <t xml:space="preserve">Liityntäpysäköinti</t>
  </si>
  <si>
    <t xml:space="preserve">Katuomaisuuden poistot 2012</t>
  </si>
  <si>
    <t xml:space="preserve">(1000 euroa)</t>
  </si>
  <si>
    <t xml:space="preserve">????</t>
  </si>
  <si>
    <t xml:space="preserve">Peruskorjaukset / poistot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</si>
</sst>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mm/dd/yyyy"/>
    <numFmt numFmtId="166" formatCode="#,##0&quot; €&quot;;[RED]\-#,##0&quot; €&quot;"/>
    <numFmt numFmtId="167" formatCode="#,##0"/>
    <numFmt numFmtId="168" formatCode="0%"/>
    <numFmt numFmtId="169" formatCode="0.0\ %"/>
    <numFmt numFmtId="170" formatCode="_-* #,##0.00\ _€_-;\-* #,##0.00\ _€_-;_-* \-??\ _€_-;_-@_-"/>
    <numFmt numFmtId="171" formatCode="#,##0_ ;\-#,##0\ "/>
    <numFmt numFmtId="172" formatCode="@"/>
    <numFmt numFmtId="173" formatCode="0"/>
    <numFmt numFmtId="174" formatCode="General"/>
    <numFmt numFmtId="175" formatCode="0.00"/>
    <numFmt numFmtId="176" formatCode="_-* #,##0\ _€_-;\-* #,##0\ _€_-;_-* \-??\ _€_-;_-@_-"/>
    <numFmt numFmtId="177" formatCode="0.0"/>
    <numFmt numFmtId="178" formatCode="#,##0.0"/>
    <numFmt numFmtId="179" formatCode="#\ ##0.0"/>
  </numFmts>
  <fonts count="1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12"/>
      <color rgb="FF1F497D"/>
      <name val="Arial"/>
      <family val="2"/>
      <charset val="1"/>
    </font>
    <font>
      <i val="true"/>
      <sz val="12"/>
      <color rgb="FF4F81BD"/>
      <name val="Arial"/>
      <family val="2"/>
      <charset val="1"/>
    </font>
    <font>
      <b val="true"/>
      <i val="true"/>
      <sz val="12"/>
      <color rgb="FF0070C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4F81BD"/>
      <name val="Arial"/>
      <family val="2"/>
      <charset val="1"/>
    </font>
    <font>
      <b val="true"/>
      <i val="true"/>
      <sz val="12"/>
      <color rgb="FF1F497D"/>
      <name val="Arial"/>
      <family val="2"/>
      <charset val="1"/>
    </font>
    <font>
      <b val="true"/>
      <i val="true"/>
      <sz val="10"/>
      <color rgb="FF0070C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i val="true"/>
      <sz val="10"/>
      <color rgb="FF0070C0"/>
      <name val="Arial"/>
      <family val="2"/>
      <charset val="1"/>
    </font>
    <font>
      <b val="true"/>
      <u val="single"/>
      <sz val="12"/>
      <color rgb="FFFF0000"/>
      <name val="Arial"/>
      <family val="2"/>
      <charset val="1"/>
    </font>
    <font>
      <b val="true"/>
      <sz val="12"/>
      <color rgb="FF33CC33"/>
      <name val="Arial"/>
      <family val="2"/>
      <charset val="1"/>
    </font>
    <font>
      <i val="true"/>
      <sz val="10"/>
      <color rgb="FF7030A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i val="true"/>
      <sz val="10"/>
      <color rgb="FF7030A0"/>
      <name val="Arial"/>
      <family val="2"/>
      <charset val="1"/>
    </font>
    <font>
      <i val="true"/>
      <sz val="10"/>
      <color rgb="FF00B05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CC00"/>
      <name val="Arial"/>
      <family val="2"/>
      <charset val="1"/>
    </font>
    <font>
      <b val="true"/>
      <sz val="12"/>
      <color rgb="FF1F497D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i val="true"/>
      <sz val="11"/>
      <color rgb="FF002060"/>
      <name val="Arial"/>
      <family val="2"/>
      <charset val="1"/>
    </font>
    <font>
      <sz val="10"/>
      <color rgb="FF002060"/>
      <name val="Arial"/>
      <family val="2"/>
      <charset val="1"/>
    </font>
    <font>
      <i val="true"/>
      <sz val="12"/>
      <color rgb="FFC00000"/>
      <name val="Arial"/>
      <family val="2"/>
      <charset val="1"/>
    </font>
    <font>
      <i val="true"/>
      <sz val="11"/>
      <color rgb="FF1F497D"/>
      <name val="Arial"/>
      <family val="2"/>
      <charset val="1"/>
    </font>
    <font>
      <i val="true"/>
      <sz val="10"/>
      <color rgb="FF002060"/>
      <name val="Arial"/>
      <family val="2"/>
      <charset val="1"/>
    </font>
    <font>
      <i val="true"/>
      <sz val="11"/>
      <name val="Arial"/>
      <family val="2"/>
      <charset val="1"/>
    </font>
    <font>
      <i val="true"/>
      <sz val="11"/>
      <color rgb="FF002060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i val="true"/>
      <sz val="9"/>
      <color rgb="FFFF0000"/>
      <name val="Arial"/>
      <family val="2"/>
      <charset val="1"/>
    </font>
    <font>
      <sz val="12"/>
      <color rgb="FF1F497D"/>
      <name val="Arial"/>
      <family val="2"/>
      <charset val="1"/>
    </font>
    <font>
      <u val="single"/>
      <sz val="12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i val="true"/>
      <u val="single"/>
      <sz val="12"/>
      <name val="Arial"/>
      <family val="2"/>
      <charset val="1"/>
    </font>
    <font>
      <i val="true"/>
      <sz val="9"/>
      <name val="Arial"/>
      <family val="2"/>
      <charset val="1"/>
    </font>
    <font>
      <sz val="10"/>
      <color rgb="FF00CC00"/>
      <name val="Arial"/>
      <family val="2"/>
      <charset val="1"/>
    </font>
    <font>
      <sz val="12"/>
      <color rgb="FF00B050"/>
      <name val="Arial"/>
      <family val="2"/>
      <charset val="1"/>
    </font>
    <font>
      <i val="true"/>
      <sz val="10"/>
      <color rgb="FF4F81BD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1F497D"/>
      <name val="Arial"/>
      <family val="2"/>
      <charset val="1"/>
    </font>
    <font>
      <sz val="11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1"/>
      <color rgb="FF4F81BD"/>
      <name val="Arial"/>
      <family val="2"/>
      <charset val="1"/>
    </font>
    <font>
      <i val="true"/>
      <u val="single"/>
      <sz val="12"/>
      <name val="Arial"/>
      <family val="2"/>
      <charset val="1"/>
    </font>
    <font>
      <i val="true"/>
      <sz val="12"/>
      <color rgb="FF003192"/>
      <name val="Arial"/>
      <family val="2"/>
      <charset val="1"/>
    </font>
    <font>
      <sz val="10"/>
      <color rgb="FF00B050"/>
      <name val="Arial"/>
      <family val="2"/>
      <charset val="1"/>
    </font>
    <font>
      <b val="true"/>
      <sz val="10"/>
      <color rgb="FF33CC33"/>
      <name val="Arial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595959"/>
      <name val="Calibri"/>
      <family val="2"/>
    </font>
    <font>
      <sz val="36"/>
      <name val="Arial"/>
      <family val="2"/>
      <charset val="1"/>
    </font>
    <font>
      <sz val="16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2"/>
      <color rgb="FF00FF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i val="true"/>
      <sz val="11"/>
      <color rgb="FF003366"/>
      <name val="Arial"/>
      <family val="2"/>
      <charset val="1"/>
    </font>
    <font>
      <sz val="11"/>
      <color rgb="FF002060"/>
      <name val="Arial"/>
      <family val="2"/>
      <charset val="1"/>
    </font>
    <font>
      <b val="true"/>
      <sz val="18"/>
      <name val="Arial"/>
      <family val="0"/>
    </font>
    <font>
      <sz val="18"/>
      <name val="Times New Roman"/>
      <family val="0"/>
    </font>
    <font>
      <b val="true"/>
      <sz val="24.5"/>
      <color rgb="FF000000"/>
      <name val="Arial"/>
      <family val="2"/>
    </font>
    <font>
      <b val="true"/>
      <sz val="15"/>
      <color rgb="FF595959"/>
      <name val="Calibri"/>
      <family val="2"/>
    </font>
    <font>
      <b val="true"/>
      <sz val="15"/>
      <color rgb="FF595959"/>
      <name val="Arial"/>
      <family val="2"/>
    </font>
    <font>
      <b val="true"/>
      <sz val="18"/>
      <color rgb="FF595959"/>
      <name val="Arial"/>
      <family val="2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9"/>
      <name val="Times New Roman"/>
      <family val="0"/>
    </font>
    <font>
      <b val="true"/>
      <sz val="20"/>
      <name val="Times New Roman"/>
      <family val="0"/>
    </font>
    <font>
      <sz val="16"/>
      <name val="Times New Roman"/>
      <family val="0"/>
    </font>
    <font>
      <b val="true"/>
      <sz val="16"/>
      <name val="Times New Roman"/>
      <family val="0"/>
    </font>
    <font>
      <b val="true"/>
      <u val="single"/>
      <sz val="28"/>
      <color rgb="FF595959"/>
      <name val="Calibri"/>
      <family val="2"/>
    </font>
    <font>
      <b val="true"/>
      <sz val="19"/>
      <color rgb="FF595959"/>
      <name val="Calibri"/>
      <family val="2"/>
    </font>
    <font>
      <b val="true"/>
      <sz val="19"/>
      <color rgb="FF000000"/>
      <name val="Calibri"/>
      <family val="0"/>
    </font>
    <font>
      <b val="true"/>
      <sz val="16"/>
      <name val="Arial"/>
      <family val="0"/>
    </font>
    <font>
      <b val="true"/>
      <u val="single"/>
      <sz val="24"/>
      <color rgb="FF595959"/>
      <name val="Calibri"/>
      <family val="2"/>
    </font>
    <font>
      <b val="true"/>
      <sz val="18"/>
      <color rgb="FF595959"/>
      <name val="Calibri"/>
      <family val="2"/>
    </font>
    <font>
      <b val="true"/>
      <sz val="16"/>
      <color rgb="FF595959"/>
      <name val="Calibri"/>
      <family val="2"/>
    </font>
    <font>
      <b val="true"/>
      <sz val="17.8"/>
      <color rgb="FF595959"/>
      <name val="Calibri"/>
      <family val="2"/>
    </font>
    <font>
      <b val="true"/>
      <sz val="18"/>
      <name val="Times New Roman"/>
      <family val="0"/>
    </font>
    <font>
      <sz val="11"/>
      <name val="Times New Roman"/>
      <family val="0"/>
    </font>
    <font>
      <b val="true"/>
      <u val="single"/>
      <sz val="24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u val="single"/>
      <sz val="14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24"/>
      <color rgb="FF000000"/>
      <name val="Arial"/>
      <family val="2"/>
    </font>
    <font>
      <b val="true"/>
      <sz val="16"/>
      <color rgb="FF000000"/>
      <name val="Arial"/>
      <family val="2"/>
    </font>
    <font>
      <sz val="19"/>
      <color rgb="FF000000"/>
      <name val="Arial"/>
      <family val="2"/>
    </font>
    <font>
      <b val="true"/>
      <sz val="14"/>
      <name val="Times New Roman"/>
      <family val="0"/>
    </font>
    <font>
      <sz val="14"/>
      <name val="Times New Roman"/>
      <family val="0"/>
    </font>
    <font>
      <b val="true"/>
      <sz val="14"/>
      <name val="Arial"/>
      <family val="0"/>
    </font>
    <font>
      <b val="true"/>
      <sz val="22"/>
      <color rgb="FF000000"/>
      <name val="Calibri"/>
      <family val="2"/>
    </font>
    <font>
      <b val="true"/>
      <sz val="12"/>
      <name val="Times New Roman"/>
      <family val="0"/>
    </font>
    <font>
      <b val="true"/>
      <sz val="14.4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0"/>
      <color rgb="FF000000"/>
      <name val="Arial"/>
      <family val="2"/>
      <charset val="1"/>
    </font>
    <font>
      <b val="true"/>
      <u val="single"/>
      <sz val="20"/>
      <color rgb="FF595959"/>
      <name val="Calibri"/>
      <family val="2"/>
    </font>
    <font>
      <b val="true"/>
      <sz val="12.5"/>
      <color rgb="FF595959"/>
      <name val="Calibri"/>
      <family val="2"/>
    </font>
    <font>
      <b val="true"/>
      <sz val="11"/>
      <color rgb="FF595959"/>
      <name val="Calibri"/>
      <family val="2"/>
    </font>
    <font>
      <b val="true"/>
      <sz val="10.5"/>
      <color rgb="FF595959"/>
      <name val="Calibri"/>
      <family val="2"/>
    </font>
    <font>
      <b val="true"/>
      <sz val="12"/>
      <color rgb="FF000000"/>
      <name val="Calibri"/>
      <family val="0"/>
    </font>
    <font>
      <b val="true"/>
      <sz val="26"/>
      <color rgb="FFFF0000"/>
      <name val="Arial"/>
      <family val="2"/>
      <charset val="1"/>
    </font>
    <font>
      <b val="true"/>
      <u val="single"/>
      <sz val="2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sz val="16.5"/>
      <color rgb="FF000000"/>
      <name val="Arial"/>
      <family val="2"/>
    </font>
    <font>
      <b val="true"/>
      <sz val="13.5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8F2F4"/>
        <bgColor rgb="FFCCECFF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  <fill>
      <patternFill patternType="solid">
        <fgColor rgb="FFC9C9C9"/>
        <bgColor rgb="FFD9D9D9"/>
      </patternFill>
    </fill>
    <fill>
      <patternFill patternType="solid">
        <fgColor rgb="FFC3D69B"/>
        <bgColor rgb="FFB8CD97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F4FAA4"/>
        <bgColor rgb="FFEBF1DE"/>
      </patternFill>
    </fill>
    <fill>
      <patternFill patternType="solid">
        <fgColor rgb="FFE6B9B8"/>
        <bgColor rgb="FFF8B590"/>
      </patternFill>
    </fill>
    <fill>
      <patternFill patternType="solid">
        <fgColor rgb="FFF2DCDB"/>
        <bgColor rgb="FFD9D9D9"/>
      </patternFill>
    </fill>
    <fill>
      <patternFill patternType="solid">
        <fgColor rgb="FF7030A0"/>
        <bgColor rgb="FF4D3B62"/>
      </patternFill>
    </fill>
    <fill>
      <patternFill patternType="solid">
        <fgColor rgb="FF66FF66"/>
        <bgColor rgb="FF92D050"/>
      </patternFill>
    </fill>
    <fill>
      <patternFill patternType="solid">
        <fgColor rgb="FFC6D9F1"/>
        <bgColor rgb="FFD9D9D9"/>
      </patternFill>
    </fill>
    <fill>
      <patternFill patternType="solid">
        <fgColor rgb="FFCCECFF"/>
        <bgColor rgb="FFD8F2F4"/>
      </patternFill>
    </fill>
    <fill>
      <patternFill patternType="solid">
        <fgColor rgb="FFDCE6F2"/>
        <bgColor rgb="FFD8F2F4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D8F2F4"/>
      </patternFill>
    </fill>
  </fills>
  <borders count="7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 diagonalUp="false" diagonalDown="false">
      <left style="double">
        <color rgb="FFFF0000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>
        <color rgb="FFFF0000"/>
      </left>
      <right style="double">
        <color rgb="FFFF00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>
        <color rgb="FFFF0000"/>
      </left>
      <right style="double">
        <color rgb="FFFF0000"/>
      </right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>
        <color rgb="FFFF0000"/>
      </left>
      <right style="double">
        <color rgb="FFFF0000"/>
      </right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>
        <color rgb="FFFF0000"/>
      </left>
      <right style="double">
        <color rgb="FFFF0000"/>
      </right>
      <top style="thin"/>
      <bottom/>
      <diagonal/>
    </border>
    <border diagonalUp="false" diagonalDown="false">
      <left/>
      <right style="double">
        <color rgb="FFFF0000"/>
      </right>
      <top/>
      <bottom/>
      <diagonal/>
    </border>
    <border diagonalUp="false" diagonalDown="false"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/>
      <top/>
      <bottom style="thin">
        <color rgb="FFFFFFFF"/>
      </bottom>
      <diagonal/>
    </border>
    <border diagonalUp="false" diagonalDown="false">
      <left style="thin"/>
      <right style="medium"/>
      <top/>
      <bottom style="thin">
        <color rgb="FFFFFFFF"/>
      </bottom>
      <diagonal/>
    </border>
    <border diagonalUp="false" diagonalDown="false">
      <left/>
      <right style="medium"/>
      <top/>
      <bottom style="thin">
        <color rgb="FFFFFFFF"/>
      </bottom>
      <diagonal/>
    </border>
    <border diagonalUp="false" diagonalDown="false">
      <left style="medium"/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>
        <color rgb="FFFFFFFF"/>
      </top>
      <bottom/>
      <diagonal/>
    </border>
    <border diagonalUp="false" diagonalDown="false">
      <left/>
      <right style="thin"/>
      <top style="thin">
        <color rgb="FFFFFFFF"/>
      </top>
      <bottom/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/>
      <top style="thin">
        <color rgb="FFFFFFFF"/>
      </top>
      <bottom/>
      <diagonal/>
    </border>
    <border diagonalUp="false" diagonalDown="false">
      <left style="thin"/>
      <right style="medium"/>
      <top style="thin">
        <color rgb="FFFFFFFF"/>
      </top>
      <bottom/>
      <diagonal/>
    </border>
    <border diagonalUp="false" diagonalDown="false">
      <left/>
      <right style="medium"/>
      <top style="thin">
        <color rgb="FFFFFFFF"/>
      </top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4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1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32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1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4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32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1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32" fillId="0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1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2" borderId="1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4" fillId="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8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4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1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3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2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6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6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6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6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6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2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2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2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2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2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3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3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2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4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6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7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7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7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3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8" fillId="2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8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6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6" fillId="0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6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7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2" borderId="2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0" fillId="2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0" fillId="9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9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8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58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2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30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18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8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8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30" fillId="2" borderId="1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30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9" fillId="0" borderId="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4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23" fillId="0" borderId="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46" fillId="0" borderId="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2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3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7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3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9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9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9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1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1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3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7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5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2" fillId="2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27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5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7" fillId="2" borderId="1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3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6" fillId="0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8" fillId="2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2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2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1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6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6" fillId="2" borderId="2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6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7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1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7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3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1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8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8" fillId="1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8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1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4" fillId="1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5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8" fillId="1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51" fillId="1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0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1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8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7" fontId="13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13" fillId="17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2" fillId="1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2" fillId="1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7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17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3" fillId="1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3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3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3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8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16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6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6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6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1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6" fillId="19" borderId="6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19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9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7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_tae2004länsi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8B590"/>
      <rgbColor rgb="FF66FF66"/>
      <rgbColor rgb="FFC00000"/>
      <rgbColor rgb="FF00CC00"/>
      <rgbColor rgb="FF002060"/>
      <rgbColor rgb="FF5F7530"/>
      <rgbColor rgb="FF9BBB59"/>
      <rgbColor rgb="FF295C79"/>
      <rgbColor rgb="FFC9C9C9"/>
      <rgbColor rgb="FF808080"/>
      <rgbColor rgb="FF93A9CE"/>
      <rgbColor rgb="FF7030A0"/>
      <rgbColor rgb="FFEBF1DE"/>
      <rgbColor rgb="FFD8F2F4"/>
      <rgbColor rgb="FF4F81BD"/>
      <rgbColor rgb="FFF79646"/>
      <rgbColor rgb="FF0070C0"/>
      <rgbColor rgb="FFC6D9F1"/>
      <rgbColor rgb="FF003192"/>
      <rgbColor rgb="FFD9D9D9"/>
      <rgbColor rgb="FFC3D69B"/>
      <rgbColor rgb="FF92D050"/>
      <rgbColor rgb="FFB8CD97"/>
      <rgbColor rgb="FFF2DCDB"/>
      <rgbColor rgb="FF00B050"/>
      <rgbColor rgb="FFDCE6F2"/>
      <rgbColor rgb="FF33CC33"/>
      <rgbColor rgb="FFCCECFF"/>
      <rgbColor rgb="FFD7E4BD"/>
      <rgbColor rgb="FFF4FAA4"/>
      <rgbColor rgb="FF92C3D5"/>
      <rgbColor rgb="FFE6B9B8"/>
      <rgbColor rgb="FFA99BBD"/>
      <rgbColor rgb="FFFFCC99"/>
      <rgbColor rgb="FF3366FF"/>
      <rgbColor rgb="FF4BACC6"/>
      <rgbColor rgb="FF99CC00"/>
      <rgbColor rgb="FFFFC000"/>
      <rgbColor rgb="FFFF9900"/>
      <rgbColor rgb="FFD09493"/>
      <rgbColor rgb="FF666699"/>
      <rgbColor rgb="FF878787"/>
      <rgbColor rgb="FF003366"/>
      <rgbColor rgb="FF4299B0"/>
      <rgbColor rgb="FF4672A8"/>
      <rgbColor rgb="FF595959"/>
      <rgbColor rgb="FF725990"/>
      <rgbColor rgb="FFC0504D"/>
      <rgbColor rgb="FF1F497D"/>
      <rgbColor rgb="FF4D3B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_rels/chart55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57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58.xml.rels><?xml version="1.0" encoding="UTF-8"?>
<Relationships xmlns="http://schemas.openxmlformats.org/package/2006/relationships"><Relationship Id="rId1" Type="http://schemas.openxmlformats.org/officeDocument/2006/relationships/chartUserShapes" Target="../drawings/drawing7.xml"/>
</Relationships>
</file>

<file path=xl/charts/_rels/chart59.xml.rels><?xml version="1.0" encoding="UTF-8"?>
<Relationships xmlns="http://schemas.openxmlformats.org/package/2006/relationships"><Relationship Id="rId1" Type="http://schemas.openxmlformats.org/officeDocument/2006/relationships/chartUserShapes" Target="../drawings/drawing9.xml"/>
</Relationships>
</file>

<file path=xl/charts/_rels/chart60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61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62.xml.rels><?xml version="1.0" encoding="UTF-8"?>
<Relationships xmlns="http://schemas.openxmlformats.org/package/2006/relationships"><Relationship Id="rId1" Type="http://schemas.openxmlformats.org/officeDocument/2006/relationships/chartUserShapes" Target="../drawings/drawing14.xml"/>
</Relationships>
</file>

<file path=xl/charts/_rels/chart64.xml.rels><?xml version="1.0" encoding="UTF-8"?>
<Relationships xmlns="http://schemas.openxmlformats.org/package/2006/relationships"><Relationship Id="rId1" Type="http://schemas.openxmlformats.org/officeDocument/2006/relationships/chartUserShapes" Target="../drawings/drawing17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</c:ser>
        <c:gapWidth val="150"/>
        <c:overlap val="100"/>
        <c:axId val="82356850"/>
        <c:axId val="18454057"/>
      </c:barChart>
      <c:catAx>
        <c:axId val="82356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54057"/>
        <c:crosses val="autoZero"/>
        <c:auto val="1"/>
        <c:lblAlgn val="ctr"/>
        <c:lblOffset val="100"/>
        <c:noMultiLvlLbl val="0"/>
      </c:catAx>
      <c:valAx>
        <c:axId val="18454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568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[1]TAE2022!$B$404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[1]TAE2022!$B$413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</c:ser>
        <c:gapWidth val="150"/>
        <c:overlap val="100"/>
        <c:axId val="58445377"/>
        <c:axId val="60166993"/>
      </c:barChart>
      <c:catAx>
        <c:axId val="584453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66993"/>
        <c:crosses val="autoZero"/>
        <c:auto val="1"/>
        <c:lblAlgn val="ctr"/>
        <c:lblOffset val="100"/>
        <c:noMultiLvlLbl val="0"/>
      </c:catAx>
      <c:valAx>
        <c:axId val="6016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453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2450" spc="-1" strike="noStrike">
                <a:solidFill>
                  <a:srgbClr val="000000"/>
                </a:solidFill>
                <a:latin typeface="Arial"/>
              </a:defRPr>
            </a:pPr>
            <a:r>
              <a:rPr b="1" lang="fi-FI" sz="2450" spc="-1" strike="noStrike">
                <a:solidFill>
                  <a:srgbClr val="000000"/>
                </a:solidFill>
                <a:latin typeface="Arial"/>
              </a:rPr>
              <a:t>KATU- JA LIIKENNEVÄYLÄINVESTOINNIT 2018 - 2029
TA 2020 lisäksi ylitysoikeutta 4,0M€ 
</a:t>
            </a:r>
          </a:p>
        </c:rich>
      </c:tx>
      <c:layout>
        <c:manualLayout>
          <c:xMode val="edge"/>
          <c:yMode val="edge"/>
          <c:x val="0.168147453231058"/>
          <c:y val="0.02505213160333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2816069753325"/>
          <c:y val="0.141131835032437"/>
          <c:w val="0.80210805143204"/>
          <c:h val="0.52710843373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kadut'!$K$12:$V$12</c:f>
              <c:numCache>
                <c:formatCode>General</c:formatCode>
                <c:ptCount val="12"/>
                <c:pt idx="0">
                  <c:v>16.09</c:v>
                </c:pt>
                <c:pt idx="1">
                  <c:v>22.765</c:v>
                </c:pt>
                <c:pt idx="2">
                  <c:v>31.799676</c:v>
                </c:pt>
                <c:pt idx="3">
                  <c:v>20.1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34.8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kadut'!$K$13:$V$13</c:f>
              <c:numCache>
                <c:formatCode>General</c:formatCode>
                <c:ptCount val="12"/>
                <c:pt idx="1">
                  <c:v>49.956</c:v>
                </c:pt>
                <c:pt idx="2">
                  <c:v>66.202769</c:v>
                </c:pt>
              </c:numCache>
            </c:numRef>
          </c:val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kadut'!$K$14:$V$14</c:f>
              <c:numCache>
                <c:formatCode>General</c:formatCode>
                <c:ptCount val="12"/>
                <c:pt idx="0">
                  <c:v>1.147</c:v>
                </c:pt>
                <c:pt idx="1">
                  <c:v>3.174</c:v>
                </c:pt>
                <c:pt idx="2">
                  <c:v>3.253064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</c:ser>
        <c:ser>
          <c:idx val="3"/>
          <c:order val="3"/>
          <c:tx>
            <c:strRef>
              <c:f>'Kaavio, kadut'!$B$16</c:f>
              <c:strCache>
                <c:ptCount val="1"/>
                <c:pt idx="0">
                  <c:v>KAMPPI - TÖÖLÖNLAHTI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kadut'!$K$16:$V$16</c:f>
              <c:numCache>
                <c:formatCode>General</c:formatCode>
                <c:ptCount val="12"/>
                <c:pt idx="0">
                  <c:v>4.83</c:v>
                </c:pt>
                <c:pt idx="1">
                  <c:v>2.617</c:v>
                </c:pt>
                <c:pt idx="2">
                  <c:v>0.188606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'Kaavio, kadut'!$B$17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kadut'!$K$17:$V$17</c:f>
              <c:numCache>
                <c:formatCode>General</c:formatCode>
                <c:ptCount val="12"/>
                <c:pt idx="0">
                  <c:v>13.27</c:v>
                </c:pt>
                <c:pt idx="1">
                  <c:v>16.92</c:v>
                </c:pt>
                <c:pt idx="2">
                  <c:v>22.806918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'Kaavio, kadut'!$B$18</c:f>
              <c:strCache>
                <c:ptCount val="1"/>
                <c:pt idx="0">
                  <c:v>KALASATAMA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kadut'!$K$18:$V$18</c:f>
              <c:numCache>
                <c:formatCode>General</c:formatCode>
                <c:ptCount val="12"/>
                <c:pt idx="0">
                  <c:v>14.964</c:v>
                </c:pt>
                <c:pt idx="1">
                  <c:v>15.704</c:v>
                </c:pt>
                <c:pt idx="2">
                  <c:v>14.397551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'Kaavio, kadut'!$B$19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kadut'!$K$19:$V$19</c:f>
              <c:numCache>
                <c:formatCode>General</c:formatCode>
                <c:ptCount val="12"/>
                <c:pt idx="0">
                  <c:v>6.162</c:v>
                </c:pt>
                <c:pt idx="1">
                  <c:v>2.91</c:v>
                </c:pt>
                <c:pt idx="2">
                  <c:v>7.898551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'Kaavio, kadut'!$B$20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kadut'!$K$20:$V$20</c:f>
              <c:numCache>
                <c:formatCode>General</c:formatCode>
                <c:ptCount val="12"/>
                <c:pt idx="0">
                  <c:v>33.096</c:v>
                </c:pt>
                <c:pt idx="1">
                  <c:v>34.897</c:v>
                </c:pt>
                <c:pt idx="2">
                  <c:v>18.964599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'Kaavio, kadut'!$B$21</c:f>
              <c:strCache>
                <c:ptCount val="1"/>
                <c:pt idx="0">
                  <c:v>KUNINKAANKOLMIO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kadut'!$K$21:$V$21</c:f>
              <c:numCache>
                <c:formatCode>General</c:formatCode>
                <c:ptCount val="12"/>
                <c:pt idx="0">
                  <c:v>2.227</c:v>
                </c:pt>
                <c:pt idx="1">
                  <c:v>5.913</c:v>
                </c:pt>
                <c:pt idx="2">
                  <c:v>3.835464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'Kaavio, kadut'!$B$22</c:f>
              <c:strCache>
                <c:ptCount val="1"/>
                <c:pt idx="0">
                  <c:v>KRUUNUSILLAT</c:v>
                </c:pt>
              </c:strCache>
            </c:strRef>
          </c:tx>
          <c:spPr>
            <a:solidFill>
              <a:srgbClr val="a99b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kadut'!$K$22:$V$22</c:f>
              <c:numCache>
                <c:formatCode>General</c:formatCode>
                <c:ptCount val="12"/>
                <c:pt idx="0">
                  <c:v>1.554</c:v>
                </c:pt>
                <c:pt idx="1">
                  <c:v>0.508</c:v>
                </c:pt>
                <c:pt idx="2">
                  <c:v>2.472302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'Kaavio, kadut'!$B$23</c:f>
              <c:strCache>
                <c:ptCount val="1"/>
                <c:pt idx="0">
                  <c:v>UUDET PROJEKTIALUEET JA MUU TÄYD. RAK.</c:v>
                </c:pt>
              </c:strCache>
            </c:strRef>
          </c:tx>
          <c:spPr>
            <a:solidFill>
              <a:srgbClr val="92c3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kadut'!$K$23:$V$23</c:f>
              <c:numCache>
                <c:formatCode>General</c:formatCode>
                <c:ptCount val="12"/>
                <c:pt idx="0">
                  <c:v>3.093</c:v>
                </c:pt>
                <c:pt idx="1">
                  <c:v>2.436</c:v>
                </c:pt>
                <c:pt idx="2">
                  <c:v>0.356282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f8b5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kadut'!$K$24:$V$24</c:f>
              <c:numCache>
                <c:formatCode>General</c:formatCode>
                <c:ptCount val="12"/>
                <c:pt idx="0">
                  <c:v>1.65</c:v>
                </c:pt>
                <c:pt idx="1">
                  <c:v>0.919</c:v>
                </c:pt>
                <c:pt idx="2">
                  <c:v>0.872624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</c:ser>
        <c:gapWidth val="150"/>
        <c:overlap val="100"/>
        <c:axId val="43436162"/>
        <c:axId val="26713338"/>
      </c:barChart>
      <c:catAx>
        <c:axId val="434361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5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13338"/>
        <c:crosses val="autoZero"/>
        <c:auto val="1"/>
        <c:lblAlgn val="ctr"/>
        <c:lblOffset val="100"/>
        <c:noMultiLvlLbl val="0"/>
      </c:catAx>
      <c:valAx>
        <c:axId val="26713338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i-FI" sz="1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fi-FI" sz="1800" spc="-1" strike="noStrike">
                    <a:solidFill>
                      <a:srgbClr val="595959"/>
                    </a:solidFill>
                    <a:latin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0304343027426742"/>
              <c:y val="0.0977177942539388"/>
            </c:manualLayout>
          </c:layout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5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3436162"/>
        <c:crosses val="autoZero"/>
        <c:crossBetween val="between"/>
        <c:majorUnit val="2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6770824791007"/>
          <c:y val="0.719117639294836"/>
          <c:w val="0.659924314168498"/>
          <c:h val="0.2632259810794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38095238095238"/>
          <c:y val="0.114525139664804"/>
          <c:w val="0.880952380952381"/>
          <c:h val="0.73533519553072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kadut'!$I$10:$T$10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kadut'!$I$11:$T$11</c:f>
              <c:numCache>
                <c:formatCode>General</c:formatCode>
                <c:ptCount val="12"/>
              </c:numCache>
            </c:numRef>
          </c:val>
        </c:ser>
        <c:gapWidth val="150"/>
        <c:overlap val="100"/>
        <c:axId val="45060820"/>
        <c:axId val="28578320"/>
      </c:barChart>
      <c:catAx>
        <c:axId val="45060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78320"/>
        <c:auto val="1"/>
        <c:lblAlgn val="ctr"/>
        <c:lblOffset val="100"/>
        <c:noMultiLvlLbl val="0"/>
      </c:catAx>
      <c:valAx>
        <c:axId val="2857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60820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800" spc="-1" strike="noStrike" u="sng">
                <a:solidFill>
                  <a:srgbClr val="595959"/>
                </a:solidFill>
                <a:uFillTx/>
                <a:latin typeface="Calibri"/>
              </a:defRPr>
            </a:pPr>
            <a:r>
              <a:rPr b="1" lang="en-US" sz="2800" spc="-1" strike="noStrike" u="sng">
                <a:solidFill>
                  <a:srgbClr val="595959"/>
                </a:solidFill>
                <a:uFillTx/>
                <a:latin typeface="Calibri"/>
              </a:rPr>
              <a:t>KATU- JA LIIKENNEVÄYLÄINVESTOINNIT 2019-2029
TA 2020 lisäksi ylitysoikeutta 4,0 M€</a:t>
            </a:r>
          </a:p>
        </c:rich>
      </c:tx>
      <c:layout>
        <c:manualLayout>
          <c:xMode val="edge"/>
          <c:yMode val="edge"/>
          <c:x val="0.125688286095172"/>
          <c:y val="0.01004051435617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2472613458529"/>
          <c:y val="0.163686806411837"/>
          <c:w val="0.88138294789312"/>
          <c:h val="0.575920380482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kadut'!$K$12:$V$12</c:f>
              <c:numCache>
                <c:formatCode>General</c:formatCode>
                <c:ptCount val="12"/>
                <c:pt idx="0">
                  <c:v>16.09</c:v>
                </c:pt>
                <c:pt idx="1">
                  <c:v>22.765</c:v>
                </c:pt>
                <c:pt idx="2">
                  <c:v>31.799676</c:v>
                </c:pt>
                <c:pt idx="3">
                  <c:v>20.1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34.8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kadut'!$K$13:$V$13</c:f>
              <c:numCache>
                <c:formatCode>General</c:formatCode>
                <c:ptCount val="12"/>
                <c:pt idx="1">
                  <c:v>49.956</c:v>
                </c:pt>
                <c:pt idx="2">
                  <c:v>66.202769</c:v>
                </c:pt>
              </c:numCache>
            </c:numRef>
          </c:val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kadut'!$K$14:$V$14</c:f>
              <c:numCache>
                <c:formatCode>General</c:formatCode>
                <c:ptCount val="12"/>
                <c:pt idx="0">
                  <c:v>1.147</c:v>
                </c:pt>
                <c:pt idx="1">
                  <c:v>3.174</c:v>
                </c:pt>
                <c:pt idx="2">
                  <c:v>3.253064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</c:ser>
        <c:ser>
          <c:idx val="3"/>
          <c:order val="3"/>
          <c:tx>
            <c:strRef>
              <c:f>'Kaavio, kadut'!$B$15:$F$15</c:f>
              <c:strCache>
                <c:ptCount val="1"/>
                <c:pt idx="0">
                  <c:v>PROJEKTIALUEET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kadut'!$K$15:$V$15</c:f>
              <c:numCache>
                <c:formatCode>General</c:formatCode>
                <c:ptCount val="12"/>
                <c:pt idx="0">
                  <c:v>79.196</c:v>
                </c:pt>
                <c:pt idx="1">
                  <c:v>81.905</c:v>
                </c:pt>
                <c:pt idx="2">
                  <c:v>71.084734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kadut'!$K$24:$V$24</c:f>
              <c:numCache>
                <c:formatCode>General</c:formatCode>
                <c:ptCount val="12"/>
                <c:pt idx="0">
                  <c:v>1.65</c:v>
                </c:pt>
                <c:pt idx="1">
                  <c:v>0.919</c:v>
                </c:pt>
                <c:pt idx="2">
                  <c:v>0.872624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</c:ser>
        <c:gapWidth val="150"/>
        <c:overlap val="100"/>
        <c:axId val="193671"/>
        <c:axId val="52299732"/>
      </c:barChart>
      <c:catAx>
        <c:axId val="193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99732"/>
        <c:crosses val="autoZero"/>
        <c:auto val="1"/>
        <c:lblAlgn val="ctr"/>
        <c:lblOffset val="100"/>
        <c:noMultiLvlLbl val="0"/>
      </c:catAx>
      <c:valAx>
        <c:axId val="52299732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513616258353145"/>
          <c:y val="0.834358979628851"/>
          <c:w val="0.902664237865789"/>
          <c:h val="0.08322283011531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2400" spc="-1" strike="noStrike" u="sng">
                <a:solidFill>
                  <a:srgbClr val="595959"/>
                </a:solidFill>
                <a:uFillTx/>
                <a:latin typeface="Calibri"/>
              </a:defRPr>
            </a:pPr>
            <a:r>
              <a:rPr b="1" lang="fi-FI" sz="2400" spc="-1" strike="noStrike" u="sng">
                <a:solidFill>
                  <a:srgbClr val="595959"/>
                </a:solidFill>
                <a:uFillTx/>
                <a:latin typeface="Calibri"/>
              </a:rPr>
              <a:t>KATU- JA LIIKENNEVÄYLÄINVESTOINNIT 2018-2029 /
SITOVAT ALAKOHDAT
TA 2020 lisäksi ylitysoikeutta 4,0 M€</a:t>
            </a:r>
          </a:p>
        </c:rich>
      </c:tx>
      <c:layout>
        <c:manualLayout>
          <c:xMode val="edge"/>
          <c:yMode val="edge"/>
          <c:x val="0.126631981937764"/>
          <c:y val="0.010902286225693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9009849154151"/>
          <c:y val="0.205963713286144"/>
          <c:w val="0.908805340139393"/>
          <c:h val="0.55955577251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kadut'!$B$12</c:f>
              <c:strCache>
                <c:ptCount val="1"/>
                <c:pt idx="0">
                  <c:v>UUDISRAKENTAMINEN+PERUSPARANTAMINEN+MUUT INVESTOINNIT / 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strCache>
            </c:strRef>
          </c:cat>
          <c:val>
            <c:numRef>
              <c:f>'Sitovat alakohdat, kadut'!$K$12:$V$12</c:f>
              <c:numCache>
                <c:formatCode>General</c:formatCode>
                <c:ptCount val="12"/>
                <c:pt idx="1">
                  <c:v>75.895</c:v>
                </c:pt>
                <c:pt idx="2">
                  <c:v>101.255509</c:v>
                </c:pt>
              </c:numCache>
            </c:numRef>
          </c:val>
        </c:ser>
        <c:ser>
          <c:idx val="1"/>
          <c:order val="1"/>
          <c:tx>
            <c:strRef>
              <c:f>'Sitovat alakohdat, kadut'!$B$16</c:f>
              <c:strCache>
                <c:ptCount val="1"/>
                <c:pt idx="0">
                  <c:v>PROJEKTIALUEET / Khn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strCache>
            </c:strRef>
          </c:cat>
          <c:val>
            <c:numRef>
              <c:f>'Sitovat alakohdat, kadut'!$K$16:$V$16</c:f>
              <c:numCache>
                <c:formatCode>General</c:formatCode>
                <c:ptCount val="12"/>
                <c:pt idx="0">
                  <c:v>79.196</c:v>
                </c:pt>
                <c:pt idx="1">
                  <c:v>81.905</c:v>
                </c:pt>
                <c:pt idx="2">
                  <c:v>71.084734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'Sitovat alakohdat, kadut'!$B$25</c:f>
              <c:strCache>
                <c:ptCount val="1"/>
                <c:pt idx="0">
                  <c:v>VÄYLÄVIRASTO / 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kadut'!$K$9:$V$9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strCache>
            </c:strRef>
          </c:cat>
          <c:val>
            <c:numRef>
              <c:f>'Sitovat alakohdat, kadut'!$K$25:$V$25</c:f>
              <c:numCache>
                <c:formatCode>General</c:formatCode>
                <c:ptCount val="12"/>
                <c:pt idx="0">
                  <c:v>1.65</c:v>
                </c:pt>
                <c:pt idx="1">
                  <c:v>0.919</c:v>
                </c:pt>
                <c:pt idx="2">
                  <c:v>0.872624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</c:ser>
        <c:gapWidth val="150"/>
        <c:overlap val="100"/>
        <c:axId val="89705573"/>
        <c:axId val="48504828"/>
      </c:barChart>
      <c:catAx>
        <c:axId val="89705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04828"/>
        <c:crosses val="autoZero"/>
        <c:auto val="1"/>
        <c:lblAlgn val="ctr"/>
        <c:lblOffset val="100"/>
        <c:noMultiLvlLbl val="0"/>
      </c:catAx>
      <c:valAx>
        <c:axId val="48504828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05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130422534711496"/>
          <c:y val="0.84289973891941"/>
          <c:w val="0.953161534104921"/>
          <c:h val="0.1450951443569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779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 u="sng">
                <a:solidFill>
                  <a:srgbClr val="000000"/>
                </a:solidFill>
                <a:uFillTx/>
                <a:latin typeface="Calibri"/>
              </a:defRPr>
            </a:pPr>
            <a:r>
              <a:rPr b="1" lang="en-US" sz="2400" spc="-1" strike="noStrike" u="sng">
                <a:solidFill>
                  <a:srgbClr val="000000"/>
                </a:solidFill>
                <a:uFillTx/>
                <a:latin typeface="Calibri"/>
              </a:rPr>
              <a:t>PUISTO- JA LIIKUNTA-ALUEINVESTOINNIT 2018-2029
TA 2019 lisäksi ylitysoikeutta 1,9 M€</a:t>
            </a:r>
          </a:p>
        </c:rich>
      </c:tx>
      <c:layout>
        <c:manualLayout>
          <c:xMode val="edge"/>
          <c:yMode val="edge"/>
          <c:x val="0.208498795098938"/>
          <c:y val="0.0051477020388937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63856362217"/>
          <c:y val="0.15150393647803"/>
          <c:w val="0.861623052642297"/>
          <c:h val="0.63942534149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puistot'!$B$13</c:f>
              <c:strCache>
                <c:ptCount val="1"/>
                <c:pt idx="0">
                  <c:v>UUDET PUISTOT JA PUISTOJEN PERUSKORJAUS/Kylkn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puistot'!$K$9:$V$9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'Sitovat alakohdat, puistot'!$K$13:$V$13</c:f>
              <c:numCache>
                <c:formatCode>General</c:formatCode>
                <c:ptCount val="12"/>
                <c:pt idx="0">
                  <c:v>6.517</c:v>
                </c:pt>
                <c:pt idx="1">
                  <c:v>0.192</c:v>
                </c:pt>
                <c:pt idx="2">
                  <c:v>18.888017</c:v>
                </c:pt>
                <c:pt idx="3">
                  <c:v>14.4</c:v>
                </c:pt>
                <c:pt idx="4">
                  <c:v>6.2</c:v>
                </c:pt>
                <c:pt idx="5">
                  <c:v>13</c:v>
                </c:pt>
                <c:pt idx="6">
                  <c:v>13</c:v>
                </c:pt>
                <c:pt idx="7">
                  <c:v>12.4</c:v>
                </c:pt>
                <c:pt idx="8">
                  <c:v>9.8</c:v>
                </c:pt>
                <c:pt idx="9">
                  <c:v>16.8</c:v>
                </c:pt>
                <c:pt idx="10">
                  <c:v>39.6</c:v>
                </c:pt>
                <c:pt idx="11">
                  <c:v>41.2</c:v>
                </c:pt>
              </c:numCache>
            </c:numRef>
          </c:val>
        </c:ser>
        <c:ser>
          <c:idx val="1"/>
          <c:order val="1"/>
          <c:tx>
            <c:strRef>
              <c:f>'Sitovat alakohdat, puistot'!$B$14</c:f>
              <c:strCache>
                <c:ptCount val="1"/>
                <c:pt idx="0">
                  <c:v>LIIKUNTAPAIKAT JA ULKOILUALUEET/Kylkn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puistot'!$K$9:$V$9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'Sitovat alakohdat, puistot'!$K$14:$V$14</c:f>
              <c:numCache>
                <c:formatCode>General</c:formatCode>
                <c:ptCount val="12"/>
                <c:pt idx="0">
                  <c:v>7.024</c:v>
                </c:pt>
                <c:pt idx="1">
                  <c:v>11.428</c:v>
                </c:pt>
                <c:pt idx="2">
                  <c:v>9.65927</c:v>
                </c:pt>
                <c:pt idx="3">
                  <c:v>17.5</c:v>
                </c:pt>
                <c:pt idx="4">
                  <c:v>14.6</c:v>
                </c:pt>
                <c:pt idx="5">
                  <c:v>9.8</c:v>
                </c:pt>
                <c:pt idx="6">
                  <c:v>8.8</c:v>
                </c:pt>
                <c:pt idx="7">
                  <c:v>9</c:v>
                </c:pt>
                <c:pt idx="8">
                  <c:v>9.3</c:v>
                </c:pt>
                <c:pt idx="9">
                  <c:v>7.6</c:v>
                </c:pt>
                <c:pt idx="10">
                  <c:v>5</c:v>
                </c:pt>
                <c:pt idx="11">
                  <c:v>8.1</c:v>
                </c:pt>
              </c:numCache>
            </c:numRef>
          </c:val>
        </c:ser>
        <c:ser>
          <c:idx val="2"/>
          <c:order val="2"/>
          <c:tx>
            <c:strRef>
              <c:f>'Sitovat alakohdat, puistot'!$B$15</c:f>
              <c:strCache>
                <c:ptCount val="1"/>
                <c:pt idx="0">
                  <c:v>PROJEKTIALUEIDEN PUISTOT JA LIIKUNTA-ALUEET/Khn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'Sitovat alakohdat, puistot'!$K$9:$V$9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'Sitovat alakohdat, puistot'!$K$15:$V$15</c:f>
              <c:numCache>
                <c:formatCode>General</c:formatCode>
                <c:ptCount val="12"/>
                <c:pt idx="0">
                  <c:v>9.695</c:v>
                </c:pt>
                <c:pt idx="1">
                  <c:v>11.458</c:v>
                </c:pt>
                <c:pt idx="2">
                  <c:v>8.856689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75"/>
        <c:overlap val="100"/>
        <c:axId val="450015"/>
        <c:axId val="63714978"/>
      </c:barChart>
      <c:catAx>
        <c:axId val="450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14978"/>
        <c:crosses val="autoZero"/>
        <c:auto val="1"/>
        <c:lblAlgn val="ctr"/>
        <c:lblOffset val="100"/>
        <c:noMultiLvlLbl val="0"/>
      </c:catAx>
      <c:valAx>
        <c:axId val="637149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0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87778101687075"/>
          <c:y val="0.846784525685087"/>
          <c:w val="0.636779039080927"/>
          <c:h val="0.1301682101508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d9d9d9"/>
      </a:solidFill>
      <a:round/>
    </a:ln>
  </c:spPr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2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fi-FI" sz="2400" spc="-1" strike="noStrike">
                <a:solidFill>
                  <a:srgbClr val="000000"/>
                </a:solidFill>
                <a:latin typeface="Arial"/>
                <a:ea typeface="Arial"/>
              </a:rPr>
              <a:t>KATU-, LIIKENNEVÄYLÄ-,PUISTO- JA LIIKUNTA-ALUEINVESTOINNIT 2018 - 2029
        			TA  2019 lisäksi ylitysoikeutta 20,48M€
</a:t>
            </a:r>
          </a:p>
        </c:rich>
      </c:tx>
      <c:layout>
        <c:manualLayout>
          <c:xMode val="edge"/>
          <c:yMode val="edge"/>
          <c:x val="0.112298166808304"/>
          <c:y val="0.029792396872472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777588928"/>
          <c:y val="0.194661633863575"/>
          <c:w val="0.731303872769212"/>
          <c:h val="0.6197088163925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4f81bd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yht.'!$H$9:$S$9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yht.'!$H$13:$S$13</c:f>
              <c:numCache>
                <c:formatCode>General</c:formatCode>
                <c:ptCount val="12"/>
                <c:pt idx="1">
                  <c:v>158.719</c:v>
                </c:pt>
                <c:pt idx="2">
                  <c:v>173.212867</c:v>
                </c:pt>
              </c:numCache>
            </c:numRef>
          </c:val>
        </c:ser>
        <c:ser>
          <c:idx val="1"/>
          <c:order val="1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9cc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yht.'!$H$9:$S$9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yht.'!$H$14:$S$14</c:f>
              <c:numCache>
                <c:formatCode>General</c:formatCode>
                <c:ptCount val="12"/>
                <c:pt idx="0">
                  <c:v>23.23559151</c:v>
                </c:pt>
                <c:pt idx="1">
                  <c:v>23.078</c:v>
                </c:pt>
                <c:pt idx="2">
                  <c:v>37.40351524</c:v>
                </c:pt>
                <c:pt idx="3">
                  <c:v>32.7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</c:ser>
        <c:gapWidth val="150"/>
        <c:overlap val="100"/>
        <c:axId val="86202960"/>
        <c:axId val="65633074"/>
      </c:barChart>
      <c:catAx>
        <c:axId val="862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633074"/>
        <c:crosses val="autoZero"/>
        <c:auto val="1"/>
        <c:lblAlgn val="ctr"/>
        <c:lblOffset val="100"/>
        <c:noMultiLvlLbl val="0"/>
      </c:catAx>
      <c:valAx>
        <c:axId val="65633074"/>
        <c:scaling>
          <c:orientation val="minMax"/>
          <c:max val="24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i-FI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fi-FI" sz="16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24104649751123"/>
              <c:y val="0.140783679338546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202960"/>
        <c:crosses val="autoZero"/>
        <c:crossBetween val="between"/>
        <c:majorUnit val="2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166366558879973"/>
          <c:y val="0.893224918002811"/>
          <c:w val="0.740272185651362"/>
          <c:h val="0.0871460838637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0" sz="19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2200" spc="-1" strike="noStrike">
                <a:solidFill>
                  <a:srgbClr val="000000"/>
                </a:solidFill>
                <a:latin typeface="Calibri"/>
              </a:rPr>
              <a:t>8 01 02 ja 8 01 03 ESIRAKENTAMINEN
8 03 KADUT JA LIIKENNEVÄYLÄT
8 04 PUISTOT JA LIIKUNTA-ALUEET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9605427017107"/>
          <c:y val="0.195092638958438"/>
          <c:w val="0.895982172117717"/>
          <c:h val="0.611016524787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yht.'!$B$12</c:f>
              <c:strCache>
                <c:ptCount val="1"/>
                <c:pt idx="0">
                  <c:v>ESIRAKENTAMINEN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yht.'!$H$9:$S$9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yht.'!$H$12:$S$12</c:f>
              <c:numCache>
                <c:formatCode>General</c:formatCode>
                <c:ptCount val="12"/>
                <c:pt idx="0">
                  <c:v>64.5</c:v>
                </c:pt>
                <c:pt idx="1">
                  <c:v>85.6</c:v>
                </c:pt>
                <c:pt idx="2">
                  <c:v>107.6</c:v>
                </c:pt>
                <c:pt idx="3">
                  <c:v>92.6</c:v>
                </c:pt>
                <c:pt idx="4">
                  <c:v>79.6</c:v>
                </c:pt>
                <c:pt idx="5">
                  <c:v>69.5</c:v>
                </c:pt>
                <c:pt idx="6">
                  <c:v>62</c:v>
                </c:pt>
                <c:pt idx="7">
                  <c:v>64.9</c:v>
                </c:pt>
                <c:pt idx="8">
                  <c:v>76.4</c:v>
                </c:pt>
                <c:pt idx="9">
                  <c:v>63.1</c:v>
                </c:pt>
                <c:pt idx="10">
                  <c:v>63.2</c:v>
                </c:pt>
                <c:pt idx="11">
                  <c:v>63.4</c:v>
                </c:pt>
              </c:numCache>
            </c:numRef>
          </c:val>
        </c:ser>
        <c:ser>
          <c:idx val="1"/>
          <c:order val="1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yht.'!$H$9:$S$9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yht.'!$H$13:$S$13</c:f>
              <c:numCache>
                <c:formatCode>General</c:formatCode>
                <c:ptCount val="12"/>
                <c:pt idx="1">
                  <c:v>158.719</c:v>
                </c:pt>
                <c:pt idx="2">
                  <c:v>173.212867</c:v>
                </c:pt>
              </c:numCache>
            </c:numRef>
          </c:val>
        </c:ser>
        <c:ser>
          <c:idx val="2"/>
          <c:order val="2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yht.'!$H$9:$S$9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'Kaavio, yht.'!$H$14:$S$14</c:f>
              <c:numCache>
                <c:formatCode>General</c:formatCode>
                <c:ptCount val="12"/>
                <c:pt idx="0">
                  <c:v>23.23559151</c:v>
                </c:pt>
                <c:pt idx="1">
                  <c:v>23.078</c:v>
                </c:pt>
                <c:pt idx="2">
                  <c:v>37.40351524</c:v>
                </c:pt>
                <c:pt idx="3">
                  <c:v>32.7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</c:ser>
        <c:gapWidth val="150"/>
        <c:overlap val="100"/>
        <c:axId val="87074211"/>
        <c:axId val="46339625"/>
      </c:barChart>
      <c:catAx>
        <c:axId val="87074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39625"/>
        <c:crosses val="autoZero"/>
        <c:auto val="1"/>
        <c:lblAlgn val="ctr"/>
        <c:lblOffset val="100"/>
        <c:noMultiLvlLbl val="0"/>
      </c:catAx>
      <c:valAx>
        <c:axId val="46339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742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541290046053334"/>
          <c:y val="0.909677469761147"/>
          <c:w val="0.837592126881287"/>
          <c:h val="0.044741102326203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fi-FI" sz="1440" spc="-1" strike="noStrike">
                <a:solidFill>
                  <a:srgbClr val="595959"/>
                </a:solidFill>
                <a:latin typeface="Calibri"/>
              </a:rPr>
              <a:t>8 01 02 + 8 01 03 ESIRAKENTAMINEN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9189156480697"/>
          <c:y val="0.142425283407764"/>
          <c:w val="0.888720803582234"/>
          <c:h val="0.657986946066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'Esirak.'!$B$14</c:f>
              <c:strCache>
                <c:ptCount val="1"/>
                <c:pt idx="0">
                  <c:v>Projektialueiden esirakentaminen/kh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'Esirak.'!$H$9:$S$9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'Esirak.'!$H$14:$S$14</c:f>
              <c:numCache>
                <c:formatCode>General</c:formatCode>
                <c:ptCount val="12"/>
                <c:pt idx="0">
                  <c:v>44</c:v>
                </c:pt>
                <c:pt idx="1">
                  <c:v>55.557</c:v>
                </c:pt>
                <c:pt idx="2">
                  <c:v>96.405286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'Esirak.'!$B$15</c:f>
              <c:strCache>
                <c:ptCount val="1"/>
                <c:pt idx="0">
                  <c:v>Muu esirak.+täyd. rak. korv./kylk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'Esirak.'!$H$9:$S$9</c:f>
              <c:strCach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strCache>
            </c:strRef>
          </c:cat>
          <c:val>
            <c:numRef>
              <c:f>'Esirak.'!$H$15:$S$15</c:f>
              <c:numCache>
                <c:formatCode>General</c:formatCode>
                <c:ptCount val="12"/>
                <c:pt idx="0">
                  <c:v>20.4</c:v>
                </c:pt>
                <c:pt idx="1">
                  <c:v>38</c:v>
                </c:pt>
                <c:pt idx="2">
                  <c:v>28.560129</c:v>
                </c:pt>
                <c:pt idx="3">
                  <c:v>19.9</c:v>
                </c:pt>
                <c:pt idx="4">
                  <c:v>18.7</c:v>
                </c:pt>
                <c:pt idx="5">
                  <c:v>15.4</c:v>
                </c:pt>
                <c:pt idx="6">
                  <c:v>17.9</c:v>
                </c:pt>
                <c:pt idx="7">
                  <c:v>27.1</c:v>
                </c:pt>
                <c:pt idx="8">
                  <c:v>29.8</c:v>
                </c:pt>
                <c:pt idx="9">
                  <c:v>28.4</c:v>
                </c:pt>
                <c:pt idx="10">
                  <c:v>35.9</c:v>
                </c:pt>
                <c:pt idx="11">
                  <c:v>35</c:v>
                </c:pt>
              </c:numCache>
            </c:numRef>
          </c:val>
        </c:ser>
        <c:gapWidth val="150"/>
        <c:overlap val="100"/>
        <c:axId val="99467019"/>
        <c:axId val="46765577"/>
      </c:barChart>
      <c:catAx>
        <c:axId val="99467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65577"/>
        <c:crosses val="autoZero"/>
        <c:auto val="1"/>
        <c:lblAlgn val="ctr"/>
        <c:lblOffset val="100"/>
        <c:noMultiLvlLbl val="0"/>
      </c:catAx>
      <c:valAx>
        <c:axId val="46765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67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06421066783204"/>
          <c:y val="0.871444672629766"/>
          <c:w val="0.576194860015135"/>
          <c:h val="0.1274142277332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000" spc="-1" strike="noStrike" u="sng">
                <a:solidFill>
                  <a:srgbClr val="595959"/>
                </a:solidFill>
                <a:uFillTx/>
                <a:latin typeface="Calibri"/>
              </a:defRPr>
            </a:pPr>
            <a:r>
              <a:rPr b="1" lang="en-US" sz="2000" spc="-1" strike="noStrike" u="sng">
                <a:solidFill>
                  <a:srgbClr val="595959"/>
                </a:solidFill>
                <a:uFillTx/>
                <a:latin typeface="Calibri"/>
              </a:rPr>
              <a:t>KATUINVESTOINNIT 2017-2026 /PYÖRÄILY /
TA2016 ei sisällä ylitysoikeutta</a:t>
            </a:r>
          </a:p>
        </c:rich>
      </c:tx>
      <c:layout>
        <c:manualLayout>
          <c:xMode val="edge"/>
          <c:yMode val="edge"/>
          <c:x val="0.16444493006993"/>
          <c:y val="0.02045092615874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07342657343"/>
          <c:y val="0.199480345318917"/>
          <c:w val="0.842001748251748"/>
          <c:h val="0.4261168384879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Pyöräily!$B$12</c:f>
              <c:strCache>
                <c:ptCount val="1"/>
                <c:pt idx="0">
                  <c:v>UUDISRAKENTAMINEN sis. Projektial.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Pyöräily!$I$12:$S$12</c:f>
              <c:numCache>
                <c:formatCode>General</c:formatCode>
                <c:ptCount val="11"/>
                <c:pt idx="0">
                  <c:v>64.752</c:v>
                </c:pt>
              </c:numCache>
            </c:numRef>
          </c:val>
        </c:ser>
        <c:ser>
          <c:idx val="1"/>
          <c:order val="1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Pyöräily!$H$14:$R$14</c:f>
              <c:numCache>
                <c:formatCode>General</c:formatCode>
                <c:ptCount val="11"/>
                <c:pt idx="0">
                  <c:v>1.794</c:v>
                </c:pt>
                <c:pt idx="1">
                  <c:v>2.58</c:v>
                </c:pt>
                <c:pt idx="2">
                  <c:v>7.72</c:v>
                </c:pt>
                <c:pt idx="4">
                  <c:v>10.542</c:v>
                </c:pt>
                <c:pt idx="5">
                  <c:v>9.639109</c:v>
                </c:pt>
              </c:numCache>
            </c:numRef>
          </c:val>
        </c:ser>
        <c:ser>
          <c:idx val="2"/>
          <c:order val="2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00cc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Pyöräily!$I$14:$S$14</c:f>
              <c:numCache>
                <c:formatCode>General</c:formatCode>
                <c:ptCount val="11"/>
                <c:pt idx="0">
                  <c:v>2.58</c:v>
                </c:pt>
                <c:pt idx="1">
                  <c:v>7.72</c:v>
                </c:pt>
                <c:pt idx="3">
                  <c:v>10.542</c:v>
                </c:pt>
                <c:pt idx="4">
                  <c:v>9.639109</c:v>
                </c:pt>
              </c:numCache>
            </c:numRef>
          </c:val>
        </c:ser>
        <c:ser>
          <c:idx val="3"/>
          <c:order val="3"/>
          <c:tx>
            <c:strRef>
              <c:f>Pyöräily!$B$15</c:f>
              <c:strCache>
                <c:ptCount val="1"/>
                <c:pt idx="0">
                  <c:v>Siltojen peruskorjaus</c:v>
                </c:pt>
              </c:strCache>
            </c:strRef>
          </c:tx>
          <c:spPr>
            <a:solidFill>
              <a:srgbClr val="66ff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Pyöräily!$I$15:$S$15</c:f>
              <c:numCache>
                <c:formatCode>General</c:formatCode>
                <c:ptCount val="11"/>
                <c:pt idx="0">
                  <c:v>7.623</c:v>
                </c:pt>
                <c:pt idx="1">
                  <c:v>3.331</c:v>
                </c:pt>
                <c:pt idx="2">
                  <c:v>8.885</c:v>
                </c:pt>
                <c:pt idx="3">
                  <c:v>10.623</c:v>
                </c:pt>
                <c:pt idx="4">
                  <c:v>15.914662</c:v>
                </c:pt>
                <c:pt idx="5">
                  <c:v>4.9</c:v>
                </c:pt>
                <c:pt idx="6">
                  <c:v>8.1</c:v>
                </c:pt>
                <c:pt idx="7">
                  <c:v>15.3</c:v>
                </c:pt>
                <c:pt idx="8">
                  <c:v>32</c:v>
                </c:pt>
                <c:pt idx="9">
                  <c:v>27.65</c:v>
                </c:pt>
                <c:pt idx="10">
                  <c:v>17.9</c:v>
                </c:pt>
              </c:numCache>
            </c:numRef>
          </c:val>
        </c:ser>
        <c:ser>
          <c:idx val="4"/>
          <c:order val="4"/>
          <c:tx>
            <c:strRef>
              <c:f>Pyöräily!$B$16</c:f>
              <c:strCache>
                <c:ptCount val="1"/>
                <c:pt idx="0">
                  <c:v>Ulkovalaistuksen peruskorjaus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Pyöräily!$C$16:$R$16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5"/>
          <c:tx>
            <c:strRef>
              <c:f>Pyöräily!$B$17</c:f>
              <c:strCache>
                <c:ptCount val="1"/>
                <c:pt idx="0">
                  <c:v>Päällysteiden uusiminen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Pyöräily!$I$17:$S$17</c:f>
              <c:numCache>
                <c:formatCode>General</c:formatCode>
                <c:ptCount val="11"/>
                <c:pt idx="0">
                  <c:v>4.875</c:v>
                </c:pt>
                <c:pt idx="1">
                  <c:v>4.185</c:v>
                </c:pt>
                <c:pt idx="2">
                  <c:v>4.218</c:v>
                </c:pt>
                <c:pt idx="3">
                  <c:v>4.226</c:v>
                </c:pt>
                <c:pt idx="4">
                  <c:v>4.361582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tx>
            <c:strRef>
              <c:f>Pyöräily!$B$18</c:f>
              <c:strCache>
                <c:ptCount val="1"/>
                <c:pt idx="0">
                  <c:v>Liikennejärjestelyt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Pyöräily!$I$18:$S$18</c:f>
              <c:numCache>
                <c:formatCode>General</c:formatCode>
                <c:ptCount val="11"/>
                <c:pt idx="0">
                  <c:v>2.324</c:v>
                </c:pt>
                <c:pt idx="1">
                  <c:v>3.311</c:v>
                </c:pt>
                <c:pt idx="2">
                  <c:v>3.188</c:v>
                </c:pt>
                <c:pt idx="3">
                  <c:v>8.139</c:v>
                </c:pt>
                <c:pt idx="4">
                  <c:v>10.718579</c:v>
                </c:pt>
                <c:pt idx="5">
                  <c:v>4.7</c:v>
                </c:pt>
                <c:pt idx="6">
                  <c:v>9</c:v>
                </c:pt>
                <c:pt idx="7">
                  <c:v>6</c:v>
                </c:pt>
                <c:pt idx="8">
                  <c:v>6.5</c:v>
                </c:pt>
                <c:pt idx="9">
                  <c:v>5.6</c:v>
                </c:pt>
                <c:pt idx="10">
                  <c:v>4.5</c:v>
                </c:pt>
              </c:numCache>
            </c:numRef>
          </c:val>
        </c:ser>
        <c:ser>
          <c:idx val="7"/>
          <c:order val="7"/>
          <c:tx>
            <c:strRef>
              <c:f>Pyöräily!$B$19</c:f>
              <c:strCache>
                <c:ptCount val="1"/>
                <c:pt idx="0">
                  <c:v>Jalankulun ja pyöräilyn väylät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Pyöräily!$I$19:$S$19</c:f>
              <c:numCache>
                <c:formatCode>General</c:formatCode>
                <c:ptCount val="11"/>
                <c:pt idx="0">
                  <c:v>10.992</c:v>
                </c:pt>
                <c:pt idx="1">
                  <c:v>14.205</c:v>
                </c:pt>
                <c:pt idx="2">
                  <c:v>12.592</c:v>
                </c:pt>
                <c:pt idx="3">
                  <c:v>13.9</c:v>
                </c:pt>
                <c:pt idx="4">
                  <c:v>24.42473</c:v>
                </c:pt>
                <c:pt idx="5">
                  <c:v>25.5</c:v>
                </c:pt>
                <c:pt idx="6">
                  <c:v>23.5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</c:numCache>
            </c:numRef>
          </c:val>
        </c:ser>
        <c:ser>
          <c:idx val="8"/>
          <c:order val="8"/>
          <c:tx>
            <c:strRef>
              <c:f>Pyöräily!$B$21</c:f>
              <c:strCache>
                <c:ptCount val="1"/>
                <c:pt idx="0">
                  <c:v>LIIKENNEVIRASTO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Pyöräily!$I$21:$S$21</c:f>
              <c:numCache>
                <c:formatCode>General</c:formatCode>
                <c:ptCount val="11"/>
                <c:pt idx="0">
                  <c:v>8.775</c:v>
                </c:pt>
                <c:pt idx="1">
                  <c:v>1.121</c:v>
                </c:pt>
                <c:pt idx="2">
                  <c:v>1.65</c:v>
                </c:pt>
                <c:pt idx="3">
                  <c:v>0.919</c:v>
                </c:pt>
                <c:pt idx="4">
                  <c:v>0.872624</c:v>
                </c:pt>
                <c:pt idx="5">
                  <c:v>2.09</c:v>
                </c:pt>
                <c:pt idx="6">
                  <c:v>0.9</c:v>
                </c:pt>
                <c:pt idx="7">
                  <c:v>0.6</c:v>
                </c:pt>
                <c:pt idx="8">
                  <c:v>1.1</c:v>
                </c:pt>
                <c:pt idx="9">
                  <c:v>7.8</c:v>
                </c:pt>
                <c:pt idx="10">
                  <c:v>21.7</c:v>
                </c:pt>
              </c:numCache>
            </c:numRef>
          </c:val>
        </c:ser>
        <c:ser>
          <c:idx val="9"/>
          <c:order val="9"/>
          <c:tx>
            <c:strRef>
              <c:f>Pyöräily!$B$22</c:f>
              <c:strCache>
                <c:ptCount val="1"/>
                <c:pt idx="0">
                  <c:v>MUU KADUNPITO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Pyöräily!$C$22:$R$22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strRef>
              <c:f>Pyöräily!$B$23</c:f>
              <c:strCache>
                <c:ptCount val="1"/>
                <c:pt idx="0">
                  <c:v>LIITYNTÄPYSÄKÖINTI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Pyöräily!$I$9:$S$9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strCache>
            </c:strRef>
          </c:cat>
          <c:val>
            <c:numRef>
              <c:f>Pyöräily!$I$23:$S$23</c:f>
              <c:numCache>
                <c:formatCode>General</c:formatCode>
                <c:ptCount val="11"/>
              </c:numCache>
            </c:numRef>
          </c:val>
        </c:ser>
        <c:gapWidth val="150"/>
        <c:overlap val="100"/>
        <c:axId val="53648459"/>
        <c:axId val="371283"/>
      </c:barChart>
      <c:catAx>
        <c:axId val="5364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283"/>
        <c:crosses val="autoZero"/>
        <c:auto val="1"/>
        <c:lblAlgn val="ctr"/>
        <c:lblOffset val="100"/>
        <c:noMultiLvlLbl val="0"/>
      </c:catAx>
      <c:valAx>
        <c:axId val="371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i-FI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fi-FI" sz="1200" spc="-1" strike="noStrike">
                    <a:solidFill>
                      <a:srgbClr val="595959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48459"/>
        <c:crosses val="autoZero"/>
        <c:crossBetween val="between"/>
        <c:majorUnit val="20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3572296440473"/>
          <c:y val="0.684606212466942"/>
          <c:w val="0.794485301467077"/>
          <c:h val="0.28782053651744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5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2400" spc="-1" strike="noStrike" u="sng">
                <a:solidFill>
                  <a:srgbClr val="000000"/>
                </a:solidFill>
                <a:uFillTx/>
                <a:latin typeface="Arial"/>
                <a:ea typeface="Arial"/>
              </a:defRPr>
            </a:pPr>
            <a:r>
              <a:rPr b="1" lang="fi-FI" sz="2400" spc="-1" strike="noStrike" u="sng">
                <a:solidFill>
                  <a:srgbClr val="000000"/>
                </a:solidFill>
                <a:uFillTx/>
                <a:latin typeface="Arial"/>
                <a:ea typeface="Arial"/>
              </a:rPr>
              <a:t>PUISTOINVESTOINNIT 2017 - 2026
TA 2016 lisäksi ylitysoikeutta 2,9 M€
      </a:t>
            </a:r>
          </a:p>
        </c:rich>
      </c:tx>
      <c:layout>
        <c:manualLayout>
          <c:xMode val="edge"/>
          <c:yMode val="edge"/>
          <c:x val="0.214794672306569"/>
          <c:y val="0.021390170435047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725784928368"/>
          <c:y val="0.150531894612422"/>
          <c:w val="0.722839086537251"/>
          <c:h val="0.579097876234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puistot'!$B$12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puistot'!$H$12:$S$12</c:f>
              <c:numCache>
                <c:formatCode>General</c:formatCode>
                <c:ptCount val="12"/>
                <c:pt idx="0">
                  <c:v>1.51</c:v>
                </c:pt>
                <c:pt idx="1">
                  <c:v>2.324</c:v>
                </c:pt>
                <c:pt idx="2">
                  <c:v>2.59381838</c:v>
                </c:pt>
                <c:pt idx="3">
                  <c:v>3.12372997</c:v>
                </c:pt>
                <c:pt idx="4">
                  <c:v>0</c:v>
                </c:pt>
                <c:pt idx="5">
                  <c:v>8.07609164</c:v>
                </c:pt>
                <c:pt idx="6">
                  <c:v>0</c:v>
                </c:pt>
                <c:pt idx="7">
                  <c:v>2.5</c:v>
                </c:pt>
                <c:pt idx="8">
                  <c:v>5.9</c:v>
                </c:pt>
                <c:pt idx="9">
                  <c:v>4.9</c:v>
                </c:pt>
                <c:pt idx="10">
                  <c:v>4.9</c:v>
                </c:pt>
                <c:pt idx="11">
                  <c:v>4.1</c:v>
                </c:pt>
              </c:numCache>
            </c:numRef>
          </c:val>
        </c:ser>
        <c:ser>
          <c:idx val="1"/>
          <c:order val="1"/>
          <c:tx>
            <c:strRef>
              <c:f>'Kaavio, puistot'!$B$13</c:f>
              <c:strCache>
                <c:ptCount val="1"/>
                <c:pt idx="0">
                  <c:v>PERUSKORJAUS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puistot'!$H$13:$S$13</c:f>
              <c:numCache>
                <c:formatCode>General</c:formatCode>
                <c:ptCount val="12"/>
                <c:pt idx="0">
                  <c:v>1.794</c:v>
                </c:pt>
                <c:pt idx="1">
                  <c:v>2.016</c:v>
                </c:pt>
                <c:pt idx="2">
                  <c:v>2.35518162</c:v>
                </c:pt>
                <c:pt idx="3">
                  <c:v>3.39286154</c:v>
                </c:pt>
                <c:pt idx="4">
                  <c:v>0.192</c:v>
                </c:pt>
                <c:pt idx="5">
                  <c:v>10.8114646</c:v>
                </c:pt>
                <c:pt idx="6">
                  <c:v>0</c:v>
                </c:pt>
                <c:pt idx="7">
                  <c:v>3.7</c:v>
                </c:pt>
                <c:pt idx="8">
                  <c:v>7.1</c:v>
                </c:pt>
                <c:pt idx="9">
                  <c:v>8.1</c:v>
                </c:pt>
                <c:pt idx="10">
                  <c:v>7.5</c:v>
                </c:pt>
                <c:pt idx="11">
                  <c:v>5.7</c:v>
                </c:pt>
              </c:numCache>
            </c:numRef>
          </c:val>
        </c:ser>
        <c:ser>
          <c:idx val="2"/>
          <c:order val="2"/>
          <c:tx>
            <c:strRef>
              <c:f>'Kaavio, puistot'!$B$14</c:f>
              <c:strCache>
                <c:ptCount val="1"/>
                <c:pt idx="0">
                  <c:v>KAMPPI-TÖÖLÖNLAHTI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puistot'!$H$14:$S$14</c:f>
              <c:numCache>
                <c:formatCode>General</c:formatCode>
                <c:ptCount val="12"/>
                <c:pt idx="0">
                  <c:v>5.398</c:v>
                </c:pt>
                <c:pt idx="1">
                  <c:v>0.457</c:v>
                </c:pt>
                <c:pt idx="2">
                  <c:v>0.25</c:v>
                </c:pt>
                <c:pt idx="3">
                  <c:v>5</c:v>
                </c:pt>
                <c:pt idx="4">
                  <c:v>2.496</c:v>
                </c:pt>
                <c:pt idx="5">
                  <c:v>0.19915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'Kaavio, puistot'!$B$15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puistot'!$H$15:$S$15</c:f>
              <c:numCache>
                <c:formatCode>General</c:formatCode>
                <c:ptCount val="12"/>
                <c:pt idx="0">
                  <c:v>0.349</c:v>
                </c:pt>
                <c:pt idx="1">
                  <c:v>1.582</c:v>
                </c:pt>
                <c:pt idx="2">
                  <c:v>1.355</c:v>
                </c:pt>
                <c:pt idx="3">
                  <c:v>2.879</c:v>
                </c:pt>
                <c:pt idx="4">
                  <c:v>6.441</c:v>
                </c:pt>
                <c:pt idx="5">
                  <c:v>4.14605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'Kaavio, puistot'!$B$16</c:f>
              <c:strCache>
                <c:ptCount val="1"/>
                <c:pt idx="0">
                  <c:v> KALASATAMA</c:v>
                </c:pt>
              </c:strCache>
            </c:strRef>
          </c:tx>
          <c:spPr>
            <a:solidFill>
              <a:srgbClr val="ff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puistot'!$H$16:$S$16</c:f>
              <c:numCache>
                <c:formatCode>General</c:formatCode>
                <c:ptCount val="12"/>
                <c:pt idx="0">
                  <c:v>0.418</c:v>
                </c:pt>
                <c:pt idx="1">
                  <c:v>1.368</c:v>
                </c:pt>
                <c:pt idx="2">
                  <c:v>1.088</c:v>
                </c:pt>
                <c:pt idx="3">
                  <c:v>0.422</c:v>
                </c:pt>
                <c:pt idx="4">
                  <c:v>1.293</c:v>
                </c:pt>
                <c:pt idx="5">
                  <c:v>1.58283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'Kaavio, puistot'!$B$17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puistot'!$H$17:$S$17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0.268</c:v>
                </c:pt>
                <c:pt idx="4">
                  <c:v>0.471</c:v>
                </c:pt>
                <c:pt idx="5">
                  <c:v>1.036373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'Kaavio, puistot'!$B$18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puistot'!$H$18:$S$18</c:f>
              <c:numCache>
                <c:formatCode>General</c:formatCode>
                <c:ptCount val="12"/>
                <c:pt idx="0">
                  <c:v>0</c:v>
                </c:pt>
                <c:pt idx="1">
                  <c:v>0.095</c:v>
                </c:pt>
                <c:pt idx="2">
                  <c:v>0.195</c:v>
                </c:pt>
                <c:pt idx="3">
                  <c:v>0.896</c:v>
                </c:pt>
                <c:pt idx="4">
                  <c:v>0.051</c:v>
                </c:pt>
                <c:pt idx="5">
                  <c:v>0.114308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'Kaavio, puistot'!$B$19</c:f>
              <c:strCache>
                <c:ptCount val="1"/>
                <c:pt idx="0">
                  <c:v>KUNINKAANTAMMI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puistot'!$H$9:$S$9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strCache>
            </c:strRef>
          </c:cat>
          <c:val>
            <c:numRef>
              <c:f>'Kaavio, puistot'!$H$19:$S$19</c:f>
              <c:numCache>
                <c:formatCode>General</c:formatCode>
                <c:ptCount val="12"/>
                <c:pt idx="0">
                  <c:v>0.059</c:v>
                </c:pt>
                <c:pt idx="1">
                  <c:v>0.328</c:v>
                </c:pt>
                <c:pt idx="2">
                  <c:v>0.742</c:v>
                </c:pt>
                <c:pt idx="3">
                  <c:v>0.23</c:v>
                </c:pt>
                <c:pt idx="4">
                  <c:v>0.706</c:v>
                </c:pt>
                <c:pt idx="5">
                  <c:v>1.688293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35372036"/>
        <c:axId val="55280347"/>
      </c:barChart>
      <c:catAx>
        <c:axId val="353720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280347"/>
        <c:crosses val="autoZero"/>
        <c:auto val="1"/>
        <c:lblAlgn val="ctr"/>
        <c:lblOffset val="100"/>
        <c:noMultiLvlLbl val="0"/>
      </c:catAx>
      <c:valAx>
        <c:axId val="5528034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i-FI" sz="1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fi-FI" sz="1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43515371251605"/>
              <c:y val="0.165783353033134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37203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216340822452655"/>
          <c:y val="0.808665121564191"/>
          <c:w val="0.728464724301029"/>
          <c:h val="0.115642710903985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i-FI" sz="2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fi-FI" sz="2400" spc="-1" strike="noStrike">
                <a:solidFill>
                  <a:srgbClr val="000000"/>
                </a:solidFill>
                <a:latin typeface="Arial"/>
                <a:ea typeface="Arial"/>
              </a:rPr>
              <a:t>PUISTOINVESTOINNIT 2010 - 2015
TAE 2011 - 15 verrattuna TA 2010 - 2014
          - 2009 sisältää talousarvion  ylitysoikeudet</a:t>
            </a:r>
          </a:p>
        </c:rich>
      </c:tx>
      <c:layout>
        <c:manualLayout>
          <c:xMode val="edge"/>
          <c:yMode val="edge"/>
          <c:x val="0.159195643066611"/>
          <c:y val="0.025862464973126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07038123167"/>
          <c:y val="0.267490468096835"/>
          <c:w val="0.795391705069124"/>
          <c:h val="0.563415866599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'Kaavio, puistot'!$B$93</c:f>
              <c:strCache>
                <c:ptCount val="1"/>
                <c:pt idx="0">
                  <c:v>TAE &amp; TSE 2011 - 2015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1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puistot'!$C$90:$G$90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'Kaavio, puistot'!$C$93:$G$93</c:f>
              <c:numCache>
                <c:formatCode>General</c:formatCode>
                <c:ptCount val="1"/>
                <c:pt idx="0">
                  <c:v>16.668</c:v>
                </c:pt>
              </c:numCache>
            </c:numRef>
          </c:val>
        </c:ser>
        <c:ser>
          <c:idx val="1"/>
          <c:order val="1"/>
          <c:tx>
            <c:strRef>
              <c:f>'Kaavio, puistot'!$B$94</c:f>
              <c:strCache>
                <c:ptCount val="1"/>
                <c:pt idx="0">
                  <c:v>TA 2010 - 2014</c:v>
                </c:pt>
              </c:strCache>
            </c:strRef>
          </c:tx>
          <c:spPr>
            <a:solidFill>
              <a:srgbClr val="3366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1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puistot'!$C$90:$G$90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'Kaavio, puistot'!$C$94:$G$94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54302366"/>
        <c:axId val="98661149"/>
      </c:barChart>
      <c:catAx>
        <c:axId val="54302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661149"/>
        <c:crosses val="autoZero"/>
        <c:auto val="1"/>
        <c:lblAlgn val="ctr"/>
        <c:lblOffset val="100"/>
        <c:noMultiLvlLbl val="0"/>
      </c:catAx>
      <c:valAx>
        <c:axId val="9866114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fi-FI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fi-FI" sz="16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0806451612903226"/>
              <c:y val="0.287840507143185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30236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0881174648998603"/>
          <c:y val="0.916760842318769"/>
          <c:w val="0.683578127886046"/>
          <c:h val="0.0247469248603949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b="1" sz="13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0</xdr:colOff>
      <xdr:row>554</xdr:row>
      <xdr:rowOff>152280</xdr:rowOff>
    </xdr:from>
    <xdr:to>
      <xdr:col>32</xdr:col>
      <xdr:colOff>337320</xdr:colOff>
      <xdr:row>582</xdr:row>
      <xdr:rowOff>187560</xdr:rowOff>
    </xdr:to>
    <xdr:graphicFrame>
      <xdr:nvGraphicFramePr>
        <xdr:cNvPr id="0" name="Kaavio 6"/>
        <xdr:cNvGraphicFramePr/>
      </xdr:nvGraphicFramePr>
      <xdr:xfrm>
        <a:off x="6867360" y="109442160"/>
        <a:ext cx="337320" cy="53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100080</xdr:colOff>
      <xdr:row>19</xdr:row>
      <xdr:rowOff>66600</xdr:rowOff>
    </xdr:from>
    <xdr:to>
      <xdr:col>30</xdr:col>
      <xdr:colOff>187920</xdr:colOff>
      <xdr:row>61</xdr:row>
      <xdr:rowOff>76680</xdr:rowOff>
    </xdr:to>
    <xdr:graphicFrame>
      <xdr:nvGraphicFramePr>
        <xdr:cNvPr id="36" name="Chart 3"/>
        <xdr:cNvGraphicFramePr/>
      </xdr:nvGraphicFramePr>
      <xdr:xfrm>
        <a:off x="14194440" y="3886200"/>
        <a:ext cx="11860920" cy="801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988200</xdr:colOff>
      <xdr:row>18</xdr:row>
      <xdr:rowOff>119160</xdr:rowOff>
    </xdr:from>
    <xdr:to>
      <xdr:col>11</xdr:col>
      <xdr:colOff>354600</xdr:colOff>
      <xdr:row>56</xdr:row>
      <xdr:rowOff>69120</xdr:rowOff>
    </xdr:to>
    <xdr:graphicFrame>
      <xdr:nvGraphicFramePr>
        <xdr:cNvPr id="44" name="Kaavio 2"/>
        <xdr:cNvGraphicFramePr/>
      </xdr:nvGraphicFramePr>
      <xdr:xfrm>
        <a:off x="1672560" y="3748320"/>
        <a:ext cx="10984680" cy="71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0.179707417749181</cdr:x>
      <cdr:y>0.309382582906444</cdr:y>
    </cdr:from>
    <cdr:to>
      <cdr:x>0.211788272429283</cdr:x>
      <cdr:y>0.412510110541925</cdr:y>
    </cdr:to>
    <cdr:sp>
      <cdr:nvSpPr>
        <cdr:cNvPr id="37" name="Tekstiruutu 1"/>
        <cdr:cNvSpPr/>
      </cdr:nvSpPr>
      <cdr:spPr>
        <a:xfrm>
          <a:off x="2131560" y="2478600"/>
          <a:ext cx="380520" cy="8262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TP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0.272763141920602</cdr:x>
      <cdr:y>0.521973577783769</cdr:y>
    </cdr:from>
    <cdr:to>
      <cdr:x>0.315618550443123</cdr:x>
      <cdr:y>0.570638986249663</cdr:y>
    </cdr:to>
    <cdr:sp>
      <cdr:nvSpPr>
        <cdr:cNvPr id="38" name="Tekstiruutu 2"/>
        <cdr:cNvSpPr/>
      </cdr:nvSpPr>
      <cdr:spPr>
        <a:xfrm>
          <a:off x="3235320" y="4181760"/>
          <a:ext cx="508320" cy="3898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0.236949131965521</cdr:x>
      <cdr:y>0.311404691291453</cdr:y>
    </cdr:from>
    <cdr:to>
      <cdr:x>0.271184897414107</cdr:x>
      <cdr:y>0.3619124651748</cdr:y>
    </cdr:to>
    <cdr:sp>
      <cdr:nvSpPr>
        <cdr:cNvPr id="39" name="Tekstiruutu 3"/>
        <cdr:cNvSpPr/>
      </cdr:nvSpPr>
      <cdr:spPr>
        <a:xfrm>
          <a:off x="2810520" y="2494800"/>
          <a:ext cx="406080" cy="404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0.328972927036542</cdr:x>
      <cdr:y>0.411296845510919</cdr:y>
    </cdr:from>
    <cdr:to>
      <cdr:x>0.397656913924973</cdr:x>
      <cdr:y>0.515502830951739</cdr:y>
    </cdr:to>
    <cdr:sp>
      <cdr:nvSpPr>
        <cdr:cNvPr id="40" name="Tekstiruutu 4"/>
        <cdr:cNvSpPr/>
      </cdr:nvSpPr>
      <cdr:spPr>
        <a:xfrm>
          <a:off x="3902040" y="3295080"/>
          <a:ext cx="814680" cy="834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0.328972927036542</cdr:x>
      <cdr:y>0.398580030556305</cdr:y>
    </cdr:from>
    <cdr:to>
      <cdr:x>0.397656913924973</cdr:x>
      <cdr:y>0.502786015997124</cdr:y>
    </cdr:to>
    <cdr:sp>
      <cdr:nvSpPr>
        <cdr:cNvPr id="41" name="Tekstiruutu 5"/>
        <cdr:cNvSpPr/>
      </cdr:nvSpPr>
      <cdr:spPr>
        <a:xfrm>
          <a:off x="3902040" y="3193200"/>
          <a:ext cx="814680" cy="834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0.358868520092267</cdr:x>
      <cdr:y>0.447559989215422</cdr:y>
    </cdr:from>
    <cdr:to>
      <cdr:x>0.427552506980697</cdr:x>
      <cdr:y>0.551765974656242</cdr:y>
    </cdr:to>
    <cdr:sp>
      <cdr:nvSpPr>
        <cdr:cNvPr id="42" name="Tekstiruutu 6"/>
        <cdr:cNvSpPr/>
      </cdr:nvSpPr>
      <cdr:spPr>
        <a:xfrm>
          <a:off x="4256640" y="3585600"/>
          <a:ext cx="814680" cy="834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0.288788393832706</cdr:x>
      <cdr:y>0.291183607441359</cdr:y>
    </cdr:from>
    <cdr:to>
      <cdr:x>0.351857472380721</cdr:x>
      <cdr:y>0.346319762739283</cdr:y>
    </cdr:to>
    <cdr:sp>
      <cdr:nvSpPr>
        <cdr:cNvPr id="43" name="Tekstiruutu 7"/>
        <cdr:cNvSpPr/>
      </cdr:nvSpPr>
      <cdr:spPr>
        <a:xfrm>
          <a:off x="3425400" y="2332800"/>
          <a:ext cx="748080" cy="441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TAE</a:t>
          </a: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</cdr:txBody>
    </cdr: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0.00514517926197811</cdr:x>
      <cdr:y>0.126940410615924</cdr:y>
    </cdr:from>
    <cdr:to>
      <cdr:x>0.0770138297175067</cdr:x>
      <cdr:y>0.162844266399599</cdr:y>
    </cdr:to>
    <cdr:sp>
      <cdr:nvSpPr>
        <cdr:cNvPr id="45" name="Tekstiruutu 1"/>
        <cdr:cNvSpPr/>
      </cdr:nvSpPr>
      <cdr:spPr>
        <a:xfrm>
          <a:off x="56520" y="912600"/>
          <a:ext cx="789480" cy="258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400" spc="-1" strike="noStrike">
              <a:latin typeface="Times New Roman"/>
            </a:rPr>
            <a:t>M€</a:t>
          </a:r>
          <a:endParaRPr b="0" sz="1400" spc="-1" strike="noStrike">
            <a:latin typeface="Times New Roman"/>
          </a:endParaRPr>
        </a:p>
      </cdr:txBody>
    </cdr:sp>
  </cdr:relSizeAnchor>
  <cdr:relSizeAnchor>
    <cdr:from>
      <cdr:x>0.101297764960346</cdr:x>
      <cdr:y>0.289233850776164</cdr:y>
    </cdr:from>
    <cdr:to>
      <cdr:x>0.136920757684997</cdr:x>
      <cdr:y>0.369103655483225</cdr:y>
    </cdr:to>
    <cdr:sp>
      <cdr:nvSpPr>
        <cdr:cNvPr id="46" name="Tekstiruutu 2"/>
        <cdr:cNvSpPr/>
      </cdr:nvSpPr>
      <cdr:spPr>
        <a:xfrm>
          <a:off x="1112760" y="2079360"/>
          <a:ext cx="391320" cy="5742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endParaRPr b="0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fi-FI" sz="1600" spc="-1" strike="noStrike">
              <a:latin typeface="Times New Roman"/>
            </a:rPr>
            <a:t>TP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0.181982041030347</cdr:x>
      <cdr:y>0.271707561342013</cdr:y>
    </cdr:from>
    <cdr:to>
      <cdr:x>0.313593760241201</cdr:x>
      <cdr:y>0.426089133700551</cdr:y>
    </cdr:to>
    <cdr:sp>
      <cdr:nvSpPr>
        <cdr:cNvPr id="47" name="Tekstiruutu 3"/>
        <cdr:cNvSpPr/>
      </cdr:nvSpPr>
      <cdr:spPr>
        <a:xfrm>
          <a:off x="1999080" y="1953360"/>
          <a:ext cx="1445760" cy="11098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0.178540997574884</cdr:x>
      <cdr:y>0.273760640961442</cdr:y>
    </cdr:from>
    <cdr:to>
      <cdr:x>0.310152716785738</cdr:x>
      <cdr:y>0.428192288432649</cdr:y>
    </cdr:to>
    <cdr:sp>
      <cdr:nvSpPr>
        <cdr:cNvPr id="48" name="Tekstiruutu 4"/>
        <cdr:cNvSpPr/>
      </cdr:nvSpPr>
      <cdr:spPr>
        <a:xfrm>
          <a:off x="1961280" y="1968120"/>
          <a:ext cx="1445760" cy="1110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0.17860654125975</cdr:x>
      <cdr:y>0.277616424636955</cdr:y>
    </cdr:from>
    <cdr:to>
      <cdr:x>0.218358786130956</cdr:x>
      <cdr:y>0.324186279419129</cdr:y>
    </cdr:to>
    <cdr:sp>
      <cdr:nvSpPr>
        <cdr:cNvPr id="49" name="Tekstiruutu 5"/>
        <cdr:cNvSpPr/>
      </cdr:nvSpPr>
      <cdr:spPr>
        <a:xfrm>
          <a:off x="1962000" y="1995840"/>
          <a:ext cx="436680" cy="334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Times New Roman"/>
            </a:rPr>
            <a:t>TP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0.247656813266042</cdr:x>
      <cdr:y>0.23515272909364</cdr:y>
    </cdr:from>
    <cdr:to>
      <cdr:x>0.29973127089205</cdr:x>
      <cdr:y>0.269303955933901</cdr:y>
    </cdr:to>
    <cdr:sp>
      <cdr:nvSpPr>
        <cdr:cNvPr id="50" name="Tekstiruutu 6"/>
        <cdr:cNvSpPr/>
      </cdr:nvSpPr>
      <cdr:spPr>
        <a:xfrm>
          <a:off x="2720520" y="1690560"/>
          <a:ext cx="572040" cy="2455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Times New Roman"/>
            </a:rPr>
            <a:t>TA</a:t>
          </a: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</cdr:txBody>
    </cdr:sp>
  </cdr:relSizeAnchor>
  <cdr:relSizeAnchor>
    <cdr:from>
      <cdr:x>0.318738939503179</cdr:x>
      <cdr:y>0.230595893840761</cdr:y>
    </cdr:from>
    <cdr:to>
      <cdr:x>0.368027790522383</cdr:x>
      <cdr:y>0.280320480721082</cdr:y>
    </cdr:to>
    <cdr:sp>
      <cdr:nvSpPr>
        <cdr:cNvPr id="51" name="Tekstiruutu 7"/>
        <cdr:cNvSpPr/>
      </cdr:nvSpPr>
      <cdr:spPr>
        <a:xfrm>
          <a:off x="3501360" y="1657800"/>
          <a:ext cx="541440" cy="357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400" spc="-1" strike="noStrike">
              <a:latin typeface="Arial"/>
            </a:rPr>
            <a:t>TAE</a:t>
          </a:r>
          <a:endParaRPr b="0" sz="1400" spc="-1" strike="noStrike">
            <a:latin typeface="Times New Roman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79200</xdr:colOff>
      <xdr:row>18</xdr:row>
      <xdr:rowOff>120600</xdr:rowOff>
    </xdr:from>
    <xdr:to>
      <xdr:col>15</xdr:col>
      <xdr:colOff>543240</xdr:colOff>
      <xdr:row>51</xdr:row>
      <xdr:rowOff>16560</xdr:rowOff>
    </xdr:to>
    <xdr:graphicFrame>
      <xdr:nvGraphicFramePr>
        <xdr:cNvPr id="52" name="Kaavio 2"/>
        <xdr:cNvGraphicFramePr/>
      </xdr:nvGraphicFramePr>
      <xdr:xfrm>
        <a:off x="4343400" y="3568680"/>
        <a:ext cx="5949000" cy="52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0.00357013191334866</cdr:x>
      <cdr:y>0.0615596015115081</cdr:y>
    </cdr:from>
    <cdr:to>
      <cdr:x>0.0764855379402154</cdr:x>
      <cdr:y>0.14723462727585</cdr:y>
    </cdr:to>
    <cdr:sp>
      <cdr:nvSpPr>
        <cdr:cNvPr id="53" name="Tekstiruutu 1"/>
        <cdr:cNvSpPr/>
      </cdr:nvSpPr>
      <cdr:spPr>
        <a:xfrm>
          <a:off x="21240" y="322560"/>
          <a:ext cx="433800" cy="4489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200" spc="-1" strike="noStrike">
              <a:latin typeface="Times New Roman"/>
            </a:rPr>
            <a:t>M€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0.0968171366331841</cdr:x>
      <cdr:y>0.388182755066987</cdr:y>
    </cdr:from>
    <cdr:to>
      <cdr:x>0.15539150429626</cdr:x>
      <cdr:y>0.446032291308829</cdr:y>
    </cdr:to>
    <cdr:sp>
      <cdr:nvSpPr>
        <cdr:cNvPr id="54" name="Tekstiruutu 2"/>
        <cdr:cNvSpPr/>
      </cdr:nvSpPr>
      <cdr:spPr>
        <a:xfrm>
          <a:off x="576000" y="2034000"/>
          <a:ext cx="348480" cy="303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200" spc="-1" strike="noStrike">
              <a:latin typeface="Times New Roman"/>
            </a:rPr>
            <a:t>TP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0.169611521239259</cdr:x>
      <cdr:y>0.261971830985916</cdr:y>
    </cdr:from>
    <cdr:to>
      <cdr:x>0.230848360159748</cdr:x>
      <cdr:y>0.322019924424596</cdr:y>
    </cdr:to>
    <cdr:sp>
      <cdr:nvSpPr>
        <cdr:cNvPr id="55" name="Tekstiruutu 3"/>
        <cdr:cNvSpPr/>
      </cdr:nvSpPr>
      <cdr:spPr>
        <a:xfrm>
          <a:off x="1009080" y="1372680"/>
          <a:ext cx="364320" cy="314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200" spc="-1" strike="noStrike">
              <a:latin typeface="Times New Roman"/>
            </a:rPr>
            <a:t>TA</a:t>
          </a:r>
          <a:endParaRPr b="0" sz="1200" spc="-1" strike="noStrike">
            <a:latin typeface="Times New Roman"/>
          </a:endParaRPr>
        </a:p>
      </cdr:txBody>
    </cdr:sp>
  </cdr:relSizeAnchor>
  <cdr:relSizeAnchor>
    <cdr:from>
      <cdr:x>0.233873895679535</cdr:x>
      <cdr:y>0.144967365166609</cdr:y>
    </cdr:from>
    <cdr:to>
      <cdr:x>0.308604623018274</cdr:x>
      <cdr:y>0.224527653727242</cdr:y>
    </cdr:to>
    <cdr:sp>
      <cdr:nvSpPr>
        <cdr:cNvPr id="56" name="Tekstiruutu 4"/>
        <cdr:cNvSpPr/>
      </cdr:nvSpPr>
      <cdr:spPr>
        <a:xfrm>
          <a:off x="1391400" y="759600"/>
          <a:ext cx="444600" cy="4168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200" spc="-1" strike="noStrike">
              <a:latin typeface="Times New Roman"/>
            </a:rPr>
            <a:t>TAE</a:t>
          </a:r>
          <a:endParaRPr b="0" sz="1200" spc="-1" strike="noStrike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450360</xdr:colOff>
      <xdr:row>40</xdr:row>
      <xdr:rowOff>51840</xdr:rowOff>
    </xdr:from>
    <xdr:to>
      <xdr:col>18</xdr:col>
      <xdr:colOff>494280</xdr:colOff>
      <xdr:row>66</xdr:row>
      <xdr:rowOff>136440</xdr:rowOff>
    </xdr:to>
    <xdr:graphicFrame>
      <xdr:nvGraphicFramePr>
        <xdr:cNvPr id="57" name="Kaavio 5"/>
        <xdr:cNvGraphicFramePr/>
      </xdr:nvGraphicFramePr>
      <xdr:xfrm>
        <a:off x="3703320" y="7767000"/>
        <a:ext cx="6589080" cy="42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158400</xdr:colOff>
      <xdr:row>47</xdr:row>
      <xdr:rowOff>149760</xdr:rowOff>
    </xdr:from>
    <xdr:to>
      <xdr:col>9</xdr:col>
      <xdr:colOff>493560</xdr:colOff>
      <xdr:row>49</xdr:row>
      <xdr:rowOff>68040</xdr:rowOff>
    </xdr:to>
    <xdr:sp>
      <xdr:nvSpPr>
        <xdr:cNvPr id="58" name="Tekstiruutu 1"/>
        <xdr:cNvSpPr/>
      </xdr:nvSpPr>
      <xdr:spPr>
        <a:xfrm>
          <a:off x="4601520" y="8998560"/>
          <a:ext cx="3351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1" lang="fi-FI" sz="1200" spc="-1" strike="noStrike">
              <a:solidFill>
                <a:srgbClr val="000000"/>
              </a:solidFill>
              <a:latin typeface="Calibri"/>
            </a:rPr>
            <a:t>TA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1517040</xdr:colOff>
      <xdr:row>23</xdr:row>
      <xdr:rowOff>126000</xdr:rowOff>
    </xdr:from>
    <xdr:to>
      <xdr:col>26</xdr:col>
      <xdr:colOff>212760</xdr:colOff>
      <xdr:row>82</xdr:row>
      <xdr:rowOff>13680</xdr:rowOff>
    </xdr:to>
    <xdr:graphicFrame>
      <xdr:nvGraphicFramePr>
        <xdr:cNvPr id="59" name="Chart 1"/>
        <xdr:cNvGraphicFramePr/>
      </xdr:nvGraphicFramePr>
      <xdr:xfrm>
        <a:off x="2201400" y="4783680"/>
        <a:ext cx="14297760" cy="944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276120</xdr:colOff>
      <xdr:row>99</xdr:row>
      <xdr:rowOff>123840</xdr:rowOff>
    </xdr:from>
    <xdr:to>
      <xdr:col>14</xdr:col>
      <xdr:colOff>406800</xdr:colOff>
      <xdr:row>148</xdr:row>
      <xdr:rowOff>25920</xdr:rowOff>
    </xdr:to>
    <xdr:graphicFrame>
      <xdr:nvGraphicFramePr>
        <xdr:cNvPr id="64" name="Chart 2"/>
        <xdr:cNvGraphicFramePr/>
      </xdr:nvGraphicFramePr>
      <xdr:xfrm>
        <a:off x="960480" y="17440200"/>
        <a:ext cx="8592840" cy="78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0.24442933756326</cdr:x>
      <cdr:y>0.377664239142868</cdr:y>
    </cdr:from>
    <cdr:to>
      <cdr:x>0.308835007679331</cdr:x>
      <cdr:y>0.476264917832768</cdr:y>
    </cdr:to>
    <cdr:sp>
      <cdr:nvSpPr>
        <cdr:cNvPr id="60" name="Tekstiruutu 1"/>
        <cdr:cNvSpPr/>
      </cdr:nvSpPr>
      <cdr:spPr>
        <a:xfrm>
          <a:off x="3494880" y="3565800"/>
          <a:ext cx="920880" cy="9309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0.235440743258554</cdr:x>
      <cdr:y>0.259274793152095</cdr:y>
    </cdr:from>
    <cdr:to>
      <cdr:x>0.265528614950777</cdr:x>
      <cdr:y>0.295039463148664</cdr:y>
    </cdr:to>
    <cdr:sp>
      <cdr:nvSpPr>
        <cdr:cNvPr id="61" name="Tekstiruutu 2"/>
        <cdr:cNvSpPr/>
      </cdr:nvSpPr>
      <cdr:spPr>
        <a:xfrm>
          <a:off x="3366360" y="2448000"/>
          <a:ext cx="430200" cy="3376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TP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0.299216959991943</cdr:x>
      <cdr:y>0.333053723262287</cdr:y>
    </cdr:from>
    <cdr:to>
      <cdr:x>0.330437847772994</cdr:x>
      <cdr:y>0.372249971403515</cdr:y>
    </cdr:to>
    <cdr:sp>
      <cdr:nvSpPr>
        <cdr:cNvPr id="62" name="Tekstiruutu 3"/>
        <cdr:cNvSpPr/>
      </cdr:nvSpPr>
      <cdr:spPr>
        <a:xfrm>
          <a:off x="4278240" y="3144600"/>
          <a:ext cx="446400" cy="370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0.358637359317169</cdr:x>
      <cdr:y>0.372516871925878</cdr:y>
    </cdr:from>
    <cdr:to>
      <cdr:x>0.390991263187048</cdr:x>
      <cdr:y>0.413428909139437</cdr:y>
    </cdr:to>
    <cdr:sp>
      <cdr:nvSpPr>
        <cdr:cNvPr id="63" name="Tekstiruutu 4"/>
        <cdr:cNvSpPr/>
      </cdr:nvSpPr>
      <cdr:spPr>
        <a:xfrm>
          <a:off x="5127840" y="3517200"/>
          <a:ext cx="462600" cy="386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0</xdr:colOff>
      <xdr:row>261</xdr:row>
      <xdr:rowOff>0</xdr:rowOff>
    </xdr:from>
    <xdr:to>
      <xdr:col>32</xdr:col>
      <xdr:colOff>337320</xdr:colOff>
      <xdr:row>302</xdr:row>
      <xdr:rowOff>187920</xdr:rowOff>
    </xdr:to>
    <xdr:graphicFrame>
      <xdr:nvGraphicFramePr>
        <xdr:cNvPr id="1" name="Kaavio 1"/>
        <xdr:cNvGraphicFramePr/>
      </xdr:nvGraphicFramePr>
      <xdr:xfrm>
        <a:off x="7714080" y="51273000"/>
        <a:ext cx="337320" cy="799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285840</xdr:colOff>
      <xdr:row>12</xdr:row>
      <xdr:rowOff>7200</xdr:rowOff>
    </xdr:from>
    <xdr:to>
      <xdr:col>48</xdr:col>
      <xdr:colOff>242640</xdr:colOff>
      <xdr:row>170</xdr:row>
      <xdr:rowOff>45000</xdr:rowOff>
    </xdr:to>
    <xdr:graphicFrame>
      <xdr:nvGraphicFramePr>
        <xdr:cNvPr id="2" name="Chart 1"/>
        <xdr:cNvGraphicFramePr/>
      </xdr:nvGraphicFramePr>
      <xdr:xfrm>
        <a:off x="18392760" y="2474280"/>
        <a:ext cx="13046760" cy="124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412920</xdr:colOff>
      <xdr:row>46</xdr:row>
      <xdr:rowOff>111240</xdr:rowOff>
    </xdr:from>
    <xdr:to>
      <xdr:col>0</xdr:col>
      <xdr:colOff>457920</xdr:colOff>
      <xdr:row>49</xdr:row>
      <xdr:rowOff>140400</xdr:rowOff>
    </xdr:to>
    <xdr:graphicFrame>
      <xdr:nvGraphicFramePr>
        <xdr:cNvPr id="11" name="Kaavio 2"/>
        <xdr:cNvGraphicFramePr/>
      </xdr:nvGraphicFramePr>
      <xdr:xfrm>
        <a:off x="412920" y="8578800"/>
        <a:ext cx="45000" cy="51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1145520</xdr:colOff>
      <xdr:row>26</xdr:row>
      <xdr:rowOff>125280</xdr:rowOff>
    </xdr:from>
    <xdr:to>
      <xdr:col>20</xdr:col>
      <xdr:colOff>308520</xdr:colOff>
      <xdr:row>145</xdr:row>
      <xdr:rowOff>146520</xdr:rowOff>
    </xdr:to>
    <xdr:graphicFrame>
      <xdr:nvGraphicFramePr>
        <xdr:cNvPr id="12" name="Kaavio 5"/>
        <xdr:cNvGraphicFramePr/>
      </xdr:nvGraphicFramePr>
      <xdr:xfrm>
        <a:off x="2364120" y="5354640"/>
        <a:ext cx="12421800" cy="81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2399760</xdr:colOff>
      <xdr:row>40</xdr:row>
      <xdr:rowOff>141840</xdr:rowOff>
    </xdr:from>
    <xdr:to>
      <xdr:col>1</xdr:col>
      <xdr:colOff>2745000</xdr:colOff>
      <xdr:row>43</xdr:row>
      <xdr:rowOff>37800</xdr:rowOff>
    </xdr:to>
    <xdr:sp>
      <xdr:nvSpPr>
        <xdr:cNvPr id="24" name="Tekstiruutu 6"/>
        <xdr:cNvSpPr/>
      </xdr:nvSpPr>
      <xdr:spPr>
        <a:xfrm>
          <a:off x="3618360" y="7638120"/>
          <a:ext cx="345240" cy="381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900" spc="-1" strike="noStrike">
              <a:solidFill>
                <a:srgbClr val="000000"/>
              </a:solidFill>
              <a:latin typeface="Calibri"/>
            </a:rPr>
            <a:t>TP</a:t>
          </a:r>
          <a:endParaRPr b="0" lang="en-US" sz="19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0.0713812703493185</cdr:x>
      <cdr:y>0.262917052826691</cdr:y>
    </cdr:from>
    <cdr:to>
      <cdr:x>0.105678494564318</cdr:x>
      <cdr:y>0.315512048192771</cdr:y>
    </cdr:to>
    <cdr:sp>
      <cdr:nvSpPr>
        <cdr:cNvPr id="3" name="Tekstiruutu 1"/>
        <cdr:cNvSpPr/>
      </cdr:nvSpPr>
      <cdr:spPr>
        <a:xfrm>
          <a:off x="931320" y="3268080"/>
          <a:ext cx="44748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TP</a:t>
          </a:r>
          <a:endParaRPr b="0" sz="1800" spc="-1" strike="noStrike">
            <a:latin typeface="Times New Roman"/>
          </a:endParaRPr>
        </a:p>
      </cdr:txBody>
    </cdr:sp>
  </cdr:relSizeAnchor>
  <cdr:relSizeAnchor>
    <cdr:from>
      <cdr:x>0.139423872854699</cdr:x>
      <cdr:y>0.207078313253012</cdr:y>
    </cdr:from>
    <cdr:to>
      <cdr:x>0.178163456762872</cdr:x>
      <cdr:y>0.259673308619092</cdr:y>
    </cdr:to>
    <cdr:sp>
      <cdr:nvSpPr>
        <cdr:cNvPr id="4" name="Tekstiruutu 2"/>
        <cdr:cNvSpPr/>
      </cdr:nvSpPr>
      <cdr:spPr>
        <a:xfrm>
          <a:off x="1819080" y="2574000"/>
          <a:ext cx="505440" cy="653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TP</a:t>
          </a: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</cdr:txBody>
    </cdr:sp>
  </cdr:relSizeAnchor>
  <cdr:relSizeAnchor>
    <cdr:from>
      <cdr:x>0.289525964350753</cdr:x>
      <cdr:y>0.323158016682113</cdr:y>
    </cdr:from>
    <cdr:to>
      <cdr:x>0.362590364770156</cdr:x>
      <cdr:y>0.36306765523633</cdr:y>
    </cdr:to>
    <cdr:sp>
      <cdr:nvSpPr>
        <cdr:cNvPr id="5" name="Tekstiruutu 3"/>
        <cdr:cNvSpPr/>
      </cdr:nvSpPr>
      <cdr:spPr>
        <a:xfrm>
          <a:off x="3777480" y="4016880"/>
          <a:ext cx="953280" cy="496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0.293333701230616</cdr:x>
      <cdr:y>0.301755097312326</cdr:y>
    </cdr:from>
    <cdr:to>
      <cdr:x>0.366398101650019</cdr:x>
      <cdr:y>0.404280583873957</cdr:y>
    </cdr:to>
    <cdr:sp>
      <cdr:nvSpPr>
        <cdr:cNvPr id="6" name="Tekstiruutu 4"/>
        <cdr:cNvSpPr/>
      </cdr:nvSpPr>
      <cdr:spPr>
        <a:xfrm>
          <a:off x="3827160" y="3750840"/>
          <a:ext cx="953280" cy="12744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0.295237569670548</cdr:x>
      <cdr:y>0.256284754402224</cdr:y>
    </cdr:from>
    <cdr:to>
      <cdr:x>0.335108437724187</cdr:x>
      <cdr:y>0.305578081556997</cdr:y>
    </cdr:to>
    <cdr:sp>
      <cdr:nvSpPr>
        <cdr:cNvPr id="7" name="Tekstiruutu 5"/>
        <cdr:cNvSpPr/>
      </cdr:nvSpPr>
      <cdr:spPr>
        <a:xfrm>
          <a:off x="3852000" y="3185640"/>
          <a:ext cx="520200" cy="612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0.29716903040671</cdr:x>
      <cdr:y>0.295064874884152</cdr:y>
    </cdr:from>
    <cdr:to>
      <cdr:x>0.340847635340213</cdr:x>
      <cdr:y>0.340332483781279</cdr:y>
    </cdr:to>
    <cdr:sp>
      <cdr:nvSpPr>
        <cdr:cNvPr id="8" name="Tekstiruutu 6"/>
        <cdr:cNvSpPr/>
      </cdr:nvSpPr>
      <cdr:spPr>
        <a:xfrm>
          <a:off x="3877200" y="3667680"/>
          <a:ext cx="569880" cy="5626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0.202168754483748</cdr:x>
      <cdr:y>0.24342562557924</cdr:y>
    </cdr:from>
    <cdr:to>
      <cdr:x>0.246813089785332</cdr:x>
      <cdr:y>0.291386700648749</cdr:y>
    </cdr:to>
    <cdr:sp>
      <cdr:nvSpPr>
        <cdr:cNvPr id="9" name="Tekstiruutu 7"/>
        <cdr:cNvSpPr/>
      </cdr:nvSpPr>
      <cdr:spPr>
        <a:xfrm>
          <a:off x="2637720" y="3025800"/>
          <a:ext cx="582480" cy="596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</a:t>
          </a: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</cdr:txBody>
    </cdr:sp>
  </cdr:relSizeAnchor>
  <cdr:relSizeAnchor>
    <cdr:from>
      <cdr:x>0.267948788698195</cdr:x>
      <cdr:y>0.19821594068582</cdr:y>
    </cdr:from>
    <cdr:to>
      <cdr:x>0.304618950389051</cdr:x>
      <cdr:y>0.226743512511585</cdr:y>
    </cdr:to>
    <cdr:sp>
      <cdr:nvSpPr>
        <cdr:cNvPr id="10" name="Tekstiruutu 8"/>
        <cdr:cNvSpPr/>
      </cdr:nvSpPr>
      <cdr:spPr>
        <a:xfrm>
          <a:off x="3495960" y="2463840"/>
          <a:ext cx="478440" cy="3546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Arial"/>
            </a:rPr>
            <a:t>TAE</a:t>
          </a:r>
          <a:endParaRPr b="0" sz="18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0.0536718251898221</cdr:x>
      <cdr:y>0.0903646292055663</cdr:y>
    </cdr:from>
    <cdr:to>
      <cdr:x>0.177099634846114</cdr:x>
      <cdr:y>0.27329575480007</cdr:y>
    </cdr:to>
    <cdr:sp>
      <cdr:nvSpPr>
        <cdr:cNvPr id="13" name="Tekstiruutu 1"/>
        <cdr:cNvSpPr/>
      </cdr:nvSpPr>
      <cdr:spPr>
        <a:xfrm>
          <a:off x="666720" y="738720"/>
          <a:ext cx="1533240" cy="1495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0.0493537355822176</cdr:x>
      <cdr:y>0.471860137396512</cdr:y>
    </cdr:from>
    <cdr:to>
      <cdr:x>0.0555845360227207</cdr:x>
      <cdr:y>0.480711643473666</cdr:y>
    </cdr:to>
    <cdr:sp>
      <cdr:nvSpPr>
        <cdr:cNvPr id="14" name="Tekstiruutu 2"/>
        <cdr:cNvSpPr/>
      </cdr:nvSpPr>
      <cdr:spPr>
        <a:xfrm>
          <a:off x="613080" y="3857400"/>
          <a:ext cx="77400" cy="72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0.210861879093491</cdr:x>
      <cdr:y>0.403646292055663</cdr:y>
    </cdr:from>
    <cdr:to>
      <cdr:x>0.318147568538805</cdr:x>
      <cdr:y>0.540206094768364</cdr:y>
    </cdr:to>
    <cdr:sp>
      <cdr:nvSpPr>
        <cdr:cNvPr id="15" name="Tekstiruutu 3"/>
        <cdr:cNvSpPr/>
      </cdr:nvSpPr>
      <cdr:spPr>
        <a:xfrm>
          <a:off x="2619360" y="3299760"/>
          <a:ext cx="1332720" cy="1116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0.199646438300585</cdr:x>
      <cdr:y>0.391756209265457</cdr:y>
    </cdr:from>
    <cdr:to>
      <cdr:x>0.306932127745899</cdr:x>
      <cdr:y>0.528316011978158</cdr:y>
    </cdr:to>
    <cdr:sp>
      <cdr:nvSpPr>
        <cdr:cNvPr id="16" name="Tekstiruutu 4"/>
        <cdr:cNvSpPr/>
      </cdr:nvSpPr>
      <cdr:spPr>
        <a:xfrm>
          <a:off x="2480040" y="3202560"/>
          <a:ext cx="1332720" cy="1116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0.175534689619197</cdr:x>
      <cdr:y>0.225955610357583</cdr:y>
    </cdr:from>
    <cdr:to>
      <cdr:x>0.214455457021967</cdr:x>
      <cdr:y>0.261537784040867</cdr:y>
    </cdr:to>
    <cdr:sp>
      <cdr:nvSpPr>
        <cdr:cNvPr id="17" name="Tekstiruutu 5"/>
        <cdr:cNvSpPr/>
      </cdr:nvSpPr>
      <cdr:spPr>
        <a:xfrm>
          <a:off x="2180520" y="1847160"/>
          <a:ext cx="483480" cy="2908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900" spc="-1" strike="noStrike">
              <a:latin typeface="Times New Roman"/>
            </a:rPr>
            <a:t>TP</a:t>
          </a:r>
          <a:endParaRPr b="0" sz="1900" spc="-1" strike="noStrike">
            <a:latin typeface="Times New Roman"/>
          </a:endParaRPr>
        </a:p>
      </cdr:txBody>
    </cdr:sp>
  </cdr:relSizeAnchor>
  <cdr:relSizeAnchor>
    <cdr:from>
      <cdr:x>0.234480959833073</cdr:x>
      <cdr:y>0.237229170336445</cdr:y>
    </cdr:from>
    <cdr:to>
      <cdr:x>0.294673390135049</cdr:x>
      <cdr:y>0.288576713052669</cdr:y>
    </cdr:to>
    <cdr:sp>
      <cdr:nvSpPr>
        <cdr:cNvPr id="18" name="Tekstiruutu 6"/>
        <cdr:cNvSpPr/>
      </cdr:nvSpPr>
      <cdr:spPr>
        <a:xfrm>
          <a:off x="2912760" y="1939320"/>
          <a:ext cx="747720" cy="419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2000" spc="-1" strike="noStrike">
              <a:latin typeface="Times New Roman"/>
            </a:rPr>
            <a:t>  </a:t>
          </a:r>
          <a:r>
            <a:rPr b="1" lang="fi-FI" sz="1900" spc="-1" strike="noStrike">
              <a:latin typeface="Times New Roman"/>
            </a:rPr>
            <a:t>TA</a:t>
          </a:r>
          <a:endParaRPr b="0" sz="19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</cdr:txBody>
    </cdr:sp>
  </cdr:relSizeAnchor>
  <cdr:relSizeAnchor>
    <cdr:from>
      <cdr:x>0.0160841592766475</cdr:x>
      <cdr:y>0.113396159943632</cdr:y>
    </cdr:from>
    <cdr:to>
      <cdr:x>0.0706833594157538</cdr:x>
      <cdr:y>0.167518055310904</cdr:y>
    </cdr:to>
    <cdr:sp>
      <cdr:nvSpPr>
        <cdr:cNvPr id="19" name="Tekstiruutu 7"/>
        <cdr:cNvSpPr/>
      </cdr:nvSpPr>
      <cdr:spPr>
        <a:xfrm>
          <a:off x="199800" y="927000"/>
          <a:ext cx="678240" cy="4424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Times New Roman"/>
            </a:rPr>
            <a:t>M€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0.193734422998899</cdr:x>
      <cdr:y>0.304254007398274</cdr:y>
    </cdr:from>
    <cdr:to>
      <cdr:x>0.290703066133426</cdr:x>
      <cdr:y>0.401092126122952</cdr:y>
    </cdr:to>
    <cdr:sp>
      <cdr:nvSpPr>
        <cdr:cNvPr id="20" name="Tekstiruutu 8"/>
        <cdr:cNvSpPr/>
      </cdr:nvSpPr>
      <cdr:spPr>
        <a:xfrm>
          <a:off x="2406600" y="2487240"/>
          <a:ext cx="1204560" cy="791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0.314872775749145</cdr:x>
      <cdr:y>0.188567905583935</cdr:y>
    </cdr:from>
    <cdr:to>
      <cdr:x>0.36590737842694</cdr:x>
      <cdr:y>0.231900651752686</cdr:y>
    </cdr:to>
    <cdr:sp>
      <cdr:nvSpPr>
        <cdr:cNvPr id="21" name="Tekstiruutu 9"/>
        <cdr:cNvSpPr/>
      </cdr:nvSpPr>
      <cdr:spPr>
        <a:xfrm>
          <a:off x="3911400" y="1541520"/>
          <a:ext cx="633960" cy="354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0.30699008868023</cdr:x>
      <cdr:y>0.186586225118901</cdr:y>
    </cdr:from>
    <cdr:to>
      <cdr:x>0.358024691358025</cdr:x>
      <cdr:y>0.245772415007927</cdr:y>
    </cdr:to>
    <cdr:sp>
      <cdr:nvSpPr>
        <cdr:cNvPr id="22" name="Tekstiruutu 10"/>
        <cdr:cNvSpPr/>
      </cdr:nvSpPr>
      <cdr:spPr>
        <a:xfrm>
          <a:off x="3813480" y="1525320"/>
          <a:ext cx="633960" cy="4838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0.309598330725091</cdr:x>
      <cdr:y>0.21041042804298</cdr:y>
    </cdr:from>
    <cdr:to>
      <cdr:x>0.354054367356402</cdr:x>
      <cdr:y>0.257662497798133</cdr:y>
    </cdr:to>
    <cdr:sp>
      <cdr:nvSpPr>
        <cdr:cNvPr id="23" name="Tekstiruutu 11"/>
        <cdr:cNvSpPr/>
      </cdr:nvSpPr>
      <cdr:spPr>
        <a:xfrm>
          <a:off x="3845880" y="1720080"/>
          <a:ext cx="552240" cy="386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900" spc="-1" strike="noStrike">
              <a:latin typeface="Times New Roman"/>
            </a:rPr>
            <a:t>TAE</a:t>
          </a:r>
          <a:endParaRPr b="0" sz="1900" spc="-1" strike="noStrike">
            <a:latin typeface="Times New Roman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1193760</xdr:colOff>
      <xdr:row>27</xdr:row>
      <xdr:rowOff>99720</xdr:rowOff>
    </xdr:from>
    <xdr:to>
      <xdr:col>22</xdr:col>
      <xdr:colOff>582480</xdr:colOff>
      <xdr:row>82</xdr:row>
      <xdr:rowOff>42840</xdr:rowOff>
    </xdr:to>
    <xdr:graphicFrame>
      <xdr:nvGraphicFramePr>
        <xdr:cNvPr id="25" name="Kaavio 12"/>
        <xdr:cNvGraphicFramePr/>
      </xdr:nvGraphicFramePr>
      <xdr:xfrm>
        <a:off x="2149920" y="5481360"/>
        <a:ext cx="11001600" cy="884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0.0352737148653513</cdr:x>
      <cdr:y>0.0850215604914165</cdr:y>
    </cdr:from>
    <cdr:to>
      <cdr:x>0.130623997905828</cdr:x>
      <cdr:y>0.203726303799528</cdr:y>
    </cdr:to>
    <cdr:sp>
      <cdr:nvSpPr>
        <cdr:cNvPr id="26" name="Tekstiruutu 1"/>
        <cdr:cNvSpPr/>
      </cdr:nvSpPr>
      <cdr:spPr>
        <a:xfrm>
          <a:off x="388080" y="752400"/>
          <a:ext cx="1049040" cy="10504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0.00605346683681817</cdr:x>
      <cdr:y>0.128386624359287</cdr:y>
    </cdr:from>
    <cdr:to>
      <cdr:x>0.0599784038480416</cdr:x>
      <cdr:y>0.181270848588398</cdr:y>
    </cdr:to>
    <cdr:pic>
      <cdr:nvPicPr>
        <cdr:cNvPr id="27" name="chart" descr=""/>
        <cdr:cNvPicPr/>
      </cdr:nvPicPr>
      <cdr:blipFill>
        <a:blip r:embed="rId1"/>
        <a:stretch/>
      </cdr:blipFill>
      <cdr:spPr>
        <a:xfrm>
          <a:off x="66600" y="1136160"/>
          <a:ext cx="593280" cy="468000"/>
        </a:xfrm>
        <a:prstGeom prst="rect">
          <a:avLst/>
        </a:prstGeom>
        <a:ln w="0">
          <a:noFill/>
        </a:ln>
      </cdr:spPr>
    </cdr:pic>
  </cdr:relSizeAnchor>
  <cdr:relSizeAnchor>
    <cdr:from>
      <cdr:x>0.0885769444717123</cdr:x>
      <cdr:y>0.319990236758604</cdr:y>
    </cdr:from>
    <cdr:to>
      <cdr:x>0.128006282516933</cdr:x>
      <cdr:y>0.357700756651208</cdr:y>
    </cdr:to>
    <cdr:sp>
      <cdr:nvSpPr>
        <cdr:cNvPr id="28" name="Tekstiruutu 4"/>
        <cdr:cNvSpPr/>
      </cdr:nvSpPr>
      <cdr:spPr>
        <a:xfrm>
          <a:off x="974520" y="2831760"/>
          <a:ext cx="433800" cy="3337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Arial"/>
            </a:rPr>
            <a:t>TP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0.151991099767678</cdr:x>
      <cdr:y>0.279472784964608</cdr:y>
    </cdr:from>
    <cdr:to>
      <cdr:x>0.207355780242793</cdr:x>
      <cdr:y>0.325441379871451</cdr:y>
    </cdr:to>
    <cdr:sp>
      <cdr:nvSpPr>
        <cdr:cNvPr id="29" name="Tekstiruutu 5"/>
        <cdr:cNvSpPr/>
      </cdr:nvSpPr>
      <cdr:spPr>
        <a:xfrm>
          <a:off x="1672200" y="2473200"/>
          <a:ext cx="609120" cy="4068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Arial"/>
            </a:rPr>
            <a:t> </a:t>
          </a:r>
          <a:r>
            <a:rPr b="1" lang="fi-FI" sz="1600" spc="-1" strike="noStrike">
              <a:latin typeface="Arial"/>
            </a:rPr>
            <a:t>TP</a:t>
          </a: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</cdr:txBody>
    </cdr:sp>
  </cdr:relSizeAnchor>
  <cdr:relSizeAnchor>
    <cdr:from>
      <cdr:x>0.231504204705343</cdr:x>
      <cdr:y>0.284232365145228</cdr:y>
    </cdr:from>
    <cdr:to>
      <cdr:x>0.277935931415857</cdr:x>
      <cdr:y>0.327882190220487</cdr:y>
    </cdr:to>
    <cdr:sp>
      <cdr:nvSpPr>
        <cdr:cNvPr id="30" name="Tekstiruutu 6"/>
        <cdr:cNvSpPr/>
      </cdr:nvSpPr>
      <cdr:spPr>
        <a:xfrm>
          <a:off x="2547000" y="2515320"/>
          <a:ext cx="510840" cy="386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Arial"/>
            </a:rPr>
            <a:t>TA</a:t>
          </a: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</cdr:txBody>
    </cdr:sp>
  </cdr:relSizeAnchor>
  <cdr:relSizeAnchor>
    <cdr:from>
      <cdr:x>0.302411570302019</cdr:x>
      <cdr:y>0.253884956472215</cdr:y>
    </cdr:from>
    <cdr:to>
      <cdr:x>0.353587906154903</cdr:x>
      <cdr:y>0.290171670327882</cdr:y>
    </cdr:to>
    <cdr:sp>
      <cdr:nvSpPr>
        <cdr:cNvPr id="31" name="Tekstiruutu 2"/>
        <cdr:cNvSpPr/>
      </cdr:nvSpPr>
      <cdr:spPr>
        <a:xfrm>
          <a:off x="3327120" y="2246760"/>
          <a:ext cx="563040" cy="321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900" spc="-1" strike="noStrike">
              <a:latin typeface="Times New Roman"/>
            </a:rPr>
            <a:t>TAE</a:t>
          </a:r>
          <a:endParaRPr b="0" sz="1900" spc="-1" strike="noStrike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2099880</xdr:colOff>
      <xdr:row>24</xdr:row>
      <xdr:rowOff>92880</xdr:rowOff>
    </xdr:from>
    <xdr:to>
      <xdr:col>21</xdr:col>
      <xdr:colOff>126720</xdr:colOff>
      <xdr:row>90</xdr:row>
      <xdr:rowOff>105120</xdr:rowOff>
    </xdr:to>
    <xdr:graphicFrame>
      <xdr:nvGraphicFramePr>
        <xdr:cNvPr id="32" name="Kaavio 1"/>
        <xdr:cNvGraphicFramePr/>
      </xdr:nvGraphicFramePr>
      <xdr:xfrm>
        <a:off x="2966040" y="4817160"/>
        <a:ext cx="10606320" cy="106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0.117808777110274</cdr:x>
      <cdr:y>0.261927191979005</cdr:y>
    </cdr:from>
    <cdr:to>
      <cdr:x>0.166547873604182</cdr:x>
      <cdr:y>0.299273265594509</cdr:y>
    </cdr:to>
    <cdr:sp>
      <cdr:nvSpPr>
        <cdr:cNvPr id="33" name="Tekstiruutu 1"/>
        <cdr:cNvSpPr/>
      </cdr:nvSpPr>
      <cdr:spPr>
        <a:xfrm>
          <a:off x="1249560" y="2802600"/>
          <a:ext cx="516960" cy="39960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Arial"/>
            </a:rPr>
            <a:t>TP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0.184672300851916</cdr:x>
      <cdr:y>0.248502792544243</cdr:y>
    </cdr:from>
    <cdr:to>
      <cdr:x>0.236907307470387</cdr:x>
      <cdr:y>0.290525536639526</cdr:y>
    </cdr:to>
    <cdr:sp>
      <cdr:nvSpPr>
        <cdr:cNvPr id="34" name="Tekstiruutu 2"/>
        <cdr:cNvSpPr/>
      </cdr:nvSpPr>
      <cdr:spPr>
        <a:xfrm>
          <a:off x="1958760" y="2658960"/>
          <a:ext cx="554040" cy="4496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600" spc="-1" strike="noStrike">
              <a:latin typeface="Arial"/>
            </a:rPr>
            <a:t>TA</a:t>
          </a:r>
          <a:endParaRPr b="0" sz="1600" spc="-1" strike="noStrike">
            <a:latin typeface="Times New Roman"/>
          </a:endParaRPr>
        </a:p>
      </cdr:txBody>
    </cdr:sp>
  </cdr:relSizeAnchor>
  <cdr:relSizeAnchor>
    <cdr:from>
      <cdr:x>0.242371788344704</cdr:x>
      <cdr:y>0.149888971132494</cdr:y>
    </cdr:from>
    <cdr:to>
      <cdr:x>0.293826154838272</cdr:x>
      <cdr:y>0.243792476953099</cdr:y>
    </cdr:to>
    <cdr:sp>
      <cdr:nvSpPr>
        <cdr:cNvPr id="35" name="Tekstiruutu 3"/>
        <cdr:cNvSpPr/>
      </cdr:nvSpPr>
      <cdr:spPr>
        <a:xfrm>
          <a:off x="2570760" y="1603800"/>
          <a:ext cx="545760" cy="10047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fi-FI" sz="1800" spc="-1" strike="noStrike">
              <a:latin typeface="Times New Roman"/>
            </a:rPr>
            <a:t>  </a:t>
          </a:r>
          <a:r>
            <a:rPr b="1" lang="fi-FI" sz="1600" spc="-1" strike="noStrike">
              <a:latin typeface="Arial"/>
            </a:rPr>
            <a:t>TAE</a:t>
          </a: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sz="1100" spc="-1" strike="noStrike">
            <a:latin typeface="Times New Roman"/>
          </a:endParaRPr>
        </a:p>
      </cdr:txBody>
    </cdr:sp>
  </cdr:relSizeAnchor>
</c:userShape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aank&#228;ytt&#246;/Katu-ja_Puistoinvestoinnit/Talousarvioehdotus/TAE22/TAE22_2021110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E2022"/>
      <sheetName val="Taul2"/>
      <sheetName val="Kategorisointi"/>
      <sheetName val="Kaavio, kadut"/>
      <sheetName val="Sitovat alakohdat, kadut"/>
      <sheetName val="Sitovat alakohdat, puistot"/>
      <sheetName val="Kaavio, yht."/>
      <sheetName val="Esirak."/>
      <sheetName val="Toteumat"/>
      <sheetName val="Pyöräily"/>
      <sheetName val="Kaavio, puistot"/>
      <sheetName val="Peruskorjauk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K64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9" topLeftCell="A40" activePane="bottomLeft" state="frozen"/>
      <selection pane="topLeft" activeCell="A1" activeCellId="0" sqref="A1"/>
      <selection pane="bottomLeft" activeCell="AI64" activeCellId="0" sqref="AI64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82.14"/>
    <col collapsed="false" customWidth="true" hidden="true" outlineLevel="0" max="3" min="3" style="1" width="13.29"/>
    <col collapsed="false" customWidth="true" hidden="true" outlineLevel="0" max="4" min="4" style="1" width="11.29"/>
    <col collapsed="false" customWidth="true" hidden="true" outlineLevel="0" max="5" min="5" style="2" width="9.71"/>
    <col collapsed="false" customWidth="true" hidden="true" outlineLevel="0" max="6" min="6" style="1" width="9.71"/>
    <col collapsed="false" customWidth="true" hidden="true" outlineLevel="0" max="8" min="7" style="1" width="12.29"/>
    <col collapsed="false" customWidth="true" hidden="true" outlineLevel="0" max="9" min="9" style="3" width="12.29"/>
    <col collapsed="false" customWidth="true" hidden="true" outlineLevel="0" max="10" min="10" style="1" width="9.71"/>
    <col collapsed="false" customWidth="true" hidden="true" outlineLevel="0" max="11" min="11" style="4" width="11"/>
    <col collapsed="false" customWidth="true" hidden="true" outlineLevel="0" max="12" min="12" style="4" width="10.29"/>
    <col collapsed="false" customWidth="true" hidden="true" outlineLevel="0" max="14" min="13" style="5" width="9.71"/>
    <col collapsed="false" customWidth="true" hidden="true" outlineLevel="0" max="15" min="15" style="4" width="9.71"/>
    <col collapsed="false" customWidth="true" hidden="true" outlineLevel="0" max="16" min="16" style="6" width="12.71"/>
    <col collapsed="false" customWidth="true" hidden="true" outlineLevel="0" max="17" min="17" style="6" width="9.71"/>
    <col collapsed="false" customWidth="true" hidden="true" outlineLevel="0" max="18" min="18" style="6" width="10"/>
    <col collapsed="false" customWidth="true" hidden="true" outlineLevel="0" max="22" min="19" style="6" width="10.42"/>
    <col collapsed="false" customWidth="true" hidden="true" outlineLevel="0" max="23" min="23" style="6" width="11.85"/>
    <col collapsed="false" customWidth="true" hidden="true" outlineLevel="0" max="25" min="24" style="6" width="10.42"/>
    <col collapsed="false" customWidth="true" hidden="true" outlineLevel="0" max="32" min="26" style="1" width="8.71"/>
    <col collapsed="false" customWidth="true" hidden="false" outlineLevel="0" max="33" min="33" style="1" width="18"/>
    <col collapsed="false" customWidth="true" hidden="false" outlineLevel="0" max="34" min="34" style="1" width="21.29"/>
    <col collapsed="false" customWidth="true" hidden="false" outlineLevel="0" max="42" min="35" style="1" width="8.71"/>
  </cols>
  <sheetData>
    <row r="1" customFormat="false" ht="15.75" hidden="false" customHeight="true" outlineLevel="0" collapsed="false">
      <c r="A1" s="7" t="s">
        <v>0</v>
      </c>
      <c r="B1" s="7"/>
      <c r="C1" s="7"/>
      <c r="D1" s="7"/>
      <c r="E1" s="8"/>
      <c r="F1" s="7"/>
      <c r="G1" s="7"/>
      <c r="H1" s="7"/>
      <c r="I1" s="9"/>
      <c r="J1" s="9"/>
      <c r="L1" s="10"/>
      <c r="M1" s="11"/>
      <c r="N1" s="11"/>
      <c r="O1" s="10"/>
      <c r="P1" s="12"/>
    </row>
    <row r="2" customFormat="false" ht="15.75" hidden="false" customHeight="true" outlineLevel="0" collapsed="false">
      <c r="A2" s="7" t="s">
        <v>1</v>
      </c>
      <c r="B2" s="7"/>
      <c r="C2" s="7"/>
      <c r="D2" s="7"/>
      <c r="E2" s="8"/>
      <c r="F2" s="7"/>
      <c r="G2" s="7"/>
      <c r="H2" s="7"/>
      <c r="I2" s="7"/>
      <c r="J2" s="7"/>
      <c r="T2" s="12"/>
      <c r="W2" s="13" t="n">
        <v>44884</v>
      </c>
    </row>
    <row r="3" customFormat="false" ht="15.75" hidden="false" customHeight="true" outlineLevel="0" collapsed="false">
      <c r="A3" s="7" t="s">
        <v>2</v>
      </c>
      <c r="B3" s="7"/>
      <c r="C3" s="14" t="s">
        <v>3</v>
      </c>
      <c r="D3" s="15"/>
      <c r="E3" s="8"/>
      <c r="F3" s="8"/>
      <c r="G3" s="7"/>
      <c r="H3" s="3"/>
      <c r="I3" s="16"/>
      <c r="J3" s="16"/>
      <c r="L3" s="17"/>
      <c r="M3" s="13"/>
      <c r="N3" s="13"/>
      <c r="O3" s="18"/>
      <c r="P3" s="12"/>
      <c r="Q3" s="17"/>
      <c r="R3" s="19"/>
      <c r="S3" s="17"/>
      <c r="W3" s="13"/>
    </row>
    <row r="4" customFormat="false" ht="15.75" hidden="false" customHeight="true" outlineLevel="0" collapsed="false">
      <c r="A4" s="20" t="s">
        <v>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  <c r="S4" s="22"/>
      <c r="T4" s="22"/>
      <c r="U4" s="22"/>
      <c r="W4" s="13"/>
    </row>
    <row r="5" customFormat="false" ht="15.75" hidden="false" customHeight="true" outlineLevel="0" collapsed="false">
      <c r="A5" s="20" t="s">
        <v>5</v>
      </c>
      <c r="B5" s="7"/>
      <c r="C5" s="23"/>
      <c r="D5" s="23"/>
      <c r="E5" s="24"/>
      <c r="F5" s="8" t="s">
        <v>3</v>
      </c>
      <c r="G5" s="23" t="s">
        <v>3</v>
      </c>
      <c r="H5" s="23" t="s">
        <v>3</v>
      </c>
      <c r="I5" s="23"/>
      <c r="J5" s="23"/>
      <c r="W5" s="5"/>
    </row>
    <row r="6" customFormat="false" ht="15" hidden="false" customHeight="true" outlineLevel="0" collapsed="false">
      <c r="A6" s="25" t="s">
        <v>6</v>
      </c>
      <c r="B6" s="26"/>
      <c r="C6" s="27" t="s">
        <v>7</v>
      </c>
      <c r="D6" s="28" t="s">
        <v>7</v>
      </c>
      <c r="E6" s="29" t="s">
        <v>7</v>
      </c>
      <c r="F6" s="29" t="s">
        <v>7</v>
      </c>
      <c r="G6" s="29" t="s">
        <v>7</v>
      </c>
      <c r="H6" s="29" t="s">
        <v>7</v>
      </c>
      <c r="I6" s="29" t="s">
        <v>7</v>
      </c>
      <c r="J6" s="30" t="s">
        <v>7</v>
      </c>
      <c r="K6" s="30" t="s">
        <v>7</v>
      </c>
      <c r="L6" s="30" t="s">
        <v>7</v>
      </c>
      <c r="M6" s="31" t="s">
        <v>7</v>
      </c>
      <c r="N6" s="32" t="s">
        <v>7</v>
      </c>
      <c r="O6" s="31" t="s">
        <v>8</v>
      </c>
      <c r="P6" s="33" t="s">
        <v>9</v>
      </c>
      <c r="Q6" s="34" t="s">
        <v>10</v>
      </c>
      <c r="R6" s="34"/>
      <c r="S6" s="35" t="s">
        <v>11</v>
      </c>
      <c r="T6" s="35"/>
      <c r="U6" s="35"/>
      <c r="V6" s="35"/>
      <c r="W6" s="35"/>
      <c r="X6" s="35"/>
      <c r="Y6" s="35"/>
    </row>
    <row r="7" customFormat="false" ht="15" hidden="false" customHeight="true" outlineLevel="0" collapsed="false">
      <c r="A7" s="36" t="s">
        <v>12</v>
      </c>
      <c r="B7" s="37" t="s">
        <v>13</v>
      </c>
      <c r="C7" s="38" t="n">
        <v>2010</v>
      </c>
      <c r="D7" s="39" t="n">
        <v>2011</v>
      </c>
      <c r="E7" s="38" t="n">
        <v>2012</v>
      </c>
      <c r="F7" s="38" t="n">
        <v>2013</v>
      </c>
      <c r="G7" s="38" t="n">
        <v>2014</v>
      </c>
      <c r="H7" s="38" t="n">
        <v>2015</v>
      </c>
      <c r="I7" s="38" t="n">
        <v>2016</v>
      </c>
      <c r="J7" s="40" t="n">
        <v>2017</v>
      </c>
      <c r="K7" s="40" t="n">
        <v>2018</v>
      </c>
      <c r="L7" s="40" t="n">
        <v>2019</v>
      </c>
      <c r="M7" s="41" t="n">
        <v>2020</v>
      </c>
      <c r="N7" s="42" t="n">
        <v>2021</v>
      </c>
      <c r="O7" s="41" t="n">
        <v>2022</v>
      </c>
      <c r="P7" s="43" t="n">
        <v>2023</v>
      </c>
      <c r="Q7" s="41" t="n">
        <v>2024</v>
      </c>
      <c r="R7" s="41" t="n">
        <v>2025</v>
      </c>
      <c r="S7" s="42" t="n">
        <v>2026</v>
      </c>
      <c r="T7" s="42" t="n">
        <v>2027</v>
      </c>
      <c r="U7" s="42" t="n">
        <v>2028</v>
      </c>
      <c r="V7" s="42" t="n">
        <v>2029</v>
      </c>
      <c r="W7" s="44" t="n">
        <v>2030</v>
      </c>
      <c r="X7" s="41" t="n">
        <v>2031</v>
      </c>
      <c r="Y7" s="41" t="n">
        <v>2032</v>
      </c>
    </row>
    <row r="8" customFormat="false" ht="15" hidden="false" customHeight="true" outlineLevel="0" collapsed="false">
      <c r="A8" s="36"/>
      <c r="B8" s="37"/>
      <c r="C8" s="38"/>
      <c r="D8" s="39"/>
      <c r="E8" s="38"/>
      <c r="F8" s="38"/>
      <c r="G8" s="38"/>
      <c r="H8" s="38"/>
      <c r="I8" s="38"/>
      <c r="J8" s="40"/>
      <c r="K8" s="40"/>
      <c r="L8" s="40"/>
      <c r="M8" s="41"/>
      <c r="N8" s="42"/>
      <c r="O8" s="41" t="s">
        <v>14</v>
      </c>
      <c r="P8" s="43"/>
      <c r="Q8" s="41"/>
      <c r="R8" s="41"/>
      <c r="S8" s="42"/>
      <c r="T8" s="42"/>
      <c r="U8" s="42"/>
      <c r="V8" s="42"/>
      <c r="W8" s="44"/>
      <c r="X8" s="41"/>
      <c r="Y8" s="41"/>
    </row>
    <row r="9" customFormat="false" ht="15" hidden="false" customHeight="true" outlineLevel="0" collapsed="false">
      <c r="A9" s="45"/>
      <c r="B9" s="46"/>
      <c r="C9" s="47" t="s">
        <v>15</v>
      </c>
      <c r="D9" s="48" t="s">
        <v>15</v>
      </c>
      <c r="E9" s="47" t="s">
        <v>15</v>
      </c>
      <c r="F9" s="47" t="s">
        <v>15</v>
      </c>
      <c r="G9" s="47" t="s">
        <v>15</v>
      </c>
      <c r="H9" s="47" t="s">
        <v>15</v>
      </c>
      <c r="I9" s="47" t="s">
        <v>15</v>
      </c>
      <c r="J9" s="49" t="s">
        <v>15</v>
      </c>
      <c r="K9" s="49" t="s">
        <v>15</v>
      </c>
      <c r="L9" s="49" t="s">
        <v>15</v>
      </c>
      <c r="M9" s="50" t="s">
        <v>15</v>
      </c>
      <c r="N9" s="50" t="s">
        <v>15</v>
      </c>
      <c r="O9" s="50" t="s">
        <v>15</v>
      </c>
      <c r="P9" s="51" t="s">
        <v>15</v>
      </c>
      <c r="Q9" s="50" t="s">
        <v>15</v>
      </c>
      <c r="R9" s="50" t="s">
        <v>15</v>
      </c>
      <c r="S9" s="52" t="n">
        <v>1000</v>
      </c>
      <c r="T9" s="52" t="n">
        <v>1000</v>
      </c>
      <c r="U9" s="52" t="n">
        <v>1000</v>
      </c>
      <c r="V9" s="52" t="n">
        <v>1000</v>
      </c>
      <c r="W9" s="53" t="n">
        <v>1000</v>
      </c>
      <c r="X9" s="52" t="n">
        <v>1000</v>
      </c>
      <c r="Y9" s="52" t="n">
        <v>1000</v>
      </c>
    </row>
    <row r="10" customFormat="false" ht="15" hidden="false" customHeight="false" outlineLevel="0" collapsed="false">
      <c r="A10" s="54"/>
      <c r="B10" s="55"/>
      <c r="C10" s="56"/>
      <c r="D10" s="57"/>
      <c r="E10" s="56"/>
      <c r="F10" s="56"/>
      <c r="G10" s="56"/>
      <c r="H10" s="56"/>
      <c r="I10" s="56"/>
      <c r="J10" s="56"/>
      <c r="K10" s="58"/>
      <c r="L10" s="58"/>
      <c r="M10" s="59"/>
      <c r="N10" s="60"/>
      <c r="O10" s="61"/>
      <c r="P10" s="62"/>
      <c r="Q10" s="61"/>
      <c r="R10" s="61"/>
      <c r="S10" s="63"/>
      <c r="T10" s="63"/>
      <c r="U10" s="63"/>
      <c r="V10" s="63"/>
      <c r="W10" s="64"/>
      <c r="X10" s="63"/>
      <c r="Y10" s="63"/>
    </row>
    <row r="11" customFormat="false" ht="15.75" hidden="false" customHeight="false" outlineLevel="0" collapsed="false">
      <c r="A11" s="65" t="s">
        <v>3</v>
      </c>
      <c r="B11" s="55"/>
      <c r="C11" s="56"/>
      <c r="D11" s="57"/>
      <c r="E11" s="56"/>
      <c r="F11" s="56"/>
      <c r="G11" s="56"/>
      <c r="H11" s="56"/>
      <c r="I11" s="56"/>
      <c r="J11" s="56"/>
      <c r="K11" s="58"/>
      <c r="L11" s="58"/>
      <c r="M11" s="59"/>
      <c r="N11" s="60"/>
      <c r="O11" s="61"/>
      <c r="P11" s="62"/>
      <c r="Q11" s="61"/>
      <c r="R11" s="61"/>
      <c r="S11" s="63"/>
      <c r="T11" s="63"/>
      <c r="U11" s="63"/>
      <c r="V11" s="63"/>
      <c r="W11" s="64"/>
      <c r="X11" s="63"/>
      <c r="Y11" s="63"/>
    </row>
    <row r="12" customFormat="false" ht="15.75" hidden="false" customHeight="false" outlineLevel="0" collapsed="false">
      <c r="A12" s="66" t="s">
        <v>16</v>
      </c>
      <c r="B12" s="67" t="s">
        <v>17</v>
      </c>
      <c r="C12" s="56" t="n">
        <f aca="false">C22+C42</f>
        <v>42460</v>
      </c>
      <c r="D12" s="57" t="n">
        <f aca="false">D22+D42</f>
        <v>53901</v>
      </c>
      <c r="E12" s="56" t="n">
        <f aca="false">E22+E42</f>
        <v>50899</v>
      </c>
      <c r="F12" s="56" t="n">
        <f aca="false">F22+F42</f>
        <v>33043</v>
      </c>
      <c r="G12" s="56" t="n">
        <f aca="false">G22+G42</f>
        <v>28308</v>
      </c>
      <c r="H12" s="56" t="n">
        <f aca="false">H22+H42</f>
        <v>46281</v>
      </c>
      <c r="I12" s="56" t="n">
        <f aca="false">I22+I42</f>
        <v>73343</v>
      </c>
      <c r="J12" s="56" t="n">
        <f aca="false">J22+J42</f>
        <v>66704</v>
      </c>
      <c r="K12" s="68" t="n">
        <f aca="false">K22+K42</f>
        <v>64458</v>
      </c>
      <c r="L12" s="68" t="n">
        <f aca="false">L22+L42+L17</f>
        <v>105749</v>
      </c>
      <c r="M12" s="69" t="n">
        <f aca="false">M22+M42+M17</f>
        <v>135180.415</v>
      </c>
      <c r="N12" s="70" t="n">
        <f aca="false">N22+N42+N17</f>
        <v>112026.40974</v>
      </c>
      <c r="O12" s="69" t="n">
        <f aca="false">O22+O42+O17</f>
        <v>42786</v>
      </c>
      <c r="P12" s="71" t="n">
        <f aca="false">P17+P42</f>
        <v>32200</v>
      </c>
      <c r="Q12" s="69" t="n">
        <f aca="false">Q17+Q42</f>
        <v>28900</v>
      </c>
      <c r="R12" s="69" t="n">
        <f aca="false">R17+R42</f>
        <v>35400</v>
      </c>
      <c r="S12" s="69" t="n">
        <f aca="false">S17+S42</f>
        <v>42600</v>
      </c>
      <c r="T12" s="69" t="n">
        <f aca="false">T17+T42</f>
        <v>45300</v>
      </c>
      <c r="U12" s="69" t="n">
        <f aca="false">U17+U42</f>
        <v>43900</v>
      </c>
      <c r="V12" s="69" t="n">
        <f aca="false">V17+V42</f>
        <v>52400</v>
      </c>
      <c r="W12" s="68" t="n">
        <f aca="false">W17+W42</f>
        <v>51500</v>
      </c>
      <c r="X12" s="69" t="n">
        <f aca="false">X17+X42</f>
        <v>46900</v>
      </c>
      <c r="Y12" s="69" t="n">
        <f aca="false">Y17+Y42</f>
        <v>46800</v>
      </c>
    </row>
    <row r="13" customFormat="false" ht="15.75" hidden="false" customHeight="false" outlineLevel="0" collapsed="false">
      <c r="A13" s="72"/>
      <c r="B13" s="73" t="s">
        <v>18</v>
      </c>
      <c r="C13" s="56"/>
      <c r="D13" s="57"/>
      <c r="E13" s="74"/>
      <c r="F13" s="56"/>
      <c r="G13" s="56"/>
      <c r="H13" s="56"/>
      <c r="I13" s="56"/>
      <c r="J13" s="56"/>
      <c r="K13" s="68"/>
      <c r="L13" s="68"/>
      <c r="M13" s="69"/>
      <c r="N13" s="70"/>
      <c r="O13" s="75" t="n">
        <f aca="false">O18+O43</f>
        <v>9386</v>
      </c>
      <c r="P13" s="71"/>
      <c r="Q13" s="69"/>
      <c r="R13" s="69"/>
      <c r="S13" s="69"/>
      <c r="T13" s="69"/>
      <c r="U13" s="69"/>
      <c r="V13" s="69"/>
      <c r="W13" s="68"/>
      <c r="X13" s="69"/>
      <c r="Y13" s="69"/>
    </row>
    <row r="14" customFormat="false" ht="15" hidden="false" customHeight="true" outlineLevel="0" collapsed="false">
      <c r="A14" s="36"/>
      <c r="B14" s="76" t="s">
        <v>19</v>
      </c>
      <c r="C14" s="77"/>
      <c r="D14" s="77"/>
      <c r="E14" s="3"/>
      <c r="F14" s="78"/>
      <c r="G14" s="78"/>
      <c r="H14" s="78"/>
      <c r="I14" s="78"/>
      <c r="J14" s="78"/>
      <c r="K14" s="79"/>
      <c r="L14" s="80"/>
      <c r="M14" s="81"/>
      <c r="N14" s="81"/>
      <c r="O14" s="82"/>
      <c r="P14" s="83" t="n">
        <f aca="false">P19+P44</f>
        <v>32200</v>
      </c>
      <c r="Q14" s="84" t="n">
        <f aca="false">Q19+Q44</f>
        <v>28900</v>
      </c>
      <c r="R14" s="84" t="n">
        <f aca="false">R19+R44</f>
        <v>35400</v>
      </c>
      <c r="S14" s="84" t="n">
        <f aca="false">S19+S44</f>
        <v>37600</v>
      </c>
      <c r="T14" s="84" t="n">
        <f aca="false">T19+T44</f>
        <v>40300</v>
      </c>
      <c r="U14" s="84" t="n">
        <f aca="false">U19+U44</f>
        <v>41900</v>
      </c>
      <c r="V14" s="84" t="n">
        <f aca="false">V19+V44</f>
        <v>50400</v>
      </c>
      <c r="W14" s="85" t="n">
        <f aca="false">W19+W44</f>
        <v>50500</v>
      </c>
      <c r="X14" s="84" t="n">
        <f aca="false">X19+X44</f>
        <v>46900</v>
      </c>
      <c r="Y14" s="84"/>
    </row>
    <row r="15" customFormat="false" ht="15" hidden="false" customHeight="true" outlineLevel="0" collapsed="false">
      <c r="A15" s="36"/>
      <c r="B15" s="76" t="s">
        <v>20</v>
      </c>
      <c r="C15" s="77"/>
      <c r="D15" s="77"/>
      <c r="E15" s="3"/>
      <c r="F15" s="78"/>
      <c r="G15" s="78"/>
      <c r="H15" s="78"/>
      <c r="I15" s="78"/>
      <c r="J15" s="78"/>
      <c r="K15" s="79"/>
      <c r="L15" s="80"/>
      <c r="M15" s="81"/>
      <c r="N15" s="81"/>
      <c r="O15" s="82"/>
      <c r="P15" s="83" t="n">
        <f aca="false">P20+P45</f>
        <v>0</v>
      </c>
      <c r="Q15" s="84" t="n">
        <f aca="false">Q20+Q45</f>
        <v>0</v>
      </c>
      <c r="R15" s="84" t="n">
        <f aca="false">R20+R45</f>
        <v>0</v>
      </c>
      <c r="S15" s="84" t="n">
        <f aca="false">S20+S45</f>
        <v>5000</v>
      </c>
      <c r="T15" s="84" t="n">
        <f aca="false">T20+T45</f>
        <v>5000</v>
      </c>
      <c r="U15" s="84" t="n">
        <f aca="false">U20+U45</f>
        <v>2000</v>
      </c>
      <c r="V15" s="84" t="n">
        <f aca="false">V20+V45</f>
        <v>2000</v>
      </c>
      <c r="W15" s="85" t="n">
        <f aca="false">W20+W45</f>
        <v>1000</v>
      </c>
      <c r="X15" s="84" t="n">
        <f aca="false">X20+X45</f>
        <v>0</v>
      </c>
      <c r="Y15" s="84"/>
    </row>
    <row r="16" customFormat="false" ht="15" hidden="false" customHeight="false" outlineLevel="0" collapsed="false">
      <c r="A16" s="54"/>
      <c r="B16" s="86"/>
      <c r="C16" s="56"/>
      <c r="D16" s="57"/>
      <c r="E16" s="56"/>
      <c r="F16" s="56"/>
      <c r="G16" s="56"/>
      <c r="H16" s="56"/>
      <c r="I16" s="56"/>
      <c r="J16" s="56"/>
      <c r="K16" s="58"/>
      <c r="L16" s="87"/>
      <c r="M16" s="88" t="s">
        <v>3</v>
      </c>
      <c r="N16" s="89"/>
      <c r="O16" s="88" t="s">
        <v>3</v>
      </c>
      <c r="P16" s="90" t="s">
        <v>3</v>
      </c>
      <c r="Q16" s="91" t="s">
        <v>3</v>
      </c>
      <c r="R16" s="91" t="s">
        <v>3</v>
      </c>
      <c r="S16" s="91" t="s">
        <v>3</v>
      </c>
      <c r="T16" s="91" t="s">
        <v>3</v>
      </c>
      <c r="U16" s="91" t="s">
        <v>3</v>
      </c>
      <c r="V16" s="91" t="s">
        <v>3</v>
      </c>
      <c r="W16" s="92" t="s">
        <v>3</v>
      </c>
      <c r="X16" s="91" t="s">
        <v>3</v>
      </c>
      <c r="Y16" s="91"/>
    </row>
    <row r="17" customFormat="false" ht="30.75" hidden="false" customHeight="false" outlineLevel="0" collapsed="false">
      <c r="A17" s="93" t="s">
        <v>21</v>
      </c>
      <c r="B17" s="94" t="s">
        <v>22</v>
      </c>
      <c r="C17" s="56"/>
      <c r="D17" s="57"/>
      <c r="E17" s="56"/>
      <c r="F17" s="56"/>
      <c r="G17" s="56"/>
      <c r="H17" s="56"/>
      <c r="I17" s="56"/>
      <c r="J17" s="56"/>
      <c r="K17" s="58"/>
      <c r="L17" s="68" t="n">
        <v>20109</v>
      </c>
      <c r="M17" s="69" t="n">
        <v>10215</v>
      </c>
      <c r="N17" s="70" t="n">
        <f aca="false">7989745.77/1000</f>
        <v>7989.74577</v>
      </c>
      <c r="O17" s="69" t="n">
        <f aca="false">13500+O18</f>
        <v>22886</v>
      </c>
      <c r="P17" s="71" t="n">
        <v>13500</v>
      </c>
      <c r="Q17" s="69" t="n">
        <v>13500</v>
      </c>
      <c r="R17" s="69" t="n">
        <v>17500</v>
      </c>
      <c r="S17" s="69" t="n">
        <v>15500</v>
      </c>
      <c r="T17" s="69" t="n">
        <v>15500</v>
      </c>
      <c r="U17" s="69" t="n">
        <v>15500</v>
      </c>
      <c r="V17" s="69" t="n">
        <v>16500</v>
      </c>
      <c r="W17" s="68" t="n">
        <v>16500</v>
      </c>
      <c r="X17" s="69" t="n">
        <v>16500</v>
      </c>
      <c r="Y17" s="69" t="n">
        <v>16500</v>
      </c>
    </row>
    <row r="18" customFormat="false" ht="15.75" hidden="false" customHeight="false" outlineLevel="0" collapsed="false">
      <c r="A18" s="93"/>
      <c r="B18" s="73" t="s">
        <v>23</v>
      </c>
      <c r="C18" s="56"/>
      <c r="D18" s="57"/>
      <c r="E18" s="74"/>
      <c r="F18" s="56"/>
      <c r="G18" s="56"/>
      <c r="H18" s="56"/>
      <c r="I18" s="56"/>
      <c r="J18" s="56"/>
      <c r="K18" s="58"/>
      <c r="L18" s="68"/>
      <c r="M18" s="69"/>
      <c r="N18" s="70"/>
      <c r="O18" s="75" t="n">
        <v>9386</v>
      </c>
      <c r="P18" s="71"/>
      <c r="Q18" s="69"/>
      <c r="R18" s="69"/>
      <c r="S18" s="69"/>
      <c r="T18" s="69"/>
      <c r="U18" s="69"/>
      <c r="V18" s="69"/>
      <c r="W18" s="68"/>
      <c r="X18" s="69"/>
      <c r="Y18" s="69"/>
    </row>
    <row r="19" customFormat="false" ht="15" hidden="false" customHeight="true" outlineLevel="0" collapsed="false">
      <c r="A19" s="36"/>
      <c r="B19" s="76" t="s">
        <v>19</v>
      </c>
      <c r="C19" s="77"/>
      <c r="D19" s="77"/>
      <c r="E19" s="3"/>
      <c r="F19" s="78"/>
      <c r="G19" s="78"/>
      <c r="H19" s="78"/>
      <c r="I19" s="78"/>
      <c r="J19" s="78"/>
      <c r="K19" s="79"/>
      <c r="L19" s="80"/>
      <c r="M19" s="81"/>
      <c r="N19" s="81"/>
      <c r="O19" s="82"/>
      <c r="P19" s="83" t="n">
        <v>13500</v>
      </c>
      <c r="Q19" s="84" t="n">
        <v>13500</v>
      </c>
      <c r="R19" s="84" t="n">
        <v>17500</v>
      </c>
      <c r="S19" s="84" t="n">
        <v>15500</v>
      </c>
      <c r="T19" s="84" t="n">
        <v>15500</v>
      </c>
      <c r="U19" s="84" t="n">
        <v>15500</v>
      </c>
      <c r="V19" s="84" t="n">
        <v>16500</v>
      </c>
      <c r="W19" s="85" t="n">
        <v>16500</v>
      </c>
      <c r="X19" s="84" t="n">
        <v>16500</v>
      </c>
      <c r="Y19" s="84" t="n">
        <v>16500</v>
      </c>
    </row>
    <row r="20" customFormat="false" ht="15" hidden="false" customHeight="true" outlineLevel="0" collapsed="false">
      <c r="A20" s="36"/>
      <c r="B20" s="76" t="s">
        <v>20</v>
      </c>
      <c r="C20" s="77"/>
      <c r="D20" s="77"/>
      <c r="E20" s="3"/>
      <c r="F20" s="78"/>
      <c r="G20" s="78"/>
      <c r="H20" s="78"/>
      <c r="I20" s="78"/>
      <c r="J20" s="78"/>
      <c r="K20" s="79"/>
      <c r="L20" s="80"/>
      <c r="M20" s="81"/>
      <c r="N20" s="81"/>
      <c r="O20" s="82"/>
      <c r="P20" s="83" t="n">
        <f aca="false">P17-P19</f>
        <v>0</v>
      </c>
      <c r="Q20" s="84" t="n">
        <f aca="false">Q17-Q19</f>
        <v>0</v>
      </c>
      <c r="R20" s="84" t="n">
        <f aca="false">R17-R19</f>
        <v>0</v>
      </c>
      <c r="S20" s="84" t="n">
        <f aca="false">S17-S19</f>
        <v>0</v>
      </c>
      <c r="T20" s="84" t="n">
        <f aca="false">T17-T19</f>
        <v>0</v>
      </c>
      <c r="U20" s="84" t="n">
        <f aca="false">U17-U19</f>
        <v>0</v>
      </c>
      <c r="V20" s="84" t="n">
        <f aca="false">V17-V19</f>
        <v>0</v>
      </c>
      <c r="W20" s="85" t="n">
        <f aca="false">W17-W19</f>
        <v>0</v>
      </c>
      <c r="X20" s="84" t="n">
        <f aca="false">X17-X19</f>
        <v>0</v>
      </c>
      <c r="Y20" s="84"/>
    </row>
    <row r="21" customFormat="false" ht="15" hidden="false" customHeight="false" outlineLevel="0" collapsed="false">
      <c r="A21" s="54"/>
      <c r="B21" s="95"/>
      <c r="C21" s="56"/>
      <c r="D21" s="57"/>
      <c r="E21" s="56"/>
      <c r="F21" s="96"/>
      <c r="G21" s="56"/>
      <c r="H21" s="56"/>
      <c r="I21" s="56"/>
      <c r="J21" s="56"/>
      <c r="K21" s="58"/>
      <c r="L21" s="58"/>
      <c r="M21" s="61"/>
      <c r="N21" s="97"/>
      <c r="O21" s="61"/>
      <c r="P21" s="62"/>
      <c r="Q21" s="97"/>
      <c r="R21" s="97"/>
      <c r="S21" s="97"/>
      <c r="T21" s="63"/>
      <c r="U21" s="63"/>
      <c r="V21" s="63"/>
      <c r="W21" s="64"/>
      <c r="X21" s="63"/>
      <c r="Y21" s="63"/>
    </row>
    <row r="22" customFormat="false" ht="15.75" hidden="false" customHeight="false" outlineLevel="0" collapsed="false">
      <c r="A22" s="93" t="s">
        <v>24</v>
      </c>
      <c r="B22" s="37" t="s">
        <v>25</v>
      </c>
      <c r="C22" s="98" t="n">
        <f aca="false">SUM(C26+C28+C30+C32+C34+C36+C38)</f>
        <v>27097</v>
      </c>
      <c r="D22" s="98" t="n">
        <f aca="false">SUM(D26+D28+D30+D32+D34+D36+D38)</f>
        <v>38476</v>
      </c>
      <c r="E22" s="98" t="n">
        <f aca="false">SUM(E26+E28+E30+E32+E34+E36+E38)</f>
        <v>36243</v>
      </c>
      <c r="F22" s="98" t="n">
        <f aca="false">SUM(F26+F28+F30+F32+F34+F36+F38)</f>
        <v>21087</v>
      </c>
      <c r="G22" s="98" t="n">
        <f aca="false">SUM(G26+G28+G30+G32+G34+G36+G38)</f>
        <v>16210</v>
      </c>
      <c r="H22" s="98" t="n">
        <f aca="false">SUM(H26+H28+H30+H32+H34+H36+H38)</f>
        <v>33797</v>
      </c>
      <c r="I22" s="98" t="n">
        <f aca="false">SUM(I26+I28+I30+I32+I34+I36+I38)</f>
        <v>54107</v>
      </c>
      <c r="J22" s="98" t="n">
        <f aca="false">SUM(J26+J28+J30+J32+J34+J36+J38)</f>
        <v>52707</v>
      </c>
      <c r="K22" s="98" t="n">
        <f aca="false">SUM(K26+K28+K30+K32+K34+K36+K38)</f>
        <v>44021</v>
      </c>
      <c r="L22" s="98" t="n">
        <f aca="false">SUM(L26+L28+L30+L32+L34+L36+L38)</f>
        <v>55557</v>
      </c>
      <c r="M22" s="99" t="n">
        <f aca="false">SUM(M26+M28+M30+M32+M34+M36+M38+M40)</f>
        <v>96405.286</v>
      </c>
      <c r="N22" s="100" t="n">
        <f aca="false">SUM(N26+N28+N30+N32+N34+N36+N38+N40)</f>
        <v>68244.74654</v>
      </c>
      <c r="O22" s="99" t="n">
        <f aca="false">SUM(O28:O40)</f>
        <v>0</v>
      </c>
      <c r="P22" s="101" t="n">
        <f aca="false">SUM(P28:P40)</f>
        <v>0</v>
      </c>
      <c r="Q22" s="99" t="n">
        <f aca="false">SUM(Q28:Q40)</f>
        <v>0</v>
      </c>
      <c r="R22" s="99" t="n">
        <f aca="false">SUM(R28:R40)</f>
        <v>0</v>
      </c>
      <c r="S22" s="99" t="n">
        <f aca="false">SUM(S28:S40)</f>
        <v>0</v>
      </c>
      <c r="T22" s="99" t="n">
        <f aca="false">SUM(T28:T40)</f>
        <v>0</v>
      </c>
      <c r="U22" s="99" t="n">
        <f aca="false">SUM(U28:U40)</f>
        <v>0</v>
      </c>
      <c r="V22" s="99" t="n">
        <f aca="false">SUM(V28:V40)</f>
        <v>0</v>
      </c>
      <c r="W22" s="98" t="n">
        <f aca="false">SUM(W28:W40)</f>
        <v>0</v>
      </c>
      <c r="X22" s="99" t="n">
        <f aca="false">SUM(X28:X40)</f>
        <v>0</v>
      </c>
      <c r="Y22" s="99"/>
    </row>
    <row r="23" customFormat="false" ht="15.75" hidden="false" customHeight="false" outlineLevel="0" collapsed="false">
      <c r="A23" s="38"/>
      <c r="B23" s="73" t="s">
        <v>26</v>
      </c>
      <c r="C23" s="56"/>
      <c r="D23" s="57"/>
      <c r="E23" s="56"/>
      <c r="F23" s="56"/>
      <c r="G23" s="56"/>
      <c r="H23" s="56"/>
      <c r="I23" s="56"/>
      <c r="J23" s="56"/>
      <c r="K23" s="68"/>
      <c r="L23" s="102" t="s">
        <v>3</v>
      </c>
      <c r="M23" s="88" t="s">
        <v>3</v>
      </c>
      <c r="N23" s="89"/>
      <c r="O23" s="88" t="n">
        <f aca="false">SUM(O26:O40)</f>
        <v>0</v>
      </c>
      <c r="P23" s="90" t="n">
        <f aca="false">SUM(P26:P40)</f>
        <v>0</v>
      </c>
      <c r="Q23" s="91" t="n">
        <f aca="false">SUM(Q26:Q40)</f>
        <v>0</v>
      </c>
      <c r="R23" s="91" t="n">
        <f aca="false">SUM(R26:R40)</f>
        <v>0</v>
      </c>
      <c r="S23" s="91" t="n">
        <f aca="false">SUM(S26:S40)</f>
        <v>0</v>
      </c>
      <c r="T23" s="91" t="n">
        <f aca="false">SUM(T26:T40)</f>
        <v>0</v>
      </c>
      <c r="U23" s="91" t="n">
        <f aca="false">SUM(U26:U40)</f>
        <v>0</v>
      </c>
      <c r="V23" s="91" t="n">
        <f aca="false">SUM(V26:V40)</f>
        <v>0</v>
      </c>
      <c r="W23" s="91" t="n">
        <f aca="false">SUM(W26:W40)</f>
        <v>0</v>
      </c>
      <c r="X23" s="91" t="n">
        <f aca="false">SUM(X26:X40)</f>
        <v>0</v>
      </c>
      <c r="Y23" s="91"/>
    </row>
    <row r="24" customFormat="false" ht="15.75" hidden="false" customHeight="false" outlineLevel="0" collapsed="false">
      <c r="A24" s="38"/>
      <c r="B24" s="103"/>
      <c r="C24" s="56"/>
      <c r="D24" s="57"/>
      <c r="E24" s="56"/>
      <c r="F24" s="56"/>
      <c r="G24" s="56"/>
      <c r="H24" s="56"/>
      <c r="I24" s="56"/>
      <c r="J24" s="56"/>
      <c r="K24" s="68"/>
      <c r="L24" s="102"/>
      <c r="M24" s="88"/>
      <c r="N24" s="89"/>
      <c r="O24" s="88"/>
      <c r="P24" s="90"/>
      <c r="Q24" s="91"/>
      <c r="R24" s="91"/>
      <c r="S24" s="91"/>
      <c r="T24" s="91"/>
      <c r="U24" s="91"/>
      <c r="V24" s="91"/>
      <c r="W24" s="92"/>
      <c r="X24" s="91"/>
      <c r="Y24" s="91"/>
    </row>
    <row r="25" customFormat="false" ht="15.75" hidden="false" customHeight="false" outlineLevel="0" collapsed="false">
      <c r="A25" s="38"/>
      <c r="B25" s="104"/>
      <c r="C25" s="56"/>
      <c r="D25" s="57"/>
      <c r="E25" s="56"/>
      <c r="F25" s="56"/>
      <c r="G25" s="56"/>
      <c r="H25" s="56"/>
      <c r="I25" s="56"/>
      <c r="J25" s="56"/>
      <c r="K25" s="68"/>
      <c r="L25" s="102"/>
      <c r="M25" s="88"/>
      <c r="N25" s="89"/>
      <c r="O25" s="88"/>
      <c r="P25" s="90"/>
      <c r="Q25" s="91"/>
      <c r="R25" s="91"/>
      <c r="S25" s="91"/>
      <c r="T25" s="91"/>
      <c r="U25" s="91"/>
      <c r="V25" s="91"/>
      <c r="W25" s="92"/>
      <c r="X25" s="91"/>
      <c r="Y25" s="91"/>
    </row>
    <row r="26" customFormat="false" ht="15.75" hidden="false" customHeight="false" outlineLevel="0" collapsed="false">
      <c r="A26" s="38" t="s">
        <v>27</v>
      </c>
      <c r="B26" s="37" t="s">
        <v>28</v>
      </c>
      <c r="C26" s="105" t="n">
        <v>12</v>
      </c>
      <c r="D26" s="105" t="n">
        <v>2987</v>
      </c>
      <c r="E26" s="105" t="n">
        <v>3900</v>
      </c>
      <c r="F26" s="105" t="n">
        <v>2632</v>
      </c>
      <c r="G26" s="38" t="n">
        <v>950</v>
      </c>
      <c r="H26" s="38" t="n">
        <v>676</v>
      </c>
      <c r="I26" s="38" t="n">
        <v>2058</v>
      </c>
      <c r="J26" s="38" t="n">
        <v>119</v>
      </c>
      <c r="K26" s="68" t="n">
        <v>424</v>
      </c>
      <c r="L26" s="68" t="n">
        <v>153</v>
      </c>
      <c r="M26" s="69" t="n">
        <f aca="false">4209/1000</f>
        <v>4.209</v>
      </c>
      <c r="N26" s="70"/>
      <c r="O26" s="69"/>
      <c r="P26" s="71"/>
      <c r="Q26" s="69"/>
      <c r="R26" s="69"/>
      <c r="S26" s="69"/>
      <c r="T26" s="69"/>
      <c r="U26" s="69"/>
      <c r="V26" s="69"/>
      <c r="W26" s="68"/>
      <c r="X26" s="69"/>
      <c r="Y26" s="69"/>
    </row>
    <row r="27" customFormat="false" ht="15.75" hidden="false" customHeight="false" outlineLevel="0" collapsed="false">
      <c r="A27" s="38"/>
      <c r="B27" s="73"/>
      <c r="C27" s="105"/>
      <c r="D27" s="105"/>
      <c r="E27" s="105"/>
      <c r="F27" s="105"/>
      <c r="G27" s="106"/>
      <c r="H27" s="106"/>
      <c r="I27" s="106"/>
      <c r="J27" s="106"/>
      <c r="K27" s="68"/>
      <c r="L27" s="102" t="s">
        <v>3</v>
      </c>
      <c r="M27" s="69"/>
      <c r="N27" s="70"/>
      <c r="O27" s="69"/>
      <c r="P27" s="71"/>
      <c r="Q27" s="69"/>
      <c r="R27" s="69"/>
      <c r="S27" s="69"/>
      <c r="T27" s="69"/>
      <c r="U27" s="69"/>
      <c r="V27" s="69"/>
      <c r="W27" s="68"/>
      <c r="X27" s="69"/>
      <c r="Y27" s="69"/>
    </row>
    <row r="28" customFormat="false" ht="15.75" hidden="false" customHeight="false" outlineLevel="0" collapsed="false">
      <c r="A28" s="38" t="s">
        <v>29</v>
      </c>
      <c r="B28" s="37" t="s">
        <v>30</v>
      </c>
      <c r="C28" s="105" t="n">
        <v>13160</v>
      </c>
      <c r="D28" s="105" t="n">
        <v>18215</v>
      </c>
      <c r="E28" s="105" t="n">
        <v>12921</v>
      </c>
      <c r="F28" s="105" t="n">
        <v>10948</v>
      </c>
      <c r="G28" s="106" t="n">
        <v>5876</v>
      </c>
      <c r="H28" s="106" t="n">
        <v>9018</v>
      </c>
      <c r="I28" s="106" t="n">
        <v>22120</v>
      </c>
      <c r="J28" s="106" t="n">
        <v>18499</v>
      </c>
      <c r="K28" s="68" t="n">
        <v>17759</v>
      </c>
      <c r="L28" s="68" t="n">
        <v>16234</v>
      </c>
      <c r="M28" s="69" t="n">
        <f aca="false">24567518/1000</f>
        <v>24567.518</v>
      </c>
      <c r="N28" s="70" t="n">
        <f aca="false">11518131.75/1000</f>
        <v>11518.13175</v>
      </c>
      <c r="O28" s="69"/>
      <c r="P28" s="71"/>
      <c r="Q28" s="69"/>
      <c r="R28" s="69"/>
      <c r="S28" s="69"/>
      <c r="T28" s="69"/>
      <c r="U28" s="69"/>
      <c r="V28" s="69"/>
      <c r="W28" s="68"/>
      <c r="X28" s="69"/>
      <c r="Y28" s="69"/>
    </row>
    <row r="29" customFormat="false" ht="15.75" hidden="false" customHeight="false" outlineLevel="0" collapsed="false">
      <c r="A29" s="38"/>
      <c r="B29" s="73"/>
      <c r="C29" s="105"/>
      <c r="D29" s="105"/>
      <c r="E29" s="105"/>
      <c r="F29" s="105"/>
      <c r="G29" s="106"/>
      <c r="H29" s="106"/>
      <c r="I29" s="106"/>
      <c r="J29" s="106"/>
      <c r="K29" s="68"/>
      <c r="L29" s="102" t="s">
        <v>3</v>
      </c>
      <c r="M29" s="69"/>
      <c r="N29" s="70"/>
      <c r="O29" s="69"/>
      <c r="P29" s="71"/>
      <c r="Q29" s="69"/>
      <c r="R29" s="69"/>
      <c r="S29" s="69"/>
      <c r="T29" s="69"/>
      <c r="U29" s="69"/>
      <c r="V29" s="69"/>
      <c r="W29" s="68"/>
      <c r="X29" s="69"/>
      <c r="Y29" s="69"/>
    </row>
    <row r="30" customFormat="false" ht="15.75" hidden="false" customHeight="false" outlineLevel="0" collapsed="false">
      <c r="A30" s="38" t="s">
        <v>31</v>
      </c>
      <c r="B30" s="37" t="s">
        <v>32</v>
      </c>
      <c r="C30" s="105" t="n">
        <v>12398</v>
      </c>
      <c r="D30" s="105" t="n">
        <v>15795</v>
      </c>
      <c r="E30" s="105" t="n">
        <v>16748</v>
      </c>
      <c r="F30" s="105" t="n">
        <v>5271</v>
      </c>
      <c r="G30" s="106" t="n">
        <v>3840</v>
      </c>
      <c r="H30" s="106" t="n">
        <v>13910</v>
      </c>
      <c r="I30" s="106" t="n">
        <v>14037</v>
      </c>
      <c r="J30" s="106" t="n">
        <v>30439</v>
      </c>
      <c r="K30" s="68" t="n">
        <v>20282</v>
      </c>
      <c r="L30" s="68" t="n">
        <v>26404</v>
      </c>
      <c r="M30" s="69" t="n">
        <f aca="false">63084921/1000</f>
        <v>63084.921</v>
      </c>
      <c r="N30" s="70" t="n">
        <f aca="false">44869587.07/1000</f>
        <v>44869.58707</v>
      </c>
      <c r="O30" s="69"/>
      <c r="P30" s="71"/>
      <c r="Q30" s="69"/>
      <c r="R30" s="69"/>
      <c r="S30" s="69"/>
      <c r="T30" s="69"/>
      <c r="U30" s="69"/>
      <c r="V30" s="69"/>
      <c r="W30" s="68"/>
      <c r="X30" s="69"/>
      <c r="Y30" s="69"/>
    </row>
    <row r="31" customFormat="false" ht="15.75" hidden="false" customHeight="false" outlineLevel="0" collapsed="false">
      <c r="A31" s="38"/>
      <c r="B31" s="73"/>
      <c r="C31" s="105"/>
      <c r="D31" s="105"/>
      <c r="E31" s="105"/>
      <c r="F31" s="105"/>
      <c r="G31" s="106"/>
      <c r="H31" s="106"/>
      <c r="I31" s="106"/>
      <c r="J31" s="106"/>
      <c r="K31" s="68"/>
      <c r="L31" s="102" t="s">
        <v>3</v>
      </c>
      <c r="M31" s="69"/>
      <c r="N31" s="70"/>
      <c r="O31" s="69"/>
      <c r="P31" s="71"/>
      <c r="Q31" s="69"/>
      <c r="R31" s="69"/>
      <c r="S31" s="69"/>
      <c r="T31" s="69"/>
      <c r="U31" s="69"/>
      <c r="V31" s="69"/>
      <c r="W31" s="68"/>
      <c r="X31" s="69"/>
      <c r="Y31" s="69"/>
    </row>
    <row r="32" customFormat="false" ht="15.75" hidden="false" customHeight="false" outlineLevel="0" collapsed="false">
      <c r="A32" s="38" t="s">
        <v>33</v>
      </c>
      <c r="B32" s="37" t="s">
        <v>34</v>
      </c>
      <c r="C32" s="105" t="n">
        <v>0</v>
      </c>
      <c r="D32" s="105" t="n">
        <v>112</v>
      </c>
      <c r="E32" s="105" t="n">
        <v>1812</v>
      </c>
      <c r="F32" s="105" t="n">
        <v>1685</v>
      </c>
      <c r="G32" s="106" t="n">
        <v>1836</v>
      </c>
      <c r="H32" s="106" t="n">
        <v>1908</v>
      </c>
      <c r="I32" s="106" t="n">
        <v>2651</v>
      </c>
      <c r="J32" s="106" t="n">
        <v>1122</v>
      </c>
      <c r="K32" s="68" t="n">
        <v>1928</v>
      </c>
      <c r="L32" s="68" t="n">
        <v>10930</v>
      </c>
      <c r="M32" s="69" t="n">
        <f aca="false">2265106/1000</f>
        <v>2265.106</v>
      </c>
      <c r="N32" s="70" t="n">
        <f aca="false">4261387.88/1000</f>
        <v>4261.38788</v>
      </c>
      <c r="O32" s="69"/>
      <c r="P32" s="71"/>
      <c r="Q32" s="69"/>
      <c r="R32" s="69"/>
      <c r="S32" s="69"/>
      <c r="T32" s="69"/>
      <c r="U32" s="69"/>
      <c r="V32" s="69"/>
      <c r="W32" s="68"/>
      <c r="X32" s="69"/>
      <c r="Y32" s="69"/>
    </row>
    <row r="33" customFormat="false" ht="15.75" hidden="false" customHeight="false" outlineLevel="0" collapsed="false">
      <c r="A33" s="38"/>
      <c r="B33" s="73"/>
      <c r="C33" s="105"/>
      <c r="D33" s="105"/>
      <c r="E33" s="105"/>
      <c r="F33" s="105"/>
      <c r="G33" s="106"/>
      <c r="H33" s="106"/>
      <c r="I33" s="106"/>
      <c r="J33" s="106"/>
      <c r="K33" s="68"/>
      <c r="L33" s="102" t="s">
        <v>3</v>
      </c>
      <c r="M33" s="69"/>
      <c r="N33" s="70"/>
      <c r="O33" s="69"/>
      <c r="P33" s="71"/>
      <c r="Q33" s="69"/>
      <c r="R33" s="69"/>
      <c r="S33" s="69"/>
      <c r="T33" s="69"/>
      <c r="U33" s="69"/>
      <c r="V33" s="69"/>
      <c r="W33" s="68"/>
      <c r="X33" s="69"/>
      <c r="Y33" s="69"/>
    </row>
    <row r="34" customFormat="false" ht="15.75" hidden="false" customHeight="false" outlineLevel="0" collapsed="false">
      <c r="A34" s="38" t="s">
        <v>35</v>
      </c>
      <c r="B34" s="37" t="s">
        <v>36</v>
      </c>
      <c r="C34" s="105" t="n">
        <v>0</v>
      </c>
      <c r="D34" s="105" t="n">
        <v>0</v>
      </c>
      <c r="E34" s="105" t="n">
        <v>0</v>
      </c>
      <c r="F34" s="105" t="n">
        <v>534</v>
      </c>
      <c r="G34" s="106" t="n">
        <v>2189</v>
      </c>
      <c r="H34" s="106" t="n">
        <v>1049</v>
      </c>
      <c r="I34" s="106" t="n">
        <v>4107</v>
      </c>
      <c r="J34" s="106" t="n">
        <v>593</v>
      </c>
      <c r="K34" s="68" t="n">
        <v>263</v>
      </c>
      <c r="L34" s="68" t="n">
        <v>228</v>
      </c>
      <c r="M34" s="69" t="n">
        <f aca="false">3221760/1000</f>
        <v>3221.76</v>
      </c>
      <c r="N34" s="70" t="n">
        <f aca="false">1412467.98/1000</f>
        <v>1412.46798</v>
      </c>
      <c r="O34" s="69"/>
      <c r="P34" s="71"/>
      <c r="Q34" s="69"/>
      <c r="R34" s="69"/>
      <c r="S34" s="69"/>
      <c r="T34" s="69"/>
      <c r="U34" s="69"/>
      <c r="V34" s="69"/>
      <c r="W34" s="68"/>
      <c r="X34" s="69"/>
      <c r="Y34" s="69"/>
    </row>
    <row r="35" customFormat="false" ht="15.75" hidden="false" customHeight="false" outlineLevel="0" collapsed="false">
      <c r="A35" s="38" t="s">
        <v>3</v>
      </c>
      <c r="B35" s="73"/>
      <c r="C35" s="105"/>
      <c r="D35" s="105"/>
      <c r="E35" s="105"/>
      <c r="F35" s="105"/>
      <c r="G35" s="106"/>
      <c r="H35" s="106"/>
      <c r="I35" s="106"/>
      <c r="J35" s="106"/>
      <c r="K35" s="68"/>
      <c r="L35" s="102" t="s">
        <v>3</v>
      </c>
      <c r="M35" s="69"/>
      <c r="N35" s="70"/>
      <c r="O35" s="69"/>
      <c r="P35" s="71"/>
      <c r="Q35" s="69"/>
      <c r="R35" s="69"/>
      <c r="S35" s="69"/>
      <c r="T35" s="69"/>
      <c r="U35" s="69"/>
      <c r="V35" s="69"/>
      <c r="W35" s="68"/>
      <c r="X35" s="69"/>
      <c r="Y35" s="69"/>
    </row>
    <row r="36" customFormat="false" ht="15.75" hidden="false" customHeight="false" outlineLevel="0" collapsed="false">
      <c r="A36" s="38" t="s">
        <v>37</v>
      </c>
      <c r="B36" s="37" t="s">
        <v>38</v>
      </c>
      <c r="C36" s="105" t="n">
        <v>0</v>
      </c>
      <c r="D36" s="105" t="n">
        <v>0</v>
      </c>
      <c r="E36" s="105" t="n">
        <v>22</v>
      </c>
      <c r="F36" s="105" t="n">
        <v>17</v>
      </c>
      <c r="G36" s="106" t="n">
        <v>1519</v>
      </c>
      <c r="H36" s="106" t="n">
        <v>7236</v>
      </c>
      <c r="I36" s="106" t="n">
        <v>9134</v>
      </c>
      <c r="J36" s="106" t="n">
        <v>1935</v>
      </c>
      <c r="K36" s="68" t="n">
        <v>3025</v>
      </c>
      <c r="L36" s="68" t="n">
        <v>1257</v>
      </c>
      <c r="M36" s="69" t="n">
        <f aca="false">2598077/1000</f>
        <v>2598.077</v>
      </c>
      <c r="N36" s="70" t="n">
        <f aca="false">5091820.86/1000</f>
        <v>5091.82086</v>
      </c>
      <c r="O36" s="69"/>
      <c r="P36" s="71"/>
      <c r="Q36" s="69"/>
      <c r="R36" s="69"/>
      <c r="S36" s="69"/>
      <c r="T36" s="69"/>
      <c r="U36" s="69"/>
      <c r="V36" s="69"/>
      <c r="W36" s="68"/>
      <c r="X36" s="69"/>
      <c r="Y36" s="69"/>
    </row>
    <row r="37" customFormat="false" ht="15.75" hidden="false" customHeight="false" outlineLevel="0" collapsed="false">
      <c r="A37" s="38"/>
      <c r="B37" s="73"/>
      <c r="C37" s="105"/>
      <c r="D37" s="105"/>
      <c r="E37" s="105"/>
      <c r="F37" s="105"/>
      <c r="G37" s="106"/>
      <c r="H37" s="106"/>
      <c r="I37" s="106"/>
      <c r="J37" s="106"/>
      <c r="K37" s="68"/>
      <c r="L37" s="102" t="s">
        <v>3</v>
      </c>
      <c r="M37" s="69"/>
      <c r="N37" s="70"/>
      <c r="O37" s="69"/>
      <c r="P37" s="71"/>
      <c r="Q37" s="69"/>
      <c r="R37" s="69"/>
      <c r="S37" s="69"/>
      <c r="T37" s="69"/>
      <c r="U37" s="69"/>
      <c r="V37" s="69"/>
      <c r="W37" s="68"/>
      <c r="X37" s="69"/>
      <c r="Y37" s="69"/>
    </row>
    <row r="38" customFormat="false" ht="15.75" hidden="false" customHeight="false" outlineLevel="0" collapsed="false">
      <c r="A38" s="38" t="s">
        <v>39</v>
      </c>
      <c r="B38" s="37" t="s">
        <v>40</v>
      </c>
      <c r="C38" s="105" t="n">
        <f aca="false">877+650</f>
        <v>1527</v>
      </c>
      <c r="D38" s="105" t="n">
        <f aca="false">462+905</f>
        <v>1367</v>
      </c>
      <c r="E38" s="105" t="n">
        <f aca="false">15+825</f>
        <v>840</v>
      </c>
      <c r="F38" s="105" t="n">
        <v>0</v>
      </c>
      <c r="G38" s="106" t="n">
        <v>0</v>
      </c>
      <c r="H38" s="106" t="n">
        <v>0</v>
      </c>
      <c r="I38" s="106" t="n">
        <v>0</v>
      </c>
      <c r="J38" s="106" t="n">
        <v>0</v>
      </c>
      <c r="K38" s="68" t="n">
        <v>340</v>
      </c>
      <c r="L38" s="68" t="n">
        <v>351</v>
      </c>
      <c r="M38" s="69" t="n">
        <f aca="false">166973/1000</f>
        <v>166.973</v>
      </c>
      <c r="N38" s="70" t="n">
        <f aca="false">462879.65/1000</f>
        <v>462.87965</v>
      </c>
      <c r="O38" s="69"/>
      <c r="P38" s="71"/>
      <c r="Q38" s="69"/>
      <c r="R38" s="69"/>
      <c r="S38" s="69"/>
      <c r="T38" s="69"/>
      <c r="U38" s="69"/>
      <c r="V38" s="69"/>
      <c r="W38" s="68"/>
      <c r="X38" s="69"/>
      <c r="Y38" s="69"/>
    </row>
    <row r="39" customFormat="false" ht="15.75" hidden="false" customHeight="false" outlineLevel="0" collapsed="false">
      <c r="A39" s="38"/>
      <c r="B39" s="73"/>
      <c r="C39" s="105"/>
      <c r="D39" s="105"/>
      <c r="E39" s="105"/>
      <c r="F39" s="105"/>
      <c r="G39" s="106"/>
      <c r="H39" s="106"/>
      <c r="I39" s="106"/>
      <c r="J39" s="106"/>
      <c r="K39" s="68"/>
      <c r="L39" s="102" t="s">
        <v>3</v>
      </c>
      <c r="M39" s="69"/>
      <c r="N39" s="70"/>
      <c r="O39" s="69"/>
      <c r="P39" s="71"/>
      <c r="Q39" s="69"/>
      <c r="R39" s="69"/>
      <c r="S39" s="69"/>
      <c r="T39" s="69"/>
      <c r="U39" s="69"/>
      <c r="V39" s="69"/>
      <c r="W39" s="68"/>
      <c r="X39" s="69"/>
      <c r="Y39" s="69"/>
    </row>
    <row r="40" customFormat="false" ht="15.75" hidden="false" customHeight="false" outlineLevel="0" collapsed="false">
      <c r="A40" s="38" t="s">
        <v>41</v>
      </c>
      <c r="B40" s="107" t="s">
        <v>42</v>
      </c>
      <c r="C40" s="105"/>
      <c r="D40" s="105"/>
      <c r="E40" s="105"/>
      <c r="F40" s="105"/>
      <c r="G40" s="106"/>
      <c r="H40" s="106"/>
      <c r="I40" s="106"/>
      <c r="J40" s="106"/>
      <c r="K40" s="68"/>
      <c r="L40" s="102"/>
      <c r="M40" s="69" t="n">
        <f aca="false">496722/1000</f>
        <v>496.722</v>
      </c>
      <c r="N40" s="70" t="n">
        <f aca="false">628471.35/1000</f>
        <v>628.47135</v>
      </c>
      <c r="O40" s="69"/>
      <c r="P40" s="71"/>
      <c r="Q40" s="69"/>
      <c r="R40" s="69"/>
      <c r="S40" s="69"/>
      <c r="T40" s="69"/>
      <c r="U40" s="69"/>
      <c r="V40" s="69"/>
      <c r="W40" s="68"/>
      <c r="X40" s="69"/>
      <c r="Y40" s="69"/>
    </row>
    <row r="41" customFormat="false" ht="15.75" hidden="false" customHeight="false" outlineLevel="0" collapsed="false">
      <c r="A41" s="38"/>
      <c r="B41" s="37"/>
      <c r="C41" s="106"/>
      <c r="D41" s="108"/>
      <c r="E41" s="106"/>
      <c r="F41" s="106"/>
      <c r="G41" s="106"/>
      <c r="H41" s="106"/>
      <c r="I41" s="106"/>
      <c r="J41" s="106"/>
      <c r="K41" s="68"/>
      <c r="L41" s="68"/>
      <c r="M41" s="109"/>
      <c r="N41" s="110"/>
      <c r="O41" s="69"/>
      <c r="P41" s="71"/>
      <c r="Q41" s="69"/>
      <c r="R41" s="69"/>
      <c r="S41" s="69"/>
      <c r="T41" s="69"/>
      <c r="U41" s="69"/>
      <c r="V41" s="69"/>
      <c r="W41" s="68"/>
      <c r="X41" s="69"/>
      <c r="Y41" s="69"/>
    </row>
    <row r="42" customFormat="false" ht="15.75" hidden="false" customHeight="false" outlineLevel="0" collapsed="false">
      <c r="A42" s="111"/>
      <c r="B42" s="112" t="s">
        <v>43</v>
      </c>
      <c r="C42" s="98" t="n">
        <f aca="false">C47+C49</f>
        <v>15363</v>
      </c>
      <c r="D42" s="98" t="n">
        <f aca="false">D47+D49</f>
        <v>15425</v>
      </c>
      <c r="E42" s="98" t="n">
        <f aca="false">E47+E49</f>
        <v>14656</v>
      </c>
      <c r="F42" s="98" t="n">
        <f aca="false">F47+F49</f>
        <v>11956</v>
      </c>
      <c r="G42" s="98" t="n">
        <f aca="false">G47+G49</f>
        <v>12098</v>
      </c>
      <c r="H42" s="98" t="n">
        <f aca="false">H47+H49</f>
        <v>12484</v>
      </c>
      <c r="I42" s="98" t="n">
        <f aca="false">I47+I49</f>
        <v>19236</v>
      </c>
      <c r="J42" s="98" t="n">
        <f aca="false">J47+J49</f>
        <v>13997</v>
      </c>
      <c r="K42" s="98" t="n">
        <f aca="false">K47+K49</f>
        <v>20437</v>
      </c>
      <c r="L42" s="98" t="n">
        <f aca="false">L47+L49</f>
        <v>30083</v>
      </c>
      <c r="M42" s="99" t="n">
        <f aca="false">M47+M49</f>
        <v>28560.129</v>
      </c>
      <c r="N42" s="100" t="n">
        <f aca="false">N47</f>
        <v>35791.91743</v>
      </c>
      <c r="O42" s="99" t="n">
        <f aca="false">O47+O49</f>
        <v>19900</v>
      </c>
      <c r="P42" s="101" t="n">
        <f aca="false">P47</f>
        <v>18700</v>
      </c>
      <c r="Q42" s="99" t="n">
        <f aca="false">Q47</f>
        <v>15400</v>
      </c>
      <c r="R42" s="113" t="n">
        <f aca="false">R47</f>
        <v>17900</v>
      </c>
      <c r="S42" s="113" t="n">
        <f aca="false">S47</f>
        <v>27100</v>
      </c>
      <c r="T42" s="113" t="n">
        <f aca="false">T47</f>
        <v>29800</v>
      </c>
      <c r="U42" s="113" t="n">
        <f aca="false">U47</f>
        <v>28400</v>
      </c>
      <c r="V42" s="113" t="n">
        <f aca="false">V47</f>
        <v>35900</v>
      </c>
      <c r="W42" s="114" t="n">
        <f aca="false">W47</f>
        <v>35000</v>
      </c>
      <c r="X42" s="113" t="n">
        <f aca="false">X47</f>
        <v>30400</v>
      </c>
      <c r="Y42" s="113" t="n">
        <f aca="false">Y47</f>
        <v>30300</v>
      </c>
      <c r="AI42" s="115"/>
      <c r="AJ42" s="116" t="s">
        <v>44</v>
      </c>
      <c r="AK42" s="3" t="s">
        <v>45</v>
      </c>
    </row>
    <row r="43" customFormat="false" ht="15.75" hidden="false" customHeight="false" outlineLevel="0" collapsed="false">
      <c r="A43" s="93"/>
      <c r="B43" s="73" t="s">
        <v>23</v>
      </c>
      <c r="C43" s="56"/>
      <c r="D43" s="57"/>
      <c r="E43" s="74"/>
      <c r="F43" s="56"/>
      <c r="G43" s="56"/>
      <c r="H43" s="56"/>
      <c r="I43" s="56"/>
      <c r="J43" s="56"/>
      <c r="K43" s="58"/>
      <c r="L43" s="68"/>
      <c r="M43" s="69"/>
      <c r="N43" s="70"/>
      <c r="O43" s="75"/>
      <c r="P43" s="71"/>
      <c r="Q43" s="69"/>
      <c r="R43" s="69"/>
      <c r="S43" s="69"/>
      <c r="T43" s="69"/>
      <c r="U43" s="69"/>
      <c r="V43" s="69"/>
      <c r="W43" s="68"/>
      <c r="X43" s="69"/>
      <c r="Y43" s="69"/>
    </row>
    <row r="44" customFormat="false" ht="15" hidden="false" customHeight="true" outlineLevel="0" collapsed="false">
      <c r="A44" s="36"/>
      <c r="B44" s="76" t="s">
        <v>19</v>
      </c>
      <c r="C44" s="77"/>
      <c r="D44" s="77"/>
      <c r="E44" s="3"/>
      <c r="F44" s="78"/>
      <c r="G44" s="78"/>
      <c r="H44" s="78"/>
      <c r="I44" s="78"/>
      <c r="J44" s="78"/>
      <c r="K44" s="79"/>
      <c r="L44" s="80" t="s">
        <v>3</v>
      </c>
      <c r="M44" s="81" t="s">
        <v>3</v>
      </c>
      <c r="N44" s="81"/>
      <c r="O44" s="82" t="s">
        <v>3</v>
      </c>
      <c r="P44" s="83" t="n">
        <v>18700</v>
      </c>
      <c r="Q44" s="84" t="n">
        <v>15400</v>
      </c>
      <c r="R44" s="84" t="n">
        <v>17900</v>
      </c>
      <c r="S44" s="84" t="n">
        <v>22100</v>
      </c>
      <c r="T44" s="84" t="n">
        <v>24800</v>
      </c>
      <c r="U44" s="84" t="n">
        <v>26400</v>
      </c>
      <c r="V44" s="84" t="n">
        <v>33900</v>
      </c>
      <c r="W44" s="85" t="n">
        <v>34000</v>
      </c>
      <c r="X44" s="84" t="n">
        <v>30400</v>
      </c>
      <c r="Y44" s="84" t="n">
        <v>30300</v>
      </c>
    </row>
    <row r="45" customFormat="false" ht="15" hidden="false" customHeight="true" outlineLevel="0" collapsed="false">
      <c r="A45" s="36"/>
      <c r="B45" s="76" t="s">
        <v>20</v>
      </c>
      <c r="C45" s="77"/>
      <c r="D45" s="77"/>
      <c r="E45" s="3"/>
      <c r="F45" s="78"/>
      <c r="G45" s="78"/>
      <c r="H45" s="78"/>
      <c r="I45" s="78"/>
      <c r="J45" s="78"/>
      <c r="K45" s="79"/>
      <c r="L45" s="80"/>
      <c r="M45" s="81"/>
      <c r="N45" s="81"/>
      <c r="O45" s="82"/>
      <c r="P45" s="83" t="n">
        <f aca="false">P42-P44</f>
        <v>0</v>
      </c>
      <c r="Q45" s="84" t="n">
        <f aca="false">Q42-Q44</f>
        <v>0</v>
      </c>
      <c r="R45" s="84" t="n">
        <f aca="false">R42-R44</f>
        <v>0</v>
      </c>
      <c r="S45" s="84" t="n">
        <f aca="false">S42-S44</f>
        <v>5000</v>
      </c>
      <c r="T45" s="84" t="n">
        <f aca="false">T42-T44</f>
        <v>5000</v>
      </c>
      <c r="U45" s="84" t="n">
        <f aca="false">U42-U44</f>
        <v>2000</v>
      </c>
      <c r="V45" s="84" t="n">
        <f aca="false">V42-V44</f>
        <v>2000</v>
      </c>
      <c r="W45" s="85" t="n">
        <f aca="false">W42-W44</f>
        <v>1000</v>
      </c>
      <c r="X45" s="84" t="n">
        <f aca="false">X42-X44</f>
        <v>0</v>
      </c>
      <c r="Y45" s="84" t="n">
        <f aca="false">Y42-Y44</f>
        <v>0</v>
      </c>
    </row>
    <row r="46" customFormat="false" ht="15.75" hidden="false" customHeight="false" outlineLevel="0" collapsed="false">
      <c r="A46" s="38"/>
      <c r="B46" s="73"/>
      <c r="C46" s="106"/>
      <c r="D46" s="108"/>
      <c r="E46" s="106"/>
      <c r="F46" s="106"/>
      <c r="G46" s="106"/>
      <c r="H46" s="106"/>
      <c r="I46" s="106"/>
      <c r="J46" s="106"/>
      <c r="K46" s="68"/>
      <c r="L46" s="87"/>
      <c r="M46" s="88"/>
      <c r="N46" s="89"/>
      <c r="O46" s="88"/>
      <c r="P46" s="117"/>
      <c r="Q46" s="89"/>
      <c r="R46" s="89"/>
      <c r="S46" s="89"/>
      <c r="T46" s="89"/>
      <c r="U46" s="89"/>
      <c r="V46" s="89"/>
      <c r="W46" s="118"/>
      <c r="X46" s="119"/>
      <c r="Y46" s="88"/>
    </row>
    <row r="47" customFormat="false" ht="15.75" hidden="false" customHeight="false" outlineLevel="0" collapsed="false">
      <c r="A47" s="38"/>
      <c r="B47" s="120" t="s">
        <v>46</v>
      </c>
      <c r="C47" s="105" t="n">
        <f aca="false">7804+6285+1274</f>
        <v>15363</v>
      </c>
      <c r="D47" s="105" t="n">
        <f aca="false">8855+5074+1496</f>
        <v>15425</v>
      </c>
      <c r="E47" s="105" t="n">
        <f aca="false">3741+9223+1208</f>
        <v>14172</v>
      </c>
      <c r="F47" s="105" t="n">
        <f aca="false">3420+4997+1328</f>
        <v>9745</v>
      </c>
      <c r="G47" s="106" t="n">
        <v>9155</v>
      </c>
      <c r="H47" s="106" t="n">
        <v>11112</v>
      </c>
      <c r="I47" s="106" t="n">
        <v>18272</v>
      </c>
      <c r="J47" s="106" t="n">
        <v>13411</v>
      </c>
      <c r="K47" s="68" t="n">
        <v>20437</v>
      </c>
      <c r="L47" s="68" t="n">
        <v>26674</v>
      </c>
      <c r="M47" s="69" t="n">
        <f aca="false">28560129/1000</f>
        <v>28560.129</v>
      </c>
      <c r="N47" s="70" t="n">
        <f aca="false">35791917.43/1000</f>
        <v>35791.91743</v>
      </c>
      <c r="O47" s="69" t="n">
        <v>19900</v>
      </c>
      <c r="P47" s="71" t="n">
        <v>18700</v>
      </c>
      <c r="Q47" s="69" t="n">
        <v>15400</v>
      </c>
      <c r="R47" s="121" t="n">
        <f aca="false">17900</f>
        <v>17900</v>
      </c>
      <c r="S47" s="121" t="n">
        <f aca="false">22100+3000+2000</f>
        <v>27100</v>
      </c>
      <c r="T47" s="109" t="n">
        <f aca="false">24800+5000</f>
        <v>29800</v>
      </c>
      <c r="U47" s="109" t="n">
        <f aca="false">26400+2000</f>
        <v>28400</v>
      </c>
      <c r="V47" s="109" t="n">
        <f aca="false">33900+2000</f>
        <v>35900</v>
      </c>
      <c r="W47" s="122" t="n">
        <f aca="false">34000+1000</f>
        <v>35000</v>
      </c>
      <c r="X47" s="122" t="n">
        <f aca="false">30400</f>
        <v>30400</v>
      </c>
      <c r="Y47" s="109" t="n">
        <v>30300</v>
      </c>
      <c r="AI47" s="123"/>
      <c r="AJ47" s="116" t="s">
        <v>44</v>
      </c>
      <c r="AK47" s="3" t="s">
        <v>47</v>
      </c>
    </row>
    <row r="48" s="3" customFormat="true" ht="15" hidden="false" customHeight="false" outlineLevel="0" collapsed="false">
      <c r="A48" s="56"/>
      <c r="B48" s="73"/>
      <c r="C48" s="124"/>
      <c r="D48" s="125"/>
      <c r="E48" s="124"/>
      <c r="F48" s="124"/>
      <c r="G48" s="124"/>
      <c r="H48" s="124"/>
      <c r="I48" s="124"/>
      <c r="J48" s="124"/>
      <c r="K48" s="126"/>
      <c r="L48" s="102"/>
      <c r="M48" s="127"/>
      <c r="N48" s="128"/>
      <c r="O48" s="129"/>
      <c r="P48" s="130"/>
      <c r="Q48" s="129"/>
      <c r="R48" s="129"/>
      <c r="S48" s="129"/>
      <c r="T48" s="129"/>
      <c r="U48" s="129"/>
      <c r="V48" s="129" t="n">
        <v>3000</v>
      </c>
      <c r="W48" s="126" t="n">
        <v>3000</v>
      </c>
      <c r="X48" s="129" t="n">
        <v>2000</v>
      </c>
      <c r="Y48" s="129" t="n">
        <v>1900</v>
      </c>
    </row>
    <row r="49" customFormat="false" ht="15.75" hidden="false" customHeight="false" outlineLevel="0" collapsed="false">
      <c r="A49" s="38"/>
      <c r="B49" s="120" t="s">
        <v>48</v>
      </c>
      <c r="C49" s="106" t="n">
        <v>0</v>
      </c>
      <c r="D49" s="108" t="n">
        <v>0</v>
      </c>
      <c r="E49" s="106" t="n">
        <v>484</v>
      </c>
      <c r="F49" s="106" t="n">
        <v>2211</v>
      </c>
      <c r="G49" s="106" t="n">
        <v>2943</v>
      </c>
      <c r="H49" s="106" t="n">
        <v>1372</v>
      </c>
      <c r="I49" s="106" t="n">
        <v>964</v>
      </c>
      <c r="J49" s="106" t="n">
        <v>586</v>
      </c>
      <c r="K49" s="68" t="n">
        <v>0</v>
      </c>
      <c r="L49" s="68" t="n">
        <v>3409</v>
      </c>
      <c r="M49" s="109"/>
      <c r="N49" s="110"/>
      <c r="O49" s="69"/>
      <c r="P49" s="71"/>
      <c r="Q49" s="69"/>
      <c r="R49" s="69"/>
      <c r="S49" s="69"/>
      <c r="T49" s="69"/>
      <c r="U49" s="69"/>
      <c r="V49" s="69"/>
      <c r="W49" s="68"/>
      <c r="X49" s="69"/>
      <c r="Y49" s="69"/>
      <c r="AI49" s="131"/>
      <c r="AJ49" s="116" t="s">
        <v>44</v>
      </c>
      <c r="AK49" s="3" t="s">
        <v>49</v>
      </c>
    </row>
    <row r="50" customFormat="false" ht="15" hidden="false" customHeight="false" outlineLevel="0" collapsed="false">
      <c r="A50" s="54"/>
      <c r="B50" s="73"/>
      <c r="C50" s="56"/>
      <c r="D50" s="57"/>
      <c r="E50" s="56"/>
      <c r="F50" s="56"/>
      <c r="G50" s="56"/>
      <c r="H50" s="56"/>
      <c r="I50" s="56"/>
      <c r="J50" s="132" t="s">
        <v>3</v>
      </c>
      <c r="K50" s="133" t="s">
        <v>3</v>
      </c>
      <c r="L50" s="134" t="s">
        <v>3</v>
      </c>
      <c r="M50" s="135" t="s">
        <v>3</v>
      </c>
      <c r="N50" s="136"/>
      <c r="O50" s="137" t="s">
        <v>3</v>
      </c>
      <c r="P50" s="138" t="s">
        <v>3</v>
      </c>
      <c r="Q50" s="139" t="s">
        <v>3</v>
      </c>
      <c r="R50" s="139" t="s">
        <v>3</v>
      </c>
      <c r="S50" s="139" t="s">
        <v>3</v>
      </c>
      <c r="T50" s="139" t="s">
        <v>3</v>
      </c>
      <c r="U50" s="139" t="s">
        <v>3</v>
      </c>
      <c r="V50" s="139" t="s">
        <v>3</v>
      </c>
      <c r="W50" s="140" t="s">
        <v>3</v>
      </c>
      <c r="X50" s="139" t="s">
        <v>3</v>
      </c>
      <c r="Y50" s="139"/>
    </row>
    <row r="51" customFormat="false" ht="15" hidden="false" customHeight="false" outlineLevel="0" collapsed="false">
      <c r="A51" s="141" t="s">
        <v>50</v>
      </c>
      <c r="B51" s="73"/>
      <c r="C51" s="56"/>
      <c r="D51" s="57"/>
      <c r="E51" s="56"/>
      <c r="F51" s="56"/>
      <c r="G51" s="56"/>
      <c r="H51" s="56"/>
      <c r="I51" s="56"/>
      <c r="J51" s="132"/>
      <c r="K51" s="133"/>
      <c r="L51" s="133"/>
      <c r="M51" s="135"/>
      <c r="N51" s="136"/>
      <c r="O51" s="137" t="n">
        <f aca="false">O17+O42</f>
        <v>42786</v>
      </c>
      <c r="P51" s="138" t="n">
        <f aca="false">P17+P42</f>
        <v>32200</v>
      </c>
      <c r="Q51" s="139" t="n">
        <f aca="false">Q17+Q42</f>
        <v>28900</v>
      </c>
      <c r="R51" s="139" t="n">
        <f aca="false">R17+R42</f>
        <v>35400</v>
      </c>
      <c r="S51" s="139" t="n">
        <f aca="false">S17+S42</f>
        <v>42600</v>
      </c>
      <c r="T51" s="139" t="n">
        <f aca="false">T17+T42</f>
        <v>45300</v>
      </c>
      <c r="U51" s="139" t="n">
        <f aca="false">U17+U42</f>
        <v>43900</v>
      </c>
      <c r="V51" s="139" t="n">
        <f aca="false">V17+V42</f>
        <v>52400</v>
      </c>
      <c r="W51" s="139" t="n">
        <f aca="false">W17+W42</f>
        <v>51500</v>
      </c>
      <c r="X51" s="142" t="n">
        <f aca="false">X17+X42</f>
        <v>46900</v>
      </c>
      <c r="Y51" s="142"/>
    </row>
    <row r="52" customFormat="false" ht="15" hidden="false" customHeight="false" outlineLevel="0" collapsed="false">
      <c r="A52" s="143" t="s">
        <v>51</v>
      </c>
      <c r="B52" s="144"/>
      <c r="C52" s="96"/>
      <c r="D52" s="145"/>
      <c r="E52" s="96"/>
      <c r="F52" s="96"/>
      <c r="G52" s="96"/>
      <c r="H52" s="96"/>
      <c r="I52" s="96"/>
      <c r="J52" s="146"/>
      <c r="K52" s="147"/>
      <c r="L52" s="133"/>
      <c r="M52" s="135"/>
      <c r="N52" s="136"/>
      <c r="O52" s="137" t="n">
        <f aca="false">91000-56000</f>
        <v>35000</v>
      </c>
      <c r="P52" s="138" t="n">
        <f aca="false">72000-37000</f>
        <v>35000</v>
      </c>
      <c r="Q52" s="139" t="n">
        <f aca="false">74000-39000</f>
        <v>35000</v>
      </c>
      <c r="R52" s="139" t="n">
        <f aca="false">80000-42000</f>
        <v>38000</v>
      </c>
      <c r="S52" s="139" t="n">
        <f aca="false">90000-52000</f>
        <v>38000</v>
      </c>
      <c r="T52" s="139" t="n">
        <f aca="false">92000-54000</f>
        <v>38000</v>
      </c>
      <c r="U52" s="139" t="n">
        <f aca="false">87900-55400</f>
        <v>32500</v>
      </c>
      <c r="V52" s="139" t="n">
        <f aca="false">78000-45500</f>
        <v>32500</v>
      </c>
      <c r="W52" s="139" t="n">
        <f aca="false">84500-45000</f>
        <v>39500</v>
      </c>
      <c r="X52" s="142" t="n">
        <f aca="false">84500-45000</f>
        <v>39500</v>
      </c>
      <c r="Y52" s="142"/>
    </row>
    <row r="53" customFormat="false" ht="15" hidden="false" customHeight="false" outlineLevel="0" collapsed="false">
      <c r="A53" s="143" t="s">
        <v>52</v>
      </c>
      <c r="B53" s="144"/>
      <c r="C53" s="96"/>
      <c r="D53" s="145"/>
      <c r="E53" s="96"/>
      <c r="F53" s="96"/>
      <c r="G53" s="96"/>
      <c r="H53" s="96"/>
      <c r="I53" s="96"/>
      <c r="J53" s="146"/>
      <c r="K53" s="147"/>
      <c r="L53" s="133"/>
      <c r="M53" s="135"/>
      <c r="N53" s="136"/>
      <c r="O53" s="137" t="n">
        <f aca="false">O52-O51</f>
        <v>-7786</v>
      </c>
      <c r="P53" s="138" t="n">
        <f aca="false">P52-P51</f>
        <v>2800</v>
      </c>
      <c r="Q53" s="148" t="n">
        <f aca="false">Q52-Q51</f>
        <v>6100</v>
      </c>
      <c r="R53" s="148" t="n">
        <f aca="false">R52-R51</f>
        <v>2600</v>
      </c>
      <c r="S53" s="148" t="n">
        <f aca="false">S52-S51</f>
        <v>-4600</v>
      </c>
      <c r="T53" s="148" t="n">
        <f aca="false">T52-T51</f>
        <v>-7300</v>
      </c>
      <c r="U53" s="148" t="n">
        <f aca="false">U52-U51</f>
        <v>-11400</v>
      </c>
      <c r="V53" s="148" t="n">
        <f aca="false">V52-V51</f>
        <v>-19900</v>
      </c>
      <c r="W53" s="148" t="n">
        <f aca="false">W52-W51</f>
        <v>-12000</v>
      </c>
      <c r="X53" s="142" t="n">
        <f aca="false">X52-X51</f>
        <v>-7400</v>
      </c>
      <c r="Y53" s="142"/>
    </row>
    <row r="54" customFormat="false" ht="15" hidden="false" customHeight="false" outlineLevel="0" collapsed="false">
      <c r="A54" s="149"/>
      <c r="B54" s="150"/>
      <c r="C54" s="151"/>
      <c r="D54" s="152"/>
      <c r="E54" s="151"/>
      <c r="F54" s="151"/>
      <c r="G54" s="151"/>
      <c r="H54" s="151"/>
      <c r="I54" s="151"/>
      <c r="J54" s="153"/>
      <c r="K54" s="154"/>
      <c r="L54" s="155"/>
      <c r="M54" s="156" t="s">
        <v>3</v>
      </c>
      <c r="N54" s="157"/>
      <c r="O54" s="158" t="s">
        <v>3</v>
      </c>
      <c r="P54" s="159"/>
      <c r="Q54" s="160"/>
      <c r="R54" s="160"/>
      <c r="S54" s="160"/>
      <c r="T54" s="160"/>
      <c r="U54" s="160"/>
      <c r="V54" s="160"/>
      <c r="W54" s="160"/>
      <c r="X54" s="161"/>
      <c r="Y54" s="161"/>
    </row>
    <row r="55" customFormat="false" ht="15" hidden="false" customHeight="false" outlineLevel="0" collapsed="false">
      <c r="A55" s="54"/>
      <c r="B55" s="162"/>
      <c r="C55" s="56"/>
      <c r="D55" s="57"/>
      <c r="E55" s="163" t="s">
        <v>3</v>
      </c>
      <c r="F55" s="163" t="s">
        <v>3</v>
      </c>
      <c r="G55" s="164" t="s">
        <v>3</v>
      </c>
      <c r="H55" s="164" t="s">
        <v>3</v>
      </c>
      <c r="I55" s="165" t="s">
        <v>3</v>
      </c>
      <c r="J55" s="166"/>
      <c r="K55" s="167"/>
      <c r="L55" s="167"/>
      <c r="M55" s="168" t="s">
        <v>3</v>
      </c>
      <c r="N55" s="169"/>
      <c r="O55" s="170" t="s">
        <v>3</v>
      </c>
      <c r="P55" s="171" t="s">
        <v>3</v>
      </c>
      <c r="Q55" s="172" t="s">
        <v>3</v>
      </c>
      <c r="R55" s="173" t="s">
        <v>3</v>
      </c>
      <c r="S55" s="174" t="s">
        <v>3</v>
      </c>
      <c r="T55" s="174" t="s">
        <v>3</v>
      </c>
      <c r="U55" s="174" t="s">
        <v>3</v>
      </c>
      <c r="V55" s="174" t="s">
        <v>53</v>
      </c>
      <c r="W55" s="175" t="s">
        <v>3</v>
      </c>
      <c r="X55" s="173" t="s">
        <v>3</v>
      </c>
      <c r="Y55" s="173"/>
      <c r="AI55" s="176"/>
      <c r="AJ55" s="116" t="s">
        <v>54</v>
      </c>
      <c r="AK55" s="3" t="s">
        <v>55</v>
      </c>
    </row>
    <row r="56" customFormat="false" ht="15.75" hidden="false" customHeight="false" outlineLevel="0" collapsed="false">
      <c r="A56" s="66" t="s">
        <v>56</v>
      </c>
      <c r="B56" s="67" t="s">
        <v>57</v>
      </c>
      <c r="C56" s="177" t="e">
        <f aca="false">C61+C198+C286</f>
        <v>#REF!</v>
      </c>
      <c r="D56" s="177" t="e">
        <f aca="false">D61+D198+D286</f>
        <v>#REF!</v>
      </c>
      <c r="E56" s="177" t="n">
        <f aca="false">E61+E198+E286</f>
        <v>60493</v>
      </c>
      <c r="F56" s="177" t="n">
        <f aca="false">F61+F198+F286</f>
        <v>70252</v>
      </c>
      <c r="G56" s="177" t="e">
        <f aca="false">G61+G198+G286</f>
        <v>#REF!</v>
      </c>
      <c r="H56" s="177" t="n">
        <f aca="false">H61+H198+H286</f>
        <v>91442</v>
      </c>
      <c r="I56" s="177" t="n">
        <f aca="false">SUM(I61+I198+I286)</f>
        <v>109205</v>
      </c>
      <c r="J56" s="177" t="n">
        <f aca="false">J61+J198+J286</f>
        <v>136754</v>
      </c>
      <c r="K56" s="98" t="e">
        <f aca="false">K61+K198+K286</f>
        <v>#REF!</v>
      </c>
      <c r="L56" s="98" t="n">
        <f aca="false">L61+L198+L286</f>
        <v>158719</v>
      </c>
      <c r="M56" s="99" t="n">
        <f aca="false">M61+M198+M286</f>
        <v>173212.867</v>
      </c>
      <c r="N56" s="100" t="n">
        <f aca="false">N61+N198+N286</f>
        <v>159004.88825</v>
      </c>
      <c r="O56" s="99" t="e">
        <f aca="false">O61+O198+O286</f>
        <v>#REF!</v>
      </c>
      <c r="P56" s="101" t="e">
        <f aca="false">P61+P198+P286</f>
        <v>#REF!</v>
      </c>
      <c r="Q56" s="98" t="e">
        <f aca="false">Q61+Q198+Q286</f>
        <v>#REF!</v>
      </c>
      <c r="R56" s="98" t="e">
        <f aca="false">R61+R198+R286</f>
        <v>#REF!</v>
      </c>
      <c r="S56" s="98" t="e">
        <f aca="false">S61+S198+S286</f>
        <v>#REF!</v>
      </c>
      <c r="T56" s="98" t="e">
        <f aca="false">T61+T198+T286</f>
        <v>#REF!</v>
      </c>
      <c r="U56" s="98" t="e">
        <f aca="false">U61+U198+U286</f>
        <v>#REF!</v>
      </c>
      <c r="V56" s="98" t="e">
        <f aca="false">V61+V198+V286</f>
        <v>#REF!</v>
      </c>
      <c r="W56" s="98" t="e">
        <f aca="false">W61+W198+W286</f>
        <v>#REF!</v>
      </c>
      <c r="X56" s="99" t="e">
        <f aca="false">X61+X198+X286</f>
        <v>#REF!</v>
      </c>
      <c r="Y56" s="99" t="n">
        <f aca="false">Y61+Y198+Y286</f>
        <v>127600</v>
      </c>
    </row>
    <row r="57" customFormat="false" ht="15" hidden="false" customHeight="false" outlineLevel="0" collapsed="false">
      <c r="A57" s="54"/>
      <c r="B57" s="97" t="s">
        <v>58</v>
      </c>
      <c r="C57" s="178" t="s">
        <v>3</v>
      </c>
      <c r="D57" s="179" t="e">
        <f aca="false">+(D56-C56)/C56</f>
        <v>#REF!</v>
      </c>
      <c r="E57" s="179" t="e">
        <f aca="false">+(E56-D56)/D56</f>
        <v>#REF!</v>
      </c>
      <c r="F57" s="179" t="n">
        <f aca="false">+(F56-E56)/E56</f>
        <v>0.161324450762898</v>
      </c>
      <c r="G57" s="180" t="e">
        <f aca="false">+(G56-F56)/F56</f>
        <v>#REF!</v>
      </c>
      <c r="H57" s="181" t="e">
        <f aca="false">+(H56-G56)/G56</f>
        <v>#REF!</v>
      </c>
      <c r="I57" s="181" t="n">
        <f aca="false">(I56-H56)/H56</f>
        <v>0.194254281402419</v>
      </c>
      <c r="J57" s="181" t="n">
        <f aca="false">+(J56-I56)/I56</f>
        <v>0.252268669016986</v>
      </c>
      <c r="K57" s="182" t="e">
        <f aca="false">+(K56-J56)/J56</f>
        <v>#REF!</v>
      </c>
      <c r="L57" s="182" t="e">
        <f aca="false">+(L56-K56)/K56</f>
        <v>#REF!</v>
      </c>
      <c r="M57" s="183" t="n">
        <f aca="false">+(M56-L56)/L56</f>
        <v>0.0913177817400563</v>
      </c>
      <c r="N57" s="184"/>
      <c r="O57" s="183" t="e">
        <f aca="false">+(O56-M56)/M56</f>
        <v>#REF!</v>
      </c>
      <c r="P57" s="185" t="e">
        <f aca="false">+(P56-O56)/O56</f>
        <v>#REF!</v>
      </c>
      <c r="Q57" s="183" t="e">
        <f aca="false">+(Q56-P56)/P56</f>
        <v>#REF!</v>
      </c>
      <c r="R57" s="183" t="e">
        <f aca="false">+(R56-Q56)/Q56</f>
        <v>#REF!</v>
      </c>
      <c r="S57" s="183" t="e">
        <f aca="false">+(S56-R56)/R56</f>
        <v>#REF!</v>
      </c>
      <c r="T57" s="183" t="e">
        <f aca="false">+(T56-S56)/S56</f>
        <v>#REF!</v>
      </c>
      <c r="U57" s="183" t="e">
        <f aca="false">+(U56-T56)/T56</f>
        <v>#REF!</v>
      </c>
      <c r="V57" s="183" t="e">
        <f aca="false">+(V56-U56)/U56</f>
        <v>#REF!</v>
      </c>
      <c r="W57" s="182" t="e">
        <f aca="false">+(W56-V56)/V56</f>
        <v>#REF!</v>
      </c>
      <c r="X57" s="183" t="e">
        <f aca="false">+(X56-W56)/W56</f>
        <v>#REF!</v>
      </c>
      <c r="Y57" s="183" t="e">
        <f aca="false">+(Y56-X56)/X56</f>
        <v>#REF!</v>
      </c>
    </row>
    <row r="58" customFormat="false" ht="15" hidden="false" customHeight="true" outlineLevel="0" collapsed="false">
      <c r="A58" s="36"/>
      <c r="B58" s="186" t="s">
        <v>59</v>
      </c>
      <c r="C58" s="77" t="s">
        <v>3</v>
      </c>
      <c r="D58" s="77" t="s">
        <v>3</v>
      </c>
      <c r="E58" s="3" t="s">
        <v>3</v>
      </c>
      <c r="F58" s="78" t="s">
        <v>3</v>
      </c>
      <c r="G58" s="78" t="s">
        <v>3</v>
      </c>
      <c r="H58" s="78" t="s">
        <v>3</v>
      </c>
      <c r="I58" s="78" t="s">
        <v>3</v>
      </c>
      <c r="J58" s="78" t="s">
        <v>3</v>
      </c>
      <c r="K58" s="79" t="s">
        <v>3</v>
      </c>
      <c r="L58" s="80" t="s">
        <v>3</v>
      </c>
      <c r="M58" s="81" t="s">
        <v>3</v>
      </c>
      <c r="N58" s="81"/>
      <c r="O58" s="82"/>
      <c r="P58" s="187" t="n">
        <v>81700</v>
      </c>
      <c r="Q58" s="188" t="n">
        <v>108400</v>
      </c>
      <c r="R58" s="188" t="n">
        <v>132200</v>
      </c>
      <c r="S58" s="188" t="n">
        <v>111150</v>
      </c>
      <c r="T58" s="188" t="n">
        <v>103900</v>
      </c>
      <c r="U58" s="188" t="n">
        <v>107000</v>
      </c>
      <c r="V58" s="188" t="n">
        <v>105300</v>
      </c>
      <c r="W58" s="189" t="n">
        <v>103400</v>
      </c>
      <c r="X58" s="188" t="n">
        <v>114800</v>
      </c>
      <c r="Y58" s="188"/>
    </row>
    <row r="59" customFormat="false" ht="15" hidden="false" customHeight="true" outlineLevel="0" collapsed="false">
      <c r="A59" s="36"/>
      <c r="B59" s="76" t="s">
        <v>20</v>
      </c>
      <c r="C59" s="77"/>
      <c r="D59" s="77"/>
      <c r="E59" s="3"/>
      <c r="F59" s="78"/>
      <c r="G59" s="78"/>
      <c r="H59" s="78"/>
      <c r="I59" s="78"/>
      <c r="J59" s="78"/>
      <c r="K59" s="79"/>
      <c r="L59" s="80"/>
      <c r="M59" s="81"/>
      <c r="N59" s="81"/>
      <c r="O59" s="82"/>
      <c r="P59" s="83" t="e">
        <f aca="false">P56-P58</f>
        <v>#REF!</v>
      </c>
      <c r="Q59" s="84" t="e">
        <f aca="false">Q56-Q58</f>
        <v>#REF!</v>
      </c>
      <c r="R59" s="84" t="e">
        <f aca="false">R56-R58</f>
        <v>#REF!</v>
      </c>
      <c r="S59" s="84" t="e">
        <f aca="false">S56-S58</f>
        <v>#REF!</v>
      </c>
      <c r="T59" s="84" t="e">
        <f aca="false">T56-T58</f>
        <v>#REF!</v>
      </c>
      <c r="U59" s="84" t="e">
        <f aca="false">U56-U58</f>
        <v>#REF!</v>
      </c>
      <c r="V59" s="84" t="e">
        <f aca="false">V56-V58</f>
        <v>#REF!</v>
      </c>
      <c r="W59" s="85" t="e">
        <f aca="false">W56-W58</f>
        <v>#REF!</v>
      </c>
      <c r="X59" s="84" t="e">
        <f aca="false">X56-X58</f>
        <v>#REF!</v>
      </c>
      <c r="Y59" s="84"/>
    </row>
    <row r="60" customFormat="false" ht="15.75" hidden="false" customHeight="false" outlineLevel="0" collapsed="false">
      <c r="A60" s="54"/>
      <c r="B60" s="190" t="s">
        <v>3</v>
      </c>
      <c r="C60" s="191"/>
      <c r="D60" s="191"/>
      <c r="E60" s="68"/>
      <c r="F60" s="192"/>
      <c r="G60" s="193"/>
      <c r="H60" s="194"/>
      <c r="I60" s="195"/>
      <c r="J60" s="196" t="s">
        <v>3</v>
      </c>
      <c r="K60" s="68" t="s">
        <v>3</v>
      </c>
      <c r="L60" s="167" t="s">
        <v>3</v>
      </c>
      <c r="M60" s="170" t="s">
        <v>3</v>
      </c>
      <c r="N60" s="197"/>
      <c r="O60" s="170" t="s">
        <v>3</v>
      </c>
      <c r="P60" s="198" t="s">
        <v>3</v>
      </c>
      <c r="Q60" s="199" t="s">
        <v>3</v>
      </c>
      <c r="R60" s="199" t="s">
        <v>3</v>
      </c>
      <c r="S60" s="199" t="s">
        <v>3</v>
      </c>
      <c r="T60" s="199" t="s">
        <v>3</v>
      </c>
      <c r="U60" s="199" t="s">
        <v>3</v>
      </c>
      <c r="V60" s="173" t="s">
        <v>3</v>
      </c>
      <c r="W60" s="199" t="s">
        <v>3</v>
      </c>
      <c r="X60" s="173" t="s">
        <v>3</v>
      </c>
      <c r="Y60" s="173"/>
    </row>
    <row r="61" s="201" customFormat="true" ht="31.5" hidden="false" customHeight="false" outlineLevel="0" collapsed="false">
      <c r="A61" s="93" t="s">
        <v>60</v>
      </c>
      <c r="B61" s="200" t="s">
        <v>61</v>
      </c>
      <c r="C61" s="68" t="e">
        <f aca="false">SUM(C65+C93+C182)</f>
        <v>#REF!</v>
      </c>
      <c r="D61" s="68" t="e">
        <f aca="false">SUM(D65+D93+D182)</f>
        <v>#REF!</v>
      </c>
      <c r="E61" s="68" t="n">
        <f aca="false">SUM(E65+E93+E182)</f>
        <v>38928</v>
      </c>
      <c r="F61" s="68" t="n">
        <f aca="false">SUM(F65+F93+F182)</f>
        <v>46258</v>
      </c>
      <c r="G61" s="68" t="e">
        <f aca="false">SUM(G65+G93+G182)</f>
        <v>#REF!</v>
      </c>
      <c r="H61" s="68" t="n">
        <f aca="false">SUM(H65+H93+H182)</f>
        <v>46941</v>
      </c>
      <c r="I61" s="68" t="n">
        <f aca="false">SUM(I65+I93+I182)</f>
        <v>48020</v>
      </c>
      <c r="J61" s="68" t="n">
        <f aca="false">SUM(J65+J93+J182)</f>
        <v>54814</v>
      </c>
      <c r="K61" s="68" t="e">
        <f aca="false">SUM(K65+K93+K182)</f>
        <v>#REF!</v>
      </c>
      <c r="L61" s="68" t="n">
        <f aca="false">SUM(L65+L93+L182)</f>
        <v>75895</v>
      </c>
      <c r="M61" s="69" t="n">
        <f aca="false">SUM(M65+M93+M182)</f>
        <v>101255.509</v>
      </c>
      <c r="N61" s="70" t="n">
        <f aca="false">SUM(N65+N93+N182)</f>
        <v>80698.71977</v>
      </c>
      <c r="O61" s="69" t="e">
        <f aca="false">SUM(O65+O93+O182)</f>
        <v>#REF!</v>
      </c>
      <c r="P61" s="71" t="e">
        <f aca="false">SUM(P65+P93+P182)</f>
        <v>#REF!</v>
      </c>
      <c r="Q61" s="68" t="e">
        <f aca="false">SUM(Q65+Q93+Q182)</f>
        <v>#REF!</v>
      </c>
      <c r="R61" s="68" t="e">
        <f aca="false">SUM(R65+R93+R182)</f>
        <v>#REF!</v>
      </c>
      <c r="S61" s="68" t="e">
        <f aca="false">SUM(S65+S93+S182)</f>
        <v>#REF!</v>
      </c>
      <c r="T61" s="68" t="e">
        <f aca="false">SUM(T65+T93+T182)</f>
        <v>#REF!</v>
      </c>
      <c r="U61" s="69" t="e">
        <f aca="false">SUM(U65+U93+U182)</f>
        <v>#REF!</v>
      </c>
      <c r="V61" s="69" t="e">
        <f aca="false">SUM(V65+V93+V182)</f>
        <v>#REF!</v>
      </c>
      <c r="W61" s="68" t="e">
        <f aca="false">SUM(W65+W93+W182)</f>
        <v>#REF!</v>
      </c>
      <c r="X61" s="69" t="e">
        <f aca="false">SUM(X65+X93+X182)</f>
        <v>#REF!</v>
      </c>
      <c r="Y61" s="69" t="n">
        <f aca="false">SUM(Y65+Y93+Y182)</f>
        <v>127100</v>
      </c>
    </row>
    <row r="62" customFormat="false" ht="15" hidden="false" customHeight="true" outlineLevel="0" collapsed="false">
      <c r="A62" s="36"/>
      <c r="B62" s="76" t="s">
        <v>62</v>
      </c>
      <c r="C62" s="77"/>
      <c r="D62" s="77"/>
      <c r="E62" s="3"/>
      <c r="F62" s="78"/>
      <c r="G62" s="78"/>
      <c r="H62" s="78"/>
      <c r="I62" s="78"/>
      <c r="J62" s="78"/>
      <c r="K62" s="79"/>
      <c r="L62" s="80"/>
      <c r="M62" s="81"/>
      <c r="N62" s="81"/>
      <c r="O62" s="82"/>
      <c r="P62" s="83" t="n">
        <v>72900</v>
      </c>
      <c r="Q62" s="84" t="n">
        <v>86700</v>
      </c>
      <c r="R62" s="84" t="n">
        <v>110400</v>
      </c>
      <c r="S62" s="84" t="n">
        <v>100000</v>
      </c>
      <c r="T62" s="84" t="n">
        <v>85200</v>
      </c>
      <c r="U62" s="84" t="n">
        <v>94700</v>
      </c>
      <c r="V62" s="84" t="n">
        <v>111900</v>
      </c>
      <c r="W62" s="85" t="n">
        <v>113800</v>
      </c>
      <c r="X62" s="84" t="n">
        <v>119300</v>
      </c>
      <c r="Y62" s="84" t="n">
        <v>117000</v>
      </c>
    </row>
    <row r="63" customFormat="false" ht="15" hidden="false" customHeight="true" outlineLevel="0" collapsed="false">
      <c r="A63" s="36"/>
      <c r="B63" s="76" t="s">
        <v>20</v>
      </c>
      <c r="C63" s="77"/>
      <c r="D63" s="77"/>
      <c r="E63" s="3"/>
      <c r="F63" s="78"/>
      <c r="G63" s="78"/>
      <c r="H63" s="78"/>
      <c r="I63" s="78"/>
      <c r="J63" s="78"/>
      <c r="K63" s="79"/>
      <c r="L63" s="80"/>
      <c r="M63" s="81"/>
      <c r="N63" s="81"/>
      <c r="O63" s="82"/>
      <c r="P63" s="83" t="e">
        <f aca="false">P61-P62</f>
        <v>#REF!</v>
      </c>
      <c r="Q63" s="84" t="e">
        <f aca="false">Q61-Q62</f>
        <v>#REF!</v>
      </c>
      <c r="R63" s="84" t="e">
        <f aca="false">R61-R62</f>
        <v>#REF!</v>
      </c>
      <c r="S63" s="84" t="e">
        <f aca="false">S61-S62</f>
        <v>#REF!</v>
      </c>
      <c r="T63" s="84" t="e">
        <f aca="false">T61-T62</f>
        <v>#REF!</v>
      </c>
      <c r="U63" s="84" t="e">
        <f aca="false">U61-U62</f>
        <v>#REF!</v>
      </c>
      <c r="V63" s="84" t="e">
        <f aca="false">V61-V62</f>
        <v>#REF!</v>
      </c>
      <c r="W63" s="85" t="e">
        <f aca="false">W61-W62</f>
        <v>#REF!</v>
      </c>
      <c r="X63" s="84" t="e">
        <f aca="false">X61-X62</f>
        <v>#REF!</v>
      </c>
      <c r="Y63" s="84"/>
    </row>
    <row r="64" customFormat="false" ht="15.75" hidden="false" customHeight="false" outlineLevel="0" collapsed="false">
      <c r="A64" s="93"/>
      <c r="B64" s="73"/>
      <c r="C64" s="68"/>
      <c r="D64" s="126"/>
      <c r="E64" s="126"/>
      <c r="F64" s="126"/>
      <c r="G64" s="126"/>
      <c r="H64" s="126"/>
      <c r="I64" s="167"/>
      <c r="J64" s="202" t="s">
        <v>3</v>
      </c>
      <c r="K64" s="167" t="s">
        <v>3</v>
      </c>
      <c r="L64" s="102" t="s">
        <v>53</v>
      </c>
      <c r="M64" s="88" t="s">
        <v>3</v>
      </c>
      <c r="N64" s="89"/>
      <c r="O64" s="88" t="s">
        <v>3</v>
      </c>
      <c r="P64" s="203"/>
      <c r="Q64" s="168"/>
      <c r="R64" s="168"/>
      <c r="S64" s="168"/>
      <c r="T64" s="168"/>
      <c r="U64" s="168"/>
      <c r="V64" s="168"/>
      <c r="W64" s="204"/>
      <c r="X64" s="168"/>
      <c r="Y64" s="168"/>
      <c r="AI64" s="205"/>
      <c r="AJ64" s="206" t="s">
        <v>54</v>
      </c>
      <c r="AK64" s="3" t="s">
        <v>63</v>
      </c>
    </row>
    <row r="65" customFormat="false" ht="15.75" hidden="false" customHeight="false" outlineLevel="0" collapsed="false">
      <c r="A65" s="207"/>
      <c r="B65" s="112" t="s">
        <v>64</v>
      </c>
      <c r="C65" s="177" t="n">
        <f aca="false">SUM(C69:C76)+C80</f>
        <v>25450.59122</v>
      </c>
      <c r="D65" s="177" t="n">
        <f aca="false">SUM(D69:D76)+D80</f>
        <v>27704.363</v>
      </c>
      <c r="E65" s="177" t="n">
        <f aca="false">SUM(E69:E76)+E80</f>
        <v>21496</v>
      </c>
      <c r="F65" s="177" t="n">
        <f aca="false">SUM(F69:F76)+F80</f>
        <v>21895</v>
      </c>
      <c r="G65" s="177" t="n">
        <f aca="false">SUM(G69:G76)+G80</f>
        <v>16563</v>
      </c>
      <c r="H65" s="177" t="n">
        <f aca="false">SUM(H69:H76)+H80</f>
        <v>14758</v>
      </c>
      <c r="I65" s="177" t="n">
        <f aca="false">SUM(I69:I76)+I80</f>
        <v>14579</v>
      </c>
      <c r="J65" s="177" t="n">
        <f aca="false">SUM(J69:J76)+J80</f>
        <v>16263</v>
      </c>
      <c r="K65" s="98" t="n">
        <f aca="false">SUM(K69:K76)+K80</f>
        <v>16090</v>
      </c>
      <c r="L65" s="98" t="n">
        <f aca="false">SUM(L69:L76)+L80</f>
        <v>22765</v>
      </c>
      <c r="M65" s="99" t="n">
        <f aca="false">SUM(M69:M76)+M80</f>
        <v>31799.676</v>
      </c>
      <c r="N65" s="100" t="n">
        <f aca="false">SUM(N69:N76)+N80</f>
        <v>27027.32932</v>
      </c>
      <c r="O65" s="99" t="n">
        <f aca="false">SUM(O69:O76)+O80</f>
        <v>20100</v>
      </c>
      <c r="P65" s="101" t="n">
        <f aca="false">SUM(P69:P76)+P80</f>
        <v>16300</v>
      </c>
      <c r="Q65" s="98" t="n">
        <f aca="false">SUM(Q69:Q76)+Q80</f>
        <v>20600</v>
      </c>
      <c r="R65" s="98" t="n">
        <f aca="false">SUM(R69:R76)+R80</f>
        <v>25400</v>
      </c>
      <c r="S65" s="98" t="n">
        <f aca="false">SUM(S69:S76)+S80</f>
        <v>21200</v>
      </c>
      <c r="T65" s="98" t="n">
        <f aca="false">SUM(T69:T76)+T80</f>
        <v>24500</v>
      </c>
      <c r="U65" s="99" t="n">
        <f aca="false">SUM(U69:U76)+U80</f>
        <v>34800</v>
      </c>
      <c r="V65" s="99" t="n">
        <f aca="false">SUM(V69:V76)+V80</f>
        <v>48100</v>
      </c>
      <c r="W65" s="98" t="n">
        <f aca="false">SUM(W69:W77)+W80</f>
        <v>45900</v>
      </c>
      <c r="X65" s="99" t="n">
        <f aca="false">SUM(X69:X77)+X80</f>
        <v>49300</v>
      </c>
      <c r="Y65" s="99" t="n">
        <f aca="false">SUM(Y69:Y77)+Y80</f>
        <v>40500</v>
      </c>
    </row>
    <row r="66" customFormat="false" ht="15" hidden="false" customHeight="true" outlineLevel="0" collapsed="false">
      <c r="A66" s="36"/>
      <c r="B66" s="76" t="s">
        <v>19</v>
      </c>
      <c r="C66" s="77"/>
      <c r="D66" s="77"/>
      <c r="E66" s="3"/>
      <c r="F66" s="78"/>
      <c r="G66" s="78"/>
      <c r="H66" s="78"/>
      <c r="I66" s="78"/>
      <c r="J66" s="78"/>
      <c r="K66" s="79"/>
      <c r="L66" s="80"/>
      <c r="M66" s="81"/>
      <c r="N66" s="81"/>
      <c r="O66" s="82"/>
      <c r="P66" s="83" t="n">
        <v>16800</v>
      </c>
      <c r="Q66" s="84" t="n">
        <v>20100</v>
      </c>
      <c r="R66" s="84" t="n">
        <v>25400</v>
      </c>
      <c r="S66" s="84" t="n">
        <v>21300</v>
      </c>
      <c r="T66" s="84" t="n">
        <v>19400</v>
      </c>
      <c r="U66" s="84" t="n">
        <v>29800</v>
      </c>
      <c r="V66" s="84" t="n">
        <v>43100</v>
      </c>
      <c r="W66" s="85" t="n">
        <v>40900</v>
      </c>
      <c r="X66" s="84" t="n">
        <v>44300</v>
      </c>
      <c r="Y66" s="84" t="n">
        <v>40500</v>
      </c>
    </row>
    <row r="67" customFormat="false" ht="15" hidden="false" customHeight="true" outlineLevel="0" collapsed="false">
      <c r="A67" s="36"/>
      <c r="B67" s="76" t="s">
        <v>20</v>
      </c>
      <c r="C67" s="77"/>
      <c r="D67" s="77"/>
      <c r="E67" s="3"/>
      <c r="F67" s="78"/>
      <c r="G67" s="78"/>
      <c r="H67" s="78"/>
      <c r="I67" s="78"/>
      <c r="J67" s="78"/>
      <c r="K67" s="79"/>
      <c r="L67" s="80"/>
      <c r="M67" s="81"/>
      <c r="N67" s="81"/>
      <c r="O67" s="82"/>
      <c r="P67" s="83" t="n">
        <f aca="false">P65-P66</f>
        <v>-500</v>
      </c>
      <c r="Q67" s="84" t="n">
        <f aca="false">Q65-Q66</f>
        <v>500</v>
      </c>
      <c r="R67" s="84" t="n">
        <f aca="false">R65-R66</f>
        <v>0</v>
      </c>
      <c r="S67" s="84" t="n">
        <f aca="false">S65-S66</f>
        <v>-100</v>
      </c>
      <c r="T67" s="84" t="n">
        <f aca="false">T65-T66</f>
        <v>5100</v>
      </c>
      <c r="U67" s="84" t="n">
        <f aca="false">U65-U66</f>
        <v>5000</v>
      </c>
      <c r="V67" s="84" t="n">
        <f aca="false">V65-V66</f>
        <v>5000</v>
      </c>
      <c r="W67" s="85" t="n">
        <f aca="false">W65-W66</f>
        <v>5000</v>
      </c>
      <c r="X67" s="84" t="n">
        <f aca="false">X65-X66</f>
        <v>5000</v>
      </c>
      <c r="Y67" s="84"/>
    </row>
    <row r="68" customFormat="false" ht="13.5" hidden="false" customHeight="true" outlineLevel="0" collapsed="false">
      <c r="A68" s="54"/>
      <c r="B68" s="73"/>
      <c r="C68" s="119"/>
      <c r="D68" s="119"/>
      <c r="E68" s="119"/>
      <c r="F68" s="208"/>
      <c r="G68" s="92"/>
      <c r="H68" s="209"/>
      <c r="I68" s="210"/>
      <c r="J68" s="211"/>
      <c r="K68" s="167"/>
      <c r="L68" s="102"/>
      <c r="M68" s="170"/>
      <c r="N68" s="197"/>
      <c r="O68" s="170"/>
      <c r="P68" s="203"/>
      <c r="Q68" s="168"/>
      <c r="R68" s="168"/>
      <c r="S68" s="168"/>
      <c r="T68" s="168"/>
      <c r="U68" s="168"/>
      <c r="V68" s="168"/>
      <c r="W68" s="204"/>
      <c r="X68" s="168"/>
      <c r="Y68" s="168"/>
    </row>
    <row r="69" s="3" customFormat="true" ht="15.75" hidden="false" customHeight="false" outlineLevel="0" collapsed="false">
      <c r="A69" s="38" t="n">
        <v>1</v>
      </c>
      <c r="B69" s="120" t="s">
        <v>65</v>
      </c>
      <c r="C69" s="212" t="n">
        <v>3973.26767</v>
      </c>
      <c r="D69" s="212" t="n">
        <v>3074.334</v>
      </c>
      <c r="E69" s="212" t="n">
        <v>1552</v>
      </c>
      <c r="F69" s="212" t="n">
        <v>706</v>
      </c>
      <c r="G69" s="212" t="n">
        <v>461</v>
      </c>
      <c r="H69" s="212" t="n">
        <v>632</v>
      </c>
      <c r="I69" s="212" t="n">
        <v>222</v>
      </c>
      <c r="J69" s="212" t="n">
        <v>674</v>
      </c>
      <c r="K69" s="68" t="n">
        <v>185</v>
      </c>
      <c r="L69" s="68" t="n">
        <v>1063</v>
      </c>
      <c r="M69" s="69" t="n">
        <f aca="false">1117697/1000</f>
        <v>1117.697</v>
      </c>
      <c r="N69" s="70" t="n">
        <f aca="false">723498.77/1000</f>
        <v>723.49877</v>
      </c>
      <c r="O69" s="69" t="n">
        <v>2200</v>
      </c>
      <c r="P69" s="71" t="n">
        <f aca="false">2600-400</f>
        <v>2200</v>
      </c>
      <c r="Q69" s="69" t="n">
        <f aca="false">3200-500</f>
        <v>2700</v>
      </c>
      <c r="R69" s="69" t="n">
        <f aca="false">3000+300</f>
        <v>3300</v>
      </c>
      <c r="S69" s="69" t="n">
        <f aca="false">3500-1000</f>
        <v>2500</v>
      </c>
      <c r="T69" s="69" t="n">
        <v>1500</v>
      </c>
      <c r="U69" s="69" t="n">
        <v>3200</v>
      </c>
      <c r="V69" s="69" t="n">
        <v>6200</v>
      </c>
      <c r="W69" s="68" t="n">
        <v>4200</v>
      </c>
      <c r="X69" s="69" t="n">
        <v>4200</v>
      </c>
      <c r="Y69" s="69" t="n">
        <v>4200</v>
      </c>
      <c r="AH69" s="213" t="s">
        <v>66</v>
      </c>
    </row>
    <row r="70" s="3" customFormat="true" ht="15.75" hidden="false" customHeight="false" outlineLevel="0" collapsed="false">
      <c r="A70" s="38" t="n">
        <v>2</v>
      </c>
      <c r="B70" s="120" t="s">
        <v>67</v>
      </c>
      <c r="C70" s="212" t="n">
        <v>3190.94401</v>
      </c>
      <c r="D70" s="212" t="n">
        <v>2460.841</v>
      </c>
      <c r="E70" s="212" t="n">
        <v>3893</v>
      </c>
      <c r="F70" s="212" t="n">
        <v>3719</v>
      </c>
      <c r="G70" s="212" t="n">
        <v>1490</v>
      </c>
      <c r="H70" s="212" t="n">
        <v>1225</v>
      </c>
      <c r="I70" s="212" t="n">
        <v>781</v>
      </c>
      <c r="J70" s="212" t="n">
        <v>1159</v>
      </c>
      <c r="K70" s="68" t="n">
        <v>421</v>
      </c>
      <c r="L70" s="68" t="n">
        <v>1642</v>
      </c>
      <c r="M70" s="69" t="n">
        <f aca="false">5584953/1000</f>
        <v>5584.953</v>
      </c>
      <c r="N70" s="70" t="n">
        <f aca="false">4018036.6/1000</f>
        <v>4018.0366</v>
      </c>
      <c r="O70" s="69" t="n">
        <v>3600</v>
      </c>
      <c r="P70" s="71" t="n">
        <f aca="false">2900-900</f>
        <v>2000</v>
      </c>
      <c r="Q70" s="69" t="n">
        <f aca="false">3000+500</f>
        <v>3500</v>
      </c>
      <c r="R70" s="69" t="n">
        <f aca="false">3200-1500</f>
        <v>1700</v>
      </c>
      <c r="S70" s="69" t="n">
        <f aca="false">3300-1100</f>
        <v>2200</v>
      </c>
      <c r="T70" s="69" t="n">
        <f aca="false">3400+1300-1000-500</f>
        <v>3200</v>
      </c>
      <c r="U70" s="69" t="n">
        <f aca="false">2300+300</f>
        <v>2600</v>
      </c>
      <c r="V70" s="69" t="n">
        <f aca="false">2100+1000+500</f>
        <v>3600</v>
      </c>
      <c r="W70" s="68" t="n">
        <v>2100</v>
      </c>
      <c r="X70" s="69" t="n">
        <v>2300</v>
      </c>
      <c r="Y70" s="69" t="n">
        <v>2300</v>
      </c>
      <c r="AH70" s="213" t="s">
        <v>66</v>
      </c>
    </row>
    <row r="71" s="3" customFormat="true" ht="15.75" hidden="false" customHeight="false" outlineLevel="0" collapsed="false">
      <c r="A71" s="38" t="n">
        <v>3</v>
      </c>
      <c r="B71" s="120" t="s">
        <v>68</v>
      </c>
      <c r="C71" s="212" t="n">
        <v>1935</v>
      </c>
      <c r="D71" s="212" t="n">
        <v>2533.019</v>
      </c>
      <c r="E71" s="212" t="n">
        <v>1382</v>
      </c>
      <c r="F71" s="212" t="n">
        <v>974</v>
      </c>
      <c r="G71" s="212" t="n">
        <v>1029</v>
      </c>
      <c r="H71" s="212" t="n">
        <v>395</v>
      </c>
      <c r="I71" s="212" t="n">
        <v>475</v>
      </c>
      <c r="J71" s="212" t="n">
        <v>1034</v>
      </c>
      <c r="K71" s="68" t="n">
        <v>225</v>
      </c>
      <c r="L71" s="68" t="n">
        <v>1833</v>
      </c>
      <c r="M71" s="69" t="n">
        <f aca="false">7312851/1000</f>
        <v>7312.851</v>
      </c>
      <c r="N71" s="70" t="n">
        <f aca="false">13074170.16/1000</f>
        <v>13074.17016</v>
      </c>
      <c r="O71" s="69" t="n">
        <v>1600</v>
      </c>
      <c r="P71" s="71" t="n">
        <f aca="false">2400-300</f>
        <v>2100</v>
      </c>
      <c r="Q71" s="69" t="n">
        <f aca="false">1800-800</f>
        <v>1000</v>
      </c>
      <c r="R71" s="69" t="n">
        <f aca="false">1500-1000</f>
        <v>500</v>
      </c>
      <c r="S71" s="69" t="n">
        <v>1000</v>
      </c>
      <c r="T71" s="69" t="n">
        <v>2800</v>
      </c>
      <c r="U71" s="69" t="n">
        <v>3000</v>
      </c>
      <c r="V71" s="69" t="n">
        <v>3000</v>
      </c>
      <c r="W71" s="68" t="n">
        <v>3000</v>
      </c>
      <c r="X71" s="69" t="n">
        <v>3000</v>
      </c>
      <c r="Y71" s="69" t="n">
        <v>3000</v>
      </c>
      <c r="AH71" s="213" t="s">
        <v>66</v>
      </c>
      <c r="AI71" s="1"/>
    </row>
    <row r="72" s="3" customFormat="true" ht="15.75" hidden="false" customHeight="false" outlineLevel="0" collapsed="false">
      <c r="A72" s="38" t="n">
        <v>4</v>
      </c>
      <c r="B72" s="120" t="s">
        <v>69</v>
      </c>
      <c r="C72" s="212" t="n">
        <v>808.60706</v>
      </c>
      <c r="D72" s="212" t="n">
        <v>1597.545</v>
      </c>
      <c r="E72" s="212" t="n">
        <v>1942</v>
      </c>
      <c r="F72" s="212" t="n">
        <v>2220</v>
      </c>
      <c r="G72" s="212" t="n">
        <v>983</v>
      </c>
      <c r="H72" s="212" t="n">
        <v>1595</v>
      </c>
      <c r="I72" s="212" t="n">
        <v>2294</v>
      </c>
      <c r="J72" s="212" t="n">
        <v>201</v>
      </c>
      <c r="K72" s="68" t="n">
        <v>535</v>
      </c>
      <c r="L72" s="68" t="n">
        <v>687</v>
      </c>
      <c r="M72" s="69" t="n">
        <f aca="false">1401029/1000</f>
        <v>1401.029</v>
      </c>
      <c r="N72" s="70" t="n">
        <f aca="false">378270.25/1000</f>
        <v>378.27025</v>
      </c>
      <c r="O72" s="69" t="n">
        <v>2300</v>
      </c>
      <c r="P72" s="71" t="n">
        <v>2400</v>
      </c>
      <c r="Q72" s="69" t="n">
        <v>2200</v>
      </c>
      <c r="R72" s="69" t="n">
        <v>2000</v>
      </c>
      <c r="S72" s="109" t="n">
        <f aca="false">1700+2000</f>
        <v>3700</v>
      </c>
      <c r="T72" s="109" t="n">
        <f aca="false">2000+3000</f>
        <v>5000</v>
      </c>
      <c r="U72" s="109" t="n">
        <f aca="false">2000+5000</f>
        <v>7000</v>
      </c>
      <c r="V72" s="109" t="n">
        <f aca="false">2300+5000</f>
        <v>7300</v>
      </c>
      <c r="W72" s="122" t="n">
        <f aca="false">2400+5000</f>
        <v>7400</v>
      </c>
      <c r="X72" s="109" t="n">
        <f aca="false">3700+5000</f>
        <v>8700</v>
      </c>
      <c r="Y72" s="69" t="n">
        <f aca="false">3700</f>
        <v>3700</v>
      </c>
      <c r="AH72" s="213" t="s">
        <v>66</v>
      </c>
    </row>
    <row r="73" s="3" customFormat="true" ht="15.75" hidden="false" customHeight="false" outlineLevel="0" collapsed="false">
      <c r="A73" s="38" t="n">
        <v>5</v>
      </c>
      <c r="B73" s="120" t="s">
        <v>70</v>
      </c>
      <c r="C73" s="212" t="n">
        <v>7882.45334</v>
      </c>
      <c r="D73" s="212" t="n">
        <v>8745.424</v>
      </c>
      <c r="E73" s="212" t="n">
        <v>5032</v>
      </c>
      <c r="F73" s="212" t="n">
        <v>6068</v>
      </c>
      <c r="G73" s="212" t="n">
        <v>6073</v>
      </c>
      <c r="H73" s="212" t="n">
        <v>3761</v>
      </c>
      <c r="I73" s="212" t="n">
        <v>3039</v>
      </c>
      <c r="J73" s="212" t="n">
        <v>5233</v>
      </c>
      <c r="K73" s="68" t="n">
        <v>5528</v>
      </c>
      <c r="L73" s="68" t="n">
        <v>7784</v>
      </c>
      <c r="M73" s="69" t="n">
        <f aca="false">7229700/1000</f>
        <v>7229.7</v>
      </c>
      <c r="N73" s="70" t="n">
        <f aca="false">3101243.98/1000</f>
        <v>3101.24398</v>
      </c>
      <c r="O73" s="69" t="n">
        <v>2900</v>
      </c>
      <c r="P73" s="71" t="n">
        <v>3600</v>
      </c>
      <c r="Q73" s="69" t="n">
        <v>5200</v>
      </c>
      <c r="R73" s="69" t="n">
        <v>6000</v>
      </c>
      <c r="S73" s="69" t="n">
        <v>4600</v>
      </c>
      <c r="T73" s="69" t="n">
        <v>4000</v>
      </c>
      <c r="U73" s="69" t="n">
        <v>4000</v>
      </c>
      <c r="V73" s="69" t="n">
        <v>7200</v>
      </c>
      <c r="W73" s="68" t="n">
        <v>7200</v>
      </c>
      <c r="X73" s="69" t="n">
        <v>8700</v>
      </c>
      <c r="Y73" s="69" t="n">
        <v>8000</v>
      </c>
      <c r="AH73" s="213" t="s">
        <v>66</v>
      </c>
    </row>
    <row r="74" s="3" customFormat="true" ht="15.75" hidden="false" customHeight="false" outlineLevel="0" collapsed="false">
      <c r="A74" s="38" t="n">
        <v>6</v>
      </c>
      <c r="B74" s="120" t="s">
        <v>71</v>
      </c>
      <c r="C74" s="212" t="n">
        <v>459.31914</v>
      </c>
      <c r="D74" s="212" t="n">
        <v>1179.832</v>
      </c>
      <c r="E74" s="212" t="n">
        <v>1146</v>
      </c>
      <c r="F74" s="212" t="n">
        <v>1573</v>
      </c>
      <c r="G74" s="212" t="n">
        <v>330</v>
      </c>
      <c r="H74" s="212" t="n">
        <v>1116</v>
      </c>
      <c r="I74" s="212" t="n">
        <v>1073</v>
      </c>
      <c r="J74" s="212" t="n">
        <v>1551</v>
      </c>
      <c r="K74" s="68" t="n">
        <v>1019</v>
      </c>
      <c r="L74" s="68" t="n">
        <v>2253</v>
      </c>
      <c r="M74" s="69" t="n">
        <v>3778</v>
      </c>
      <c r="N74" s="70" t="n">
        <f aca="false">1905728.26/1000</f>
        <v>1905.72826</v>
      </c>
      <c r="O74" s="69" t="n">
        <v>3000</v>
      </c>
      <c r="P74" s="71" t="n">
        <v>1000</v>
      </c>
      <c r="Q74" s="69" t="n">
        <v>600</v>
      </c>
      <c r="R74" s="69" t="n">
        <v>2000</v>
      </c>
      <c r="S74" s="69" t="n">
        <v>2000</v>
      </c>
      <c r="T74" s="69" t="n">
        <v>2000</v>
      </c>
      <c r="U74" s="69" t="n">
        <v>2000</v>
      </c>
      <c r="V74" s="69" t="n">
        <v>2000</v>
      </c>
      <c r="W74" s="68" t="n">
        <v>2000</v>
      </c>
      <c r="X74" s="69" t="n">
        <v>2000</v>
      </c>
      <c r="Y74" s="69" t="n">
        <v>2000</v>
      </c>
      <c r="AH74" s="213" t="s">
        <v>66</v>
      </c>
    </row>
    <row r="75" s="3" customFormat="true" ht="15.75" hidden="false" customHeight="false" outlineLevel="0" collapsed="false">
      <c r="A75" s="38" t="n">
        <v>7</v>
      </c>
      <c r="B75" s="120" t="s">
        <v>72</v>
      </c>
      <c r="C75" s="212" t="n">
        <v>7022</v>
      </c>
      <c r="D75" s="212" t="n">
        <v>8033.772</v>
      </c>
      <c r="E75" s="212" t="n">
        <v>6227</v>
      </c>
      <c r="F75" s="212" t="n">
        <v>5648</v>
      </c>
      <c r="G75" s="212" t="n">
        <v>5145</v>
      </c>
      <c r="H75" s="212" t="n">
        <v>5556</v>
      </c>
      <c r="I75" s="212" t="n">
        <v>5732</v>
      </c>
      <c r="J75" s="212" t="n">
        <v>4697</v>
      </c>
      <c r="K75" s="68" t="n">
        <v>4478</v>
      </c>
      <c r="L75" s="68" t="n">
        <v>6869</v>
      </c>
      <c r="M75" s="69" t="n">
        <f aca="false">4866716/1000</f>
        <v>4866.716</v>
      </c>
      <c r="N75" s="70" t="n">
        <f aca="false">3492696.12/1000</f>
        <v>3492.69612</v>
      </c>
      <c r="O75" s="69" t="n">
        <v>4200</v>
      </c>
      <c r="P75" s="214" t="n">
        <f aca="false">5700-2300-500</f>
        <v>2900</v>
      </c>
      <c r="Q75" s="109" t="n">
        <f aca="false">4000+500</f>
        <v>4500</v>
      </c>
      <c r="R75" s="69" t="n">
        <f aca="false">5200+2600</f>
        <v>7800</v>
      </c>
      <c r="S75" s="109" t="n">
        <f aca="false">7000-2100</f>
        <v>4900</v>
      </c>
      <c r="T75" s="109" t="n">
        <f aca="false">3600+2100</f>
        <v>5700</v>
      </c>
      <c r="U75" s="69" t="n">
        <f aca="false">3500+8000</f>
        <v>11500</v>
      </c>
      <c r="V75" s="69" t="n">
        <f aca="false">6800+8000</f>
        <v>14800</v>
      </c>
      <c r="W75" s="68" t="n">
        <f aca="false">6800+8000</f>
        <v>14800</v>
      </c>
      <c r="X75" s="69" t="n">
        <f aca="false">6800+8000</f>
        <v>14800</v>
      </c>
      <c r="Y75" s="69" t="n">
        <v>14800</v>
      </c>
      <c r="AH75" s="213" t="s">
        <v>66</v>
      </c>
    </row>
    <row r="76" s="3" customFormat="true" ht="15.75" hidden="false" customHeight="false" outlineLevel="0" collapsed="false">
      <c r="A76" s="38" t="n">
        <v>8</v>
      </c>
      <c r="B76" s="120" t="s">
        <v>73</v>
      </c>
      <c r="C76" s="212" t="n">
        <v>171</v>
      </c>
      <c r="D76" s="212" t="n">
        <v>79.596</v>
      </c>
      <c r="E76" s="212" t="n">
        <v>27</v>
      </c>
      <c r="F76" s="212" t="n">
        <v>13</v>
      </c>
      <c r="G76" s="212" t="n">
        <v>29</v>
      </c>
      <c r="H76" s="212" t="n">
        <v>47</v>
      </c>
      <c r="I76" s="212" t="n">
        <v>141</v>
      </c>
      <c r="J76" s="212" t="n">
        <v>334</v>
      </c>
      <c r="K76" s="68" t="n">
        <v>9</v>
      </c>
      <c r="L76" s="68" t="n">
        <v>35</v>
      </c>
      <c r="M76" s="69" t="n">
        <f aca="false">3988/1000</f>
        <v>3.988</v>
      </c>
      <c r="N76" s="70" t="n">
        <f aca="false">48628.32/1000</f>
        <v>48.62832</v>
      </c>
      <c r="O76" s="69" t="n">
        <v>300</v>
      </c>
      <c r="P76" s="71" t="n">
        <v>100</v>
      </c>
      <c r="Q76" s="69" t="n">
        <v>100</v>
      </c>
      <c r="R76" s="69" t="n">
        <v>100</v>
      </c>
      <c r="S76" s="69" t="n">
        <v>300</v>
      </c>
      <c r="T76" s="69" t="n">
        <v>300</v>
      </c>
      <c r="U76" s="69" t="n">
        <v>500</v>
      </c>
      <c r="V76" s="69" t="n">
        <v>500</v>
      </c>
      <c r="W76" s="68" t="n">
        <v>500</v>
      </c>
      <c r="X76" s="69" t="n">
        <v>600</v>
      </c>
      <c r="Y76" s="69" t="n">
        <v>500</v>
      </c>
      <c r="AH76" s="213" t="s">
        <v>66</v>
      </c>
    </row>
    <row r="77" s="3" customFormat="true" ht="15.75" hidden="false" customHeight="false" outlineLevel="0" collapsed="false">
      <c r="A77" s="36"/>
      <c r="B77" s="120" t="s">
        <v>3</v>
      </c>
      <c r="C77" s="212"/>
      <c r="D77" s="212"/>
      <c r="E77" s="212"/>
      <c r="F77" s="212"/>
      <c r="G77" s="212"/>
      <c r="H77" s="212"/>
      <c r="I77" s="212"/>
      <c r="J77" s="212"/>
      <c r="K77" s="68"/>
      <c r="L77" s="68"/>
      <c r="M77" s="109"/>
      <c r="N77" s="110"/>
      <c r="O77" s="69"/>
      <c r="P77" s="71"/>
      <c r="Q77" s="69"/>
      <c r="R77" s="69"/>
      <c r="S77" s="69"/>
      <c r="T77" s="69"/>
      <c r="U77" s="69"/>
      <c r="V77" s="69"/>
      <c r="W77" s="68" t="s">
        <v>3</v>
      </c>
      <c r="X77" s="69" t="s">
        <v>3</v>
      </c>
      <c r="Y77" s="69"/>
      <c r="AH77" s="213" t="s">
        <v>66</v>
      </c>
    </row>
    <row r="78" customFormat="false" ht="15" hidden="false" customHeight="false" outlineLevel="0" collapsed="false">
      <c r="A78" s="215"/>
      <c r="B78" s="216" t="s">
        <v>74</v>
      </c>
      <c r="C78" s="217" t="n">
        <f aca="false">SUM(C69:C76)</f>
        <v>25442.59122</v>
      </c>
      <c r="D78" s="217" t="n">
        <f aca="false">SUM(D69:D76)</f>
        <v>27704.363</v>
      </c>
      <c r="E78" s="217" t="n">
        <f aca="false">SUM(E69:E76)</f>
        <v>21201</v>
      </c>
      <c r="F78" s="217" t="n">
        <f aca="false">SUM(F69:F76)</f>
        <v>20921</v>
      </c>
      <c r="G78" s="217" t="n">
        <f aca="false">SUM(G69:G76)</f>
        <v>15540</v>
      </c>
      <c r="H78" s="217" t="n">
        <f aca="false">SUM(H69:H76)</f>
        <v>14327</v>
      </c>
      <c r="I78" s="217" t="n">
        <f aca="false">SUM(I69:I76)</f>
        <v>13757</v>
      </c>
      <c r="J78" s="217" t="n">
        <f aca="false">SUM(J69:J76)</f>
        <v>14883</v>
      </c>
      <c r="K78" s="218" t="n">
        <f aca="false">SUM(K69:K76)</f>
        <v>12400</v>
      </c>
      <c r="L78" s="218" t="n">
        <f aca="false">SUM(L69:L76)</f>
        <v>22166</v>
      </c>
      <c r="M78" s="219" t="n">
        <f aca="false">SUM(M69:M76)</f>
        <v>31294.934</v>
      </c>
      <c r="N78" s="220" t="n">
        <f aca="false">SUM(N69:N76)</f>
        <v>26742.27246</v>
      </c>
      <c r="O78" s="219" t="n">
        <f aca="false">SUM(O69:O76)</f>
        <v>20100</v>
      </c>
      <c r="P78" s="221" t="n">
        <f aca="false">SUM(P69:P76)</f>
        <v>16300</v>
      </c>
      <c r="Q78" s="219" t="n">
        <f aca="false">SUM(Q69:Q76)</f>
        <v>19800</v>
      </c>
      <c r="R78" s="219" t="n">
        <f aca="false">SUM(R69:R76)</f>
        <v>23400</v>
      </c>
      <c r="S78" s="219" t="n">
        <f aca="false">SUM(S69:S76)</f>
        <v>21200</v>
      </c>
      <c r="T78" s="219" t="n">
        <f aca="false">SUM(T69:T76)</f>
        <v>24500</v>
      </c>
      <c r="U78" s="219" t="n">
        <f aca="false">SUM(U69:U76)</f>
        <v>33800</v>
      </c>
      <c r="V78" s="219" t="n">
        <f aca="false">SUM(V69:V76)</f>
        <v>44600</v>
      </c>
      <c r="W78" s="218" t="n">
        <f aca="false">SUM(W69:W76)</f>
        <v>41200</v>
      </c>
      <c r="X78" s="219" t="n">
        <f aca="false">SUM(X69:X76)</f>
        <v>44300</v>
      </c>
      <c r="Y78" s="219" t="n">
        <f aca="false">SUM(Y69:Y76)</f>
        <v>38500</v>
      </c>
      <c r="AH78" s="213" t="s">
        <v>66</v>
      </c>
    </row>
    <row r="79" customFormat="false" ht="15" hidden="false" customHeight="false" outlineLevel="0" collapsed="false">
      <c r="A79" s="222"/>
      <c r="B79" s="223"/>
      <c r="C79" s="224"/>
      <c r="D79" s="224"/>
      <c r="E79" s="224"/>
      <c r="F79" s="224"/>
      <c r="G79" s="224"/>
      <c r="H79" s="224"/>
      <c r="I79" s="225" t="s">
        <v>3</v>
      </c>
      <c r="J79" s="226" t="s">
        <v>3</v>
      </c>
      <c r="K79" s="167" t="s">
        <v>3</v>
      </c>
      <c r="L79" s="167" t="s">
        <v>3</v>
      </c>
      <c r="M79" s="168" t="s">
        <v>3</v>
      </c>
      <c r="N79" s="169"/>
      <c r="O79" s="170" t="s">
        <v>3</v>
      </c>
      <c r="P79" s="203" t="s">
        <v>3</v>
      </c>
      <c r="Q79" s="168" t="s">
        <v>3</v>
      </c>
      <c r="R79" s="168" t="s">
        <v>3</v>
      </c>
      <c r="S79" s="168" t="s">
        <v>3</v>
      </c>
      <c r="T79" s="168" t="s">
        <v>3</v>
      </c>
      <c r="U79" s="168" t="s">
        <v>3</v>
      </c>
      <c r="V79" s="168" t="s">
        <v>3</v>
      </c>
      <c r="W79" s="204" t="s">
        <v>3</v>
      </c>
      <c r="X79" s="168" t="s">
        <v>3</v>
      </c>
      <c r="Y79" s="168"/>
      <c r="AH79" s="213" t="s">
        <v>66</v>
      </c>
    </row>
    <row r="80" customFormat="false" ht="15.75" hidden="false" customHeight="false" outlineLevel="0" collapsed="false">
      <c r="A80" s="227"/>
      <c r="B80" s="120" t="s">
        <v>75</v>
      </c>
      <c r="C80" s="212" t="n">
        <f aca="false">SUM(C82:C91)</f>
        <v>8</v>
      </c>
      <c r="D80" s="212" t="n">
        <f aca="false">SUM(D82:D91)</f>
        <v>0</v>
      </c>
      <c r="E80" s="212" t="n">
        <f aca="false">SUM(E82:E91)</f>
        <v>295</v>
      </c>
      <c r="F80" s="212" t="n">
        <f aca="false">SUM(F82:F91)</f>
        <v>974</v>
      </c>
      <c r="G80" s="212" t="n">
        <f aca="false">SUM(G82:G91)</f>
        <v>1023</v>
      </c>
      <c r="H80" s="212" t="n">
        <f aca="false">SUM(H82:H91)</f>
        <v>431</v>
      </c>
      <c r="I80" s="212" t="n">
        <f aca="false">SUM(I82:I91)</f>
        <v>822</v>
      </c>
      <c r="J80" s="212" t="n">
        <v>1380</v>
      </c>
      <c r="K80" s="68" t="n">
        <v>3690</v>
      </c>
      <c r="L80" s="68" t="n">
        <v>599</v>
      </c>
      <c r="M80" s="69" t="n">
        <f aca="false">504742/1000</f>
        <v>504.742</v>
      </c>
      <c r="N80" s="70" t="n">
        <f aca="false">285056.86/1000</f>
        <v>285.05686</v>
      </c>
      <c r="O80" s="69" t="n">
        <f aca="false">SUM(O82:O91)</f>
        <v>0</v>
      </c>
      <c r="P80" s="71" t="n">
        <f aca="false">SUM(P82:P91)</f>
        <v>0</v>
      </c>
      <c r="Q80" s="69" t="n">
        <f aca="false">SUM(Q82:Q91)</f>
        <v>800</v>
      </c>
      <c r="R80" s="69" t="n">
        <f aca="false">SUM(R82:R91)</f>
        <v>2000</v>
      </c>
      <c r="S80" s="69" t="n">
        <f aca="false">SUM(S82:S91)</f>
        <v>0</v>
      </c>
      <c r="T80" s="69" t="n">
        <f aca="false">SUM(T82:T91)</f>
        <v>0</v>
      </c>
      <c r="U80" s="69" t="n">
        <f aca="false">SUM(U82:U91)</f>
        <v>1000</v>
      </c>
      <c r="V80" s="69" t="n">
        <f aca="false">SUM(V82:V91)</f>
        <v>3500</v>
      </c>
      <c r="W80" s="68" t="n">
        <f aca="false">SUM(W82:W91)</f>
        <v>4700</v>
      </c>
      <c r="X80" s="69" t="n">
        <f aca="false">SUM(X81:X91)</f>
        <v>5000</v>
      </c>
      <c r="Y80" s="69" t="n">
        <f aca="false">SUM(Y81:Y91)</f>
        <v>2000</v>
      </c>
      <c r="AG80" s="228" t="s">
        <v>76</v>
      </c>
      <c r="AH80" s="213" t="s">
        <v>66</v>
      </c>
    </row>
    <row r="81" customFormat="false" ht="15.75" hidden="false" customHeight="false" outlineLevel="0" collapsed="false">
      <c r="A81" s="227"/>
      <c r="B81" s="73"/>
      <c r="C81" s="212"/>
      <c r="D81" s="212"/>
      <c r="E81" s="212"/>
      <c r="F81" s="212"/>
      <c r="G81" s="212"/>
      <c r="H81" s="212"/>
      <c r="I81" s="229" t="s">
        <v>3</v>
      </c>
      <c r="J81" s="212"/>
      <c r="K81" s="68"/>
      <c r="L81" s="68"/>
      <c r="M81" s="109"/>
      <c r="N81" s="110"/>
      <c r="O81" s="69"/>
      <c r="P81" s="71"/>
      <c r="Q81" s="69"/>
      <c r="R81" s="69"/>
      <c r="S81" s="70"/>
      <c r="T81" s="70"/>
      <c r="U81" s="70"/>
      <c r="V81" s="70"/>
      <c r="W81" s="230"/>
      <c r="X81" s="69"/>
      <c r="Y81" s="69"/>
    </row>
    <row r="82" customFormat="false" ht="15" hidden="false" customHeight="false" outlineLevel="0" collapsed="false">
      <c r="A82" s="227"/>
      <c r="B82" s="95" t="s">
        <v>77</v>
      </c>
      <c r="C82" s="231" t="n">
        <v>0</v>
      </c>
      <c r="D82" s="231" t="n">
        <v>0</v>
      </c>
      <c r="E82" s="231" t="n">
        <v>295</v>
      </c>
      <c r="F82" s="231" t="n">
        <v>974</v>
      </c>
      <c r="G82" s="231" t="n">
        <v>989</v>
      </c>
      <c r="H82" s="231" t="n">
        <v>0</v>
      </c>
      <c r="I82" s="231" t="n">
        <v>0</v>
      </c>
      <c r="J82" s="231" t="n">
        <v>0</v>
      </c>
      <c r="K82" s="126" t="s">
        <v>3</v>
      </c>
      <c r="L82" s="58"/>
      <c r="M82" s="59"/>
      <c r="N82" s="60"/>
      <c r="O82" s="61" t="s">
        <v>3</v>
      </c>
      <c r="P82" s="62" t="s">
        <v>3</v>
      </c>
      <c r="Q82" s="61"/>
      <c r="R82" s="61"/>
      <c r="S82" s="97"/>
      <c r="T82" s="97"/>
      <c r="U82" s="97"/>
      <c r="V82" s="97"/>
      <c r="W82" s="232"/>
      <c r="X82" s="61"/>
      <c r="Y82" s="61"/>
    </row>
    <row r="83" customFormat="false" ht="15" hidden="false" customHeight="false" outlineLevel="0" collapsed="false">
      <c r="A83" s="227"/>
      <c r="B83" s="95" t="s">
        <v>78</v>
      </c>
      <c r="C83" s="231" t="n">
        <v>0</v>
      </c>
      <c r="D83" s="231" t="n">
        <v>0</v>
      </c>
      <c r="E83" s="231" t="n">
        <v>0</v>
      </c>
      <c r="F83" s="231" t="n">
        <v>0</v>
      </c>
      <c r="G83" s="231" t="n">
        <v>34</v>
      </c>
      <c r="H83" s="231" t="n">
        <v>116</v>
      </c>
      <c r="I83" s="231" t="n">
        <v>806</v>
      </c>
      <c r="J83" s="231" t="n">
        <v>0</v>
      </c>
      <c r="K83" s="126" t="s">
        <v>3</v>
      </c>
      <c r="L83" s="58"/>
      <c r="M83" s="59"/>
      <c r="N83" s="60"/>
      <c r="O83" s="61"/>
      <c r="P83" s="62"/>
      <c r="Q83" s="61"/>
      <c r="R83" s="61"/>
      <c r="S83" s="97"/>
      <c r="T83" s="97"/>
      <c r="U83" s="97"/>
      <c r="V83" s="97"/>
      <c r="W83" s="232"/>
      <c r="X83" s="61"/>
      <c r="Y83" s="61"/>
    </row>
    <row r="84" customFormat="false" ht="15" hidden="false" customHeight="false" outlineLevel="0" collapsed="false">
      <c r="A84" s="227"/>
      <c r="B84" s="95" t="s">
        <v>79</v>
      </c>
      <c r="C84" s="231"/>
      <c r="D84" s="231"/>
      <c r="E84" s="231"/>
      <c r="F84" s="231"/>
      <c r="G84" s="231" t="n">
        <v>0</v>
      </c>
      <c r="H84" s="231" t="s">
        <v>3</v>
      </c>
      <c r="I84" s="231" t="n">
        <v>0</v>
      </c>
      <c r="J84" s="231" t="n">
        <v>0</v>
      </c>
      <c r="K84" s="126" t="s">
        <v>3</v>
      </c>
      <c r="L84" s="58" t="n">
        <v>1000</v>
      </c>
      <c r="M84" s="59"/>
      <c r="N84" s="60"/>
      <c r="O84" s="61"/>
      <c r="P84" s="62"/>
      <c r="Q84" s="61" t="n">
        <v>800</v>
      </c>
      <c r="R84" s="61" t="n">
        <v>1900</v>
      </c>
      <c r="S84" s="97"/>
      <c r="T84" s="97"/>
      <c r="U84" s="97"/>
      <c r="V84" s="97"/>
      <c r="W84" s="232"/>
      <c r="X84" s="61"/>
      <c r="Y84" s="61"/>
    </row>
    <row r="85" customFormat="false" ht="15" hidden="false" customHeight="false" outlineLevel="0" collapsed="false">
      <c r="A85" s="227"/>
      <c r="B85" s="95" t="s">
        <v>80</v>
      </c>
      <c r="C85" s="231"/>
      <c r="D85" s="231"/>
      <c r="E85" s="231"/>
      <c r="F85" s="231"/>
      <c r="G85" s="231"/>
      <c r="H85" s="231" t="n">
        <v>286</v>
      </c>
      <c r="I85" s="231"/>
      <c r="J85" s="231"/>
      <c r="K85" s="126"/>
      <c r="L85" s="58"/>
      <c r="M85" s="59"/>
      <c r="N85" s="60"/>
      <c r="O85" s="61" t="s">
        <v>3</v>
      </c>
      <c r="P85" s="62"/>
      <c r="Q85" s="61"/>
      <c r="R85" s="61"/>
      <c r="S85" s="97"/>
      <c r="T85" s="61"/>
      <c r="U85" s="97" t="n">
        <v>200</v>
      </c>
      <c r="V85" s="97" t="n">
        <v>1200</v>
      </c>
      <c r="W85" s="232" t="s">
        <v>3</v>
      </c>
      <c r="X85" s="61" t="s">
        <v>3</v>
      </c>
      <c r="Y85" s="61"/>
    </row>
    <row r="86" customFormat="false" ht="15" hidden="false" customHeight="false" outlineLevel="0" collapsed="false">
      <c r="A86" s="227"/>
      <c r="B86" s="95" t="s">
        <v>81</v>
      </c>
      <c r="C86" s="231" t="n">
        <v>0</v>
      </c>
      <c r="D86" s="231" t="n">
        <v>0</v>
      </c>
      <c r="E86" s="231" t="n">
        <v>0</v>
      </c>
      <c r="F86" s="231" t="n">
        <v>0</v>
      </c>
      <c r="G86" s="231" t="n">
        <v>0</v>
      </c>
      <c r="H86" s="231" t="n">
        <v>0</v>
      </c>
      <c r="I86" s="231" t="n">
        <v>0</v>
      </c>
      <c r="J86" s="231" t="n">
        <v>0</v>
      </c>
      <c r="K86" s="126" t="s">
        <v>3</v>
      </c>
      <c r="L86" s="58"/>
      <c r="M86" s="59"/>
      <c r="N86" s="60"/>
      <c r="O86" s="61"/>
      <c r="P86" s="62" t="s">
        <v>3</v>
      </c>
      <c r="Q86" s="61"/>
      <c r="R86" s="61"/>
      <c r="S86" s="97"/>
      <c r="T86" s="61"/>
      <c r="U86" s="97"/>
      <c r="V86" s="97"/>
      <c r="W86" s="232" t="n">
        <v>2000</v>
      </c>
      <c r="X86" s="61" t="n">
        <v>2000</v>
      </c>
      <c r="Y86" s="233"/>
    </row>
    <row r="87" customFormat="false" ht="15" hidden="false" customHeight="false" outlineLevel="0" collapsed="false">
      <c r="A87" s="227"/>
      <c r="B87" s="95" t="s">
        <v>82</v>
      </c>
      <c r="C87" s="231" t="n">
        <v>0</v>
      </c>
      <c r="D87" s="231" t="n">
        <v>0</v>
      </c>
      <c r="E87" s="231" t="n">
        <v>0</v>
      </c>
      <c r="F87" s="231" t="n">
        <v>0</v>
      </c>
      <c r="G87" s="231" t="n">
        <v>0</v>
      </c>
      <c r="H87" s="231" t="n">
        <v>0</v>
      </c>
      <c r="I87" s="231" t="n">
        <v>0</v>
      </c>
      <c r="J87" s="231" t="n">
        <v>0</v>
      </c>
      <c r="K87" s="126" t="n">
        <v>0</v>
      </c>
      <c r="L87" s="58"/>
      <c r="M87" s="59"/>
      <c r="N87" s="60"/>
      <c r="O87" s="61"/>
      <c r="P87" s="62"/>
      <c r="Q87" s="61"/>
      <c r="R87" s="61"/>
      <c r="S87" s="97"/>
      <c r="T87" s="61"/>
      <c r="U87" s="97" t="n">
        <v>800</v>
      </c>
      <c r="V87" s="97" t="n">
        <v>600</v>
      </c>
      <c r="W87" s="232"/>
      <c r="X87" s="61"/>
      <c r="Y87" s="233"/>
    </row>
    <row r="88" customFormat="false" ht="15" hidden="false" customHeight="false" outlineLevel="0" collapsed="false">
      <c r="A88" s="227"/>
      <c r="B88" s="95" t="s">
        <v>83</v>
      </c>
      <c r="C88" s="231" t="n">
        <v>8</v>
      </c>
      <c r="D88" s="231"/>
      <c r="E88" s="231"/>
      <c r="F88" s="231"/>
      <c r="G88" s="231"/>
      <c r="H88" s="231" t="n">
        <v>29</v>
      </c>
      <c r="I88" s="231" t="n">
        <v>16</v>
      </c>
      <c r="J88" s="234" t="n">
        <v>1000</v>
      </c>
      <c r="K88" s="126" t="n">
        <v>3000</v>
      </c>
      <c r="L88" s="126" t="s">
        <v>3</v>
      </c>
      <c r="M88" s="59" t="s">
        <v>3</v>
      </c>
      <c r="N88" s="60"/>
      <c r="O88" s="61" t="s">
        <v>3</v>
      </c>
      <c r="P88" s="62"/>
      <c r="Q88" s="61"/>
      <c r="R88" s="61" t="s">
        <v>3</v>
      </c>
      <c r="S88" s="97"/>
      <c r="T88" s="97"/>
      <c r="U88" s="97"/>
      <c r="V88" s="97"/>
      <c r="W88" s="232" t="n">
        <v>2200</v>
      </c>
      <c r="X88" s="61" t="n">
        <v>2500</v>
      </c>
      <c r="Y88" s="233"/>
    </row>
    <row r="89" customFormat="false" ht="15" hidden="false" customHeight="false" outlineLevel="0" collapsed="false">
      <c r="A89" s="227"/>
      <c r="B89" s="95" t="s">
        <v>84</v>
      </c>
      <c r="C89" s="231"/>
      <c r="D89" s="231"/>
      <c r="E89" s="231"/>
      <c r="F89" s="231"/>
      <c r="G89" s="231" t="n">
        <v>0</v>
      </c>
      <c r="H89" s="231" t="n">
        <v>0</v>
      </c>
      <c r="I89" s="231" t="n">
        <v>0</v>
      </c>
      <c r="J89" s="231" t="n">
        <v>0</v>
      </c>
      <c r="K89" s="126" t="s">
        <v>3</v>
      </c>
      <c r="L89" s="58"/>
      <c r="M89" s="59" t="s">
        <v>3</v>
      </c>
      <c r="N89" s="60"/>
      <c r="O89" s="61"/>
      <c r="P89" s="62"/>
      <c r="Q89" s="61" t="s">
        <v>3</v>
      </c>
      <c r="R89" s="61" t="n">
        <v>100</v>
      </c>
      <c r="S89" s="97"/>
      <c r="T89" s="97"/>
      <c r="U89" s="97"/>
      <c r="V89" s="97" t="n">
        <v>1200</v>
      </c>
      <c r="W89" s="232"/>
      <c r="X89" s="61"/>
      <c r="Y89" s="61"/>
    </row>
    <row r="90" customFormat="false" ht="15" hidden="false" customHeight="false" outlineLevel="0" collapsed="false">
      <c r="A90" s="227"/>
      <c r="B90" s="95" t="s">
        <v>85</v>
      </c>
      <c r="C90" s="231"/>
      <c r="D90" s="231"/>
      <c r="E90" s="231"/>
      <c r="F90" s="231"/>
      <c r="G90" s="231" t="n">
        <v>0</v>
      </c>
      <c r="H90" s="231" t="n">
        <v>0</v>
      </c>
      <c r="I90" s="231" t="n">
        <v>0</v>
      </c>
      <c r="J90" s="231" t="n">
        <v>0</v>
      </c>
      <c r="K90" s="126" t="s">
        <v>3</v>
      </c>
      <c r="L90" s="58"/>
      <c r="M90" s="59" t="s">
        <v>3</v>
      </c>
      <c r="N90" s="60"/>
      <c r="O90" s="61" t="s">
        <v>3</v>
      </c>
      <c r="P90" s="62"/>
      <c r="Q90" s="61"/>
      <c r="R90" s="61" t="s">
        <v>3</v>
      </c>
      <c r="S90" s="97"/>
      <c r="T90" s="97"/>
      <c r="U90" s="97"/>
      <c r="V90" s="97" t="n">
        <v>500</v>
      </c>
      <c r="W90" s="232" t="n">
        <v>500</v>
      </c>
      <c r="X90" s="61" t="n">
        <v>500</v>
      </c>
      <c r="Y90" s="61"/>
    </row>
    <row r="91" customFormat="false" ht="15" hidden="false" customHeight="false" outlineLevel="0" collapsed="false">
      <c r="A91" s="227"/>
      <c r="B91" s="95" t="s">
        <v>86</v>
      </c>
      <c r="C91" s="231" t="n">
        <v>0</v>
      </c>
      <c r="D91" s="231" t="n">
        <v>0</v>
      </c>
      <c r="E91" s="231" t="n">
        <v>0</v>
      </c>
      <c r="F91" s="231" t="n">
        <v>0</v>
      </c>
      <c r="G91" s="231" t="n">
        <v>0</v>
      </c>
      <c r="H91" s="231"/>
      <c r="I91" s="231" t="n">
        <v>0</v>
      </c>
      <c r="J91" s="231" t="n">
        <v>0</v>
      </c>
      <c r="K91" s="126" t="s">
        <v>3</v>
      </c>
      <c r="L91" s="58"/>
      <c r="M91" s="127"/>
      <c r="N91" s="128"/>
      <c r="O91" s="129"/>
      <c r="P91" s="62"/>
      <c r="Q91" s="61" t="s">
        <v>3</v>
      </c>
      <c r="R91" s="61"/>
      <c r="S91" s="97"/>
      <c r="T91" s="97" t="s">
        <v>3</v>
      </c>
      <c r="U91" s="60" t="s">
        <v>3</v>
      </c>
      <c r="V91" s="60" t="s">
        <v>3</v>
      </c>
      <c r="W91" s="235" t="s">
        <v>3</v>
      </c>
      <c r="X91" s="59"/>
      <c r="Y91" s="61" t="n">
        <v>2000</v>
      </c>
    </row>
    <row r="92" customFormat="false" ht="15.75" hidden="false" customHeight="false" outlineLevel="0" collapsed="false">
      <c r="A92" s="45"/>
      <c r="B92" s="46" t="s">
        <v>3</v>
      </c>
      <c r="C92" s="236"/>
      <c r="D92" s="236"/>
      <c r="E92" s="236"/>
      <c r="F92" s="236"/>
      <c r="G92" s="236"/>
      <c r="H92" s="236" t="s">
        <v>3</v>
      </c>
      <c r="I92" s="236"/>
      <c r="J92" s="237" t="s">
        <v>3</v>
      </c>
      <c r="K92" s="238"/>
      <c r="L92" s="239"/>
      <c r="M92" s="240"/>
      <c r="N92" s="241"/>
      <c r="O92" s="242"/>
      <c r="P92" s="243"/>
      <c r="Q92" s="242"/>
      <c r="R92" s="242"/>
      <c r="S92" s="244"/>
      <c r="T92" s="244"/>
      <c r="U92" s="244"/>
      <c r="V92" s="244"/>
      <c r="W92" s="245"/>
      <c r="X92" s="242"/>
      <c r="Y92" s="242"/>
    </row>
    <row r="93" s="3" customFormat="true" ht="15.75" hidden="false" customHeight="false" outlineLevel="0" collapsed="false">
      <c r="A93" s="246"/>
      <c r="B93" s="112" t="s">
        <v>87</v>
      </c>
      <c r="C93" s="212" t="e">
        <f aca="false">C97+C110+C136+C150+C160+#REF!</f>
        <v>#REF!</v>
      </c>
      <c r="D93" s="212" t="e">
        <f aca="false">D97+D110+D136+D150+D160+#REF!</f>
        <v>#REF!</v>
      </c>
      <c r="E93" s="212" t="n">
        <f aca="false">E97+E110+E136+E150+E160</f>
        <v>16488</v>
      </c>
      <c r="F93" s="212" t="n">
        <f aca="false">F97+F110+F136+F150+F160</f>
        <v>22586</v>
      </c>
      <c r="G93" s="212" t="e">
        <f aca="false">G97+G110+G136+G138+G150+G160</f>
        <v>#REF!</v>
      </c>
      <c r="H93" s="212" t="n">
        <f aca="false">H97+H110+H136+H138+H150+H160</f>
        <v>28099</v>
      </c>
      <c r="I93" s="212" t="n">
        <f aca="false">I97+I110+I136+I138+I150+I160</f>
        <v>30012</v>
      </c>
      <c r="J93" s="212" t="n">
        <f aca="false">J97+J110+J136+J138+J150+J160</f>
        <v>36481</v>
      </c>
      <c r="K93" s="68" t="e">
        <f aca="false">K97+K110+K136+K138+K150+K160</f>
        <v>#REF!</v>
      </c>
      <c r="L93" s="68" t="n">
        <f aca="false">L97+L110+L136+L138+L150+L160</f>
        <v>49956</v>
      </c>
      <c r="M93" s="69" t="n">
        <f aca="false">M97+M110+M136+M138+M150+M160</f>
        <v>66202.769</v>
      </c>
      <c r="N93" s="70" t="n">
        <f aca="false">N97+N110+N136+N138+N150+N160</f>
        <v>51230.46394</v>
      </c>
      <c r="O93" s="69" t="e">
        <f aca="false">O97+O110+O136+O138+O150+O160</f>
        <v>#REF!</v>
      </c>
      <c r="P93" s="71" t="e">
        <f aca="false">P97+P110+P136+P138+P150+P160</f>
        <v>#REF!</v>
      </c>
      <c r="Q93" s="68" t="e">
        <f aca="false">Q97+Q110+Q136+Q138+Q150+Q160</f>
        <v>#REF!</v>
      </c>
      <c r="R93" s="68" t="e">
        <f aca="false">R97+R110+R136+R138+R150+R160</f>
        <v>#REF!</v>
      </c>
      <c r="S93" s="68" t="e">
        <f aca="false">S97+S110+S136+S138+S150+S160</f>
        <v>#REF!</v>
      </c>
      <c r="T93" s="68" t="e">
        <f aca="false">T97+T110+T136+T138+T150+T160</f>
        <v>#REF!</v>
      </c>
      <c r="U93" s="68" t="e">
        <f aca="false">U97+U110+U136+U138+U150+U160</f>
        <v>#REF!</v>
      </c>
      <c r="V93" s="69" t="e">
        <f aca="false">V97+V110+V136+V138+V150+V160</f>
        <v>#REF!</v>
      </c>
      <c r="W93" s="68" t="e">
        <f aca="false">W97+W110+W136+W138+W150+W160</f>
        <v>#REF!</v>
      </c>
      <c r="X93" s="69" t="e">
        <f aca="false">X97+X110+X136+X138+X150+X160</f>
        <v>#REF!</v>
      </c>
      <c r="Y93" s="69" t="n">
        <f aca="false">Y97+Y110+Y136+Y138+Y150+Y160</f>
        <v>66500</v>
      </c>
    </row>
    <row r="94" customFormat="false" ht="15" hidden="false" customHeight="true" outlineLevel="0" collapsed="false">
      <c r="A94" s="36"/>
      <c r="B94" s="76" t="s">
        <v>19</v>
      </c>
      <c r="C94" s="77" t="s">
        <v>3</v>
      </c>
      <c r="D94" s="77" t="s">
        <v>3</v>
      </c>
      <c r="E94" s="3" t="s">
        <v>3</v>
      </c>
      <c r="F94" s="78" t="s">
        <v>3</v>
      </c>
      <c r="G94" s="78" t="s">
        <v>3</v>
      </c>
      <c r="H94" s="78" t="s">
        <v>3</v>
      </c>
      <c r="I94" s="78" t="s">
        <v>3</v>
      </c>
      <c r="J94" s="78"/>
      <c r="K94" s="79" t="s">
        <v>3</v>
      </c>
      <c r="L94" s="80" t="s">
        <v>3</v>
      </c>
      <c r="M94" s="81" t="s">
        <v>3</v>
      </c>
      <c r="N94" s="81"/>
      <c r="O94" s="82" t="s">
        <v>3</v>
      </c>
      <c r="P94" s="83" t="n">
        <v>48800</v>
      </c>
      <c r="Q94" s="84" t="n">
        <v>60400</v>
      </c>
      <c r="R94" s="84" t="n">
        <v>78600</v>
      </c>
      <c r="S94" s="84" t="n">
        <v>73750</v>
      </c>
      <c r="T94" s="84" t="n">
        <v>61100</v>
      </c>
      <c r="U94" s="84" t="n">
        <v>58900</v>
      </c>
      <c r="V94" s="84" t="n">
        <v>62800</v>
      </c>
      <c r="W94" s="85" t="n">
        <v>66800</v>
      </c>
      <c r="X94" s="84" t="n">
        <v>64900</v>
      </c>
      <c r="Y94" s="84" t="n">
        <v>66500</v>
      </c>
    </row>
    <row r="95" customFormat="false" ht="15" hidden="false" customHeight="true" outlineLevel="0" collapsed="false">
      <c r="A95" s="36"/>
      <c r="B95" s="76" t="s">
        <v>20</v>
      </c>
      <c r="C95" s="77"/>
      <c r="D95" s="77"/>
      <c r="E95" s="3"/>
      <c r="F95" s="78"/>
      <c r="G95" s="78"/>
      <c r="H95" s="78"/>
      <c r="I95" s="78"/>
      <c r="J95" s="78"/>
      <c r="K95" s="79"/>
      <c r="L95" s="80"/>
      <c r="M95" s="81"/>
      <c r="N95" s="81"/>
      <c r="O95" s="82"/>
      <c r="P95" s="83" t="e">
        <f aca="false">P93-P94</f>
        <v>#REF!</v>
      </c>
      <c r="Q95" s="84" t="e">
        <f aca="false">Q93-Q94</f>
        <v>#REF!</v>
      </c>
      <c r="R95" s="84" t="e">
        <f aca="false">R93-R94</f>
        <v>#REF!</v>
      </c>
      <c r="S95" s="84" t="e">
        <f aca="false">S93-S94</f>
        <v>#REF!</v>
      </c>
      <c r="T95" s="84" t="e">
        <f aca="false">T93-T94</f>
        <v>#REF!</v>
      </c>
      <c r="U95" s="84" t="e">
        <f aca="false">U93-U94</f>
        <v>#REF!</v>
      </c>
      <c r="V95" s="84" t="e">
        <f aca="false">V93-V94</f>
        <v>#REF!</v>
      </c>
      <c r="W95" s="85" t="e">
        <f aca="false">W93-W94</f>
        <v>#REF!</v>
      </c>
      <c r="X95" s="84" t="e">
        <f aca="false">X93-X94</f>
        <v>#REF!</v>
      </c>
      <c r="Y95" s="84"/>
    </row>
    <row r="96" customFormat="false" ht="15" hidden="false" customHeight="false" outlineLevel="0" collapsed="false">
      <c r="A96" s="54"/>
      <c r="B96" s="76"/>
      <c r="C96" s="119"/>
      <c r="D96" s="119"/>
      <c r="E96" s="119"/>
      <c r="F96" s="247"/>
      <c r="G96" s="92"/>
      <c r="H96" s="209"/>
      <c r="I96" s="229"/>
      <c r="J96" s="248"/>
      <c r="K96" s="167"/>
      <c r="L96" s="102"/>
      <c r="M96" s="170"/>
      <c r="N96" s="197"/>
      <c r="O96" s="170"/>
      <c r="P96" s="203"/>
      <c r="Q96" s="168"/>
      <c r="R96" s="168"/>
      <c r="S96" s="168"/>
      <c r="T96" s="168"/>
      <c r="U96" s="168"/>
      <c r="V96" s="168"/>
      <c r="W96" s="204"/>
      <c r="X96" s="168"/>
      <c r="Y96" s="170"/>
    </row>
    <row r="97" customFormat="false" ht="15.75" hidden="false" customHeight="false" outlineLevel="0" collapsed="false">
      <c r="A97" s="36"/>
      <c r="B97" s="120" t="s">
        <v>88</v>
      </c>
      <c r="C97" s="212" t="n">
        <f aca="false">SUM(C101:C108)</f>
        <v>8493.785</v>
      </c>
      <c r="D97" s="212" t="n">
        <f aca="false">SUM(D101:D108)</f>
        <v>4586.883</v>
      </c>
      <c r="E97" s="212" t="n">
        <f aca="false">SUM(E101:E108)</f>
        <v>1699</v>
      </c>
      <c r="F97" s="212" t="n">
        <f aca="false">SUM(F101:F108)</f>
        <v>2587</v>
      </c>
      <c r="G97" s="212" t="n">
        <f aca="false">SUM(G101:G108)</f>
        <v>4011</v>
      </c>
      <c r="H97" s="212" t="n">
        <f aca="false">SUM(H101:H108)</f>
        <v>1794</v>
      </c>
      <c r="I97" s="212" t="n">
        <f aca="false">SUM(I101:I108)</f>
        <v>2580</v>
      </c>
      <c r="J97" s="212" t="n">
        <v>7720</v>
      </c>
      <c r="K97" s="68" t="e">
        <f aca="false">K99+#REF!</f>
        <v>#REF!</v>
      </c>
      <c r="L97" s="68" t="n">
        <v>10542</v>
      </c>
      <c r="M97" s="69" t="n">
        <f aca="false">9639109/1000</f>
        <v>9639.109</v>
      </c>
      <c r="N97" s="70" t="n">
        <f aca="false">9293555.98/1000</f>
        <v>9293.55598</v>
      </c>
      <c r="O97" s="69" t="e">
        <f aca="false">SUM(O99+#REF!)</f>
        <v>#REF!</v>
      </c>
      <c r="P97" s="214" t="e">
        <f aca="false">SUM(P99+#REF!)</f>
        <v>#REF!</v>
      </c>
      <c r="Q97" s="69" t="e">
        <f aca="false">SUM(Q99+#REF!)</f>
        <v>#REF!</v>
      </c>
      <c r="R97" s="69" t="e">
        <f aca="false">SUM(R99+#REF!)</f>
        <v>#REF!</v>
      </c>
      <c r="S97" s="69" t="e">
        <f aca="false">SUM(S99+#REF!)</f>
        <v>#REF!</v>
      </c>
      <c r="T97" s="69" t="e">
        <f aca="false">SUM(T99+#REF!)</f>
        <v>#REF!</v>
      </c>
      <c r="U97" s="109" t="e">
        <f aca="false">SUM(U99+#REF!)</f>
        <v>#REF!</v>
      </c>
      <c r="V97" s="109" t="e">
        <f aca="false">SUM(V99+#REF!)</f>
        <v>#REF!</v>
      </c>
      <c r="W97" s="122" t="e">
        <f aca="false">SUM(W99+#REF!)</f>
        <v>#REF!</v>
      </c>
      <c r="X97" s="69" t="e">
        <f aca="false">SUM(X99+#REF!)</f>
        <v>#REF!</v>
      </c>
      <c r="Y97" s="69" t="n">
        <v>15000</v>
      </c>
    </row>
    <row r="98" customFormat="false" ht="15.75" hidden="false" customHeight="false" outlineLevel="0" collapsed="false">
      <c r="A98" s="36"/>
      <c r="B98" s="73"/>
      <c r="C98" s="212"/>
      <c r="D98" s="212"/>
      <c r="E98" s="212"/>
      <c r="F98" s="249"/>
      <c r="G98" s="212"/>
      <c r="H98" s="212"/>
      <c r="I98" s="229" t="s">
        <v>3</v>
      </c>
      <c r="J98" s="250" t="s">
        <v>3</v>
      </c>
      <c r="K98" s="167" t="s">
        <v>3</v>
      </c>
      <c r="L98" s="102" t="s">
        <v>3</v>
      </c>
      <c r="M98" s="168" t="s">
        <v>3</v>
      </c>
      <c r="N98" s="169"/>
      <c r="O98" s="170" t="s">
        <v>3</v>
      </c>
      <c r="P98" s="251" t="s">
        <v>3</v>
      </c>
      <c r="Q98" s="170" t="s">
        <v>3</v>
      </c>
      <c r="R98" s="170" t="s">
        <v>3</v>
      </c>
      <c r="S98" s="170" t="s">
        <v>3</v>
      </c>
      <c r="T98" s="170" t="s">
        <v>3</v>
      </c>
      <c r="U98" s="197" t="s">
        <v>3</v>
      </c>
      <c r="V98" s="197" t="s">
        <v>3</v>
      </c>
      <c r="W98" s="252"/>
      <c r="X98" s="170"/>
      <c r="Y98" s="170"/>
    </row>
    <row r="99" customFormat="false" ht="15.75" hidden="false" customHeight="false" outlineLevel="0" collapsed="false">
      <c r="A99" s="36"/>
      <c r="B99" s="253" t="s">
        <v>74</v>
      </c>
      <c r="C99" s="212"/>
      <c r="D99" s="212"/>
      <c r="E99" s="212"/>
      <c r="F99" s="249"/>
      <c r="G99" s="212"/>
      <c r="H99" s="212"/>
      <c r="I99" s="229"/>
      <c r="J99" s="225" t="e">
        <f aca="false">J97-#REF!</f>
        <v>#REF!</v>
      </c>
      <c r="K99" s="167" t="n">
        <v>4718</v>
      </c>
      <c r="L99" s="204" t="e">
        <f aca="false">L97-#REF!</f>
        <v>#REF!</v>
      </c>
      <c r="M99" s="170" t="e">
        <f aca="false">M97-#REF!</f>
        <v>#REF!</v>
      </c>
      <c r="N99" s="169"/>
      <c r="O99" s="170" t="n">
        <f aca="false">SUM(O101:O108)</f>
        <v>3000</v>
      </c>
      <c r="P99" s="251" t="n">
        <f aca="false">SUM(P101:P108)</f>
        <v>2700</v>
      </c>
      <c r="Q99" s="170" t="n">
        <f aca="false">SUM(Q101:Q108)</f>
        <v>6100</v>
      </c>
      <c r="R99" s="170" t="n">
        <f aca="false">SUM(R101:R108)</f>
        <v>7100</v>
      </c>
      <c r="S99" s="170" t="n">
        <f aca="false">SUM(S101:S108)</f>
        <v>6500</v>
      </c>
      <c r="T99" s="170" t="n">
        <f aca="false">SUM(T101:T108)</f>
        <v>4700</v>
      </c>
      <c r="U99" s="170" t="n">
        <f aca="false">SUM(U101:U108)</f>
        <v>8200</v>
      </c>
      <c r="V99" s="170" t="n">
        <f aca="false">SUM(V101:V108)</f>
        <v>18800</v>
      </c>
      <c r="W99" s="167" t="n">
        <f aca="false">SUM(W101:W108)</f>
        <v>20400</v>
      </c>
      <c r="X99" s="170" t="n">
        <f aca="false">SUM(X101:X108)</f>
        <v>7400</v>
      </c>
      <c r="Y99" s="170"/>
    </row>
    <row r="100" customFormat="false" ht="15.75" hidden="false" customHeight="false" outlineLevel="0" collapsed="false">
      <c r="A100" s="36"/>
      <c r="B100" s="254" t="s">
        <v>89</v>
      </c>
      <c r="C100" s="212"/>
      <c r="D100" s="212"/>
      <c r="E100" s="212"/>
      <c r="F100" s="249"/>
      <c r="G100" s="212"/>
      <c r="H100" s="212"/>
      <c r="I100" s="229"/>
      <c r="J100" s="225"/>
      <c r="K100" s="167"/>
      <c r="L100" s="204"/>
      <c r="M100" s="170"/>
      <c r="N100" s="169"/>
      <c r="O100" s="170"/>
      <c r="P100" s="251"/>
      <c r="Q100" s="170"/>
      <c r="R100" s="170"/>
      <c r="S100" s="197"/>
      <c r="T100" s="197"/>
      <c r="U100" s="197"/>
      <c r="V100" s="197"/>
      <c r="W100" s="255"/>
      <c r="X100" s="170"/>
      <c r="Y100" s="170"/>
    </row>
    <row r="101" customFormat="false" ht="15" hidden="false" customHeight="true" outlineLevel="0" collapsed="false">
      <c r="A101" s="38" t="n">
        <v>1</v>
      </c>
      <c r="B101" s="256" t="s">
        <v>65</v>
      </c>
      <c r="C101" s="257" t="n">
        <v>5148.173</v>
      </c>
      <c r="D101" s="257" t="n">
        <v>3946.199</v>
      </c>
      <c r="E101" s="257" t="n">
        <v>807</v>
      </c>
      <c r="F101" s="257" t="n">
        <v>1504</v>
      </c>
      <c r="G101" s="257" t="n">
        <v>2658</v>
      </c>
      <c r="H101" s="257" t="n">
        <v>1066</v>
      </c>
      <c r="I101" s="257" t="n">
        <v>564</v>
      </c>
      <c r="J101" s="257" t="n">
        <v>1000</v>
      </c>
      <c r="K101" s="258" t="s">
        <v>3</v>
      </c>
      <c r="L101" s="259"/>
      <c r="M101" s="260"/>
      <c r="N101" s="261"/>
      <c r="O101" s="260" t="n">
        <v>1800</v>
      </c>
      <c r="P101" s="262" t="n">
        <v>1000</v>
      </c>
      <c r="Q101" s="260" t="n">
        <v>1300</v>
      </c>
      <c r="R101" s="260" t="n">
        <v>1700</v>
      </c>
      <c r="S101" s="263" t="n">
        <v>2000</v>
      </c>
      <c r="T101" s="263" t="n">
        <v>1000</v>
      </c>
      <c r="U101" s="263" t="n">
        <v>1200</v>
      </c>
      <c r="V101" s="263" t="n">
        <v>2000</v>
      </c>
      <c r="W101" s="264" t="n">
        <v>2000</v>
      </c>
      <c r="X101" s="260" t="n">
        <v>2500</v>
      </c>
      <c r="Y101" s="260"/>
      <c r="Z101" s="265"/>
      <c r="AA101" s="265"/>
      <c r="AB101" s="265"/>
      <c r="AC101" s="265"/>
      <c r="AD101" s="265"/>
      <c r="AE101" s="265"/>
      <c r="AF101" s="265"/>
      <c r="AG101" s="266" t="s">
        <v>76</v>
      </c>
      <c r="AH101" s="213" t="s">
        <v>66</v>
      </c>
    </row>
    <row r="102" customFormat="false" ht="15" hidden="false" customHeight="true" outlineLevel="0" collapsed="false">
      <c r="A102" s="38" t="n">
        <v>2</v>
      </c>
      <c r="B102" s="256" t="s">
        <v>67</v>
      </c>
      <c r="C102" s="257" t="n">
        <v>619.527</v>
      </c>
      <c r="D102" s="257" t="n">
        <v>315.106</v>
      </c>
      <c r="E102" s="257" t="n">
        <v>180</v>
      </c>
      <c r="F102" s="257" t="n">
        <v>221</v>
      </c>
      <c r="G102" s="257" t="n">
        <v>495</v>
      </c>
      <c r="H102" s="257" t="n">
        <v>179</v>
      </c>
      <c r="I102" s="257" t="n">
        <v>814</v>
      </c>
      <c r="J102" s="257" t="n">
        <v>1210</v>
      </c>
      <c r="K102" s="258" t="s">
        <v>3</v>
      </c>
      <c r="L102" s="259"/>
      <c r="M102" s="260"/>
      <c r="N102" s="261"/>
      <c r="O102" s="260" t="n">
        <v>200</v>
      </c>
      <c r="P102" s="262" t="n">
        <v>100</v>
      </c>
      <c r="Q102" s="260" t="n">
        <v>700</v>
      </c>
      <c r="R102" s="260" t="n">
        <v>500</v>
      </c>
      <c r="S102" s="260" t="n">
        <v>600</v>
      </c>
      <c r="T102" s="260" t="n">
        <v>800</v>
      </c>
      <c r="U102" s="260" t="n">
        <v>1200</v>
      </c>
      <c r="V102" s="260" t="n">
        <v>1300</v>
      </c>
      <c r="W102" s="267" t="n">
        <v>1400</v>
      </c>
      <c r="X102" s="260" t="n">
        <v>1500</v>
      </c>
      <c r="Y102" s="260"/>
      <c r="Z102" s="265"/>
      <c r="AA102" s="265"/>
      <c r="AB102" s="265"/>
      <c r="AC102" s="265"/>
      <c r="AD102" s="265"/>
      <c r="AE102" s="265"/>
      <c r="AF102" s="265"/>
      <c r="AG102" s="266" t="s">
        <v>76</v>
      </c>
      <c r="AH102" s="213" t="s">
        <v>66</v>
      </c>
    </row>
    <row r="103" customFormat="false" ht="15" hidden="false" customHeight="true" outlineLevel="0" collapsed="false">
      <c r="A103" s="38" t="n">
        <v>3</v>
      </c>
      <c r="B103" s="256" t="s">
        <v>68</v>
      </c>
      <c r="C103" s="257" t="n">
        <v>76.48</v>
      </c>
      <c r="D103" s="257" t="n">
        <v>97.004</v>
      </c>
      <c r="E103" s="257" t="n">
        <v>130</v>
      </c>
      <c r="F103" s="257" t="n">
        <v>210</v>
      </c>
      <c r="G103" s="257" t="n">
        <v>28</v>
      </c>
      <c r="H103" s="257" t="n">
        <v>51</v>
      </c>
      <c r="I103" s="257" t="n">
        <v>118</v>
      </c>
      <c r="J103" s="257" t="n">
        <v>780</v>
      </c>
      <c r="K103" s="258" t="s">
        <v>3</v>
      </c>
      <c r="L103" s="259"/>
      <c r="M103" s="260"/>
      <c r="N103" s="261"/>
      <c r="O103" s="260" t="n">
        <v>200</v>
      </c>
      <c r="P103" s="262" t="n">
        <v>400</v>
      </c>
      <c r="Q103" s="260" t="n">
        <v>900</v>
      </c>
      <c r="R103" s="260" t="n">
        <v>400</v>
      </c>
      <c r="S103" s="263" t="n">
        <v>400</v>
      </c>
      <c r="T103" s="263" t="n">
        <f aca="false">400</f>
        <v>400</v>
      </c>
      <c r="U103" s="261" t="n">
        <f aca="false">400+3000</f>
        <v>3400</v>
      </c>
      <c r="V103" s="261" t="n">
        <f aca="false">800+13000</f>
        <v>13800</v>
      </c>
      <c r="W103" s="268" t="n">
        <f aca="false">800+14000</f>
        <v>14800</v>
      </c>
      <c r="X103" s="260" t="n">
        <v>800</v>
      </c>
      <c r="Y103" s="260"/>
      <c r="Z103" s="265"/>
      <c r="AA103" s="265"/>
      <c r="AB103" s="265"/>
      <c r="AC103" s="265"/>
      <c r="AD103" s="265"/>
      <c r="AE103" s="265"/>
      <c r="AF103" s="265"/>
      <c r="AG103" s="266" t="s">
        <v>76</v>
      </c>
      <c r="AH103" s="213" t="s">
        <v>66</v>
      </c>
    </row>
    <row r="104" customFormat="false" ht="15" hidden="false" customHeight="true" outlineLevel="0" collapsed="false">
      <c r="A104" s="38" t="n">
        <v>4</v>
      </c>
      <c r="B104" s="256" t="s">
        <v>69</v>
      </c>
      <c r="C104" s="257" t="n">
        <v>173.604</v>
      </c>
      <c r="D104" s="257" t="n">
        <v>81.594</v>
      </c>
      <c r="E104" s="257" t="n">
        <v>145</v>
      </c>
      <c r="F104" s="257" t="n">
        <v>96</v>
      </c>
      <c r="G104" s="257" t="n">
        <v>42</v>
      </c>
      <c r="H104" s="257" t="n">
        <v>111</v>
      </c>
      <c r="I104" s="257" t="n">
        <v>453</v>
      </c>
      <c r="J104" s="257" t="n">
        <v>200</v>
      </c>
      <c r="K104" s="258" t="s">
        <v>3</v>
      </c>
      <c r="L104" s="259"/>
      <c r="M104" s="260"/>
      <c r="N104" s="261"/>
      <c r="O104" s="260" t="n">
        <v>100</v>
      </c>
      <c r="P104" s="262" t="n">
        <v>400</v>
      </c>
      <c r="Q104" s="260" t="n">
        <v>600</v>
      </c>
      <c r="R104" s="260" t="n">
        <v>800</v>
      </c>
      <c r="S104" s="263" t="n">
        <v>600</v>
      </c>
      <c r="T104" s="263" t="n">
        <v>800</v>
      </c>
      <c r="U104" s="263" t="n">
        <v>800</v>
      </c>
      <c r="V104" s="263" t="n">
        <v>800</v>
      </c>
      <c r="W104" s="264" t="n">
        <v>800</v>
      </c>
      <c r="X104" s="260" t="n">
        <v>1100</v>
      </c>
      <c r="Y104" s="260"/>
      <c r="Z104" s="265"/>
      <c r="AA104" s="265"/>
      <c r="AB104" s="265"/>
      <c r="AC104" s="265"/>
      <c r="AD104" s="265"/>
      <c r="AE104" s="265"/>
      <c r="AF104" s="265"/>
      <c r="AG104" s="266" t="s">
        <v>76</v>
      </c>
      <c r="AH104" s="213" t="s">
        <v>66</v>
      </c>
    </row>
    <row r="105" customFormat="false" ht="15" hidden="false" customHeight="true" outlineLevel="0" collapsed="false">
      <c r="A105" s="38" t="n">
        <v>5</v>
      </c>
      <c r="B105" s="256" t="s">
        <v>70</v>
      </c>
      <c r="C105" s="257" t="n">
        <f aca="false">240.569+2005.683</f>
        <v>2246.252</v>
      </c>
      <c r="D105" s="257" t="n">
        <v>93.553</v>
      </c>
      <c r="E105" s="257" t="n">
        <v>284</v>
      </c>
      <c r="F105" s="257" t="n">
        <v>207</v>
      </c>
      <c r="G105" s="257" t="n">
        <v>189</v>
      </c>
      <c r="H105" s="257" t="n">
        <v>57</v>
      </c>
      <c r="I105" s="257" t="n">
        <v>100</v>
      </c>
      <c r="J105" s="257" t="n">
        <v>420</v>
      </c>
      <c r="K105" s="258" t="s">
        <v>3</v>
      </c>
      <c r="L105" s="259"/>
      <c r="M105" s="260"/>
      <c r="N105" s="261"/>
      <c r="O105" s="260" t="n">
        <v>300</v>
      </c>
      <c r="P105" s="262" t="n">
        <v>500</v>
      </c>
      <c r="Q105" s="260" t="n">
        <v>300</v>
      </c>
      <c r="R105" s="260" t="n">
        <v>200</v>
      </c>
      <c r="S105" s="263" t="n">
        <v>900</v>
      </c>
      <c r="T105" s="263" t="n">
        <v>950</v>
      </c>
      <c r="U105" s="263" t="n">
        <v>800</v>
      </c>
      <c r="V105" s="263" t="n">
        <v>600</v>
      </c>
      <c r="W105" s="264" t="n">
        <v>600</v>
      </c>
      <c r="X105" s="260" t="n">
        <v>600</v>
      </c>
      <c r="Y105" s="260"/>
      <c r="Z105" s="265"/>
      <c r="AA105" s="265"/>
      <c r="AB105" s="265"/>
      <c r="AC105" s="265"/>
      <c r="AD105" s="265"/>
      <c r="AE105" s="265"/>
      <c r="AF105" s="265"/>
      <c r="AG105" s="266" t="s">
        <v>76</v>
      </c>
      <c r="AH105" s="213" t="s">
        <v>66</v>
      </c>
    </row>
    <row r="106" customFormat="false" ht="15" hidden="false" customHeight="true" outlineLevel="0" collapsed="false">
      <c r="A106" s="38" t="n">
        <v>6</v>
      </c>
      <c r="B106" s="256" t="s">
        <v>71</v>
      </c>
      <c r="C106" s="257" t="n">
        <v>179.277</v>
      </c>
      <c r="D106" s="257" t="n">
        <v>16.093</v>
      </c>
      <c r="E106" s="257" t="n">
        <v>0</v>
      </c>
      <c r="F106" s="257" t="n">
        <v>38</v>
      </c>
      <c r="G106" s="257" t="n">
        <v>502</v>
      </c>
      <c r="H106" s="257" t="n">
        <v>46</v>
      </c>
      <c r="I106" s="257" t="n">
        <v>275</v>
      </c>
      <c r="J106" s="257" t="n">
        <v>200</v>
      </c>
      <c r="K106" s="258" t="s">
        <v>3</v>
      </c>
      <c r="L106" s="259"/>
      <c r="M106" s="260"/>
      <c r="N106" s="261"/>
      <c r="O106" s="260" t="n">
        <v>200</v>
      </c>
      <c r="P106" s="262" t="n">
        <v>100</v>
      </c>
      <c r="Q106" s="260" t="n">
        <v>2100</v>
      </c>
      <c r="R106" s="260" t="n">
        <v>1300</v>
      </c>
      <c r="S106" s="260" t="n">
        <v>400</v>
      </c>
      <c r="T106" s="260" t="n">
        <v>150</v>
      </c>
      <c r="U106" s="260" t="n">
        <v>200</v>
      </c>
      <c r="V106" s="260" t="n">
        <v>300</v>
      </c>
      <c r="W106" s="267" t="n">
        <v>200</v>
      </c>
      <c r="X106" s="260" t="n">
        <v>300</v>
      </c>
      <c r="Y106" s="260"/>
      <c r="Z106" s="265"/>
      <c r="AA106" s="265"/>
      <c r="AB106" s="265"/>
      <c r="AC106" s="265"/>
      <c r="AD106" s="265"/>
      <c r="AE106" s="265"/>
      <c r="AF106" s="265"/>
      <c r="AG106" s="266" t="s">
        <v>76</v>
      </c>
      <c r="AH106" s="213" t="s">
        <v>66</v>
      </c>
    </row>
    <row r="107" customFormat="false" ht="15" hidden="false" customHeight="true" outlineLevel="0" collapsed="false">
      <c r="A107" s="38" t="n">
        <v>7</v>
      </c>
      <c r="B107" s="256" t="s">
        <v>72</v>
      </c>
      <c r="C107" s="257"/>
      <c r="D107" s="257"/>
      <c r="E107" s="257"/>
      <c r="F107" s="257"/>
      <c r="G107" s="257"/>
      <c r="H107" s="257"/>
      <c r="I107" s="257"/>
      <c r="J107" s="257"/>
      <c r="K107" s="258"/>
      <c r="L107" s="259"/>
      <c r="M107" s="260"/>
      <c r="N107" s="261"/>
      <c r="O107" s="260"/>
      <c r="P107" s="262"/>
      <c r="Q107" s="260"/>
      <c r="R107" s="260"/>
      <c r="S107" s="260"/>
      <c r="T107" s="260"/>
      <c r="U107" s="260"/>
      <c r="V107" s="260"/>
      <c r="W107" s="267"/>
      <c r="X107" s="260"/>
      <c r="Y107" s="260"/>
      <c r="Z107" s="265"/>
      <c r="AA107" s="265"/>
      <c r="AB107" s="265"/>
      <c r="AC107" s="265"/>
      <c r="AD107" s="265"/>
      <c r="AE107" s="265"/>
      <c r="AF107" s="265"/>
      <c r="AG107" s="266" t="s">
        <v>76</v>
      </c>
      <c r="AH107" s="213" t="s">
        <v>66</v>
      </c>
    </row>
    <row r="108" customFormat="false" ht="15" hidden="false" customHeight="true" outlineLevel="0" collapsed="false">
      <c r="A108" s="38" t="n">
        <v>8</v>
      </c>
      <c r="B108" s="256" t="s">
        <v>90</v>
      </c>
      <c r="C108" s="257" t="n">
        <v>50.472</v>
      </c>
      <c r="D108" s="257" t="n">
        <v>37.334</v>
      </c>
      <c r="E108" s="257" t="n">
        <v>153</v>
      </c>
      <c r="F108" s="257" t="n">
        <v>311</v>
      </c>
      <c r="G108" s="257" t="n">
        <v>97</v>
      </c>
      <c r="H108" s="257" t="n">
        <v>284</v>
      </c>
      <c r="I108" s="257" t="n">
        <v>256</v>
      </c>
      <c r="J108" s="257" t="n">
        <v>390</v>
      </c>
      <c r="K108" s="258" t="s">
        <v>3</v>
      </c>
      <c r="L108" s="259"/>
      <c r="M108" s="260"/>
      <c r="N108" s="261"/>
      <c r="O108" s="260" t="n">
        <v>200</v>
      </c>
      <c r="P108" s="262" t="n">
        <v>200</v>
      </c>
      <c r="Q108" s="260" t="n">
        <v>200</v>
      </c>
      <c r="R108" s="260" t="n">
        <v>2200</v>
      </c>
      <c r="S108" s="260" t="n">
        <v>1600</v>
      </c>
      <c r="T108" s="260" t="n">
        <v>600</v>
      </c>
      <c r="U108" s="260" t="n">
        <v>600</v>
      </c>
      <c r="V108" s="260" t="s">
        <v>91</v>
      </c>
      <c r="W108" s="267" t="n">
        <v>600</v>
      </c>
      <c r="X108" s="260" t="n">
        <v>600</v>
      </c>
      <c r="Y108" s="260"/>
      <c r="Z108" s="265"/>
      <c r="AA108" s="265"/>
      <c r="AB108" s="265"/>
      <c r="AC108" s="265"/>
      <c r="AD108" s="265"/>
      <c r="AE108" s="265"/>
      <c r="AF108" s="265"/>
      <c r="AG108" s="266" t="s">
        <v>76</v>
      </c>
      <c r="AH108" s="213" t="s">
        <v>66</v>
      </c>
    </row>
    <row r="109" customFormat="false" ht="15.75" hidden="false" customHeight="false" outlineLevel="0" collapsed="false">
      <c r="A109" s="36"/>
      <c r="B109" s="97"/>
      <c r="C109" s="231"/>
      <c r="D109" s="231"/>
      <c r="E109" s="269"/>
      <c r="F109" s="270"/>
      <c r="G109" s="231"/>
      <c r="H109" s="226"/>
      <c r="I109" s="225"/>
      <c r="J109" s="226"/>
      <c r="K109" s="167"/>
      <c r="L109" s="167"/>
      <c r="M109" s="168"/>
      <c r="N109" s="169"/>
      <c r="O109" s="170"/>
      <c r="P109" s="251"/>
      <c r="Q109" s="170"/>
      <c r="R109" s="170"/>
      <c r="S109" s="197"/>
      <c r="T109" s="197"/>
      <c r="U109" s="197"/>
      <c r="V109" s="197"/>
      <c r="W109" s="252"/>
      <c r="X109" s="170"/>
      <c r="Y109" s="170"/>
    </row>
    <row r="110" customFormat="false" ht="15.75" hidden="false" customHeight="false" outlineLevel="0" collapsed="false">
      <c r="A110" s="36"/>
      <c r="B110" s="120" t="s">
        <v>92</v>
      </c>
      <c r="C110" s="212" t="n">
        <f aca="false">SUM(C112+C113)</f>
        <v>5142</v>
      </c>
      <c r="D110" s="212" t="n">
        <f aca="false">SUM(D112+D113)</f>
        <v>7891</v>
      </c>
      <c r="E110" s="271" t="n">
        <f aca="false">SUM(E112+E113)</f>
        <v>3367</v>
      </c>
      <c r="F110" s="249" t="n">
        <f aca="false">SUM(F112+F113)</f>
        <v>9850</v>
      </c>
      <c r="G110" s="212" t="n">
        <f aca="false">SUM(G112+G113)</f>
        <v>5239</v>
      </c>
      <c r="H110" s="212" t="n">
        <f aca="false">SUM(H112+H113)</f>
        <v>5270</v>
      </c>
      <c r="I110" s="212" t="n">
        <f aca="false">SUM(I112+I113)</f>
        <v>7623</v>
      </c>
      <c r="J110" s="212" t="n">
        <f aca="false">SUM(J112+J113)</f>
        <v>3331</v>
      </c>
      <c r="K110" s="68" t="n">
        <f aca="false">SUM(K112+K113)</f>
        <v>8885</v>
      </c>
      <c r="L110" s="68" t="n">
        <v>10623</v>
      </c>
      <c r="M110" s="69" t="n">
        <f aca="false">15914662/1000</f>
        <v>15914.662</v>
      </c>
      <c r="N110" s="70" t="n">
        <f aca="false">4685121.35/1000</f>
        <v>4685.12135</v>
      </c>
      <c r="O110" s="69" t="n">
        <v>4900</v>
      </c>
      <c r="P110" s="214" t="n">
        <f aca="false">SUM(P112:P113)</f>
        <v>8100</v>
      </c>
      <c r="Q110" s="69" t="n">
        <f aca="false">SUM(Q112:Q113)</f>
        <v>15300</v>
      </c>
      <c r="R110" s="69" t="n">
        <f aca="false">SUM(R112:R113)</f>
        <v>32000</v>
      </c>
      <c r="S110" s="70" t="n">
        <f aca="false">SUM(S112:S113)</f>
        <v>27650</v>
      </c>
      <c r="T110" s="69" t="n">
        <f aca="false">SUM(T112:T113)</f>
        <v>17900</v>
      </c>
      <c r="U110" s="69" t="n">
        <f aca="false">SUM(U112:U113)</f>
        <v>13200</v>
      </c>
      <c r="V110" s="69" t="n">
        <f aca="false">SUM(V112:V113)</f>
        <v>16000</v>
      </c>
      <c r="W110" s="68" t="n">
        <f aca="false">SUM(W112:W113)</f>
        <v>18900</v>
      </c>
      <c r="X110" s="69" t="n">
        <f aca="false">SUM(X112:X113)</f>
        <v>16000</v>
      </c>
      <c r="Y110" s="69" t="n">
        <f aca="false">SUM(Y112:Y113)</f>
        <v>16000</v>
      </c>
    </row>
    <row r="111" customFormat="false" ht="15.75" hidden="false" customHeight="false" outlineLevel="0" collapsed="false">
      <c r="A111" s="36"/>
      <c r="B111" s="272" t="s">
        <v>93</v>
      </c>
      <c r="C111" s="212"/>
      <c r="D111" s="249"/>
      <c r="E111" s="271"/>
      <c r="F111" s="249"/>
      <c r="G111" s="212"/>
      <c r="H111" s="212"/>
      <c r="I111" s="229" t="s">
        <v>3</v>
      </c>
      <c r="J111" s="248" t="s">
        <v>3</v>
      </c>
      <c r="K111" s="167" t="s">
        <v>3</v>
      </c>
      <c r="L111" s="102" t="s">
        <v>3</v>
      </c>
      <c r="M111" s="170" t="s">
        <v>3</v>
      </c>
      <c r="N111" s="197"/>
      <c r="O111" s="170" t="s">
        <v>3</v>
      </c>
      <c r="P111" s="203" t="n">
        <v>6000</v>
      </c>
      <c r="Q111" s="168" t="n">
        <v>24100</v>
      </c>
      <c r="R111" s="168" t="n">
        <v>26100</v>
      </c>
      <c r="S111" s="169" t="n">
        <v>11700</v>
      </c>
      <c r="T111" s="169" t="n">
        <v>5100</v>
      </c>
      <c r="U111" s="169" t="n">
        <v>10100</v>
      </c>
      <c r="V111" s="169" t="n">
        <v>13000</v>
      </c>
      <c r="W111" s="273" t="n">
        <v>13100</v>
      </c>
      <c r="X111" s="168" t="n">
        <v>15000</v>
      </c>
      <c r="Y111" s="168"/>
    </row>
    <row r="112" s="278" customFormat="true" ht="15" hidden="false" customHeight="false" outlineLevel="0" collapsed="false">
      <c r="A112" s="274"/>
      <c r="B112" s="275" t="s">
        <v>94</v>
      </c>
      <c r="C112" s="224" t="n">
        <v>5142</v>
      </c>
      <c r="D112" s="276" t="n">
        <v>7891</v>
      </c>
      <c r="E112" s="277" t="n">
        <v>3367</v>
      </c>
      <c r="F112" s="276" t="n">
        <v>9850</v>
      </c>
      <c r="G112" s="224" t="n">
        <v>5239</v>
      </c>
      <c r="H112" s="224" t="n">
        <v>5270</v>
      </c>
      <c r="I112" s="224" t="n">
        <v>7623</v>
      </c>
      <c r="J112" s="224" t="n">
        <v>3331</v>
      </c>
      <c r="K112" s="119" t="n">
        <v>8885</v>
      </c>
      <c r="L112" s="119"/>
      <c r="M112" s="88"/>
      <c r="N112" s="89"/>
      <c r="O112" s="88" t="n">
        <v>2000</v>
      </c>
      <c r="P112" s="90" t="n">
        <f aca="false">4400-1500-400+1000</f>
        <v>3500</v>
      </c>
      <c r="Q112" s="88" t="n">
        <f aca="false">9000-1500-200</f>
        <v>7300</v>
      </c>
      <c r="R112" s="88" t="n">
        <f aca="false">8500-2000</f>
        <v>6500</v>
      </c>
      <c r="S112" s="89" t="n">
        <f aca="false">12500-5000-3950</f>
        <v>3550</v>
      </c>
      <c r="T112" s="89" t="n">
        <f aca="false">15000-2200</f>
        <v>12800</v>
      </c>
      <c r="U112" s="89" t="n">
        <f aca="false">16000-1700-2200</f>
        <v>12100</v>
      </c>
      <c r="V112" s="89" t="n">
        <v>16000</v>
      </c>
      <c r="W112" s="118" t="n">
        <v>16000</v>
      </c>
      <c r="X112" s="88" t="n">
        <v>16000</v>
      </c>
      <c r="Y112" s="88" t="n">
        <v>16000</v>
      </c>
    </row>
    <row r="113" customFormat="false" ht="15.75" hidden="false" customHeight="false" outlineLevel="0" collapsed="false">
      <c r="A113" s="36"/>
      <c r="B113" s="254" t="s">
        <v>95</v>
      </c>
      <c r="C113" s="224"/>
      <c r="D113" s="224"/>
      <c r="E113" s="224"/>
      <c r="F113" s="224"/>
      <c r="G113" s="224"/>
      <c r="H113" s="224"/>
      <c r="I113" s="224"/>
      <c r="J113" s="224"/>
      <c r="K113" s="119"/>
      <c r="L113" s="119"/>
      <c r="M113" s="88"/>
      <c r="N113" s="89"/>
      <c r="O113" s="88" t="n">
        <f aca="false">SUM(O114:O125)</f>
        <v>850</v>
      </c>
      <c r="P113" s="117" t="n">
        <f aca="false">SUM(P114:P125)</f>
        <v>4600</v>
      </c>
      <c r="Q113" s="88" t="n">
        <f aca="false">SUM(Q114:Q125)</f>
        <v>8000</v>
      </c>
      <c r="R113" s="88" t="n">
        <f aca="false">SUM(R114:R125)</f>
        <v>25500</v>
      </c>
      <c r="S113" s="88" t="n">
        <f aca="false">SUM(S114:S125)</f>
        <v>24100</v>
      </c>
      <c r="T113" s="88" t="n">
        <f aca="false">SUM(T114:T125)</f>
        <v>5100</v>
      </c>
      <c r="U113" s="88" t="n">
        <f aca="false">SUM(U114:U125)</f>
        <v>1100</v>
      </c>
      <c r="V113" s="88" t="n">
        <f aca="false">SUM(V114:V125)</f>
        <v>0</v>
      </c>
      <c r="W113" s="119" t="n">
        <f aca="false">SUM(W114:W125)</f>
        <v>2900</v>
      </c>
      <c r="X113" s="88" t="n">
        <f aca="false">SUM(X114:X125)</f>
        <v>0</v>
      </c>
      <c r="Y113" s="88"/>
    </row>
    <row r="114" s="3" customFormat="true" ht="15.75" hidden="false" customHeight="false" outlineLevel="0" collapsed="false">
      <c r="A114" s="36"/>
      <c r="B114" s="95" t="s">
        <v>96</v>
      </c>
      <c r="C114" s="231"/>
      <c r="D114" s="231"/>
      <c r="E114" s="231"/>
      <c r="F114" s="231"/>
      <c r="G114" s="231"/>
      <c r="H114" s="231"/>
      <c r="I114" s="231"/>
      <c r="J114" s="231"/>
      <c r="K114" s="126"/>
      <c r="L114" s="126"/>
      <c r="M114" s="129"/>
      <c r="N114" s="279"/>
      <c r="O114" s="129" t="n">
        <v>300</v>
      </c>
      <c r="P114" s="130" t="n">
        <v>1500</v>
      </c>
      <c r="Q114" s="129" t="n">
        <v>6500</v>
      </c>
      <c r="R114" s="129" t="n">
        <v>23400</v>
      </c>
      <c r="S114" s="279" t="n">
        <v>23400</v>
      </c>
      <c r="T114" s="279"/>
      <c r="U114" s="279"/>
      <c r="V114" s="279"/>
      <c r="W114" s="280"/>
      <c r="X114" s="129"/>
      <c r="Y114" s="129"/>
    </row>
    <row r="115" customFormat="false" ht="15.75" hidden="false" customHeight="false" outlineLevel="0" collapsed="false">
      <c r="A115" s="36"/>
      <c r="B115" s="95" t="s">
        <v>97</v>
      </c>
      <c r="C115" s="231"/>
      <c r="D115" s="231"/>
      <c r="E115" s="231"/>
      <c r="F115" s="231"/>
      <c r="G115" s="231"/>
      <c r="H115" s="231"/>
      <c r="I115" s="231"/>
      <c r="J115" s="231"/>
      <c r="K115" s="126"/>
      <c r="L115" s="126"/>
      <c r="M115" s="129"/>
      <c r="N115" s="279"/>
      <c r="O115" s="129" t="n">
        <v>500</v>
      </c>
      <c r="P115" s="130" t="n">
        <f aca="false">2400-700</f>
        <v>1700</v>
      </c>
      <c r="Q115" s="129"/>
      <c r="R115" s="129"/>
      <c r="S115" s="279"/>
      <c r="T115" s="279"/>
      <c r="U115" s="279"/>
      <c r="V115" s="279"/>
      <c r="W115" s="280"/>
      <c r="X115" s="129"/>
      <c r="Y115" s="129"/>
    </row>
    <row r="116" customFormat="false" ht="15.75" hidden="false" customHeight="false" outlineLevel="0" collapsed="false">
      <c r="A116" s="36"/>
      <c r="B116" s="95" t="s">
        <v>98</v>
      </c>
      <c r="C116" s="231"/>
      <c r="D116" s="231"/>
      <c r="E116" s="231"/>
      <c r="F116" s="231"/>
      <c r="G116" s="231"/>
      <c r="H116" s="231"/>
      <c r="I116" s="231"/>
      <c r="J116" s="231"/>
      <c r="K116" s="126"/>
      <c r="L116" s="126"/>
      <c r="M116" s="129"/>
      <c r="N116" s="279"/>
      <c r="O116" s="129"/>
      <c r="P116" s="130"/>
      <c r="Q116" s="129"/>
      <c r="R116" s="129"/>
      <c r="S116" s="279"/>
      <c r="T116" s="279"/>
      <c r="U116" s="279"/>
      <c r="V116" s="279"/>
      <c r="W116" s="280"/>
      <c r="X116" s="129"/>
      <c r="Y116" s="129"/>
    </row>
    <row r="117" customFormat="false" ht="15.75" hidden="false" customHeight="false" outlineLevel="0" collapsed="false">
      <c r="A117" s="36"/>
      <c r="B117" s="95" t="s">
        <v>99</v>
      </c>
      <c r="C117" s="231"/>
      <c r="D117" s="231"/>
      <c r="E117" s="231"/>
      <c r="F117" s="231"/>
      <c r="G117" s="231"/>
      <c r="H117" s="231"/>
      <c r="I117" s="231"/>
      <c r="J117" s="231"/>
      <c r="K117" s="126"/>
      <c r="L117" s="126"/>
      <c r="M117" s="129"/>
      <c r="N117" s="279"/>
      <c r="O117" s="129"/>
      <c r="P117" s="130" t="n">
        <v>1000</v>
      </c>
      <c r="Q117" s="129" t="n">
        <v>500</v>
      </c>
      <c r="R117" s="129"/>
      <c r="S117" s="279"/>
      <c r="T117" s="279"/>
      <c r="U117" s="279"/>
      <c r="V117" s="279"/>
      <c r="W117" s="280"/>
      <c r="X117" s="129"/>
      <c r="Y117" s="129"/>
    </row>
    <row r="118" customFormat="false" ht="15.75" hidden="false" customHeight="false" outlineLevel="0" collapsed="false">
      <c r="A118" s="36"/>
      <c r="B118" s="95" t="s">
        <v>100</v>
      </c>
      <c r="C118" s="231"/>
      <c r="D118" s="231"/>
      <c r="E118" s="231"/>
      <c r="F118" s="231"/>
      <c r="G118" s="231"/>
      <c r="H118" s="231"/>
      <c r="I118" s="231"/>
      <c r="J118" s="231"/>
      <c r="K118" s="126"/>
      <c r="L118" s="126"/>
      <c r="M118" s="129"/>
      <c r="N118" s="279"/>
      <c r="O118" s="129"/>
      <c r="P118" s="130"/>
      <c r="Q118" s="129"/>
      <c r="R118" s="129" t="n">
        <v>2100</v>
      </c>
      <c r="S118" s="279"/>
      <c r="T118" s="279"/>
      <c r="U118" s="279"/>
      <c r="V118" s="279"/>
      <c r="W118" s="280"/>
      <c r="X118" s="129"/>
      <c r="Y118" s="129"/>
    </row>
    <row r="119" customFormat="false" ht="15.75" hidden="false" customHeight="false" outlineLevel="0" collapsed="false">
      <c r="A119" s="36"/>
      <c r="B119" s="95" t="s">
        <v>101</v>
      </c>
      <c r="C119" s="231"/>
      <c r="D119" s="231"/>
      <c r="E119" s="231"/>
      <c r="F119" s="231"/>
      <c r="G119" s="231"/>
      <c r="H119" s="231"/>
      <c r="I119" s="231"/>
      <c r="J119" s="231"/>
      <c r="K119" s="126"/>
      <c r="L119" s="126"/>
      <c r="M119" s="129"/>
      <c r="N119" s="279"/>
      <c r="O119" s="129"/>
      <c r="P119" s="130"/>
      <c r="Q119" s="129"/>
      <c r="R119" s="129"/>
      <c r="S119" s="279"/>
      <c r="T119" s="279"/>
      <c r="U119" s="279" t="n">
        <v>1100</v>
      </c>
      <c r="V119" s="279"/>
      <c r="W119" s="280"/>
      <c r="X119" s="129"/>
      <c r="Y119" s="129"/>
    </row>
    <row r="120" customFormat="false" ht="15.75" hidden="false" customHeight="false" outlineLevel="0" collapsed="false">
      <c r="A120" s="36"/>
      <c r="B120" s="95" t="s">
        <v>102</v>
      </c>
      <c r="C120" s="231"/>
      <c r="D120" s="231"/>
      <c r="E120" s="231"/>
      <c r="F120" s="231"/>
      <c r="G120" s="231"/>
      <c r="H120" s="231"/>
      <c r="I120" s="231"/>
      <c r="J120" s="231"/>
      <c r="K120" s="126"/>
      <c r="L120" s="126"/>
      <c r="M120" s="129"/>
      <c r="N120" s="279"/>
      <c r="O120" s="129" t="n">
        <v>50</v>
      </c>
      <c r="P120" s="130" t="n">
        <v>400</v>
      </c>
      <c r="Q120" s="129"/>
      <c r="R120" s="129"/>
      <c r="S120" s="279"/>
      <c r="T120" s="279"/>
      <c r="U120" s="279"/>
      <c r="V120" s="279"/>
      <c r="W120" s="280"/>
      <c r="X120" s="129"/>
      <c r="Y120" s="129"/>
    </row>
    <row r="121" customFormat="false" ht="15.75" hidden="false" customHeight="false" outlineLevel="0" collapsed="false">
      <c r="A121" s="36"/>
      <c r="B121" s="95" t="s">
        <v>103</v>
      </c>
      <c r="C121" s="231"/>
      <c r="D121" s="231"/>
      <c r="E121" s="231"/>
      <c r="F121" s="231"/>
      <c r="G121" s="231"/>
      <c r="H121" s="231"/>
      <c r="I121" s="231"/>
      <c r="J121" s="231"/>
      <c r="K121" s="126"/>
      <c r="L121" s="126"/>
      <c r="M121" s="129"/>
      <c r="N121" s="279"/>
      <c r="O121" s="129"/>
      <c r="P121" s="130"/>
      <c r="Q121" s="129" t="n">
        <v>1000</v>
      </c>
      <c r="R121" s="129"/>
      <c r="S121" s="279"/>
      <c r="T121" s="279"/>
      <c r="U121" s="279"/>
      <c r="V121" s="279"/>
      <c r="W121" s="280"/>
      <c r="X121" s="129"/>
      <c r="Y121" s="129"/>
    </row>
    <row r="122" customFormat="false" ht="15.75" hidden="false" customHeight="false" outlineLevel="0" collapsed="false">
      <c r="A122" s="36"/>
      <c r="B122" s="95" t="s">
        <v>104</v>
      </c>
      <c r="C122" s="231"/>
      <c r="D122" s="231"/>
      <c r="E122" s="231"/>
      <c r="F122" s="231"/>
      <c r="G122" s="231"/>
      <c r="H122" s="231"/>
      <c r="I122" s="231"/>
      <c r="J122" s="231"/>
      <c r="K122" s="126"/>
      <c r="L122" s="126"/>
      <c r="M122" s="129"/>
      <c r="N122" s="279"/>
      <c r="O122" s="129"/>
      <c r="P122" s="130"/>
      <c r="Q122" s="129"/>
      <c r="R122" s="129"/>
      <c r="S122" s="279" t="n">
        <v>500</v>
      </c>
      <c r="T122" s="279" t="n">
        <v>4300</v>
      </c>
      <c r="U122" s="279"/>
      <c r="V122" s="279"/>
      <c r="W122" s="280"/>
      <c r="X122" s="129"/>
      <c r="Y122" s="129"/>
    </row>
    <row r="123" customFormat="false" ht="15.75" hidden="false" customHeight="false" outlineLevel="0" collapsed="false">
      <c r="A123" s="36"/>
      <c r="B123" s="95" t="s">
        <v>105</v>
      </c>
      <c r="C123" s="231"/>
      <c r="D123" s="231"/>
      <c r="E123" s="231"/>
      <c r="F123" s="231"/>
      <c r="G123" s="231"/>
      <c r="H123" s="231"/>
      <c r="I123" s="231"/>
      <c r="J123" s="231"/>
      <c r="K123" s="126"/>
      <c r="L123" s="126"/>
      <c r="M123" s="129"/>
      <c r="N123" s="279"/>
      <c r="O123" s="129"/>
      <c r="P123" s="130"/>
      <c r="Q123" s="129"/>
      <c r="R123" s="129"/>
      <c r="S123" s="279"/>
      <c r="T123" s="279" t="n">
        <v>800</v>
      </c>
      <c r="U123" s="279"/>
      <c r="V123" s="279"/>
      <c r="W123" s="280"/>
      <c r="X123" s="129"/>
      <c r="Y123" s="129"/>
    </row>
    <row r="124" customFormat="false" ht="15.75" hidden="false" customHeight="false" outlineLevel="0" collapsed="false">
      <c r="A124" s="36"/>
      <c r="B124" s="95" t="s">
        <v>106</v>
      </c>
      <c r="C124" s="231"/>
      <c r="D124" s="231"/>
      <c r="E124" s="231"/>
      <c r="F124" s="231"/>
      <c r="G124" s="231"/>
      <c r="H124" s="231"/>
      <c r="I124" s="231"/>
      <c r="J124" s="231"/>
      <c r="K124" s="126"/>
      <c r="L124" s="126"/>
      <c r="M124" s="129"/>
      <c r="N124" s="279"/>
      <c r="O124" s="129"/>
      <c r="P124" s="130"/>
      <c r="Q124" s="129"/>
      <c r="R124" s="129"/>
      <c r="S124" s="279" t="n">
        <v>200</v>
      </c>
      <c r="T124" s="279"/>
      <c r="U124" s="279"/>
      <c r="V124" s="279"/>
      <c r="W124" s="280"/>
      <c r="X124" s="129"/>
      <c r="Y124" s="129"/>
    </row>
    <row r="125" customFormat="false" ht="15.75" hidden="false" customHeight="false" outlineLevel="0" collapsed="false">
      <c r="A125" s="36"/>
      <c r="B125" s="95" t="s">
        <v>107</v>
      </c>
      <c r="C125" s="231"/>
      <c r="D125" s="231"/>
      <c r="E125" s="231"/>
      <c r="F125" s="231"/>
      <c r="G125" s="231"/>
      <c r="H125" s="231"/>
      <c r="I125" s="231"/>
      <c r="J125" s="231"/>
      <c r="K125" s="126"/>
      <c r="L125" s="126"/>
      <c r="M125" s="129"/>
      <c r="N125" s="279"/>
      <c r="O125" s="129"/>
      <c r="P125" s="130"/>
      <c r="Q125" s="129"/>
      <c r="R125" s="129"/>
      <c r="S125" s="279"/>
      <c r="T125" s="279"/>
      <c r="U125" s="279"/>
      <c r="V125" s="279"/>
      <c r="W125" s="280" t="n">
        <v>2900</v>
      </c>
      <c r="X125" s="129"/>
      <c r="Y125" s="129"/>
    </row>
    <row r="126" customFormat="false" ht="15.75" hidden="false" customHeight="false" outlineLevel="0" collapsed="false">
      <c r="A126" s="36"/>
      <c r="B126" s="95"/>
      <c r="C126" s="231"/>
      <c r="D126" s="231"/>
      <c r="E126" s="231"/>
      <c r="F126" s="231"/>
      <c r="G126" s="231"/>
      <c r="H126" s="231"/>
      <c r="I126" s="231"/>
      <c r="J126" s="231"/>
      <c r="K126" s="126"/>
      <c r="L126" s="126"/>
      <c r="M126" s="129"/>
      <c r="N126" s="279"/>
      <c r="O126" s="129"/>
      <c r="P126" s="130"/>
      <c r="Q126" s="129"/>
      <c r="R126" s="129"/>
      <c r="S126" s="279"/>
      <c r="T126" s="279"/>
      <c r="U126" s="279"/>
      <c r="V126" s="279"/>
      <c r="W126" s="280"/>
      <c r="X126" s="129"/>
      <c r="Y126" s="129"/>
    </row>
    <row r="127" customFormat="false" ht="15" hidden="false" customHeight="false" outlineLevel="0" collapsed="false">
      <c r="A127" s="38" t="n">
        <v>1</v>
      </c>
      <c r="B127" s="256" t="s">
        <v>65</v>
      </c>
      <c r="C127" s="257" t="n">
        <v>5148.173</v>
      </c>
      <c r="D127" s="257" t="n">
        <v>3946.199</v>
      </c>
      <c r="E127" s="257" t="n">
        <v>807</v>
      </c>
      <c r="F127" s="257" t="n">
        <v>1504</v>
      </c>
      <c r="G127" s="257" t="n">
        <v>2658</v>
      </c>
      <c r="H127" s="257" t="n">
        <v>1066</v>
      </c>
      <c r="I127" s="257" t="n">
        <v>564</v>
      </c>
      <c r="J127" s="257" t="n">
        <v>1000</v>
      </c>
      <c r="K127" s="258" t="s">
        <v>3</v>
      </c>
      <c r="L127" s="259"/>
      <c r="M127" s="260"/>
      <c r="N127" s="261"/>
      <c r="O127" s="260" t="n">
        <v>1800</v>
      </c>
      <c r="P127" s="262" t="n">
        <v>1000</v>
      </c>
      <c r="Q127" s="260" t="n">
        <v>1300</v>
      </c>
      <c r="R127" s="260" t="n">
        <v>1700</v>
      </c>
      <c r="S127" s="263" t="n">
        <v>2000</v>
      </c>
      <c r="T127" s="263" t="n">
        <v>1000</v>
      </c>
      <c r="U127" s="263" t="n">
        <v>1200</v>
      </c>
      <c r="V127" s="263" t="n">
        <v>2000</v>
      </c>
      <c r="W127" s="264" t="n">
        <v>2000</v>
      </c>
      <c r="X127" s="260" t="n">
        <v>2500</v>
      </c>
      <c r="Y127" s="260"/>
      <c r="Z127" s="265"/>
      <c r="AA127" s="265"/>
      <c r="AB127" s="265"/>
      <c r="AC127" s="265"/>
      <c r="AD127" s="265"/>
      <c r="AE127" s="265"/>
      <c r="AF127" s="265"/>
      <c r="AG127" s="266" t="s">
        <v>76</v>
      </c>
      <c r="AH127" s="213" t="s">
        <v>66</v>
      </c>
    </row>
    <row r="128" customFormat="false" ht="15" hidden="false" customHeight="false" outlineLevel="0" collapsed="false">
      <c r="A128" s="38" t="n">
        <v>2</v>
      </c>
      <c r="B128" s="256" t="s">
        <v>67</v>
      </c>
      <c r="C128" s="257" t="n">
        <v>619.527</v>
      </c>
      <c r="D128" s="257" t="n">
        <v>315.106</v>
      </c>
      <c r="E128" s="257" t="n">
        <v>180</v>
      </c>
      <c r="F128" s="257" t="n">
        <v>221</v>
      </c>
      <c r="G128" s="257" t="n">
        <v>495</v>
      </c>
      <c r="H128" s="257" t="n">
        <v>179</v>
      </c>
      <c r="I128" s="257" t="n">
        <v>814</v>
      </c>
      <c r="J128" s="257" t="n">
        <v>1210</v>
      </c>
      <c r="K128" s="258" t="s">
        <v>3</v>
      </c>
      <c r="L128" s="259"/>
      <c r="M128" s="260"/>
      <c r="N128" s="261"/>
      <c r="O128" s="260" t="n">
        <v>200</v>
      </c>
      <c r="P128" s="262" t="n">
        <v>100</v>
      </c>
      <c r="Q128" s="260" t="n">
        <v>700</v>
      </c>
      <c r="R128" s="260" t="n">
        <v>500</v>
      </c>
      <c r="S128" s="260" t="n">
        <v>600</v>
      </c>
      <c r="T128" s="260" t="n">
        <v>800</v>
      </c>
      <c r="U128" s="260" t="n">
        <v>1200</v>
      </c>
      <c r="V128" s="260" t="n">
        <v>1300</v>
      </c>
      <c r="W128" s="267" t="n">
        <v>1400</v>
      </c>
      <c r="X128" s="260" t="n">
        <v>1500</v>
      </c>
      <c r="Y128" s="260"/>
      <c r="Z128" s="265"/>
      <c r="AA128" s="265"/>
      <c r="AB128" s="265"/>
      <c r="AC128" s="265"/>
      <c r="AD128" s="265"/>
      <c r="AE128" s="265"/>
      <c r="AF128" s="265"/>
      <c r="AG128" s="266" t="s">
        <v>76</v>
      </c>
      <c r="AH128" s="213" t="s">
        <v>66</v>
      </c>
    </row>
    <row r="129" customFormat="false" ht="15" hidden="false" customHeight="false" outlineLevel="0" collapsed="false">
      <c r="A129" s="38" t="n">
        <v>3</v>
      </c>
      <c r="B129" s="256" t="s">
        <v>68</v>
      </c>
      <c r="C129" s="257" t="n">
        <v>76.48</v>
      </c>
      <c r="D129" s="257" t="n">
        <v>97.004</v>
      </c>
      <c r="E129" s="257" t="n">
        <v>130</v>
      </c>
      <c r="F129" s="257" t="n">
        <v>210</v>
      </c>
      <c r="G129" s="257" t="n">
        <v>28</v>
      </c>
      <c r="H129" s="257" t="n">
        <v>51</v>
      </c>
      <c r="I129" s="257" t="n">
        <v>118</v>
      </c>
      <c r="J129" s="257" t="n">
        <v>780</v>
      </c>
      <c r="K129" s="258" t="s">
        <v>3</v>
      </c>
      <c r="L129" s="259"/>
      <c r="M129" s="260"/>
      <c r="N129" s="261"/>
      <c r="O129" s="260" t="n">
        <v>200</v>
      </c>
      <c r="P129" s="262" t="n">
        <v>400</v>
      </c>
      <c r="Q129" s="260" t="n">
        <v>900</v>
      </c>
      <c r="R129" s="260" t="n">
        <v>400</v>
      </c>
      <c r="S129" s="263" t="n">
        <v>400</v>
      </c>
      <c r="T129" s="263" t="n">
        <f aca="false">400</f>
        <v>400</v>
      </c>
      <c r="U129" s="261" t="n">
        <f aca="false">400+3000</f>
        <v>3400</v>
      </c>
      <c r="V129" s="261" t="n">
        <f aca="false">800+13000</f>
        <v>13800</v>
      </c>
      <c r="W129" s="268" t="n">
        <f aca="false">800+14000</f>
        <v>14800</v>
      </c>
      <c r="X129" s="260" t="n">
        <v>800</v>
      </c>
      <c r="Y129" s="260"/>
      <c r="Z129" s="265"/>
      <c r="AA129" s="265"/>
      <c r="AB129" s="265"/>
      <c r="AC129" s="265"/>
      <c r="AD129" s="265"/>
      <c r="AE129" s="265"/>
      <c r="AF129" s="265"/>
      <c r="AG129" s="266" t="s">
        <v>76</v>
      </c>
      <c r="AH129" s="213" t="s">
        <v>66</v>
      </c>
    </row>
    <row r="130" customFormat="false" ht="15" hidden="false" customHeight="false" outlineLevel="0" collapsed="false">
      <c r="A130" s="38" t="n">
        <v>4</v>
      </c>
      <c r="B130" s="256" t="s">
        <v>69</v>
      </c>
      <c r="C130" s="257" t="n">
        <v>173.604</v>
      </c>
      <c r="D130" s="257" t="n">
        <v>81.594</v>
      </c>
      <c r="E130" s="257" t="n">
        <v>145</v>
      </c>
      <c r="F130" s="257" t="n">
        <v>96</v>
      </c>
      <c r="G130" s="257" t="n">
        <v>42</v>
      </c>
      <c r="H130" s="257" t="n">
        <v>111</v>
      </c>
      <c r="I130" s="257" t="n">
        <v>453</v>
      </c>
      <c r="J130" s="257" t="n">
        <v>200</v>
      </c>
      <c r="K130" s="258" t="s">
        <v>3</v>
      </c>
      <c r="L130" s="259"/>
      <c r="M130" s="260"/>
      <c r="N130" s="261"/>
      <c r="O130" s="260" t="n">
        <v>100</v>
      </c>
      <c r="P130" s="262" t="n">
        <v>400</v>
      </c>
      <c r="Q130" s="260" t="n">
        <v>600</v>
      </c>
      <c r="R130" s="260" t="n">
        <v>800</v>
      </c>
      <c r="S130" s="263" t="n">
        <v>600</v>
      </c>
      <c r="T130" s="263" t="n">
        <v>800</v>
      </c>
      <c r="U130" s="263" t="n">
        <v>800</v>
      </c>
      <c r="V130" s="263" t="n">
        <v>800</v>
      </c>
      <c r="W130" s="264" t="n">
        <v>800</v>
      </c>
      <c r="X130" s="260" t="n">
        <v>1100</v>
      </c>
      <c r="Y130" s="260"/>
      <c r="Z130" s="265"/>
      <c r="AA130" s="265"/>
      <c r="AB130" s="265"/>
      <c r="AC130" s="265"/>
      <c r="AD130" s="265"/>
      <c r="AE130" s="265"/>
      <c r="AF130" s="265"/>
      <c r="AG130" s="266" t="s">
        <v>76</v>
      </c>
      <c r="AH130" s="213" t="s">
        <v>66</v>
      </c>
    </row>
    <row r="131" customFormat="false" ht="15" hidden="false" customHeight="false" outlineLevel="0" collapsed="false">
      <c r="A131" s="38" t="n">
        <v>5</v>
      </c>
      <c r="B131" s="256" t="s">
        <v>70</v>
      </c>
      <c r="C131" s="257" t="n">
        <f aca="false">240.569+2005.683</f>
        <v>2246.252</v>
      </c>
      <c r="D131" s="257" t="n">
        <v>93.553</v>
      </c>
      <c r="E131" s="257" t="n">
        <v>284</v>
      </c>
      <c r="F131" s="257" t="n">
        <v>207</v>
      </c>
      <c r="G131" s="257" t="n">
        <v>189</v>
      </c>
      <c r="H131" s="257" t="n">
        <v>57</v>
      </c>
      <c r="I131" s="257" t="n">
        <v>100</v>
      </c>
      <c r="J131" s="257" t="n">
        <v>420</v>
      </c>
      <c r="K131" s="258" t="s">
        <v>3</v>
      </c>
      <c r="L131" s="259"/>
      <c r="M131" s="260"/>
      <c r="N131" s="261"/>
      <c r="O131" s="260" t="n">
        <v>300</v>
      </c>
      <c r="P131" s="262" t="n">
        <v>500</v>
      </c>
      <c r="Q131" s="260" t="n">
        <v>300</v>
      </c>
      <c r="R131" s="260" t="n">
        <v>200</v>
      </c>
      <c r="S131" s="263" t="n">
        <v>900</v>
      </c>
      <c r="T131" s="263" t="n">
        <v>950</v>
      </c>
      <c r="U131" s="263" t="n">
        <v>800</v>
      </c>
      <c r="V131" s="263" t="n">
        <v>600</v>
      </c>
      <c r="W131" s="264" t="n">
        <v>600</v>
      </c>
      <c r="X131" s="260" t="n">
        <v>600</v>
      </c>
      <c r="Y131" s="260"/>
      <c r="Z131" s="265"/>
      <c r="AA131" s="265"/>
      <c r="AB131" s="265"/>
      <c r="AC131" s="265"/>
      <c r="AD131" s="265"/>
      <c r="AE131" s="265"/>
      <c r="AF131" s="265"/>
      <c r="AG131" s="266" t="s">
        <v>76</v>
      </c>
      <c r="AH131" s="213" t="s">
        <v>66</v>
      </c>
    </row>
    <row r="132" customFormat="false" ht="15" hidden="false" customHeight="false" outlineLevel="0" collapsed="false">
      <c r="A132" s="38" t="n">
        <v>6</v>
      </c>
      <c r="B132" s="256" t="s">
        <v>71</v>
      </c>
      <c r="C132" s="257" t="n">
        <v>179.277</v>
      </c>
      <c r="D132" s="257" t="n">
        <v>16.093</v>
      </c>
      <c r="E132" s="257" t="n">
        <v>0</v>
      </c>
      <c r="F132" s="257" t="n">
        <v>38</v>
      </c>
      <c r="G132" s="257" t="n">
        <v>502</v>
      </c>
      <c r="H132" s="257" t="n">
        <v>46</v>
      </c>
      <c r="I132" s="257" t="n">
        <v>275</v>
      </c>
      <c r="J132" s="257" t="n">
        <v>200</v>
      </c>
      <c r="K132" s="258" t="s">
        <v>3</v>
      </c>
      <c r="L132" s="259"/>
      <c r="M132" s="260"/>
      <c r="N132" s="261"/>
      <c r="O132" s="260" t="n">
        <v>200</v>
      </c>
      <c r="P132" s="262" t="n">
        <v>100</v>
      </c>
      <c r="Q132" s="260" t="n">
        <v>2100</v>
      </c>
      <c r="R132" s="260" t="n">
        <v>1300</v>
      </c>
      <c r="S132" s="260" t="n">
        <v>400</v>
      </c>
      <c r="T132" s="260" t="n">
        <v>150</v>
      </c>
      <c r="U132" s="260" t="n">
        <v>200</v>
      </c>
      <c r="V132" s="260" t="n">
        <v>300</v>
      </c>
      <c r="W132" s="267" t="n">
        <v>200</v>
      </c>
      <c r="X132" s="260" t="n">
        <v>300</v>
      </c>
      <c r="Y132" s="260"/>
      <c r="Z132" s="265"/>
      <c r="AA132" s="265"/>
      <c r="AB132" s="265"/>
      <c r="AC132" s="265"/>
      <c r="AD132" s="265"/>
      <c r="AE132" s="265"/>
      <c r="AF132" s="265"/>
      <c r="AG132" s="266" t="s">
        <v>76</v>
      </c>
      <c r="AH132" s="213" t="s">
        <v>66</v>
      </c>
    </row>
    <row r="133" customFormat="false" ht="15" hidden="false" customHeight="false" outlineLevel="0" collapsed="false">
      <c r="A133" s="38" t="n">
        <v>7</v>
      </c>
      <c r="B133" s="256" t="s">
        <v>72</v>
      </c>
      <c r="C133" s="257"/>
      <c r="D133" s="257"/>
      <c r="E133" s="257"/>
      <c r="F133" s="257"/>
      <c r="G133" s="257"/>
      <c r="H133" s="257"/>
      <c r="I133" s="257"/>
      <c r="J133" s="257"/>
      <c r="K133" s="258"/>
      <c r="L133" s="259"/>
      <c r="M133" s="260"/>
      <c r="N133" s="261"/>
      <c r="O133" s="260"/>
      <c r="P133" s="262"/>
      <c r="Q133" s="260"/>
      <c r="R133" s="260"/>
      <c r="S133" s="260"/>
      <c r="T133" s="260"/>
      <c r="U133" s="260"/>
      <c r="V133" s="260"/>
      <c r="W133" s="267"/>
      <c r="X133" s="260"/>
      <c r="Y133" s="260"/>
      <c r="Z133" s="265"/>
      <c r="AA133" s="265"/>
      <c r="AB133" s="265"/>
      <c r="AC133" s="265"/>
      <c r="AD133" s="265"/>
      <c r="AE133" s="265"/>
      <c r="AF133" s="265"/>
      <c r="AG133" s="266" t="s">
        <v>76</v>
      </c>
      <c r="AH133" s="213" t="s">
        <v>66</v>
      </c>
    </row>
    <row r="134" customFormat="false" ht="15" hidden="false" customHeight="false" outlineLevel="0" collapsed="false">
      <c r="A134" s="38" t="n">
        <v>8</v>
      </c>
      <c r="B134" s="256" t="s">
        <v>90</v>
      </c>
      <c r="C134" s="257" t="n">
        <v>50.472</v>
      </c>
      <c r="D134" s="257" t="n">
        <v>37.334</v>
      </c>
      <c r="E134" s="257" t="n">
        <v>153</v>
      </c>
      <c r="F134" s="257" t="n">
        <v>311</v>
      </c>
      <c r="G134" s="257" t="n">
        <v>97</v>
      </c>
      <c r="H134" s="257" t="n">
        <v>284</v>
      </c>
      <c r="I134" s="257" t="n">
        <v>256</v>
      </c>
      <c r="J134" s="257" t="n">
        <v>390</v>
      </c>
      <c r="K134" s="258" t="s">
        <v>3</v>
      </c>
      <c r="L134" s="259"/>
      <c r="M134" s="260"/>
      <c r="N134" s="261"/>
      <c r="O134" s="260" t="n">
        <v>200</v>
      </c>
      <c r="P134" s="262" t="n">
        <v>200</v>
      </c>
      <c r="Q134" s="260" t="n">
        <v>200</v>
      </c>
      <c r="R134" s="260" t="n">
        <v>2200</v>
      </c>
      <c r="S134" s="260" t="n">
        <v>1600</v>
      </c>
      <c r="T134" s="260" t="n">
        <v>600</v>
      </c>
      <c r="U134" s="260" t="n">
        <v>600</v>
      </c>
      <c r="V134" s="260" t="s">
        <v>91</v>
      </c>
      <c r="W134" s="267" t="n">
        <v>600</v>
      </c>
      <c r="X134" s="260" t="n">
        <v>600</v>
      </c>
      <c r="Y134" s="260"/>
      <c r="Z134" s="265"/>
      <c r="AA134" s="265"/>
      <c r="AB134" s="265"/>
      <c r="AC134" s="265"/>
      <c r="AD134" s="265"/>
      <c r="AE134" s="265"/>
      <c r="AF134" s="265"/>
      <c r="AG134" s="266" t="s">
        <v>76</v>
      </c>
      <c r="AH134" s="213" t="s">
        <v>66</v>
      </c>
    </row>
    <row r="135" customFormat="false" ht="15.75" hidden="false" customHeight="false" outlineLevel="0" collapsed="false">
      <c r="A135" s="36"/>
      <c r="B135" s="95"/>
      <c r="C135" s="231"/>
      <c r="D135" s="231"/>
      <c r="E135" s="231"/>
      <c r="F135" s="231"/>
      <c r="G135" s="231"/>
      <c r="H135" s="231"/>
      <c r="I135" s="231"/>
      <c r="J135" s="231"/>
      <c r="K135" s="126"/>
      <c r="L135" s="126"/>
      <c r="M135" s="129"/>
      <c r="N135" s="279"/>
      <c r="O135" s="129"/>
      <c r="P135" s="130"/>
      <c r="Q135" s="129"/>
      <c r="R135" s="129"/>
      <c r="S135" s="279"/>
      <c r="T135" s="279"/>
      <c r="U135" s="279"/>
      <c r="V135" s="279"/>
      <c r="W135" s="280"/>
      <c r="X135" s="129"/>
      <c r="Y135" s="129"/>
    </row>
    <row r="136" customFormat="false" ht="15.75" hidden="false" customHeight="false" outlineLevel="0" collapsed="false">
      <c r="A136" s="36"/>
      <c r="B136" s="120" t="s">
        <v>108</v>
      </c>
      <c r="C136" s="212" t="n">
        <v>5233.58599</v>
      </c>
      <c r="D136" s="212" t="n">
        <v>5285.93326</v>
      </c>
      <c r="E136" s="212" t="n">
        <v>4585</v>
      </c>
      <c r="F136" s="212" t="n">
        <v>5158</v>
      </c>
      <c r="G136" s="212" t="n">
        <v>5123</v>
      </c>
      <c r="H136" s="212" t="n">
        <v>5006</v>
      </c>
      <c r="I136" s="212" t="n">
        <v>4875</v>
      </c>
      <c r="J136" s="212" t="n">
        <v>4185</v>
      </c>
      <c r="K136" s="68" t="n">
        <v>4218</v>
      </c>
      <c r="L136" s="68" t="n">
        <v>4226</v>
      </c>
      <c r="M136" s="281" t="n">
        <f aca="false">4361582/1000</f>
        <v>4361.582</v>
      </c>
      <c r="N136" s="282" t="n">
        <f aca="false">3762622.46/1000</f>
        <v>3762.62246</v>
      </c>
      <c r="O136" s="281" t="n">
        <v>4500</v>
      </c>
      <c r="P136" s="283" t="n">
        <v>5000</v>
      </c>
      <c r="Q136" s="281" t="n">
        <v>5000</v>
      </c>
      <c r="R136" s="281" t="n">
        <v>5000</v>
      </c>
      <c r="S136" s="282" t="n">
        <v>5000</v>
      </c>
      <c r="T136" s="282" t="n">
        <v>5000</v>
      </c>
      <c r="U136" s="282" t="n">
        <v>6000</v>
      </c>
      <c r="V136" s="282" t="n">
        <v>6000</v>
      </c>
      <c r="W136" s="284" t="n">
        <v>6500</v>
      </c>
      <c r="X136" s="281" t="n">
        <v>6500</v>
      </c>
      <c r="Y136" s="281" t="n">
        <v>6500</v>
      </c>
    </row>
    <row r="137" customFormat="false" ht="15.75" hidden="false" customHeight="false" outlineLevel="0" collapsed="false">
      <c r="A137" s="36"/>
      <c r="B137" s="55"/>
      <c r="C137" s="212"/>
      <c r="D137" s="212"/>
      <c r="E137" s="212"/>
      <c r="F137" s="212"/>
      <c r="G137" s="212"/>
      <c r="H137" s="212"/>
      <c r="I137" s="212"/>
      <c r="J137" s="212"/>
      <c r="K137" s="68"/>
      <c r="L137" s="68"/>
      <c r="M137" s="285" t="s">
        <v>3</v>
      </c>
      <c r="N137" s="286"/>
      <c r="O137" s="285"/>
      <c r="P137" s="287"/>
      <c r="Q137" s="285"/>
      <c r="R137" s="285"/>
      <c r="S137" s="286"/>
      <c r="T137" s="286"/>
      <c r="U137" s="286"/>
      <c r="V137" s="286"/>
      <c r="W137" s="288"/>
      <c r="X137" s="285"/>
      <c r="Y137" s="285"/>
    </row>
    <row r="138" customFormat="false" ht="15.75" hidden="false" customHeight="false" outlineLevel="0" collapsed="false">
      <c r="A138" s="54"/>
      <c r="B138" s="120" t="s">
        <v>109</v>
      </c>
      <c r="C138" s="212" t="n">
        <f aca="false">SUM(C139:C140)</f>
        <v>0</v>
      </c>
      <c r="D138" s="212" t="n">
        <f aca="false">SUM(D139:D140)</f>
        <v>0</v>
      </c>
      <c r="E138" s="212" t="n">
        <f aca="false">SUM(E139:E140)</f>
        <v>632</v>
      </c>
      <c r="F138" s="212" t="n">
        <f aca="false">SUM(F139:F140)</f>
        <v>2353</v>
      </c>
      <c r="G138" s="212" t="n">
        <f aca="false">SUM(G139:G140)</f>
        <v>3582</v>
      </c>
      <c r="H138" s="212" t="n">
        <f aca="false">SUM(H139:H140)</f>
        <v>6143</v>
      </c>
      <c r="I138" s="212" t="n">
        <f aca="false">SUM(I139:I140)</f>
        <v>1618</v>
      </c>
      <c r="J138" s="212" t="n">
        <v>3729</v>
      </c>
      <c r="K138" s="68" t="n">
        <v>3986</v>
      </c>
      <c r="L138" s="68" t="n">
        <v>2526</v>
      </c>
      <c r="M138" s="69" t="n">
        <f aca="false">1144107/1000</f>
        <v>1144.107</v>
      </c>
      <c r="N138" s="70" t="n">
        <f aca="false">2854597.06/1000</f>
        <v>2854.59706</v>
      </c>
      <c r="O138" s="69" t="n">
        <v>2500</v>
      </c>
      <c r="P138" s="71" t="n">
        <v>2000</v>
      </c>
      <c r="Q138" s="69" t="n">
        <f aca="false">2500-500</f>
        <v>2000</v>
      </c>
      <c r="R138" s="69" t="n">
        <f aca="false">2500-500</f>
        <v>2000</v>
      </c>
      <c r="S138" s="69" t="n">
        <v>2500</v>
      </c>
      <c r="T138" s="69" t="n">
        <v>2500</v>
      </c>
      <c r="U138" s="69" t="n">
        <v>3000</v>
      </c>
      <c r="V138" s="69" t="n">
        <v>3000</v>
      </c>
      <c r="W138" s="68" t="n">
        <v>3000</v>
      </c>
      <c r="X138" s="69" t="n">
        <v>3000</v>
      </c>
      <c r="Y138" s="69" t="n">
        <v>3000</v>
      </c>
    </row>
    <row r="139" s="1" customFormat="true" ht="15" hidden="false" customHeight="false" outlineLevel="0" collapsed="false">
      <c r="A139" s="54"/>
      <c r="B139" s="289" t="s">
        <v>110</v>
      </c>
      <c r="C139" s="231" t="n">
        <v>0</v>
      </c>
      <c r="D139" s="231" t="n">
        <v>0</v>
      </c>
      <c r="E139" s="231" t="n">
        <v>632</v>
      </c>
      <c r="F139" s="231" t="n">
        <v>2299</v>
      </c>
      <c r="G139" s="231" t="n">
        <v>3582</v>
      </c>
      <c r="H139" s="231" t="n">
        <v>6143</v>
      </c>
      <c r="I139" s="231" t="n">
        <v>1457</v>
      </c>
      <c r="J139" s="231" t="s">
        <v>3</v>
      </c>
      <c r="K139" s="126" t="n">
        <v>4000</v>
      </c>
      <c r="L139" s="126" t="n">
        <v>2000</v>
      </c>
      <c r="M139" s="129" t="n">
        <v>1000</v>
      </c>
      <c r="N139" s="279"/>
      <c r="O139" s="129" t="n">
        <v>3000</v>
      </c>
      <c r="P139" s="290" t="n">
        <v>3000</v>
      </c>
      <c r="Q139" s="129" t="n">
        <v>3500</v>
      </c>
      <c r="R139" s="129" t="n">
        <v>4000</v>
      </c>
      <c r="S139" s="129" t="n">
        <v>4000</v>
      </c>
      <c r="T139" s="129" t="n">
        <v>4000</v>
      </c>
      <c r="U139" s="129" t="n">
        <v>4000</v>
      </c>
      <c r="V139" s="129" t="n">
        <v>4000</v>
      </c>
      <c r="W139" s="126" t="n">
        <v>6000</v>
      </c>
      <c r="X139" s="129" t="n">
        <v>6000</v>
      </c>
      <c r="Y139" s="129"/>
    </row>
    <row r="140" s="1" customFormat="true" ht="15" hidden="false" customHeight="false" outlineLevel="0" collapsed="false">
      <c r="A140" s="54"/>
      <c r="B140" s="289" t="s">
        <v>111</v>
      </c>
      <c r="C140" s="231"/>
      <c r="D140" s="231"/>
      <c r="E140" s="231" t="n">
        <v>0</v>
      </c>
      <c r="F140" s="231" t="n">
        <v>54</v>
      </c>
      <c r="G140" s="231" t="n">
        <v>0</v>
      </c>
      <c r="H140" s="231" t="n">
        <v>0</v>
      </c>
      <c r="I140" s="231" t="n">
        <v>161</v>
      </c>
      <c r="J140" s="231" t="s">
        <v>3</v>
      </c>
      <c r="K140" s="126" t="n">
        <v>0</v>
      </c>
      <c r="L140" s="291"/>
      <c r="M140" s="292"/>
      <c r="N140" s="293"/>
      <c r="O140" s="292"/>
      <c r="P140" s="294"/>
      <c r="Q140" s="292"/>
      <c r="R140" s="292"/>
      <c r="S140" s="293"/>
      <c r="T140" s="293"/>
      <c r="U140" s="293"/>
      <c r="V140" s="293"/>
      <c r="W140" s="295"/>
      <c r="X140" s="292"/>
      <c r="Y140" s="292"/>
    </row>
    <row r="141" s="1" customFormat="true" ht="15" hidden="false" customHeight="false" outlineLevel="0" collapsed="false">
      <c r="A141" s="38" t="n">
        <v>1</v>
      </c>
      <c r="B141" s="256" t="s">
        <v>65</v>
      </c>
      <c r="C141" s="257" t="n">
        <v>5148.173</v>
      </c>
      <c r="D141" s="257" t="n">
        <v>3946.199</v>
      </c>
      <c r="E141" s="257" t="n">
        <v>807</v>
      </c>
      <c r="F141" s="257" t="n">
        <v>1504</v>
      </c>
      <c r="G141" s="257" t="n">
        <v>2658</v>
      </c>
      <c r="H141" s="257" t="n">
        <v>1066</v>
      </c>
      <c r="I141" s="257" t="n">
        <v>564</v>
      </c>
      <c r="J141" s="257" t="n">
        <v>1000</v>
      </c>
      <c r="K141" s="258" t="s">
        <v>3</v>
      </c>
      <c r="L141" s="259"/>
      <c r="M141" s="260"/>
      <c r="N141" s="261"/>
      <c r="O141" s="260" t="n">
        <v>1800</v>
      </c>
      <c r="P141" s="262" t="n">
        <v>1000</v>
      </c>
      <c r="Q141" s="260" t="n">
        <v>1300</v>
      </c>
      <c r="R141" s="260" t="n">
        <v>1700</v>
      </c>
      <c r="S141" s="263" t="n">
        <v>2000</v>
      </c>
      <c r="T141" s="263" t="n">
        <v>1000</v>
      </c>
      <c r="U141" s="263" t="n">
        <v>1200</v>
      </c>
      <c r="V141" s="263" t="n">
        <v>2000</v>
      </c>
      <c r="W141" s="264" t="n">
        <v>2000</v>
      </c>
      <c r="X141" s="260" t="n">
        <v>2500</v>
      </c>
      <c r="Y141" s="260"/>
      <c r="Z141" s="265"/>
      <c r="AA141" s="265"/>
      <c r="AB141" s="265"/>
      <c r="AC141" s="265"/>
      <c r="AD141" s="265"/>
      <c r="AE141" s="265"/>
      <c r="AF141" s="265"/>
      <c r="AG141" s="266" t="s">
        <v>76</v>
      </c>
      <c r="AH141" s="213" t="s">
        <v>66</v>
      </c>
    </row>
    <row r="142" s="1" customFormat="true" ht="15" hidden="false" customHeight="false" outlineLevel="0" collapsed="false">
      <c r="A142" s="38" t="n">
        <v>2</v>
      </c>
      <c r="B142" s="256" t="s">
        <v>67</v>
      </c>
      <c r="C142" s="257" t="n">
        <v>619.527</v>
      </c>
      <c r="D142" s="257" t="n">
        <v>315.106</v>
      </c>
      <c r="E142" s="257" t="n">
        <v>180</v>
      </c>
      <c r="F142" s="257" t="n">
        <v>221</v>
      </c>
      <c r="G142" s="257" t="n">
        <v>495</v>
      </c>
      <c r="H142" s="257" t="n">
        <v>179</v>
      </c>
      <c r="I142" s="257" t="n">
        <v>814</v>
      </c>
      <c r="J142" s="257" t="n">
        <v>1210</v>
      </c>
      <c r="K142" s="258" t="s">
        <v>3</v>
      </c>
      <c r="L142" s="259"/>
      <c r="M142" s="260"/>
      <c r="N142" s="261"/>
      <c r="O142" s="260" t="n">
        <v>200</v>
      </c>
      <c r="P142" s="262" t="n">
        <v>100</v>
      </c>
      <c r="Q142" s="260" t="n">
        <v>700</v>
      </c>
      <c r="R142" s="260" t="n">
        <v>500</v>
      </c>
      <c r="S142" s="260" t="n">
        <v>600</v>
      </c>
      <c r="T142" s="260" t="n">
        <v>800</v>
      </c>
      <c r="U142" s="260" t="n">
        <v>1200</v>
      </c>
      <c r="V142" s="260" t="n">
        <v>1300</v>
      </c>
      <c r="W142" s="267" t="n">
        <v>1400</v>
      </c>
      <c r="X142" s="260" t="n">
        <v>1500</v>
      </c>
      <c r="Y142" s="260"/>
      <c r="Z142" s="265"/>
      <c r="AA142" s="265"/>
      <c r="AB142" s="265"/>
      <c r="AC142" s="265"/>
      <c r="AD142" s="265"/>
      <c r="AE142" s="265"/>
      <c r="AF142" s="265"/>
      <c r="AG142" s="266" t="s">
        <v>76</v>
      </c>
      <c r="AH142" s="213" t="s">
        <v>66</v>
      </c>
    </row>
    <row r="143" s="1" customFormat="true" ht="15" hidden="false" customHeight="false" outlineLevel="0" collapsed="false">
      <c r="A143" s="38" t="n">
        <v>3</v>
      </c>
      <c r="B143" s="256" t="s">
        <v>68</v>
      </c>
      <c r="C143" s="257" t="n">
        <v>76.48</v>
      </c>
      <c r="D143" s="257" t="n">
        <v>97.004</v>
      </c>
      <c r="E143" s="257" t="n">
        <v>130</v>
      </c>
      <c r="F143" s="257" t="n">
        <v>210</v>
      </c>
      <c r="G143" s="257" t="n">
        <v>28</v>
      </c>
      <c r="H143" s="257" t="n">
        <v>51</v>
      </c>
      <c r="I143" s="257" t="n">
        <v>118</v>
      </c>
      <c r="J143" s="257" t="n">
        <v>780</v>
      </c>
      <c r="K143" s="258" t="s">
        <v>3</v>
      </c>
      <c r="L143" s="259"/>
      <c r="M143" s="260"/>
      <c r="N143" s="261"/>
      <c r="O143" s="260" t="n">
        <v>200</v>
      </c>
      <c r="P143" s="262" t="n">
        <v>400</v>
      </c>
      <c r="Q143" s="260" t="n">
        <v>900</v>
      </c>
      <c r="R143" s="260" t="n">
        <v>400</v>
      </c>
      <c r="S143" s="263" t="n">
        <v>400</v>
      </c>
      <c r="T143" s="263" t="n">
        <f aca="false">400</f>
        <v>400</v>
      </c>
      <c r="U143" s="261" t="n">
        <f aca="false">400+3000</f>
        <v>3400</v>
      </c>
      <c r="V143" s="261" t="n">
        <f aca="false">800+13000</f>
        <v>13800</v>
      </c>
      <c r="W143" s="268" t="n">
        <f aca="false">800+14000</f>
        <v>14800</v>
      </c>
      <c r="X143" s="260" t="n">
        <v>800</v>
      </c>
      <c r="Y143" s="260"/>
      <c r="Z143" s="265"/>
      <c r="AA143" s="265"/>
      <c r="AB143" s="265"/>
      <c r="AC143" s="265"/>
      <c r="AD143" s="265"/>
      <c r="AE143" s="265"/>
      <c r="AF143" s="265"/>
      <c r="AG143" s="266" t="s">
        <v>76</v>
      </c>
      <c r="AH143" s="213" t="s">
        <v>66</v>
      </c>
    </row>
    <row r="144" s="1" customFormat="true" ht="15" hidden="false" customHeight="false" outlineLevel="0" collapsed="false">
      <c r="A144" s="38" t="n">
        <v>4</v>
      </c>
      <c r="B144" s="256" t="s">
        <v>69</v>
      </c>
      <c r="C144" s="257" t="n">
        <v>173.604</v>
      </c>
      <c r="D144" s="257" t="n">
        <v>81.594</v>
      </c>
      <c r="E144" s="257" t="n">
        <v>145</v>
      </c>
      <c r="F144" s="257" t="n">
        <v>96</v>
      </c>
      <c r="G144" s="257" t="n">
        <v>42</v>
      </c>
      <c r="H144" s="257" t="n">
        <v>111</v>
      </c>
      <c r="I144" s="257" t="n">
        <v>453</v>
      </c>
      <c r="J144" s="257" t="n">
        <v>200</v>
      </c>
      <c r="K144" s="258" t="s">
        <v>3</v>
      </c>
      <c r="L144" s="259"/>
      <c r="M144" s="260"/>
      <c r="N144" s="261"/>
      <c r="O144" s="260" t="n">
        <v>100</v>
      </c>
      <c r="P144" s="262" t="n">
        <v>400</v>
      </c>
      <c r="Q144" s="260" t="n">
        <v>600</v>
      </c>
      <c r="R144" s="260" t="n">
        <v>800</v>
      </c>
      <c r="S144" s="263" t="n">
        <v>600</v>
      </c>
      <c r="T144" s="263" t="n">
        <v>800</v>
      </c>
      <c r="U144" s="263" t="n">
        <v>800</v>
      </c>
      <c r="V144" s="263" t="n">
        <v>800</v>
      </c>
      <c r="W144" s="264" t="n">
        <v>800</v>
      </c>
      <c r="X144" s="260" t="n">
        <v>1100</v>
      </c>
      <c r="Y144" s="260"/>
      <c r="Z144" s="265"/>
      <c r="AA144" s="265"/>
      <c r="AB144" s="265"/>
      <c r="AC144" s="265"/>
      <c r="AD144" s="265"/>
      <c r="AE144" s="265"/>
      <c r="AF144" s="265"/>
      <c r="AG144" s="266" t="s">
        <v>76</v>
      </c>
      <c r="AH144" s="213" t="s">
        <v>66</v>
      </c>
    </row>
    <row r="145" s="1" customFormat="true" ht="15" hidden="false" customHeight="false" outlineLevel="0" collapsed="false">
      <c r="A145" s="38" t="n">
        <v>5</v>
      </c>
      <c r="B145" s="256" t="s">
        <v>70</v>
      </c>
      <c r="C145" s="257" t="n">
        <f aca="false">240.569+2005.683</f>
        <v>2246.252</v>
      </c>
      <c r="D145" s="257" t="n">
        <v>93.553</v>
      </c>
      <c r="E145" s="257" t="n">
        <v>284</v>
      </c>
      <c r="F145" s="257" t="n">
        <v>207</v>
      </c>
      <c r="G145" s="257" t="n">
        <v>189</v>
      </c>
      <c r="H145" s="257" t="n">
        <v>57</v>
      </c>
      <c r="I145" s="257" t="n">
        <v>100</v>
      </c>
      <c r="J145" s="257" t="n">
        <v>420</v>
      </c>
      <c r="K145" s="258" t="s">
        <v>3</v>
      </c>
      <c r="L145" s="259"/>
      <c r="M145" s="260"/>
      <c r="N145" s="261"/>
      <c r="O145" s="260" t="n">
        <v>300</v>
      </c>
      <c r="P145" s="262" t="n">
        <v>500</v>
      </c>
      <c r="Q145" s="260" t="n">
        <v>300</v>
      </c>
      <c r="R145" s="260" t="n">
        <v>200</v>
      </c>
      <c r="S145" s="263" t="n">
        <v>900</v>
      </c>
      <c r="T145" s="263" t="n">
        <v>950</v>
      </c>
      <c r="U145" s="263" t="n">
        <v>800</v>
      </c>
      <c r="V145" s="263" t="n">
        <v>600</v>
      </c>
      <c r="W145" s="264" t="n">
        <v>600</v>
      </c>
      <c r="X145" s="260" t="n">
        <v>600</v>
      </c>
      <c r="Y145" s="260"/>
      <c r="Z145" s="265"/>
      <c r="AA145" s="265"/>
      <c r="AB145" s="265"/>
      <c r="AC145" s="265"/>
      <c r="AD145" s="265"/>
      <c r="AE145" s="265"/>
      <c r="AF145" s="265"/>
      <c r="AG145" s="266" t="s">
        <v>76</v>
      </c>
      <c r="AH145" s="213" t="s">
        <v>66</v>
      </c>
    </row>
    <row r="146" s="1" customFormat="true" ht="15" hidden="false" customHeight="false" outlineLevel="0" collapsed="false">
      <c r="A146" s="38" t="n">
        <v>6</v>
      </c>
      <c r="B146" s="256" t="s">
        <v>71</v>
      </c>
      <c r="C146" s="257" t="n">
        <v>179.277</v>
      </c>
      <c r="D146" s="257" t="n">
        <v>16.093</v>
      </c>
      <c r="E146" s="257" t="n">
        <v>0</v>
      </c>
      <c r="F146" s="257" t="n">
        <v>38</v>
      </c>
      <c r="G146" s="257" t="n">
        <v>502</v>
      </c>
      <c r="H146" s="257" t="n">
        <v>46</v>
      </c>
      <c r="I146" s="257" t="n">
        <v>275</v>
      </c>
      <c r="J146" s="257" t="n">
        <v>200</v>
      </c>
      <c r="K146" s="258" t="s">
        <v>3</v>
      </c>
      <c r="L146" s="259"/>
      <c r="M146" s="260"/>
      <c r="N146" s="261"/>
      <c r="O146" s="260" t="n">
        <v>200</v>
      </c>
      <c r="P146" s="262" t="n">
        <v>100</v>
      </c>
      <c r="Q146" s="260" t="n">
        <v>2100</v>
      </c>
      <c r="R146" s="260" t="n">
        <v>1300</v>
      </c>
      <c r="S146" s="260" t="n">
        <v>400</v>
      </c>
      <c r="T146" s="260" t="n">
        <v>150</v>
      </c>
      <c r="U146" s="260" t="n">
        <v>200</v>
      </c>
      <c r="V146" s="260" t="n">
        <v>300</v>
      </c>
      <c r="W146" s="267" t="n">
        <v>200</v>
      </c>
      <c r="X146" s="260" t="n">
        <v>300</v>
      </c>
      <c r="Y146" s="260"/>
      <c r="Z146" s="265"/>
      <c r="AA146" s="265"/>
      <c r="AB146" s="265"/>
      <c r="AC146" s="265"/>
      <c r="AD146" s="265"/>
      <c r="AE146" s="265"/>
      <c r="AF146" s="265"/>
      <c r="AG146" s="266" t="s">
        <v>76</v>
      </c>
      <c r="AH146" s="213" t="s">
        <v>66</v>
      </c>
    </row>
    <row r="147" s="1" customFormat="true" ht="15" hidden="false" customHeight="false" outlineLevel="0" collapsed="false">
      <c r="A147" s="38" t="n">
        <v>7</v>
      </c>
      <c r="B147" s="256" t="s">
        <v>72</v>
      </c>
      <c r="C147" s="257"/>
      <c r="D147" s="257"/>
      <c r="E147" s="257"/>
      <c r="F147" s="257"/>
      <c r="G147" s="257"/>
      <c r="H147" s="257"/>
      <c r="I147" s="257"/>
      <c r="J147" s="257"/>
      <c r="K147" s="258"/>
      <c r="L147" s="259"/>
      <c r="M147" s="260"/>
      <c r="N147" s="261"/>
      <c r="O147" s="260"/>
      <c r="P147" s="262"/>
      <c r="Q147" s="260"/>
      <c r="R147" s="260"/>
      <c r="S147" s="260"/>
      <c r="T147" s="260"/>
      <c r="U147" s="260"/>
      <c r="V147" s="260"/>
      <c r="W147" s="267"/>
      <c r="X147" s="260"/>
      <c r="Y147" s="260"/>
      <c r="Z147" s="265"/>
      <c r="AA147" s="265"/>
      <c r="AB147" s="265"/>
      <c r="AC147" s="265"/>
      <c r="AD147" s="265"/>
      <c r="AE147" s="265"/>
      <c r="AF147" s="265"/>
      <c r="AG147" s="266" t="s">
        <v>76</v>
      </c>
      <c r="AH147" s="213" t="s">
        <v>66</v>
      </c>
    </row>
    <row r="148" s="1" customFormat="true" ht="15" hidden="false" customHeight="false" outlineLevel="0" collapsed="false">
      <c r="A148" s="38" t="n">
        <v>8</v>
      </c>
      <c r="B148" s="256" t="s">
        <v>90</v>
      </c>
      <c r="C148" s="257" t="n">
        <v>50.472</v>
      </c>
      <c r="D148" s="257" t="n">
        <v>37.334</v>
      </c>
      <c r="E148" s="257" t="n">
        <v>153</v>
      </c>
      <c r="F148" s="257" t="n">
        <v>311</v>
      </c>
      <c r="G148" s="257" t="n">
        <v>97</v>
      </c>
      <c r="H148" s="257" t="n">
        <v>284</v>
      </c>
      <c r="I148" s="257" t="n">
        <v>256</v>
      </c>
      <c r="J148" s="257" t="n">
        <v>390</v>
      </c>
      <c r="K148" s="258" t="s">
        <v>3</v>
      </c>
      <c r="L148" s="259"/>
      <c r="M148" s="260"/>
      <c r="N148" s="261"/>
      <c r="O148" s="260" t="n">
        <v>200</v>
      </c>
      <c r="P148" s="262" t="n">
        <v>200</v>
      </c>
      <c r="Q148" s="260" t="n">
        <v>200</v>
      </c>
      <c r="R148" s="260" t="n">
        <v>2200</v>
      </c>
      <c r="S148" s="260" t="n">
        <v>1600</v>
      </c>
      <c r="T148" s="260" t="n">
        <v>600</v>
      </c>
      <c r="U148" s="260" t="n">
        <v>600</v>
      </c>
      <c r="V148" s="260" t="s">
        <v>91</v>
      </c>
      <c r="W148" s="267" t="n">
        <v>600</v>
      </c>
      <c r="X148" s="260" t="n">
        <v>600</v>
      </c>
      <c r="Y148" s="260"/>
      <c r="Z148" s="265"/>
      <c r="AA148" s="265"/>
      <c r="AB148" s="265"/>
      <c r="AC148" s="265"/>
      <c r="AD148" s="265"/>
      <c r="AE148" s="265"/>
      <c r="AF148" s="265"/>
      <c r="AG148" s="266" t="s">
        <v>76</v>
      </c>
      <c r="AH148" s="213" t="s">
        <v>66</v>
      </c>
    </row>
    <row r="149" s="1" customFormat="true" ht="15.75" hidden="false" customHeight="false" outlineLevel="0" collapsed="false">
      <c r="A149" s="36"/>
      <c r="B149" s="55"/>
      <c r="C149" s="212"/>
      <c r="D149" s="224"/>
      <c r="E149" s="212"/>
      <c r="F149" s="249"/>
      <c r="G149" s="212"/>
      <c r="H149" s="212"/>
      <c r="I149" s="212"/>
      <c r="J149" s="296" t="s">
        <v>3</v>
      </c>
      <c r="K149" s="167" t="s">
        <v>3</v>
      </c>
      <c r="L149" s="297" t="s">
        <v>3</v>
      </c>
      <c r="M149" s="298" t="s">
        <v>3</v>
      </c>
      <c r="N149" s="299"/>
      <c r="O149" s="298" t="s">
        <v>3</v>
      </c>
      <c r="P149" s="300" t="s">
        <v>3</v>
      </c>
      <c r="Q149" s="298" t="s">
        <v>3</v>
      </c>
      <c r="R149" s="298" t="s">
        <v>3</v>
      </c>
      <c r="S149" s="299" t="s">
        <v>3</v>
      </c>
      <c r="T149" s="299" t="s">
        <v>3</v>
      </c>
      <c r="U149" s="69"/>
      <c r="V149" s="299" t="s">
        <v>3</v>
      </c>
      <c r="W149" s="301" t="s">
        <v>3</v>
      </c>
      <c r="X149" s="298" t="s">
        <v>3</v>
      </c>
      <c r="Y149" s="298"/>
    </row>
    <row r="150" customFormat="false" ht="15.75" hidden="false" customHeight="false" outlineLevel="0" collapsed="false">
      <c r="A150" s="36"/>
      <c r="B150" s="120" t="s">
        <v>112</v>
      </c>
      <c r="C150" s="212" t="n">
        <f aca="false">SUM(C152:C158)</f>
        <v>8443.313</v>
      </c>
      <c r="D150" s="212" t="n">
        <f aca="false">SUM(D152:D158)</f>
        <v>4549.549</v>
      </c>
      <c r="E150" s="212" t="n">
        <f aca="false">SUM(E152:E158)</f>
        <v>1546</v>
      </c>
      <c r="F150" s="212" t="n">
        <f aca="false">SUM(F152:F158)</f>
        <v>2276</v>
      </c>
      <c r="G150" s="212" t="n">
        <f aca="false">SUM(G152:G158)</f>
        <v>3914</v>
      </c>
      <c r="H150" s="212" t="n">
        <v>2354</v>
      </c>
      <c r="I150" s="212" t="n">
        <f aca="false">SUM(I152:I158)</f>
        <v>2324</v>
      </c>
      <c r="J150" s="212" t="n">
        <v>3311</v>
      </c>
      <c r="K150" s="68" t="n">
        <v>3188</v>
      </c>
      <c r="L150" s="68" t="n">
        <v>8139</v>
      </c>
      <c r="M150" s="69" t="n">
        <f aca="false">10718579/1000</f>
        <v>10718.579</v>
      </c>
      <c r="N150" s="70" t="n">
        <f aca="false">5802808.69/1000</f>
        <v>5802.80869</v>
      </c>
      <c r="O150" s="69" t="n">
        <v>4700</v>
      </c>
      <c r="P150" s="214" t="n">
        <f aca="false">6000+3000</f>
        <v>9000</v>
      </c>
      <c r="Q150" s="69" t="n">
        <v>6000</v>
      </c>
      <c r="R150" s="69" t="n">
        <v>6500</v>
      </c>
      <c r="S150" s="69" t="n">
        <v>5600</v>
      </c>
      <c r="T150" s="69" t="n">
        <v>4500</v>
      </c>
      <c r="U150" s="69" t="n">
        <v>6000</v>
      </c>
      <c r="V150" s="69" t="n">
        <v>6500</v>
      </c>
      <c r="W150" s="68" t="n">
        <v>6500</v>
      </c>
      <c r="X150" s="69" t="n">
        <v>6500</v>
      </c>
      <c r="Y150" s="69" t="n">
        <v>6500</v>
      </c>
    </row>
    <row r="151" customFormat="false" ht="15.75" hidden="false" customHeight="false" outlineLevel="0" collapsed="false">
      <c r="A151" s="36"/>
      <c r="B151" s="302" t="s">
        <v>113</v>
      </c>
      <c r="C151" s="212"/>
      <c r="D151" s="212"/>
      <c r="E151" s="212"/>
      <c r="F151" s="249"/>
      <c r="G151" s="212"/>
      <c r="H151" s="212"/>
      <c r="I151" s="212"/>
      <c r="J151" s="303" t="s">
        <v>3</v>
      </c>
      <c r="K151" s="167" t="s">
        <v>3</v>
      </c>
      <c r="L151" s="102" t="s">
        <v>3</v>
      </c>
      <c r="M151" s="170" t="s">
        <v>3</v>
      </c>
      <c r="N151" s="197"/>
      <c r="O151" s="170" t="s">
        <v>3</v>
      </c>
      <c r="P151" s="251" t="s">
        <v>3</v>
      </c>
      <c r="Q151" s="170" t="s">
        <v>3</v>
      </c>
      <c r="R151" s="170" t="s">
        <v>3</v>
      </c>
      <c r="S151" s="197" t="s">
        <v>3</v>
      </c>
      <c r="T151" s="197" t="s">
        <v>3</v>
      </c>
      <c r="U151" s="197" t="s">
        <v>3</v>
      </c>
      <c r="V151" s="197" t="s">
        <v>3</v>
      </c>
      <c r="W151" s="252" t="s">
        <v>3</v>
      </c>
      <c r="X151" s="170" t="s">
        <v>3</v>
      </c>
      <c r="Y151" s="170"/>
    </row>
    <row r="152" customFormat="false" ht="15" hidden="false" customHeight="false" outlineLevel="0" collapsed="false">
      <c r="A152" s="38" t="n">
        <v>1</v>
      </c>
      <c r="B152" s="256" t="s">
        <v>65</v>
      </c>
      <c r="C152" s="257" t="n">
        <v>5148.173</v>
      </c>
      <c r="D152" s="257" t="n">
        <v>3946.199</v>
      </c>
      <c r="E152" s="257" t="n">
        <v>807</v>
      </c>
      <c r="F152" s="257" t="n">
        <v>1504</v>
      </c>
      <c r="G152" s="257" t="n">
        <v>2658</v>
      </c>
      <c r="H152" s="257" t="n">
        <v>1066</v>
      </c>
      <c r="I152" s="257" t="n">
        <v>564</v>
      </c>
      <c r="J152" s="257" t="n">
        <v>1000</v>
      </c>
      <c r="K152" s="258" t="s">
        <v>3</v>
      </c>
      <c r="L152" s="259"/>
      <c r="M152" s="260"/>
      <c r="N152" s="261"/>
      <c r="O152" s="260" t="n">
        <v>1800</v>
      </c>
      <c r="P152" s="262" t="n">
        <v>1000</v>
      </c>
      <c r="Q152" s="260" t="n">
        <v>1300</v>
      </c>
      <c r="R152" s="260" t="n">
        <v>1700</v>
      </c>
      <c r="S152" s="263" t="n">
        <v>2000</v>
      </c>
      <c r="T152" s="263" t="n">
        <v>1000</v>
      </c>
      <c r="U152" s="263" t="n">
        <v>1200</v>
      </c>
      <c r="V152" s="263" t="n">
        <v>2000</v>
      </c>
      <c r="W152" s="264" t="n">
        <v>2000</v>
      </c>
      <c r="X152" s="260" t="n">
        <v>2500</v>
      </c>
      <c r="Y152" s="260"/>
      <c r="Z152" s="265"/>
      <c r="AA152" s="265"/>
      <c r="AB152" s="265"/>
      <c r="AC152" s="265"/>
      <c r="AD152" s="265"/>
      <c r="AE152" s="265"/>
      <c r="AF152" s="265"/>
      <c r="AG152" s="266" t="s">
        <v>76</v>
      </c>
      <c r="AH152" s="213" t="s">
        <v>66</v>
      </c>
    </row>
    <row r="153" customFormat="false" ht="15" hidden="false" customHeight="false" outlineLevel="0" collapsed="false">
      <c r="A153" s="38" t="n">
        <v>2</v>
      </c>
      <c r="B153" s="256" t="s">
        <v>67</v>
      </c>
      <c r="C153" s="257" t="n">
        <v>619.527</v>
      </c>
      <c r="D153" s="257" t="n">
        <v>315.106</v>
      </c>
      <c r="E153" s="257" t="n">
        <v>180</v>
      </c>
      <c r="F153" s="257" t="n">
        <v>221</v>
      </c>
      <c r="G153" s="257" t="n">
        <v>495</v>
      </c>
      <c r="H153" s="257" t="n">
        <v>179</v>
      </c>
      <c r="I153" s="257" t="n">
        <v>814</v>
      </c>
      <c r="J153" s="257" t="n">
        <v>1210</v>
      </c>
      <c r="K153" s="258" t="s">
        <v>3</v>
      </c>
      <c r="L153" s="259"/>
      <c r="M153" s="260"/>
      <c r="N153" s="261"/>
      <c r="O153" s="260" t="n">
        <v>200</v>
      </c>
      <c r="P153" s="262" t="n">
        <v>100</v>
      </c>
      <c r="Q153" s="260" t="n">
        <v>700</v>
      </c>
      <c r="R153" s="260" t="n">
        <v>500</v>
      </c>
      <c r="S153" s="260" t="n">
        <v>600</v>
      </c>
      <c r="T153" s="260" t="n">
        <v>800</v>
      </c>
      <c r="U153" s="260" t="n">
        <v>1200</v>
      </c>
      <c r="V153" s="260" t="n">
        <v>1300</v>
      </c>
      <c r="W153" s="267" t="n">
        <v>1400</v>
      </c>
      <c r="X153" s="260" t="n">
        <v>1500</v>
      </c>
      <c r="Y153" s="260"/>
      <c r="Z153" s="265"/>
      <c r="AA153" s="265"/>
      <c r="AB153" s="265"/>
      <c r="AC153" s="265"/>
      <c r="AD153" s="265"/>
      <c r="AE153" s="265"/>
      <c r="AF153" s="265"/>
      <c r="AG153" s="266" t="s">
        <v>76</v>
      </c>
      <c r="AH153" s="213" t="s">
        <v>66</v>
      </c>
    </row>
    <row r="154" customFormat="false" ht="15" hidden="false" customHeight="false" outlineLevel="0" collapsed="false">
      <c r="A154" s="38" t="n">
        <v>3</v>
      </c>
      <c r="B154" s="256" t="s">
        <v>68</v>
      </c>
      <c r="C154" s="257" t="n">
        <v>76.48</v>
      </c>
      <c r="D154" s="257" t="n">
        <v>97.004</v>
      </c>
      <c r="E154" s="257" t="n">
        <v>130</v>
      </c>
      <c r="F154" s="257" t="n">
        <v>210</v>
      </c>
      <c r="G154" s="257" t="n">
        <v>28</v>
      </c>
      <c r="H154" s="257" t="n">
        <v>51</v>
      </c>
      <c r="I154" s="257" t="n">
        <v>118</v>
      </c>
      <c r="J154" s="257" t="n">
        <v>780</v>
      </c>
      <c r="K154" s="258" t="s">
        <v>3</v>
      </c>
      <c r="L154" s="259"/>
      <c r="M154" s="260"/>
      <c r="N154" s="261"/>
      <c r="O154" s="260" t="n">
        <v>200</v>
      </c>
      <c r="P154" s="262" t="n">
        <v>400</v>
      </c>
      <c r="Q154" s="260" t="n">
        <v>900</v>
      </c>
      <c r="R154" s="260" t="n">
        <v>400</v>
      </c>
      <c r="S154" s="263" t="n">
        <v>400</v>
      </c>
      <c r="T154" s="263" t="n">
        <f aca="false">400</f>
        <v>400</v>
      </c>
      <c r="U154" s="261" t="n">
        <f aca="false">400+3000</f>
        <v>3400</v>
      </c>
      <c r="V154" s="261" t="n">
        <f aca="false">800+13000</f>
        <v>13800</v>
      </c>
      <c r="W154" s="268" t="n">
        <f aca="false">800+14000</f>
        <v>14800</v>
      </c>
      <c r="X154" s="260" t="n">
        <v>800</v>
      </c>
      <c r="Y154" s="260"/>
      <c r="Z154" s="265"/>
      <c r="AA154" s="265"/>
      <c r="AB154" s="265"/>
      <c r="AC154" s="265"/>
      <c r="AD154" s="265"/>
      <c r="AE154" s="265"/>
      <c r="AF154" s="265"/>
      <c r="AG154" s="266" t="s">
        <v>76</v>
      </c>
      <c r="AH154" s="213" t="s">
        <v>66</v>
      </c>
    </row>
    <row r="155" customFormat="false" ht="15" hidden="false" customHeight="false" outlineLevel="0" collapsed="false">
      <c r="A155" s="38" t="n">
        <v>4</v>
      </c>
      <c r="B155" s="256" t="s">
        <v>69</v>
      </c>
      <c r="C155" s="257" t="n">
        <v>173.604</v>
      </c>
      <c r="D155" s="257" t="n">
        <v>81.594</v>
      </c>
      <c r="E155" s="257" t="n">
        <v>145</v>
      </c>
      <c r="F155" s="257" t="n">
        <v>96</v>
      </c>
      <c r="G155" s="257" t="n">
        <v>42</v>
      </c>
      <c r="H155" s="257" t="n">
        <v>111</v>
      </c>
      <c r="I155" s="257" t="n">
        <v>453</v>
      </c>
      <c r="J155" s="257" t="n">
        <v>200</v>
      </c>
      <c r="K155" s="258" t="s">
        <v>3</v>
      </c>
      <c r="L155" s="259"/>
      <c r="M155" s="260"/>
      <c r="N155" s="261"/>
      <c r="O155" s="260" t="n">
        <v>100</v>
      </c>
      <c r="P155" s="262" t="n">
        <v>400</v>
      </c>
      <c r="Q155" s="260" t="n">
        <v>600</v>
      </c>
      <c r="R155" s="260" t="n">
        <v>800</v>
      </c>
      <c r="S155" s="263" t="n">
        <v>600</v>
      </c>
      <c r="T155" s="263" t="n">
        <v>800</v>
      </c>
      <c r="U155" s="263" t="n">
        <v>800</v>
      </c>
      <c r="V155" s="263" t="n">
        <v>800</v>
      </c>
      <c r="W155" s="264" t="n">
        <v>800</v>
      </c>
      <c r="X155" s="260" t="n">
        <v>1100</v>
      </c>
      <c r="Y155" s="260"/>
      <c r="Z155" s="265"/>
      <c r="AA155" s="265"/>
      <c r="AB155" s="265"/>
      <c r="AC155" s="265"/>
      <c r="AD155" s="265"/>
      <c r="AE155" s="265"/>
      <c r="AF155" s="265"/>
      <c r="AG155" s="266" t="s">
        <v>76</v>
      </c>
      <c r="AH155" s="213" t="s">
        <v>66</v>
      </c>
    </row>
    <row r="156" customFormat="false" ht="15" hidden="false" customHeight="false" outlineLevel="0" collapsed="false">
      <c r="A156" s="38" t="n">
        <v>5</v>
      </c>
      <c r="B156" s="256" t="s">
        <v>70</v>
      </c>
      <c r="C156" s="257" t="n">
        <f aca="false">240.569+2005.683</f>
        <v>2246.252</v>
      </c>
      <c r="D156" s="257" t="n">
        <v>93.553</v>
      </c>
      <c r="E156" s="257" t="n">
        <v>284</v>
      </c>
      <c r="F156" s="257" t="n">
        <v>207</v>
      </c>
      <c r="G156" s="257" t="n">
        <v>189</v>
      </c>
      <c r="H156" s="257" t="n">
        <v>57</v>
      </c>
      <c r="I156" s="257" t="n">
        <v>100</v>
      </c>
      <c r="J156" s="257" t="n">
        <v>420</v>
      </c>
      <c r="K156" s="258" t="s">
        <v>3</v>
      </c>
      <c r="L156" s="259"/>
      <c r="M156" s="260"/>
      <c r="N156" s="261"/>
      <c r="O156" s="260" t="n">
        <v>300</v>
      </c>
      <c r="P156" s="262" t="n">
        <v>500</v>
      </c>
      <c r="Q156" s="260" t="n">
        <v>300</v>
      </c>
      <c r="R156" s="260" t="n">
        <v>200</v>
      </c>
      <c r="S156" s="263" t="n">
        <v>900</v>
      </c>
      <c r="T156" s="263" t="n">
        <v>950</v>
      </c>
      <c r="U156" s="263" t="n">
        <v>800</v>
      </c>
      <c r="V156" s="263" t="n">
        <v>600</v>
      </c>
      <c r="W156" s="264" t="n">
        <v>600</v>
      </c>
      <c r="X156" s="260" t="n">
        <v>600</v>
      </c>
      <c r="Y156" s="260"/>
      <c r="Z156" s="265"/>
      <c r="AA156" s="265"/>
      <c r="AB156" s="265"/>
      <c r="AC156" s="265"/>
      <c r="AD156" s="265"/>
      <c r="AE156" s="265"/>
      <c r="AF156" s="265"/>
      <c r="AG156" s="266" t="s">
        <v>76</v>
      </c>
      <c r="AH156" s="213" t="s">
        <v>66</v>
      </c>
    </row>
    <row r="157" customFormat="false" ht="15" hidden="false" customHeight="false" outlineLevel="0" collapsed="false">
      <c r="A157" s="38" t="n">
        <v>6</v>
      </c>
      <c r="B157" s="256" t="s">
        <v>71</v>
      </c>
      <c r="C157" s="257" t="n">
        <v>179.277</v>
      </c>
      <c r="D157" s="257" t="n">
        <v>16.093</v>
      </c>
      <c r="E157" s="257" t="n">
        <v>0</v>
      </c>
      <c r="F157" s="257" t="n">
        <v>38</v>
      </c>
      <c r="G157" s="257" t="n">
        <v>502</v>
      </c>
      <c r="H157" s="257" t="n">
        <v>46</v>
      </c>
      <c r="I157" s="257" t="n">
        <v>275</v>
      </c>
      <c r="J157" s="257" t="n">
        <v>200</v>
      </c>
      <c r="K157" s="258" t="s">
        <v>3</v>
      </c>
      <c r="L157" s="259"/>
      <c r="M157" s="260"/>
      <c r="N157" s="261"/>
      <c r="O157" s="260" t="n">
        <v>200</v>
      </c>
      <c r="P157" s="262" t="n">
        <v>100</v>
      </c>
      <c r="Q157" s="260" t="n">
        <v>2100</v>
      </c>
      <c r="R157" s="260" t="n">
        <v>1300</v>
      </c>
      <c r="S157" s="260" t="n">
        <v>400</v>
      </c>
      <c r="T157" s="260" t="n">
        <v>150</v>
      </c>
      <c r="U157" s="260" t="n">
        <v>200</v>
      </c>
      <c r="V157" s="260" t="n">
        <v>300</v>
      </c>
      <c r="W157" s="267" t="n">
        <v>200</v>
      </c>
      <c r="X157" s="260" t="n">
        <v>300</v>
      </c>
      <c r="Y157" s="260"/>
      <c r="Z157" s="265"/>
      <c r="AA157" s="265"/>
      <c r="AB157" s="265"/>
      <c r="AC157" s="265"/>
      <c r="AD157" s="265"/>
      <c r="AE157" s="265"/>
      <c r="AF157" s="265"/>
      <c r="AG157" s="266" t="s">
        <v>76</v>
      </c>
      <c r="AH157" s="213" t="s">
        <v>66</v>
      </c>
    </row>
    <row r="158" customFormat="false" ht="15" hidden="false" customHeight="false" outlineLevel="0" collapsed="false">
      <c r="A158" s="38" t="n">
        <v>7</v>
      </c>
      <c r="B158" s="256" t="s">
        <v>72</v>
      </c>
      <c r="C158" s="257"/>
      <c r="D158" s="257"/>
      <c r="E158" s="257"/>
      <c r="F158" s="257"/>
      <c r="G158" s="257"/>
      <c r="H158" s="257"/>
      <c r="I158" s="257"/>
      <c r="J158" s="257"/>
      <c r="K158" s="258"/>
      <c r="L158" s="259"/>
      <c r="M158" s="260"/>
      <c r="N158" s="261"/>
      <c r="O158" s="260"/>
      <c r="P158" s="262"/>
      <c r="Q158" s="260"/>
      <c r="R158" s="260"/>
      <c r="S158" s="260"/>
      <c r="T158" s="260"/>
      <c r="U158" s="260"/>
      <c r="V158" s="260"/>
      <c r="W158" s="267"/>
      <c r="X158" s="260"/>
      <c r="Y158" s="260"/>
      <c r="Z158" s="265"/>
      <c r="AA158" s="265"/>
      <c r="AB158" s="265"/>
      <c r="AC158" s="265"/>
      <c r="AD158" s="265"/>
      <c r="AE158" s="265"/>
      <c r="AF158" s="265"/>
      <c r="AG158" s="266" t="s">
        <v>76</v>
      </c>
      <c r="AH158" s="213" t="s">
        <v>66</v>
      </c>
    </row>
    <row r="159" customFormat="false" ht="15" hidden="false" customHeight="false" outlineLevel="0" collapsed="false">
      <c r="A159" s="38" t="n">
        <v>8</v>
      </c>
      <c r="B159" s="256" t="s">
        <v>90</v>
      </c>
      <c r="C159" s="257" t="n">
        <v>50.472</v>
      </c>
      <c r="D159" s="257" t="n">
        <v>37.334</v>
      </c>
      <c r="E159" s="257" t="n">
        <v>153</v>
      </c>
      <c r="F159" s="257" t="n">
        <v>311</v>
      </c>
      <c r="G159" s="257" t="n">
        <v>97</v>
      </c>
      <c r="H159" s="257" t="n">
        <v>284</v>
      </c>
      <c r="I159" s="257" t="n">
        <v>256</v>
      </c>
      <c r="J159" s="257" t="n">
        <v>390</v>
      </c>
      <c r="K159" s="258" t="s">
        <v>3</v>
      </c>
      <c r="L159" s="259"/>
      <c r="M159" s="260"/>
      <c r="N159" s="261"/>
      <c r="O159" s="260" t="n">
        <v>200</v>
      </c>
      <c r="P159" s="262" t="n">
        <v>200</v>
      </c>
      <c r="Q159" s="260" t="n">
        <v>200</v>
      </c>
      <c r="R159" s="260" t="n">
        <v>2200</v>
      </c>
      <c r="S159" s="260" t="n">
        <v>1600</v>
      </c>
      <c r="T159" s="260" t="n">
        <v>600</v>
      </c>
      <c r="U159" s="260" t="n">
        <v>600</v>
      </c>
      <c r="V159" s="260" t="s">
        <v>91</v>
      </c>
      <c r="W159" s="267" t="n">
        <v>600</v>
      </c>
      <c r="X159" s="260" t="n">
        <v>600</v>
      </c>
      <c r="Y159" s="260"/>
      <c r="Z159" s="265"/>
      <c r="AA159" s="265"/>
      <c r="AB159" s="265"/>
      <c r="AC159" s="265"/>
      <c r="AD159" s="265"/>
      <c r="AE159" s="265"/>
      <c r="AF159" s="265"/>
      <c r="AG159" s="266" t="s">
        <v>76</v>
      </c>
      <c r="AH159" s="213" t="s">
        <v>66</v>
      </c>
    </row>
    <row r="160" customFormat="false" ht="15.75" hidden="false" customHeight="false" outlineLevel="0" collapsed="false">
      <c r="A160" s="36"/>
      <c r="B160" s="120" t="s">
        <v>114</v>
      </c>
      <c r="C160" s="212" t="n">
        <f aca="false">SUM(C162:C169)</f>
        <v>8493.785</v>
      </c>
      <c r="D160" s="212" t="n">
        <f aca="false">SUM(D162:D169)</f>
        <v>4586.883</v>
      </c>
      <c r="E160" s="212" t="n">
        <v>5291</v>
      </c>
      <c r="F160" s="212" t="n">
        <v>2715</v>
      </c>
      <c r="G160" s="212" t="e">
        <f aca="false">SUM(G162:G169)+#REF!</f>
        <v>#REF!</v>
      </c>
      <c r="H160" s="212" t="n">
        <v>7532</v>
      </c>
      <c r="I160" s="212" t="n">
        <v>10992</v>
      </c>
      <c r="J160" s="212" t="n">
        <v>14205</v>
      </c>
      <c r="K160" s="68" t="n">
        <v>12592</v>
      </c>
      <c r="L160" s="68" t="n">
        <v>13900</v>
      </c>
      <c r="M160" s="69" t="n">
        <f aca="false">24424730/1000</f>
        <v>24424.73</v>
      </c>
      <c r="N160" s="70" t="n">
        <f aca="false">24831758.4/1000</f>
        <v>24831.7584</v>
      </c>
      <c r="O160" s="69" t="n">
        <v>25500</v>
      </c>
      <c r="P160" s="214" t="n">
        <f aca="false">19000+4500</f>
        <v>23500</v>
      </c>
      <c r="Q160" s="69" t="n">
        <v>19000</v>
      </c>
      <c r="R160" s="69" t="n">
        <v>19000</v>
      </c>
      <c r="S160" s="69" t="n">
        <v>19500</v>
      </c>
      <c r="T160" s="69" t="n">
        <v>19500</v>
      </c>
      <c r="U160" s="69" t="n">
        <v>19500</v>
      </c>
      <c r="V160" s="69" t="n">
        <v>19500</v>
      </c>
      <c r="W160" s="68" t="n">
        <v>19500</v>
      </c>
      <c r="X160" s="69" t="n">
        <v>19500</v>
      </c>
      <c r="Y160" s="69" t="n">
        <v>19500</v>
      </c>
    </row>
    <row r="161" customFormat="false" ht="16.5" hidden="false" customHeight="true" outlineLevel="0" collapsed="false">
      <c r="A161" s="36"/>
      <c r="B161" s="289"/>
    </row>
    <row r="162" customFormat="false" ht="16.5" hidden="false" customHeight="true" outlineLevel="0" collapsed="false">
      <c r="A162" s="38" t="n">
        <v>1</v>
      </c>
      <c r="B162" s="256" t="s">
        <v>65</v>
      </c>
      <c r="C162" s="257" t="n">
        <v>5148.173</v>
      </c>
      <c r="D162" s="257" t="n">
        <v>3946.199</v>
      </c>
      <c r="E162" s="257" t="n">
        <v>807</v>
      </c>
      <c r="F162" s="257" t="n">
        <v>1504</v>
      </c>
      <c r="G162" s="257" t="n">
        <v>2658</v>
      </c>
      <c r="H162" s="257" t="n">
        <v>1066</v>
      </c>
      <c r="I162" s="257" t="n">
        <v>564</v>
      </c>
      <c r="J162" s="257" t="n">
        <v>1000</v>
      </c>
      <c r="K162" s="258" t="s">
        <v>3</v>
      </c>
      <c r="L162" s="259"/>
      <c r="M162" s="260"/>
      <c r="N162" s="261"/>
      <c r="O162" s="260" t="n">
        <v>1800</v>
      </c>
      <c r="P162" s="262" t="n">
        <v>1000</v>
      </c>
      <c r="Q162" s="260" t="n">
        <v>1300</v>
      </c>
      <c r="R162" s="260" t="n">
        <v>1700</v>
      </c>
      <c r="S162" s="263" t="n">
        <v>2000</v>
      </c>
      <c r="T162" s="263" t="n">
        <v>1000</v>
      </c>
      <c r="U162" s="263" t="n">
        <v>1200</v>
      </c>
      <c r="V162" s="263" t="n">
        <v>2000</v>
      </c>
      <c r="W162" s="264" t="n">
        <v>2000</v>
      </c>
      <c r="X162" s="260" t="n">
        <v>2500</v>
      </c>
      <c r="Y162" s="260"/>
      <c r="Z162" s="265"/>
      <c r="AA162" s="265"/>
      <c r="AB162" s="265"/>
      <c r="AC162" s="265"/>
      <c r="AD162" s="265"/>
      <c r="AE162" s="265"/>
      <c r="AF162" s="265"/>
      <c r="AG162" s="266" t="s">
        <v>76</v>
      </c>
      <c r="AH162" s="213" t="s">
        <v>66</v>
      </c>
    </row>
    <row r="163" customFormat="false" ht="15" hidden="false" customHeight="false" outlineLevel="0" collapsed="false">
      <c r="A163" s="38" t="n">
        <v>2</v>
      </c>
      <c r="B163" s="256" t="s">
        <v>67</v>
      </c>
      <c r="C163" s="257" t="n">
        <v>619.527</v>
      </c>
      <c r="D163" s="257" t="n">
        <v>315.106</v>
      </c>
      <c r="E163" s="257" t="n">
        <v>180</v>
      </c>
      <c r="F163" s="257" t="n">
        <v>221</v>
      </c>
      <c r="G163" s="257" t="n">
        <v>495</v>
      </c>
      <c r="H163" s="257" t="n">
        <v>179</v>
      </c>
      <c r="I163" s="257" t="n">
        <v>814</v>
      </c>
      <c r="J163" s="257" t="n">
        <v>1210</v>
      </c>
      <c r="K163" s="258" t="s">
        <v>3</v>
      </c>
      <c r="L163" s="259"/>
      <c r="M163" s="260"/>
      <c r="N163" s="261"/>
      <c r="O163" s="260" t="n">
        <v>200</v>
      </c>
      <c r="P163" s="262" t="n">
        <v>100</v>
      </c>
      <c r="Q163" s="260" t="n">
        <v>700</v>
      </c>
      <c r="R163" s="260" t="n">
        <v>500</v>
      </c>
      <c r="S163" s="260" t="n">
        <v>600</v>
      </c>
      <c r="T163" s="260" t="n">
        <v>800</v>
      </c>
      <c r="U163" s="260" t="n">
        <v>1200</v>
      </c>
      <c r="V163" s="260" t="n">
        <v>1300</v>
      </c>
      <c r="W163" s="267" t="n">
        <v>1400</v>
      </c>
      <c r="X163" s="260" t="n">
        <v>1500</v>
      </c>
      <c r="Y163" s="260"/>
      <c r="Z163" s="265"/>
      <c r="AA163" s="265"/>
      <c r="AB163" s="265"/>
      <c r="AC163" s="265"/>
      <c r="AD163" s="265"/>
      <c r="AE163" s="265"/>
      <c r="AF163" s="265"/>
      <c r="AG163" s="266" t="s">
        <v>76</v>
      </c>
      <c r="AH163" s="213" t="s">
        <v>66</v>
      </c>
    </row>
    <row r="164" customFormat="false" ht="15" hidden="false" customHeight="false" outlineLevel="0" collapsed="false">
      <c r="A164" s="38" t="n">
        <v>3</v>
      </c>
      <c r="B164" s="256" t="s">
        <v>68</v>
      </c>
      <c r="C164" s="257" t="n">
        <v>76.48</v>
      </c>
      <c r="D164" s="257" t="n">
        <v>97.004</v>
      </c>
      <c r="E164" s="257" t="n">
        <v>130</v>
      </c>
      <c r="F164" s="257" t="n">
        <v>210</v>
      </c>
      <c r="G164" s="257" t="n">
        <v>28</v>
      </c>
      <c r="H164" s="257" t="n">
        <v>51</v>
      </c>
      <c r="I164" s="257" t="n">
        <v>118</v>
      </c>
      <c r="J164" s="257" t="n">
        <v>780</v>
      </c>
      <c r="K164" s="258" t="s">
        <v>3</v>
      </c>
      <c r="L164" s="259"/>
      <c r="M164" s="260"/>
      <c r="N164" s="261"/>
      <c r="O164" s="260" t="n">
        <v>200</v>
      </c>
      <c r="P164" s="262" t="n">
        <v>400</v>
      </c>
      <c r="Q164" s="260" t="n">
        <v>900</v>
      </c>
      <c r="R164" s="260" t="n">
        <v>400</v>
      </c>
      <c r="S164" s="263" t="n">
        <v>400</v>
      </c>
      <c r="T164" s="263" t="n">
        <f aca="false">400</f>
        <v>400</v>
      </c>
      <c r="U164" s="261" t="n">
        <f aca="false">400+3000</f>
        <v>3400</v>
      </c>
      <c r="V164" s="261" t="n">
        <f aca="false">800+13000</f>
        <v>13800</v>
      </c>
      <c r="W164" s="268" t="n">
        <f aca="false">800+14000</f>
        <v>14800</v>
      </c>
      <c r="X164" s="260" t="n">
        <v>800</v>
      </c>
      <c r="Y164" s="260"/>
      <c r="Z164" s="265"/>
      <c r="AA164" s="265"/>
      <c r="AB164" s="265"/>
      <c r="AC164" s="265"/>
      <c r="AD164" s="265"/>
      <c r="AE164" s="265"/>
      <c r="AF164" s="265"/>
      <c r="AG164" s="266" t="s">
        <v>76</v>
      </c>
      <c r="AH164" s="213" t="s">
        <v>66</v>
      </c>
    </row>
    <row r="165" customFormat="false" ht="15" hidden="false" customHeight="false" outlineLevel="0" collapsed="false">
      <c r="A165" s="38" t="n">
        <v>4</v>
      </c>
      <c r="B165" s="256" t="s">
        <v>69</v>
      </c>
      <c r="C165" s="257" t="n">
        <v>173.604</v>
      </c>
      <c r="D165" s="257" t="n">
        <v>81.594</v>
      </c>
      <c r="E165" s="257" t="n">
        <v>145</v>
      </c>
      <c r="F165" s="257" t="n">
        <v>96</v>
      </c>
      <c r="G165" s="257" t="n">
        <v>42</v>
      </c>
      <c r="H165" s="257" t="n">
        <v>111</v>
      </c>
      <c r="I165" s="257" t="n">
        <v>453</v>
      </c>
      <c r="J165" s="257" t="n">
        <v>200</v>
      </c>
      <c r="K165" s="258" t="s">
        <v>3</v>
      </c>
      <c r="L165" s="259"/>
      <c r="M165" s="260"/>
      <c r="N165" s="261"/>
      <c r="O165" s="260" t="n">
        <v>100</v>
      </c>
      <c r="P165" s="262" t="n">
        <v>400</v>
      </c>
      <c r="Q165" s="260" t="n">
        <v>600</v>
      </c>
      <c r="R165" s="260" t="n">
        <v>800</v>
      </c>
      <c r="S165" s="263" t="n">
        <v>600</v>
      </c>
      <c r="T165" s="263" t="n">
        <v>800</v>
      </c>
      <c r="U165" s="263" t="n">
        <v>800</v>
      </c>
      <c r="V165" s="263" t="n">
        <v>800</v>
      </c>
      <c r="W165" s="264" t="n">
        <v>800</v>
      </c>
      <c r="X165" s="260" t="n">
        <v>1100</v>
      </c>
      <c r="Y165" s="260"/>
      <c r="Z165" s="265"/>
      <c r="AA165" s="265"/>
      <c r="AB165" s="265"/>
      <c r="AC165" s="265"/>
      <c r="AD165" s="265"/>
      <c r="AE165" s="265"/>
      <c r="AF165" s="265"/>
      <c r="AG165" s="266" t="s">
        <v>76</v>
      </c>
      <c r="AH165" s="213" t="s">
        <v>66</v>
      </c>
    </row>
    <row r="166" customFormat="false" ht="15" hidden="false" customHeight="false" outlineLevel="0" collapsed="false">
      <c r="A166" s="38" t="n">
        <v>5</v>
      </c>
      <c r="B166" s="256" t="s">
        <v>70</v>
      </c>
      <c r="C166" s="257" t="n">
        <f aca="false">240.569+2005.683</f>
        <v>2246.252</v>
      </c>
      <c r="D166" s="257" t="n">
        <v>93.553</v>
      </c>
      <c r="E166" s="257" t="n">
        <v>284</v>
      </c>
      <c r="F166" s="257" t="n">
        <v>207</v>
      </c>
      <c r="G166" s="257" t="n">
        <v>189</v>
      </c>
      <c r="H166" s="257" t="n">
        <v>57</v>
      </c>
      <c r="I166" s="257" t="n">
        <v>100</v>
      </c>
      <c r="J166" s="257" t="n">
        <v>420</v>
      </c>
      <c r="K166" s="258" t="s">
        <v>3</v>
      </c>
      <c r="L166" s="259"/>
      <c r="M166" s="260"/>
      <c r="N166" s="261"/>
      <c r="O166" s="260" t="n">
        <v>300</v>
      </c>
      <c r="P166" s="262" t="n">
        <v>500</v>
      </c>
      <c r="Q166" s="260" t="n">
        <v>300</v>
      </c>
      <c r="R166" s="260" t="n">
        <v>200</v>
      </c>
      <c r="S166" s="263" t="n">
        <v>900</v>
      </c>
      <c r="T166" s="263" t="n">
        <v>950</v>
      </c>
      <c r="U166" s="263" t="n">
        <v>800</v>
      </c>
      <c r="V166" s="263" t="n">
        <v>600</v>
      </c>
      <c r="W166" s="264" t="n">
        <v>600</v>
      </c>
      <c r="X166" s="260" t="n">
        <v>600</v>
      </c>
      <c r="Y166" s="260"/>
      <c r="Z166" s="265"/>
      <c r="AA166" s="265"/>
      <c r="AB166" s="265"/>
      <c r="AC166" s="265"/>
      <c r="AD166" s="265"/>
      <c r="AE166" s="265"/>
      <c r="AF166" s="265"/>
      <c r="AG166" s="266" t="s">
        <v>76</v>
      </c>
      <c r="AH166" s="213" t="s">
        <v>66</v>
      </c>
    </row>
    <row r="167" customFormat="false" ht="15" hidden="false" customHeight="false" outlineLevel="0" collapsed="false">
      <c r="A167" s="38" t="n">
        <v>6</v>
      </c>
      <c r="B167" s="256" t="s">
        <v>71</v>
      </c>
      <c r="C167" s="257" t="n">
        <v>179.277</v>
      </c>
      <c r="D167" s="257" t="n">
        <v>16.093</v>
      </c>
      <c r="E167" s="257" t="n">
        <v>0</v>
      </c>
      <c r="F167" s="257" t="n">
        <v>38</v>
      </c>
      <c r="G167" s="257" t="n">
        <v>502</v>
      </c>
      <c r="H167" s="257" t="n">
        <v>46</v>
      </c>
      <c r="I167" s="257" t="n">
        <v>275</v>
      </c>
      <c r="J167" s="257" t="n">
        <v>200</v>
      </c>
      <c r="K167" s="258" t="s">
        <v>3</v>
      </c>
      <c r="L167" s="259"/>
      <c r="M167" s="260"/>
      <c r="N167" s="261"/>
      <c r="O167" s="260" t="n">
        <v>200</v>
      </c>
      <c r="P167" s="262" t="n">
        <v>100</v>
      </c>
      <c r="Q167" s="260" t="n">
        <v>2100</v>
      </c>
      <c r="R167" s="260" t="n">
        <v>1300</v>
      </c>
      <c r="S167" s="260" t="n">
        <v>400</v>
      </c>
      <c r="T167" s="260" t="n">
        <v>150</v>
      </c>
      <c r="U167" s="260" t="n">
        <v>200</v>
      </c>
      <c r="V167" s="260" t="n">
        <v>300</v>
      </c>
      <c r="W167" s="267" t="n">
        <v>200</v>
      </c>
      <c r="X167" s="260" t="n">
        <v>300</v>
      </c>
      <c r="Y167" s="260"/>
      <c r="Z167" s="265"/>
      <c r="AA167" s="265"/>
      <c r="AB167" s="265"/>
      <c r="AC167" s="265"/>
      <c r="AD167" s="265"/>
      <c r="AE167" s="265"/>
      <c r="AF167" s="265"/>
      <c r="AG167" s="266" t="s">
        <v>76</v>
      </c>
      <c r="AH167" s="213" t="s">
        <v>66</v>
      </c>
    </row>
    <row r="168" customFormat="false" ht="15" hidden="false" customHeight="false" outlineLevel="0" collapsed="false">
      <c r="A168" s="38" t="n">
        <v>7</v>
      </c>
      <c r="B168" s="256" t="s">
        <v>72</v>
      </c>
      <c r="C168" s="257"/>
      <c r="D168" s="257"/>
      <c r="E168" s="257"/>
      <c r="F168" s="257"/>
      <c r="G168" s="257"/>
      <c r="H168" s="257"/>
      <c r="I168" s="257"/>
      <c r="J168" s="257"/>
      <c r="K168" s="258"/>
      <c r="L168" s="259"/>
      <c r="M168" s="260"/>
      <c r="N168" s="261"/>
      <c r="O168" s="260"/>
      <c r="P168" s="262"/>
      <c r="Q168" s="260"/>
      <c r="R168" s="260"/>
      <c r="S168" s="260"/>
      <c r="T168" s="260"/>
      <c r="U168" s="260"/>
      <c r="V168" s="260"/>
      <c r="W168" s="267"/>
      <c r="X168" s="260"/>
      <c r="Y168" s="260"/>
      <c r="Z168" s="265"/>
      <c r="AA168" s="265"/>
      <c r="AB168" s="265"/>
      <c r="AC168" s="265"/>
      <c r="AD168" s="265"/>
      <c r="AE168" s="265"/>
      <c r="AF168" s="265"/>
      <c r="AG168" s="266" t="s">
        <v>76</v>
      </c>
      <c r="AH168" s="213" t="s">
        <v>66</v>
      </c>
    </row>
    <row r="169" customFormat="false" ht="15" hidden="false" customHeight="false" outlineLevel="0" collapsed="false">
      <c r="A169" s="38" t="n">
        <v>8</v>
      </c>
      <c r="B169" s="256" t="s">
        <v>90</v>
      </c>
      <c r="C169" s="257" t="n">
        <v>50.472</v>
      </c>
      <c r="D169" s="257" t="n">
        <v>37.334</v>
      </c>
      <c r="E169" s="257" t="n">
        <v>153</v>
      </c>
      <c r="F169" s="257" t="n">
        <v>311</v>
      </c>
      <c r="G169" s="257" t="n">
        <v>97</v>
      </c>
      <c r="H169" s="257" t="n">
        <v>284</v>
      </c>
      <c r="I169" s="257" t="n">
        <v>256</v>
      </c>
      <c r="J169" s="257" t="n">
        <v>390</v>
      </c>
      <c r="K169" s="258" t="s">
        <v>3</v>
      </c>
      <c r="L169" s="259"/>
      <c r="M169" s="260"/>
      <c r="N169" s="261"/>
      <c r="O169" s="260" t="n">
        <v>200</v>
      </c>
      <c r="P169" s="262" t="n">
        <v>200</v>
      </c>
      <c r="Q169" s="260" t="n">
        <v>200</v>
      </c>
      <c r="R169" s="260" t="n">
        <v>2200</v>
      </c>
      <c r="S169" s="260" t="n">
        <v>1600</v>
      </c>
      <c r="T169" s="260" t="n">
        <v>600</v>
      </c>
      <c r="U169" s="260" t="n">
        <v>600</v>
      </c>
      <c r="V169" s="260" t="s">
        <v>91</v>
      </c>
      <c r="W169" s="267" t="n">
        <v>600</v>
      </c>
      <c r="X169" s="260" t="n">
        <v>600</v>
      </c>
      <c r="Y169" s="260"/>
      <c r="Z169" s="265"/>
      <c r="AA169" s="265"/>
      <c r="AB169" s="265"/>
      <c r="AC169" s="265"/>
      <c r="AD169" s="265"/>
      <c r="AE169" s="265"/>
      <c r="AF169" s="265"/>
      <c r="AG169" s="266" t="s">
        <v>76</v>
      </c>
      <c r="AH169" s="213" t="s">
        <v>66</v>
      </c>
    </row>
    <row r="170" s="3" customFormat="true" ht="15.75" hidden="false" customHeight="false" outlineLevel="0" collapsed="false">
      <c r="A170" s="36"/>
      <c r="B170" s="95" t="s">
        <v>115</v>
      </c>
      <c r="C170" s="231" t="n">
        <v>333.71034</v>
      </c>
      <c r="D170" s="231" t="n">
        <v>789</v>
      </c>
      <c r="E170" s="231" t="n">
        <v>1679</v>
      </c>
      <c r="F170" s="231" t="n">
        <v>403</v>
      </c>
      <c r="G170" s="231" t="n">
        <v>34</v>
      </c>
      <c r="H170" s="231" t="n">
        <v>0</v>
      </c>
      <c r="I170" s="231" t="n">
        <v>0</v>
      </c>
      <c r="J170" s="231" t="n">
        <v>0</v>
      </c>
      <c r="K170" s="126" t="n">
        <v>0</v>
      </c>
      <c r="L170" s="58"/>
      <c r="M170" s="59"/>
      <c r="N170" s="60"/>
      <c r="O170" s="61"/>
      <c r="P170" s="62"/>
      <c r="Q170" s="61"/>
      <c r="R170" s="61"/>
      <c r="S170" s="97"/>
      <c r="T170" s="97"/>
      <c r="U170" s="97"/>
      <c r="V170" s="97"/>
      <c r="W170" s="232"/>
      <c r="X170" s="61"/>
      <c r="Y170" s="61"/>
    </row>
    <row r="171" s="3" customFormat="true" ht="15.75" hidden="false" customHeight="false" outlineLevel="0" collapsed="false">
      <c r="A171" s="36"/>
      <c r="B171" s="95" t="s">
        <v>116</v>
      </c>
      <c r="C171" s="231" t="n">
        <v>49.09412</v>
      </c>
      <c r="D171" s="231" t="n">
        <v>30.255</v>
      </c>
      <c r="E171" s="231" t="n">
        <v>48</v>
      </c>
      <c r="F171" s="231" t="n">
        <v>167</v>
      </c>
      <c r="G171" s="231" t="n">
        <v>1680</v>
      </c>
      <c r="H171" s="231" t="n">
        <v>0</v>
      </c>
      <c r="I171" s="231" t="n">
        <v>0</v>
      </c>
      <c r="J171" s="231" t="n">
        <v>0</v>
      </c>
      <c r="K171" s="126" t="n">
        <v>0</v>
      </c>
      <c r="L171" s="58"/>
      <c r="M171" s="59"/>
      <c r="N171" s="60"/>
      <c r="O171" s="61"/>
      <c r="P171" s="62"/>
      <c r="Q171" s="61"/>
      <c r="R171" s="61"/>
      <c r="S171" s="97"/>
      <c r="T171" s="97"/>
      <c r="U171" s="97"/>
      <c r="V171" s="97"/>
      <c r="W171" s="232"/>
      <c r="X171" s="61"/>
      <c r="Y171" s="61"/>
    </row>
    <row r="172" s="3" customFormat="true" ht="15.75" hidden="false" customHeight="false" outlineLevel="0" collapsed="false">
      <c r="A172" s="36"/>
      <c r="B172" s="95" t="s">
        <v>117</v>
      </c>
      <c r="C172" s="231" t="n">
        <v>2.1</v>
      </c>
      <c r="D172" s="231" t="n">
        <v>109.667</v>
      </c>
      <c r="E172" s="231" t="n">
        <v>22</v>
      </c>
      <c r="F172" s="231" t="n">
        <v>0</v>
      </c>
      <c r="G172" s="231" t="n">
        <v>191</v>
      </c>
      <c r="H172" s="231" t="n">
        <v>0</v>
      </c>
      <c r="I172" s="231" t="n">
        <v>0</v>
      </c>
      <c r="J172" s="231" t="n">
        <v>0</v>
      </c>
      <c r="K172" s="126" t="n">
        <v>0</v>
      </c>
      <c r="L172" s="58"/>
      <c r="M172" s="59"/>
      <c r="N172" s="60"/>
      <c r="O172" s="61"/>
      <c r="P172" s="62"/>
      <c r="Q172" s="61"/>
      <c r="R172" s="61"/>
      <c r="S172" s="97"/>
      <c r="T172" s="97"/>
      <c r="U172" s="97"/>
      <c r="V172" s="97"/>
      <c r="W172" s="232"/>
      <c r="X172" s="61"/>
      <c r="Y172" s="61"/>
    </row>
    <row r="173" s="3" customFormat="true" ht="15.75" hidden="false" customHeight="false" outlineLevel="0" collapsed="false">
      <c r="A173" s="36"/>
      <c r="B173" s="95" t="s">
        <v>118</v>
      </c>
      <c r="C173" s="231" t="n">
        <v>479.53718</v>
      </c>
      <c r="D173" s="231"/>
      <c r="E173" s="231" t="n">
        <v>0</v>
      </c>
      <c r="F173" s="231" t="n">
        <v>0</v>
      </c>
      <c r="G173" s="231" t="n">
        <v>0</v>
      </c>
      <c r="H173" s="231" t="n">
        <v>0</v>
      </c>
      <c r="I173" s="231" t="n">
        <v>0</v>
      </c>
      <c r="J173" s="231" t="n">
        <v>0</v>
      </c>
      <c r="K173" s="126" t="n">
        <v>0</v>
      </c>
      <c r="L173" s="58" t="s">
        <v>3</v>
      </c>
      <c r="M173" s="59"/>
      <c r="N173" s="60"/>
      <c r="O173" s="61"/>
      <c r="P173" s="62"/>
      <c r="Q173" s="61"/>
      <c r="R173" s="61"/>
      <c r="S173" s="97"/>
      <c r="T173" s="97"/>
      <c r="U173" s="97"/>
      <c r="V173" s="97"/>
      <c r="W173" s="232"/>
      <c r="X173" s="61"/>
      <c r="Y173" s="61"/>
    </row>
    <row r="174" s="3" customFormat="true" ht="15.75" hidden="false" customHeight="false" outlineLevel="0" collapsed="false">
      <c r="A174" s="36"/>
      <c r="B174" s="95" t="s">
        <v>119</v>
      </c>
      <c r="C174" s="231" t="n">
        <v>0</v>
      </c>
      <c r="D174" s="231" t="n">
        <v>0</v>
      </c>
      <c r="E174" s="231" t="n">
        <v>0</v>
      </c>
      <c r="F174" s="231" t="n">
        <v>0</v>
      </c>
      <c r="G174" s="231" t="n">
        <v>0</v>
      </c>
      <c r="H174" s="231" t="n">
        <v>0</v>
      </c>
      <c r="I174" s="231" t="n">
        <v>0</v>
      </c>
      <c r="J174" s="231" t="n">
        <v>0</v>
      </c>
      <c r="K174" s="126" t="n">
        <v>0</v>
      </c>
      <c r="L174" s="58"/>
      <c r="M174" s="59"/>
      <c r="N174" s="60"/>
      <c r="O174" s="61"/>
      <c r="P174" s="62"/>
      <c r="Q174" s="61"/>
      <c r="R174" s="61"/>
      <c r="S174" s="97"/>
      <c r="T174" s="97"/>
      <c r="U174" s="97"/>
      <c r="V174" s="97"/>
      <c r="W174" s="232"/>
      <c r="X174" s="61"/>
      <c r="Y174" s="61"/>
    </row>
    <row r="175" s="3" customFormat="true" ht="15.75" hidden="false" customHeight="false" outlineLevel="0" collapsed="false">
      <c r="A175" s="36"/>
      <c r="B175" s="95" t="s">
        <v>120</v>
      </c>
      <c r="C175" s="231"/>
      <c r="D175" s="231" t="n">
        <v>51.418</v>
      </c>
      <c r="E175" s="231" t="n">
        <v>219</v>
      </c>
      <c r="F175" s="231" t="n">
        <v>11</v>
      </c>
      <c r="G175" s="231" t="n">
        <v>1</v>
      </c>
      <c r="H175" s="231" t="n">
        <v>0</v>
      </c>
      <c r="I175" s="231" t="n">
        <v>0</v>
      </c>
      <c r="J175" s="231" t="n">
        <v>0</v>
      </c>
      <c r="K175" s="126" t="n">
        <v>0</v>
      </c>
      <c r="L175" s="58"/>
      <c r="M175" s="59"/>
      <c r="N175" s="60"/>
      <c r="O175" s="61"/>
      <c r="P175" s="62"/>
      <c r="Q175" s="61"/>
      <c r="R175" s="61"/>
      <c r="S175" s="97"/>
      <c r="T175" s="97"/>
      <c r="U175" s="97"/>
      <c r="V175" s="97"/>
      <c r="W175" s="232"/>
      <c r="X175" s="61"/>
      <c r="Y175" s="61"/>
    </row>
    <row r="176" s="3" customFormat="true" ht="15.75" hidden="false" customHeight="false" outlineLevel="0" collapsed="false">
      <c r="A176" s="36"/>
      <c r="B176" s="95" t="s">
        <v>121</v>
      </c>
      <c r="C176" s="231"/>
      <c r="D176" s="231"/>
      <c r="E176" s="231" t="n">
        <v>62</v>
      </c>
      <c r="F176" s="231" t="n">
        <v>14</v>
      </c>
      <c r="G176" s="231" t="n">
        <v>0</v>
      </c>
      <c r="H176" s="231" t="n">
        <v>0</v>
      </c>
      <c r="I176" s="231" t="n">
        <v>0</v>
      </c>
      <c r="J176" s="231" t="n">
        <v>0</v>
      </c>
      <c r="K176" s="126" t="n">
        <v>0</v>
      </c>
      <c r="L176" s="58"/>
      <c r="M176" s="59"/>
      <c r="N176" s="60"/>
      <c r="O176" s="61"/>
      <c r="P176" s="62"/>
      <c r="Q176" s="61"/>
      <c r="R176" s="61"/>
      <c r="S176" s="97"/>
      <c r="T176" s="97"/>
      <c r="U176" s="97"/>
      <c r="V176" s="97"/>
      <c r="W176" s="232"/>
      <c r="X176" s="61"/>
      <c r="Y176" s="61"/>
    </row>
    <row r="177" s="3" customFormat="true" ht="15.75" hidden="false" customHeight="false" outlineLevel="0" collapsed="false">
      <c r="A177" s="36"/>
      <c r="B177" s="95" t="s">
        <v>122</v>
      </c>
      <c r="C177" s="231"/>
      <c r="D177" s="231" t="n">
        <v>18.768</v>
      </c>
      <c r="E177" s="231" t="n">
        <v>15</v>
      </c>
      <c r="F177" s="231" t="n">
        <v>46</v>
      </c>
      <c r="G177" s="231" t="n">
        <v>2</v>
      </c>
      <c r="H177" s="231" t="n">
        <v>0</v>
      </c>
      <c r="I177" s="231" t="n">
        <v>0</v>
      </c>
      <c r="J177" s="231" t="n">
        <v>0</v>
      </c>
      <c r="K177" s="126" t="n">
        <v>0</v>
      </c>
      <c r="L177" s="58"/>
      <c r="M177" s="59"/>
      <c r="N177" s="60"/>
      <c r="O177" s="61"/>
      <c r="P177" s="62"/>
      <c r="Q177" s="61"/>
      <c r="R177" s="61"/>
      <c r="S177" s="97"/>
      <c r="T177" s="97"/>
      <c r="U177" s="97"/>
      <c r="V177" s="97"/>
      <c r="W177" s="232"/>
      <c r="X177" s="61"/>
      <c r="Y177" s="61"/>
    </row>
    <row r="178" s="3" customFormat="true" ht="15.75" hidden="false" customHeight="false" outlineLevel="0" collapsed="false">
      <c r="A178" s="36"/>
      <c r="B178" s="95" t="s">
        <v>123</v>
      </c>
      <c r="C178" s="231"/>
      <c r="D178" s="231"/>
      <c r="E178" s="231"/>
      <c r="F178" s="231" t="n">
        <v>0</v>
      </c>
      <c r="G178" s="231" t="n">
        <v>0</v>
      </c>
      <c r="H178" s="231" t="n">
        <v>200</v>
      </c>
      <c r="I178" s="231" t="n">
        <v>440</v>
      </c>
      <c r="J178" s="231" t="n">
        <v>5000</v>
      </c>
      <c r="K178" s="126" t="n">
        <v>5000</v>
      </c>
      <c r="L178" s="58"/>
      <c r="M178" s="59"/>
      <c r="N178" s="60"/>
      <c r="O178" s="61"/>
      <c r="P178" s="62"/>
      <c r="Q178" s="61"/>
      <c r="R178" s="61"/>
      <c r="S178" s="97"/>
      <c r="T178" s="97"/>
      <c r="U178" s="97"/>
      <c r="V178" s="97"/>
      <c r="W178" s="232"/>
      <c r="X178" s="61"/>
      <c r="Y178" s="61"/>
    </row>
    <row r="179" s="3" customFormat="true" ht="15.75" hidden="false" customHeight="false" outlineLevel="0" collapsed="false">
      <c r="A179" s="36"/>
      <c r="B179" s="95"/>
      <c r="C179" s="231"/>
      <c r="D179" s="231"/>
      <c r="E179" s="231"/>
      <c r="F179" s="231"/>
      <c r="G179" s="231"/>
      <c r="H179" s="231"/>
      <c r="I179" s="231"/>
      <c r="J179" s="231"/>
      <c r="K179" s="126"/>
      <c r="L179" s="58"/>
      <c r="M179" s="59"/>
      <c r="N179" s="60"/>
      <c r="O179" s="61"/>
      <c r="P179" s="62"/>
      <c r="Q179" s="61"/>
      <c r="R179" s="61"/>
      <c r="S179" s="97"/>
      <c r="T179" s="97"/>
      <c r="U179" s="97"/>
      <c r="V179" s="97"/>
      <c r="W179" s="232"/>
      <c r="X179" s="61"/>
      <c r="Y179" s="61"/>
    </row>
    <row r="180" s="3" customFormat="true" ht="15.75" hidden="false" customHeight="false" outlineLevel="0" collapsed="false">
      <c r="A180" s="36"/>
      <c r="B180" s="73" t="s">
        <v>124</v>
      </c>
      <c r="C180" s="231"/>
      <c r="D180" s="231"/>
      <c r="E180" s="231"/>
      <c r="F180" s="231"/>
      <c r="G180" s="231"/>
      <c r="H180" s="231"/>
      <c r="I180" s="231"/>
      <c r="J180" s="231"/>
      <c r="K180" s="126"/>
      <c r="L180" s="304" t="n">
        <v>8</v>
      </c>
      <c r="M180" s="59"/>
      <c r="N180" s="60"/>
      <c r="O180" s="61"/>
      <c r="P180" s="62"/>
      <c r="Q180" s="61"/>
      <c r="R180" s="61"/>
      <c r="S180" s="97"/>
      <c r="T180" s="97"/>
      <c r="U180" s="97"/>
      <c r="V180" s="97"/>
      <c r="W180" s="232"/>
      <c r="X180" s="61"/>
      <c r="Y180" s="61"/>
    </row>
    <row r="181" s="3" customFormat="true" ht="15.75" hidden="false" customHeight="false" outlineLevel="0" collapsed="false">
      <c r="A181" s="36"/>
      <c r="B181" s="73"/>
      <c r="C181" s="231"/>
      <c r="D181" s="231"/>
      <c r="E181" s="231"/>
      <c r="F181" s="231"/>
      <c r="G181" s="231"/>
      <c r="H181" s="231"/>
      <c r="I181" s="231"/>
      <c r="J181" s="231"/>
      <c r="K181" s="126"/>
      <c r="L181" s="304"/>
      <c r="M181" s="59"/>
      <c r="N181" s="60"/>
      <c r="O181" s="61"/>
      <c r="P181" s="62"/>
      <c r="Q181" s="58"/>
      <c r="R181" s="58"/>
      <c r="S181" s="305"/>
      <c r="T181" s="305"/>
      <c r="U181" s="305"/>
      <c r="V181" s="97"/>
      <c r="W181" s="232"/>
      <c r="X181" s="61"/>
      <c r="Y181" s="61"/>
    </row>
    <row r="182" s="3" customFormat="true" ht="15.75" hidden="false" customHeight="false" outlineLevel="0" collapsed="false">
      <c r="A182" s="246"/>
      <c r="B182" s="112" t="s">
        <v>125</v>
      </c>
      <c r="C182" s="212" t="n">
        <f aca="false">SUM(C184:C186)</f>
        <v>2421.40007</v>
      </c>
      <c r="D182" s="212" t="n">
        <f aca="false">SUM(D184:D186)</f>
        <v>876.21288</v>
      </c>
      <c r="E182" s="212" t="n">
        <f aca="false">SUM(E184:E186)</f>
        <v>944</v>
      </c>
      <c r="F182" s="212" t="n">
        <f aca="false">SUM(F184:F186)</f>
        <v>1777</v>
      </c>
      <c r="G182" s="212" t="n">
        <f aca="false">SUM(G184+G185+G186+G187+G194)</f>
        <v>5326</v>
      </c>
      <c r="H182" s="212" t="n">
        <f aca="false">SUM(H184+H185+H186+H187+H194)</f>
        <v>4084</v>
      </c>
      <c r="I182" s="212" t="n">
        <f aca="false">SUM(I184+I185+I186+I187+I194)</f>
        <v>3429</v>
      </c>
      <c r="J182" s="212" t="n">
        <f aca="false">SUM(J184+J185+J186+J187+J194)</f>
        <v>2070</v>
      </c>
      <c r="K182" s="68" t="n">
        <v>1147</v>
      </c>
      <c r="L182" s="68" t="n">
        <f aca="false">SUM(L184+L185+L186+L187+L194)</f>
        <v>3174</v>
      </c>
      <c r="M182" s="69" t="n">
        <f aca="false">SUM(M184+M185+M186+M187+M194)</f>
        <v>3253.064</v>
      </c>
      <c r="N182" s="70" t="n">
        <f aca="false">SUM(N184+N185+N186+N187)</f>
        <v>2440.92651</v>
      </c>
      <c r="O182" s="69" t="n">
        <f aca="false">SUM(O184+O185+O186+O187)</f>
        <v>4000</v>
      </c>
      <c r="P182" s="71" t="n">
        <f aca="false">SUM(P184+P185+P186+P187)</f>
        <v>7300</v>
      </c>
      <c r="Q182" s="68" t="n">
        <f aca="false">SUM(Q184+Q185+Q186+Q187)</f>
        <v>6200</v>
      </c>
      <c r="R182" s="68" t="n">
        <f aca="false">SUM(R184+R185+R186+R187)</f>
        <v>6400</v>
      </c>
      <c r="S182" s="68" t="n">
        <f aca="false">SUM(S184+S185+S186+S187)</f>
        <v>29950</v>
      </c>
      <c r="T182" s="68" t="n">
        <f aca="false">SUM(T184+T185+T186+T187)</f>
        <v>29700</v>
      </c>
      <c r="U182" s="68" t="n">
        <f aca="false">SUM(U184+U185+U186+U187)</f>
        <v>26000</v>
      </c>
      <c r="V182" s="69" t="n">
        <f aca="false">SUM(V184+V185+V186+V187)</f>
        <v>26000</v>
      </c>
      <c r="W182" s="68" t="n">
        <f aca="false">SUM(W184+W185+W186+W187)</f>
        <v>26100</v>
      </c>
      <c r="X182" s="69" t="n">
        <f aca="false">SUM(X184+X185+X186+X187)</f>
        <v>20100</v>
      </c>
      <c r="Y182" s="69" t="n">
        <f aca="false">SUM(Y184+Y185+Y186+Y187)</f>
        <v>20100</v>
      </c>
    </row>
    <row r="183" customFormat="false" ht="15" hidden="false" customHeight="false" outlineLevel="0" collapsed="false">
      <c r="A183" s="54"/>
      <c r="B183" s="73"/>
      <c r="C183" s="118" t="s">
        <v>3</v>
      </c>
      <c r="D183" s="119"/>
      <c r="E183" s="119"/>
      <c r="F183" s="224" t="s">
        <v>3</v>
      </c>
      <c r="G183" s="92" t="s">
        <v>3</v>
      </c>
      <c r="H183" s="306" t="s">
        <v>3</v>
      </c>
      <c r="I183" s="307" t="s">
        <v>3</v>
      </c>
      <c r="J183" s="204" t="s">
        <v>3</v>
      </c>
      <c r="K183" s="167"/>
      <c r="L183" s="304" t="s">
        <v>3</v>
      </c>
      <c r="M183" s="298" t="s">
        <v>3</v>
      </c>
      <c r="N183" s="299"/>
      <c r="O183" s="298" t="s">
        <v>3</v>
      </c>
      <c r="P183" s="308" t="s">
        <v>3</v>
      </c>
      <c r="Q183" s="298" t="s">
        <v>3</v>
      </c>
      <c r="R183" s="170" t="s">
        <v>3</v>
      </c>
      <c r="S183" s="170" t="s">
        <v>3</v>
      </c>
      <c r="T183" s="168" t="s">
        <v>3</v>
      </c>
      <c r="U183" s="168" t="s">
        <v>3</v>
      </c>
      <c r="V183" s="168" t="s">
        <v>3</v>
      </c>
      <c r="W183" s="204" t="s">
        <v>3</v>
      </c>
      <c r="X183" s="168" t="s">
        <v>3</v>
      </c>
      <c r="Y183" s="168"/>
    </row>
    <row r="184" s="201" customFormat="true" ht="15.75" hidden="false" customHeight="false" outlineLevel="0" collapsed="false">
      <c r="A184" s="36"/>
      <c r="B184" s="120" t="s">
        <v>126</v>
      </c>
      <c r="C184" s="212" t="n">
        <v>1508.01213</v>
      </c>
      <c r="D184" s="212" t="n">
        <v>523.75525</v>
      </c>
      <c r="E184" s="212" t="n">
        <v>629</v>
      </c>
      <c r="F184" s="212" t="n">
        <v>1150</v>
      </c>
      <c r="G184" s="212" t="n">
        <v>535</v>
      </c>
      <c r="H184" s="212" t="n">
        <v>614</v>
      </c>
      <c r="I184" s="212" t="n">
        <v>269</v>
      </c>
      <c r="J184" s="212" t="n">
        <v>665</v>
      </c>
      <c r="K184" s="68" t="n">
        <v>390</v>
      </c>
      <c r="L184" s="68" t="n">
        <v>305</v>
      </c>
      <c r="M184" s="69" t="n">
        <f aca="false">460115/1000</f>
        <v>460.115</v>
      </c>
      <c r="N184" s="70" t="n">
        <f aca="false">883725.83/1000</f>
        <v>883.72583</v>
      </c>
      <c r="O184" s="69" t="n">
        <v>750</v>
      </c>
      <c r="P184" s="309" t="n">
        <v>750</v>
      </c>
      <c r="Q184" s="310" t="n">
        <f aca="false">950-200</f>
        <v>750</v>
      </c>
      <c r="R184" s="69" t="n">
        <v>1000</v>
      </c>
      <c r="S184" s="69" t="n">
        <v>1000</v>
      </c>
      <c r="T184" s="69" t="n">
        <v>800</v>
      </c>
      <c r="U184" s="69" t="n">
        <v>1000</v>
      </c>
      <c r="V184" s="69" t="n">
        <v>1000</v>
      </c>
      <c r="W184" s="68" t="n">
        <v>1000</v>
      </c>
      <c r="X184" s="69" t="n">
        <v>1000</v>
      </c>
      <c r="Y184" s="69" t="n">
        <v>1000</v>
      </c>
    </row>
    <row r="185" s="201" customFormat="true" ht="15.75" hidden="false" customHeight="false" outlineLevel="0" collapsed="false">
      <c r="A185" s="36"/>
      <c r="B185" s="120" t="s">
        <v>127</v>
      </c>
      <c r="C185" s="212" t="n">
        <v>702.12092</v>
      </c>
      <c r="D185" s="212" t="n">
        <v>195.61935</v>
      </c>
      <c r="E185" s="212" t="n">
        <v>197</v>
      </c>
      <c r="F185" s="212" t="n">
        <v>558</v>
      </c>
      <c r="G185" s="212" t="n">
        <v>602</v>
      </c>
      <c r="H185" s="212" t="n">
        <v>458</v>
      </c>
      <c r="I185" s="212" t="n">
        <v>174</v>
      </c>
      <c r="J185" s="212" t="n">
        <v>167</v>
      </c>
      <c r="K185" s="68" t="n">
        <v>270</v>
      </c>
      <c r="L185" s="68" t="n">
        <v>579</v>
      </c>
      <c r="M185" s="69" t="n">
        <f aca="false">639928/1000</f>
        <v>639.928</v>
      </c>
      <c r="N185" s="70" t="n">
        <f aca="false">637688.88/1000</f>
        <v>637.68888</v>
      </c>
      <c r="O185" s="69" t="n">
        <v>1500</v>
      </c>
      <c r="P185" s="309" t="n">
        <f aca="false">2000-500</f>
        <v>1500</v>
      </c>
      <c r="Q185" s="310" t="n">
        <v>2300</v>
      </c>
      <c r="R185" s="310" t="n">
        <v>2850</v>
      </c>
      <c r="S185" s="310" t="n">
        <v>850</v>
      </c>
      <c r="T185" s="310" t="n">
        <v>800</v>
      </c>
      <c r="U185" s="310" t="n">
        <v>900</v>
      </c>
      <c r="V185" s="310" t="n">
        <v>900</v>
      </c>
      <c r="W185" s="310" t="n">
        <v>1000</v>
      </c>
      <c r="X185" s="310" t="n">
        <v>3500</v>
      </c>
      <c r="Y185" s="310" t="n">
        <v>3500</v>
      </c>
    </row>
    <row r="186" s="201" customFormat="true" ht="15.75" hidden="false" customHeight="false" outlineLevel="0" collapsed="false">
      <c r="A186" s="36"/>
      <c r="B186" s="120" t="s">
        <v>128</v>
      </c>
      <c r="C186" s="212" t="n">
        <v>211.26702</v>
      </c>
      <c r="D186" s="212" t="n">
        <v>156.83828</v>
      </c>
      <c r="E186" s="212" t="n">
        <v>118</v>
      </c>
      <c r="F186" s="212" t="n">
        <v>69</v>
      </c>
      <c r="G186" s="212" t="n">
        <v>275</v>
      </c>
      <c r="H186" s="212" t="n">
        <v>241</v>
      </c>
      <c r="I186" s="212" t="n">
        <v>543</v>
      </c>
      <c r="J186" s="212" t="n">
        <v>179</v>
      </c>
      <c r="K186" s="68" t="n">
        <v>60</v>
      </c>
      <c r="L186" s="68" t="n">
        <v>528</v>
      </c>
      <c r="M186" s="69" t="n">
        <f aca="false">483906/1000</f>
        <v>483.906</v>
      </c>
      <c r="N186" s="70" t="n">
        <f aca="false">247459.15/1000</f>
        <v>247.45915</v>
      </c>
      <c r="O186" s="69" t="n">
        <v>450</v>
      </c>
      <c r="P186" s="309" t="n">
        <v>450</v>
      </c>
      <c r="Q186" s="310" t="n">
        <v>450</v>
      </c>
      <c r="R186" s="310" t="n">
        <v>450</v>
      </c>
      <c r="S186" s="310" t="n">
        <v>600</v>
      </c>
      <c r="T186" s="310" t="n">
        <v>600</v>
      </c>
      <c r="U186" s="310" t="n">
        <v>600</v>
      </c>
      <c r="V186" s="310" t="n">
        <v>600</v>
      </c>
      <c r="W186" s="310" t="n">
        <v>600</v>
      </c>
      <c r="X186" s="310" t="n">
        <v>600</v>
      </c>
      <c r="Y186" s="310" t="n">
        <v>600</v>
      </c>
    </row>
    <row r="187" s="201" customFormat="true" ht="15.75" hidden="false" customHeight="false" outlineLevel="0" collapsed="false">
      <c r="A187" s="36"/>
      <c r="B187" s="120" t="s">
        <v>129</v>
      </c>
      <c r="C187" s="212" t="n">
        <f aca="false">SUM(C188:C193)</f>
        <v>8443.313</v>
      </c>
      <c r="D187" s="212" t="n">
        <f aca="false">SUM(D188:D193)</f>
        <v>4549.549</v>
      </c>
      <c r="E187" s="212" t="n">
        <v>643</v>
      </c>
      <c r="F187" s="212" t="n">
        <f aca="false">SUM(F188:F193)</f>
        <v>2276</v>
      </c>
      <c r="G187" s="212" t="n">
        <f aca="false">SUM(G188:G193)</f>
        <v>3914</v>
      </c>
      <c r="H187" s="212" t="n">
        <v>2771</v>
      </c>
      <c r="I187" s="212" t="n">
        <v>2443</v>
      </c>
      <c r="J187" s="212" t="n">
        <v>1059</v>
      </c>
      <c r="K187" s="68" t="n">
        <v>430</v>
      </c>
      <c r="L187" s="68" t="n">
        <v>1762</v>
      </c>
      <c r="M187" s="69" t="n">
        <f aca="false">1669115/1000</f>
        <v>1669.115</v>
      </c>
      <c r="N187" s="70" t="n">
        <f aca="false">672052.65/1000</f>
        <v>672.05265</v>
      </c>
      <c r="O187" s="69" t="n">
        <v>1300</v>
      </c>
      <c r="P187" s="71" t="n">
        <f aca="false">5200-600</f>
        <v>4600</v>
      </c>
      <c r="Q187" s="69" t="n">
        <f aca="false">2300+400</f>
        <v>2700</v>
      </c>
      <c r="R187" s="121" t="n">
        <f aca="false">2100</f>
        <v>2100</v>
      </c>
      <c r="S187" s="109" t="n">
        <f aca="false">2500+5000+20000</f>
        <v>27500</v>
      </c>
      <c r="T187" s="109" t="n">
        <f aca="false">2500+5000+20000</f>
        <v>27500</v>
      </c>
      <c r="U187" s="109" t="n">
        <f aca="false">3500+5000+15000</f>
        <v>23500</v>
      </c>
      <c r="V187" s="109" t="n">
        <f aca="false">3500+5000+15000</f>
        <v>23500</v>
      </c>
      <c r="W187" s="311" t="n">
        <f aca="false">3500+15000+5000</f>
        <v>23500</v>
      </c>
      <c r="X187" s="109" t="n">
        <f aca="false">5000+10000</f>
        <v>15000</v>
      </c>
      <c r="Y187" s="109" t="n">
        <f aca="false">5000+10000</f>
        <v>15000</v>
      </c>
    </row>
    <row r="188" customFormat="false" ht="15" hidden="false" customHeight="false" outlineLevel="0" collapsed="false">
      <c r="A188" s="38" t="n">
        <v>1</v>
      </c>
      <c r="B188" s="256" t="s">
        <v>65</v>
      </c>
      <c r="C188" s="257" t="n">
        <v>5148.173</v>
      </c>
      <c r="D188" s="257" t="n">
        <v>3946.199</v>
      </c>
      <c r="E188" s="257" t="n">
        <v>807</v>
      </c>
      <c r="F188" s="257" t="n">
        <v>1504</v>
      </c>
      <c r="G188" s="257" t="n">
        <v>2658</v>
      </c>
      <c r="H188" s="257" t="n">
        <v>1066</v>
      </c>
      <c r="I188" s="257" t="n">
        <v>564</v>
      </c>
      <c r="J188" s="257" t="n">
        <v>1000</v>
      </c>
      <c r="K188" s="258" t="s">
        <v>3</v>
      </c>
      <c r="L188" s="259"/>
      <c r="M188" s="260"/>
      <c r="N188" s="261"/>
      <c r="O188" s="260" t="n">
        <v>1800</v>
      </c>
      <c r="P188" s="262" t="n">
        <v>1000</v>
      </c>
      <c r="Q188" s="260" t="n">
        <v>1300</v>
      </c>
      <c r="R188" s="260" t="n">
        <v>1700</v>
      </c>
      <c r="S188" s="263" t="n">
        <v>2000</v>
      </c>
      <c r="T188" s="263" t="n">
        <v>1000</v>
      </c>
      <c r="U188" s="263" t="n">
        <v>1200</v>
      </c>
      <c r="V188" s="263" t="n">
        <v>2000</v>
      </c>
      <c r="W188" s="264" t="n">
        <v>2000</v>
      </c>
      <c r="X188" s="260" t="n">
        <v>2500</v>
      </c>
      <c r="Y188" s="260"/>
      <c r="Z188" s="265"/>
      <c r="AA188" s="265"/>
      <c r="AB188" s="265"/>
      <c r="AC188" s="265"/>
      <c r="AD188" s="265"/>
      <c r="AE188" s="265"/>
      <c r="AF188" s="265"/>
      <c r="AG188" s="266" t="s">
        <v>76</v>
      </c>
      <c r="AH188" s="213" t="s">
        <v>66</v>
      </c>
    </row>
    <row r="189" customFormat="false" ht="15" hidden="false" customHeight="false" outlineLevel="0" collapsed="false">
      <c r="A189" s="38" t="n">
        <v>2</v>
      </c>
      <c r="B189" s="256" t="s">
        <v>67</v>
      </c>
      <c r="C189" s="257" t="n">
        <v>619.527</v>
      </c>
      <c r="D189" s="257" t="n">
        <v>315.106</v>
      </c>
      <c r="E189" s="257" t="n">
        <v>180</v>
      </c>
      <c r="F189" s="257" t="n">
        <v>221</v>
      </c>
      <c r="G189" s="257" t="n">
        <v>495</v>
      </c>
      <c r="H189" s="257" t="n">
        <v>179</v>
      </c>
      <c r="I189" s="257" t="n">
        <v>814</v>
      </c>
      <c r="J189" s="257" t="n">
        <v>1210</v>
      </c>
      <c r="K189" s="258" t="s">
        <v>3</v>
      </c>
      <c r="L189" s="259"/>
      <c r="M189" s="260"/>
      <c r="N189" s="261"/>
      <c r="O189" s="260" t="n">
        <v>200</v>
      </c>
      <c r="P189" s="262" t="n">
        <v>100</v>
      </c>
      <c r="Q189" s="260" t="n">
        <v>700</v>
      </c>
      <c r="R189" s="260" t="n">
        <v>500</v>
      </c>
      <c r="S189" s="260" t="n">
        <v>600</v>
      </c>
      <c r="T189" s="260" t="n">
        <v>800</v>
      </c>
      <c r="U189" s="260" t="n">
        <v>1200</v>
      </c>
      <c r="V189" s="260" t="n">
        <v>1300</v>
      </c>
      <c r="W189" s="267" t="n">
        <v>1400</v>
      </c>
      <c r="X189" s="260" t="n">
        <v>1500</v>
      </c>
      <c r="Y189" s="260"/>
      <c r="Z189" s="265"/>
      <c r="AA189" s="265"/>
      <c r="AB189" s="265"/>
      <c r="AC189" s="265"/>
      <c r="AD189" s="265"/>
      <c r="AE189" s="265"/>
      <c r="AF189" s="265"/>
      <c r="AG189" s="266" t="s">
        <v>76</v>
      </c>
      <c r="AH189" s="213" t="s">
        <v>66</v>
      </c>
    </row>
    <row r="190" customFormat="false" ht="15" hidden="false" customHeight="false" outlineLevel="0" collapsed="false">
      <c r="A190" s="38" t="n">
        <v>3</v>
      </c>
      <c r="B190" s="256" t="s">
        <v>68</v>
      </c>
      <c r="C190" s="257" t="n">
        <v>76.48</v>
      </c>
      <c r="D190" s="257" t="n">
        <v>97.004</v>
      </c>
      <c r="E190" s="257" t="n">
        <v>130</v>
      </c>
      <c r="F190" s="257" t="n">
        <v>210</v>
      </c>
      <c r="G190" s="257" t="n">
        <v>28</v>
      </c>
      <c r="H190" s="257" t="n">
        <v>51</v>
      </c>
      <c r="I190" s="257" t="n">
        <v>118</v>
      </c>
      <c r="J190" s="257" t="n">
        <v>780</v>
      </c>
      <c r="K190" s="258" t="s">
        <v>3</v>
      </c>
      <c r="L190" s="259"/>
      <c r="M190" s="260"/>
      <c r="N190" s="261"/>
      <c r="O190" s="260" t="n">
        <v>200</v>
      </c>
      <c r="P190" s="262" t="n">
        <v>400</v>
      </c>
      <c r="Q190" s="260" t="n">
        <v>900</v>
      </c>
      <c r="R190" s="260" t="n">
        <v>400</v>
      </c>
      <c r="S190" s="263" t="n">
        <v>400</v>
      </c>
      <c r="T190" s="263" t="n">
        <f aca="false">400</f>
        <v>400</v>
      </c>
      <c r="U190" s="261" t="n">
        <f aca="false">400+3000</f>
        <v>3400</v>
      </c>
      <c r="V190" s="261" t="n">
        <f aca="false">800+13000</f>
        <v>13800</v>
      </c>
      <c r="W190" s="268" t="n">
        <f aca="false">800+14000</f>
        <v>14800</v>
      </c>
      <c r="X190" s="260" t="n">
        <v>800</v>
      </c>
      <c r="Y190" s="260"/>
      <c r="Z190" s="265"/>
      <c r="AA190" s="265"/>
      <c r="AB190" s="265"/>
      <c r="AC190" s="265"/>
      <c r="AD190" s="265"/>
      <c r="AE190" s="265"/>
      <c r="AF190" s="265"/>
      <c r="AG190" s="266" t="s">
        <v>76</v>
      </c>
      <c r="AH190" s="213" t="s">
        <v>66</v>
      </c>
    </row>
    <row r="191" customFormat="false" ht="15" hidden="false" customHeight="false" outlineLevel="0" collapsed="false">
      <c r="A191" s="38" t="n">
        <v>4</v>
      </c>
      <c r="B191" s="256" t="s">
        <v>69</v>
      </c>
      <c r="C191" s="257" t="n">
        <v>173.604</v>
      </c>
      <c r="D191" s="257" t="n">
        <v>81.594</v>
      </c>
      <c r="E191" s="257" t="n">
        <v>145</v>
      </c>
      <c r="F191" s="257" t="n">
        <v>96</v>
      </c>
      <c r="G191" s="257" t="n">
        <v>42</v>
      </c>
      <c r="H191" s="257" t="n">
        <v>111</v>
      </c>
      <c r="I191" s="257" t="n">
        <v>453</v>
      </c>
      <c r="J191" s="257" t="n">
        <v>200</v>
      </c>
      <c r="K191" s="258" t="s">
        <v>3</v>
      </c>
      <c r="L191" s="259"/>
      <c r="M191" s="260"/>
      <c r="N191" s="261"/>
      <c r="O191" s="260" t="n">
        <v>100</v>
      </c>
      <c r="P191" s="262" t="n">
        <v>400</v>
      </c>
      <c r="Q191" s="260" t="n">
        <v>600</v>
      </c>
      <c r="R191" s="260" t="n">
        <v>800</v>
      </c>
      <c r="S191" s="263" t="n">
        <v>600</v>
      </c>
      <c r="T191" s="263" t="n">
        <v>800</v>
      </c>
      <c r="U191" s="263" t="n">
        <v>800</v>
      </c>
      <c r="V191" s="263" t="n">
        <v>800</v>
      </c>
      <c r="W191" s="264" t="n">
        <v>800</v>
      </c>
      <c r="X191" s="260" t="n">
        <v>1100</v>
      </c>
      <c r="Y191" s="260"/>
      <c r="Z191" s="265"/>
      <c r="AA191" s="265"/>
      <c r="AB191" s="265"/>
      <c r="AC191" s="265"/>
      <c r="AD191" s="265"/>
      <c r="AE191" s="265"/>
      <c r="AF191" s="265"/>
      <c r="AG191" s="266" t="s">
        <v>76</v>
      </c>
      <c r="AH191" s="213" t="s">
        <v>66</v>
      </c>
    </row>
    <row r="192" customFormat="false" ht="15" hidden="false" customHeight="false" outlineLevel="0" collapsed="false">
      <c r="A192" s="38" t="n">
        <v>5</v>
      </c>
      <c r="B192" s="256" t="s">
        <v>70</v>
      </c>
      <c r="C192" s="257" t="n">
        <f aca="false">240.569+2005.683</f>
        <v>2246.252</v>
      </c>
      <c r="D192" s="257" t="n">
        <v>93.553</v>
      </c>
      <c r="E192" s="257" t="n">
        <v>284</v>
      </c>
      <c r="F192" s="257" t="n">
        <v>207</v>
      </c>
      <c r="G192" s="257" t="n">
        <v>189</v>
      </c>
      <c r="H192" s="257" t="n">
        <v>57</v>
      </c>
      <c r="I192" s="257" t="n">
        <v>100</v>
      </c>
      <c r="J192" s="257" t="n">
        <v>420</v>
      </c>
      <c r="K192" s="258" t="s">
        <v>3</v>
      </c>
      <c r="L192" s="259"/>
      <c r="M192" s="260"/>
      <c r="N192" s="261"/>
      <c r="O192" s="260" t="n">
        <v>300</v>
      </c>
      <c r="P192" s="262" t="n">
        <v>500</v>
      </c>
      <c r="Q192" s="260" t="n">
        <v>300</v>
      </c>
      <c r="R192" s="260" t="n">
        <v>200</v>
      </c>
      <c r="S192" s="263" t="n">
        <v>900</v>
      </c>
      <c r="T192" s="263" t="n">
        <v>950</v>
      </c>
      <c r="U192" s="263" t="n">
        <v>800</v>
      </c>
      <c r="V192" s="263" t="n">
        <v>600</v>
      </c>
      <c r="W192" s="264" t="n">
        <v>600</v>
      </c>
      <c r="X192" s="260" t="n">
        <v>600</v>
      </c>
      <c r="Y192" s="260"/>
      <c r="Z192" s="265"/>
      <c r="AA192" s="265"/>
      <c r="AB192" s="265"/>
      <c r="AC192" s="265"/>
      <c r="AD192" s="265"/>
      <c r="AE192" s="265"/>
      <c r="AF192" s="265"/>
      <c r="AG192" s="266" t="s">
        <v>76</v>
      </c>
      <c r="AH192" s="213" t="s">
        <v>66</v>
      </c>
    </row>
    <row r="193" customFormat="false" ht="15" hidden="false" customHeight="false" outlineLevel="0" collapsed="false">
      <c r="A193" s="38" t="n">
        <v>6</v>
      </c>
      <c r="B193" s="256" t="s">
        <v>71</v>
      </c>
      <c r="C193" s="257" t="n">
        <v>179.277</v>
      </c>
      <c r="D193" s="257" t="n">
        <v>16.093</v>
      </c>
      <c r="E193" s="257" t="n">
        <v>0</v>
      </c>
      <c r="F193" s="257" t="n">
        <v>38</v>
      </c>
      <c r="G193" s="257" t="n">
        <v>502</v>
      </c>
      <c r="H193" s="257" t="n">
        <v>46</v>
      </c>
      <c r="I193" s="257" t="n">
        <v>275</v>
      </c>
      <c r="J193" s="257" t="n">
        <v>200</v>
      </c>
      <c r="K193" s="258" t="s">
        <v>3</v>
      </c>
      <c r="L193" s="259"/>
      <c r="M193" s="260"/>
      <c r="N193" s="261"/>
      <c r="O193" s="260" t="n">
        <v>200</v>
      </c>
      <c r="P193" s="262" t="n">
        <v>100</v>
      </c>
      <c r="Q193" s="260" t="n">
        <v>2100</v>
      </c>
      <c r="R193" s="260" t="n">
        <v>1300</v>
      </c>
      <c r="S193" s="260" t="n">
        <v>400</v>
      </c>
      <c r="T193" s="260" t="n">
        <v>150</v>
      </c>
      <c r="U193" s="260" t="n">
        <v>200</v>
      </c>
      <c r="V193" s="260" t="n">
        <v>300</v>
      </c>
      <c r="W193" s="267" t="n">
        <v>200</v>
      </c>
      <c r="X193" s="260" t="n">
        <v>300</v>
      </c>
      <c r="Y193" s="260"/>
      <c r="Z193" s="265"/>
      <c r="AA193" s="265"/>
      <c r="AB193" s="265"/>
      <c r="AC193" s="265"/>
      <c r="AD193" s="265"/>
      <c r="AE193" s="265"/>
      <c r="AF193" s="265"/>
      <c r="AG193" s="266" t="s">
        <v>76</v>
      </c>
      <c r="AH193" s="213" t="s">
        <v>66</v>
      </c>
    </row>
    <row r="194" s="3" customFormat="true" ht="15" hidden="false" customHeight="false" outlineLevel="0" collapsed="false">
      <c r="A194" s="38" t="n">
        <v>7</v>
      </c>
      <c r="B194" s="256" t="s">
        <v>72</v>
      </c>
      <c r="C194" s="257"/>
      <c r="D194" s="257"/>
      <c r="E194" s="257"/>
      <c r="F194" s="257"/>
      <c r="G194" s="257"/>
      <c r="H194" s="257"/>
      <c r="I194" s="257"/>
      <c r="J194" s="257"/>
      <c r="K194" s="258"/>
      <c r="L194" s="259"/>
      <c r="M194" s="260"/>
      <c r="N194" s="261"/>
      <c r="O194" s="260"/>
      <c r="P194" s="262"/>
      <c r="Q194" s="260"/>
      <c r="R194" s="260"/>
      <c r="S194" s="260"/>
      <c r="T194" s="260"/>
      <c r="U194" s="260"/>
      <c r="V194" s="260"/>
      <c r="W194" s="267"/>
      <c r="X194" s="260"/>
      <c r="Y194" s="260"/>
      <c r="Z194" s="312"/>
      <c r="AA194" s="312"/>
      <c r="AB194" s="312"/>
      <c r="AC194" s="312"/>
      <c r="AD194" s="312"/>
      <c r="AE194" s="312"/>
      <c r="AF194" s="312"/>
      <c r="AG194" s="266" t="s">
        <v>76</v>
      </c>
      <c r="AH194" s="213" t="s">
        <v>66</v>
      </c>
    </row>
    <row r="195" s="3" customFormat="true" ht="15" hidden="false" customHeight="false" outlineLevel="0" collapsed="false">
      <c r="A195" s="38" t="n">
        <v>8</v>
      </c>
      <c r="B195" s="256" t="s">
        <v>90</v>
      </c>
      <c r="C195" s="257" t="n">
        <v>50.472</v>
      </c>
      <c r="D195" s="257" t="n">
        <v>37.334</v>
      </c>
      <c r="E195" s="257" t="n">
        <v>153</v>
      </c>
      <c r="F195" s="257" t="n">
        <v>311</v>
      </c>
      <c r="G195" s="257" t="n">
        <v>97</v>
      </c>
      <c r="H195" s="257" t="n">
        <v>284</v>
      </c>
      <c r="I195" s="257" t="n">
        <v>256</v>
      </c>
      <c r="J195" s="257" t="n">
        <v>390</v>
      </c>
      <c r="K195" s="258" t="s">
        <v>3</v>
      </c>
      <c r="L195" s="259"/>
      <c r="M195" s="260"/>
      <c r="N195" s="261"/>
      <c r="O195" s="260" t="n">
        <v>200</v>
      </c>
      <c r="P195" s="262" t="n">
        <v>200</v>
      </c>
      <c r="Q195" s="260" t="n">
        <v>200</v>
      </c>
      <c r="R195" s="260" t="n">
        <v>2200</v>
      </c>
      <c r="S195" s="260" t="n">
        <v>1600</v>
      </c>
      <c r="T195" s="260" t="n">
        <v>600</v>
      </c>
      <c r="U195" s="260" t="n">
        <v>600</v>
      </c>
      <c r="V195" s="260" t="s">
        <v>91</v>
      </c>
      <c r="W195" s="267" t="n">
        <v>600</v>
      </c>
      <c r="X195" s="260" t="n">
        <v>600</v>
      </c>
      <c r="Y195" s="260"/>
      <c r="Z195" s="312"/>
      <c r="AA195" s="312"/>
      <c r="AB195" s="312"/>
      <c r="AC195" s="312"/>
      <c r="AD195" s="312"/>
      <c r="AE195" s="312"/>
      <c r="AF195" s="312"/>
      <c r="AG195" s="266" t="s">
        <v>76</v>
      </c>
      <c r="AH195" s="213" t="s">
        <v>66</v>
      </c>
    </row>
    <row r="196" s="3" customFormat="true" ht="15.75" hidden="false" customHeight="false" outlineLevel="0" collapsed="false">
      <c r="A196" s="54"/>
      <c r="B196" s="95"/>
      <c r="C196" s="212"/>
      <c r="D196" s="212"/>
      <c r="E196" s="212"/>
      <c r="F196" s="212"/>
      <c r="G196" s="212"/>
      <c r="H196" s="212"/>
      <c r="I196" s="212"/>
      <c r="J196" s="212"/>
      <c r="K196" s="126"/>
      <c r="L196" s="313"/>
      <c r="M196" s="314"/>
      <c r="N196" s="315"/>
      <c r="O196" s="314"/>
      <c r="P196" s="316"/>
      <c r="Q196" s="314"/>
      <c r="R196" s="314"/>
      <c r="S196" s="315"/>
      <c r="T196" s="315"/>
      <c r="U196" s="315"/>
      <c r="V196" s="315"/>
      <c r="W196" s="317"/>
      <c r="X196" s="314"/>
      <c r="Y196" s="314"/>
    </row>
    <row r="197" customFormat="false" ht="15.75" hidden="false" customHeight="false" outlineLevel="0" collapsed="false">
      <c r="A197" s="36"/>
      <c r="B197" s="73" t="s">
        <v>3</v>
      </c>
      <c r="C197" s="212"/>
      <c r="D197" s="212"/>
      <c r="E197" s="224" t="s">
        <v>3</v>
      </c>
      <c r="F197" s="318" t="s">
        <v>3</v>
      </c>
      <c r="G197" s="303" t="s">
        <v>3</v>
      </c>
      <c r="H197" s="229" t="s">
        <v>3</v>
      </c>
      <c r="I197" s="229" t="s">
        <v>3</v>
      </c>
      <c r="J197" s="248" t="s">
        <v>3</v>
      </c>
      <c r="K197" s="68" t="s">
        <v>3</v>
      </c>
      <c r="L197" s="319"/>
      <c r="M197" s="320"/>
      <c r="N197" s="321"/>
      <c r="O197" s="322"/>
      <c r="P197" s="323"/>
      <c r="Q197" s="322"/>
      <c r="R197" s="322"/>
      <c r="S197" s="324"/>
      <c r="T197" s="324"/>
      <c r="U197" s="324"/>
      <c r="V197" s="324"/>
      <c r="W197" s="325"/>
      <c r="X197" s="322"/>
      <c r="Y197" s="322"/>
    </row>
    <row r="198" customFormat="false" ht="15.75" hidden="false" customHeight="true" outlineLevel="0" collapsed="false">
      <c r="A198" s="93" t="s">
        <v>130</v>
      </c>
      <c r="B198" s="326" t="s">
        <v>131</v>
      </c>
      <c r="C198" s="327"/>
      <c r="D198" s="327"/>
      <c r="E198" s="177" t="n">
        <f aca="false">SUM(E203+E210+E222+E238+E256+E273)</f>
        <v>21001</v>
      </c>
      <c r="F198" s="177" t="n">
        <f aca="false">SUM(F203+F210+F222+F238+F256+F273)</f>
        <v>22094</v>
      </c>
      <c r="G198" s="177" t="n">
        <f aca="false">SUM(G203+G210+G222+G238+G256+G273+G278)</f>
        <v>29212</v>
      </c>
      <c r="H198" s="177" t="n">
        <f aca="false">SUM(H203+H210+H222+H238+H256+H273+H278+H280)</f>
        <v>35717</v>
      </c>
      <c r="I198" s="177" t="n">
        <f aca="false">SUM(I203+I210+I222+I238+I256+I273+I278+I280)</f>
        <v>52410</v>
      </c>
      <c r="J198" s="177" t="n">
        <f aca="false">SUM(J203+J210+J222+J238+J256+J273+J278+J280)</f>
        <v>80819</v>
      </c>
      <c r="K198" s="98" t="n">
        <f aca="false">SUM(K203+K210+K222+K238+K256+K273+K278+K280)</f>
        <v>79196</v>
      </c>
      <c r="L198" s="98" t="n">
        <f aca="false">SUM(L203+L210+L222+L238+L256+L273+L278+L280)</f>
        <v>81905</v>
      </c>
      <c r="M198" s="99" t="n">
        <f aca="false">SUM(M203+M210+M222+M238+M256+M273+M278+M280+M283)</f>
        <v>71084.734</v>
      </c>
      <c r="N198" s="100" t="n">
        <f aca="false">77389925.76/1000</f>
        <v>77389.92576</v>
      </c>
      <c r="O198" s="99" t="n">
        <f aca="false">O203+O210+O222+O238+O256+O273+O278+O280+O283</f>
        <v>0</v>
      </c>
      <c r="P198" s="101" t="n">
        <f aca="false">P203+P210+P222+P238+P256+P273+P278+P280+P283</f>
        <v>0</v>
      </c>
      <c r="Q198" s="98" t="n">
        <f aca="false">Q203+Q210+Q222+Q238+Q256+Q273+Q278+Q280+Q283</f>
        <v>0</v>
      </c>
      <c r="R198" s="98" t="n">
        <f aca="false">R203+R210+R222+R238+R256+R273+R278+R280+R283</f>
        <v>0</v>
      </c>
      <c r="S198" s="98" t="n">
        <f aca="false">S203+S210+S222+S238+S256+S273+S278+S280+S283</f>
        <v>0</v>
      </c>
      <c r="T198" s="98" t="n">
        <f aca="false">T203+T210+T222+T238+T256+T273+T278+T280+T283</f>
        <v>0</v>
      </c>
      <c r="U198" s="98" t="n">
        <f aca="false">U203+U210+U222+U238+U256+U273+U278+U280+U283</f>
        <v>0</v>
      </c>
      <c r="V198" s="98" t="n">
        <f aca="false">V203+V210+V222+V238+V256+V273+V278+V280+V283</f>
        <v>0</v>
      </c>
      <c r="W198" s="98" t="n">
        <f aca="false">W203+W210+W222+W238+W256+W273+W278+W280+W283</f>
        <v>0</v>
      </c>
      <c r="X198" s="99" t="n">
        <f aca="false">X203+X210+X222+X238+X256+X273+X278+X280+X283</f>
        <v>0</v>
      </c>
      <c r="Y198" s="99"/>
    </row>
    <row r="199" customFormat="false" ht="15" hidden="false" customHeight="true" outlineLevel="0" collapsed="false">
      <c r="A199" s="54"/>
      <c r="B199" s="73" t="s">
        <v>132</v>
      </c>
      <c r="C199" s="231"/>
      <c r="D199" s="231"/>
      <c r="E199" s="231"/>
      <c r="F199" s="231"/>
      <c r="G199" s="231"/>
      <c r="H199" s="328" t="s">
        <v>53</v>
      </c>
      <c r="I199" s="181" t="n">
        <f aca="false">+(I198-H198)/H198</f>
        <v>0.46736847999552</v>
      </c>
      <c r="J199" s="329" t="n">
        <f aca="false">+(J198-I198)/I198</f>
        <v>0.542053043312345</v>
      </c>
      <c r="K199" s="330" t="n">
        <f aca="false">+(K198-J198)/J198</f>
        <v>-0.0200819114317178</v>
      </c>
      <c r="L199" s="330" t="n">
        <f aca="false">+(L198-K198)/K198</f>
        <v>0.0342062730440931</v>
      </c>
      <c r="M199" s="331" t="n">
        <f aca="false">+(M198-L198)/L198</f>
        <v>-0.132107514803736</v>
      </c>
      <c r="N199" s="332"/>
      <c r="O199" s="331"/>
      <c r="P199" s="333"/>
      <c r="Q199" s="331"/>
      <c r="R199" s="331"/>
      <c r="S199" s="331"/>
      <c r="T199" s="331"/>
      <c r="U199" s="331"/>
      <c r="V199" s="331"/>
      <c r="W199" s="330"/>
      <c r="X199" s="331"/>
      <c r="Y199" s="331"/>
    </row>
    <row r="200" s="345" customFormat="true" ht="15" hidden="false" customHeight="true" outlineLevel="0" collapsed="false">
      <c r="A200" s="334"/>
      <c r="B200" s="335"/>
      <c r="C200" s="336"/>
      <c r="D200" s="336"/>
      <c r="E200" s="336"/>
      <c r="F200" s="336"/>
      <c r="G200" s="336"/>
      <c r="H200" s="337"/>
      <c r="I200" s="338"/>
      <c r="J200" s="337"/>
      <c r="K200" s="339"/>
      <c r="L200" s="339"/>
      <c r="M200" s="340"/>
      <c r="N200" s="341"/>
      <c r="O200" s="342" t="n">
        <f aca="false">O203+O210+O222+O238+O256+O273+O278+O280+O283</f>
        <v>0</v>
      </c>
      <c r="P200" s="343" t="n">
        <f aca="false">P203+P210+P222+P238+P256+P273+P278+P280+P283</f>
        <v>0</v>
      </c>
      <c r="Q200" s="344" t="n">
        <f aca="false">Q203+Q210+Q222+Q238+Q256+Q273+Q278+Q280+Q283</f>
        <v>0</v>
      </c>
      <c r="R200" s="344" t="n">
        <f aca="false">R203+R210+R222+R238+R256+R273+R278+R280+R283</f>
        <v>0</v>
      </c>
      <c r="S200" s="344" t="n">
        <f aca="false">S203+S210+S222+S238+S256+S273+S278+S280+S283</f>
        <v>0</v>
      </c>
      <c r="T200" s="344" t="n">
        <f aca="false">T203+T210+T222+T238+T256+T273+T278+T280+T283</f>
        <v>0</v>
      </c>
      <c r="U200" s="344" t="n">
        <f aca="false">U203+U210+U222+U238+U256+U273+U278+U280+U283</f>
        <v>0</v>
      </c>
      <c r="V200" s="344" t="n">
        <f aca="false">V203+V210+V222+V238+V256+V273+V278+V280+V283</f>
        <v>0</v>
      </c>
      <c r="W200" s="344" t="n">
        <f aca="false">W203+W210+W222+W238+W256+W273+W278+W280+W283</f>
        <v>0</v>
      </c>
      <c r="X200" s="344" t="n">
        <f aca="false">X203+X210+X222+X238+X256+X273+X278+X280+X283</f>
        <v>0</v>
      </c>
      <c r="Y200" s="344"/>
    </row>
    <row r="201" customFormat="false" ht="15" hidden="false" customHeight="true" outlineLevel="0" collapsed="false">
      <c r="A201" s="54"/>
      <c r="B201" s="346"/>
      <c r="C201" s="231"/>
      <c r="D201" s="231"/>
      <c r="E201" s="231"/>
      <c r="F201" s="231"/>
      <c r="G201" s="303"/>
      <c r="H201" s="347"/>
      <c r="I201" s="348"/>
      <c r="J201" s="347"/>
      <c r="K201" s="349"/>
      <c r="L201" s="134"/>
      <c r="M201" s="350"/>
      <c r="N201" s="351"/>
      <c r="O201" s="352"/>
      <c r="P201" s="353"/>
      <c r="Q201" s="344"/>
      <c r="R201" s="351"/>
      <c r="S201" s="351"/>
      <c r="T201" s="351"/>
      <c r="U201" s="351"/>
      <c r="V201" s="351"/>
      <c r="W201" s="354"/>
      <c r="X201" s="350"/>
      <c r="Y201" s="350"/>
    </row>
    <row r="202" customFormat="false" ht="15" hidden="false" customHeight="true" outlineLevel="0" collapsed="false">
      <c r="A202" s="54"/>
      <c r="B202" s="346"/>
      <c r="C202" s="231"/>
      <c r="D202" s="231"/>
      <c r="E202" s="231"/>
      <c r="F202" s="231"/>
      <c r="G202" s="303"/>
      <c r="H202" s="347"/>
      <c r="I202" s="348"/>
      <c r="J202" s="347"/>
      <c r="K202" s="349"/>
      <c r="L202" s="134"/>
      <c r="M202" s="350"/>
      <c r="N202" s="351"/>
      <c r="O202" s="352"/>
      <c r="P202" s="353"/>
      <c r="Q202" s="344"/>
      <c r="R202" s="351"/>
      <c r="S202" s="351"/>
      <c r="T202" s="351"/>
      <c r="U202" s="351"/>
      <c r="V202" s="351"/>
      <c r="W202" s="350"/>
      <c r="X202" s="351"/>
      <c r="Y202" s="351"/>
    </row>
    <row r="203" s="3" customFormat="true" ht="15.75" hidden="false" customHeight="true" outlineLevel="0" collapsed="false">
      <c r="A203" s="38" t="s">
        <v>133</v>
      </c>
      <c r="B203" s="37" t="s">
        <v>134</v>
      </c>
      <c r="C203" s="212" t="n">
        <f aca="false">C205</f>
        <v>3079.63481</v>
      </c>
      <c r="D203" s="212" t="n">
        <f aca="false">D205</f>
        <v>5127.98318</v>
      </c>
      <c r="E203" s="212" t="n">
        <f aca="false">E205</f>
        <v>2480</v>
      </c>
      <c r="F203" s="212" t="n">
        <f aca="false">F205</f>
        <v>330</v>
      </c>
      <c r="G203" s="212" t="n">
        <f aca="false">G205</f>
        <v>3054</v>
      </c>
      <c r="H203" s="212" t="n">
        <f aca="false">H205</f>
        <v>141</v>
      </c>
      <c r="I203" s="212" t="n">
        <f aca="false">I205</f>
        <v>282</v>
      </c>
      <c r="J203" s="212" t="n">
        <f aca="false">J205</f>
        <v>235</v>
      </c>
      <c r="K203" s="68" t="n">
        <f aca="false">K205</f>
        <v>4830</v>
      </c>
      <c r="L203" s="68" t="n">
        <v>2617</v>
      </c>
      <c r="M203" s="69" t="n">
        <f aca="false">188606/1000</f>
        <v>188.606</v>
      </c>
      <c r="N203" s="70"/>
      <c r="O203" s="69"/>
      <c r="P203" s="71"/>
      <c r="Q203" s="70"/>
      <c r="R203" s="70"/>
      <c r="S203" s="70"/>
      <c r="T203" s="70"/>
      <c r="U203" s="70"/>
      <c r="V203" s="70"/>
      <c r="W203" s="70"/>
      <c r="X203" s="70"/>
      <c r="Y203" s="70"/>
    </row>
    <row r="204" customFormat="false" ht="15" hidden="false" customHeight="true" outlineLevel="0" collapsed="false">
      <c r="A204" s="56"/>
      <c r="B204" s="73"/>
      <c r="C204" s="118" t="s">
        <v>3</v>
      </c>
      <c r="D204" s="119" t="s">
        <v>3</v>
      </c>
      <c r="E204" s="119" t="s">
        <v>3</v>
      </c>
      <c r="F204" s="224" t="s">
        <v>3</v>
      </c>
      <c r="G204" s="92" t="s">
        <v>3</v>
      </c>
      <c r="H204" s="209" t="s">
        <v>3</v>
      </c>
      <c r="I204" s="307" t="s">
        <v>3</v>
      </c>
      <c r="J204" s="355" t="s">
        <v>3</v>
      </c>
      <c r="K204" s="167" t="s">
        <v>3</v>
      </c>
      <c r="L204" s="304" t="s">
        <v>3</v>
      </c>
      <c r="M204" s="298" t="s">
        <v>3</v>
      </c>
      <c r="N204" s="299"/>
      <c r="O204" s="298"/>
      <c r="P204" s="308"/>
      <c r="Q204" s="298"/>
      <c r="R204" s="298"/>
      <c r="S204" s="299"/>
      <c r="T204" s="299"/>
      <c r="U204" s="299"/>
      <c r="V204" s="299"/>
      <c r="W204" s="301"/>
      <c r="X204" s="298"/>
      <c r="Y204" s="298"/>
    </row>
    <row r="205" customFormat="false" ht="15" hidden="false" customHeight="true" outlineLevel="0" collapsed="false">
      <c r="A205" s="56"/>
      <c r="B205" s="55" t="s">
        <v>135</v>
      </c>
      <c r="C205" s="231" t="n">
        <f aca="false">C206+C207+C208</f>
        <v>3079.63481</v>
      </c>
      <c r="D205" s="231" t="n">
        <v>5127.98318</v>
      </c>
      <c r="E205" s="231" t="n">
        <f aca="false">SUM(E206+E207+E208)</f>
        <v>2480</v>
      </c>
      <c r="F205" s="231" t="n">
        <f aca="false">F206+F207+F208</f>
        <v>330</v>
      </c>
      <c r="G205" s="231" t="n">
        <f aca="false">G206+G207+G208</f>
        <v>3054</v>
      </c>
      <c r="H205" s="231" t="n">
        <f aca="false">H206+H207+H208</f>
        <v>141</v>
      </c>
      <c r="I205" s="231" t="n">
        <f aca="false">I206+I207+I208</f>
        <v>282</v>
      </c>
      <c r="J205" s="231" t="n">
        <v>235</v>
      </c>
      <c r="K205" s="126" t="n">
        <f aca="false">K206+K207+K208</f>
        <v>4830</v>
      </c>
      <c r="L205" s="126" t="n">
        <f aca="false">L206+L207+L208</f>
        <v>2000</v>
      </c>
      <c r="M205" s="129" t="n">
        <f aca="false">M207</f>
        <v>5100</v>
      </c>
      <c r="N205" s="279"/>
      <c r="O205" s="129"/>
      <c r="P205" s="130"/>
      <c r="Q205" s="129"/>
      <c r="R205" s="129"/>
      <c r="S205" s="279"/>
      <c r="T205" s="279"/>
      <c r="U205" s="279"/>
      <c r="V205" s="279"/>
      <c r="W205" s="280"/>
      <c r="X205" s="129"/>
      <c r="Y205" s="129"/>
    </row>
    <row r="206" customFormat="false" ht="15" hidden="false" customHeight="true" outlineLevel="0" collapsed="false">
      <c r="A206" s="56"/>
      <c r="B206" s="95" t="s">
        <v>136</v>
      </c>
      <c r="C206" s="231" t="n">
        <f aca="false">72.54257+14.97929+577.44706</f>
        <v>664.96892</v>
      </c>
      <c r="D206" s="231" t="n">
        <v>0</v>
      </c>
      <c r="E206" s="231" t="n">
        <v>331</v>
      </c>
      <c r="F206" s="231" t="n">
        <v>0</v>
      </c>
      <c r="G206" s="231" t="n">
        <v>0</v>
      </c>
      <c r="H206" s="231" t="n">
        <v>0</v>
      </c>
      <c r="I206" s="231" t="n">
        <v>0</v>
      </c>
      <c r="J206" s="231" t="n">
        <v>0</v>
      </c>
      <c r="K206" s="126" t="n">
        <v>0</v>
      </c>
      <c r="L206" s="58"/>
      <c r="M206" s="61"/>
      <c r="N206" s="97"/>
      <c r="O206" s="61"/>
      <c r="P206" s="62"/>
      <c r="Q206" s="61"/>
      <c r="R206" s="61"/>
      <c r="S206" s="97"/>
      <c r="T206" s="97"/>
      <c r="U206" s="97"/>
      <c r="V206" s="97"/>
      <c r="W206" s="232"/>
      <c r="X206" s="61"/>
      <c r="Y206" s="61"/>
    </row>
    <row r="207" customFormat="false" ht="15" hidden="false" customHeight="true" outlineLevel="0" collapsed="false">
      <c r="A207" s="56"/>
      <c r="B207" s="95" t="s">
        <v>137</v>
      </c>
      <c r="C207" s="231" t="n">
        <f aca="false">308.16815+617.41513+339.57411</f>
        <v>1265.15739</v>
      </c>
      <c r="D207" s="231" t="n">
        <v>0</v>
      </c>
      <c r="E207" s="231" t="n">
        <v>2142</v>
      </c>
      <c r="F207" s="231" t="n">
        <v>330</v>
      </c>
      <c r="G207" s="231" t="n">
        <v>3054</v>
      </c>
      <c r="H207" s="231" t="n">
        <v>141</v>
      </c>
      <c r="I207" s="231" t="n">
        <v>282</v>
      </c>
      <c r="J207" s="231" t="n">
        <v>950</v>
      </c>
      <c r="K207" s="126" t="n">
        <v>4830</v>
      </c>
      <c r="L207" s="126" t="n">
        <v>2000</v>
      </c>
      <c r="M207" s="129" t="n">
        <v>5100</v>
      </c>
      <c r="N207" s="279"/>
      <c r="O207" s="129"/>
      <c r="P207" s="62"/>
      <c r="Q207" s="61"/>
      <c r="R207" s="61"/>
      <c r="S207" s="61"/>
      <c r="T207" s="61"/>
      <c r="U207" s="61"/>
      <c r="V207" s="61"/>
      <c r="W207" s="58"/>
      <c r="X207" s="61"/>
      <c r="Y207" s="61"/>
    </row>
    <row r="208" customFormat="false" ht="15" hidden="false" customHeight="true" outlineLevel="0" collapsed="false">
      <c r="A208" s="56"/>
      <c r="B208" s="95" t="s">
        <v>138</v>
      </c>
      <c r="C208" s="231" t="n">
        <f aca="false">234.394+915.1145</f>
        <v>1149.5085</v>
      </c>
      <c r="D208" s="231" t="n">
        <v>0</v>
      </c>
      <c r="E208" s="231" t="n">
        <v>7</v>
      </c>
      <c r="F208" s="231" t="n">
        <v>0</v>
      </c>
      <c r="G208" s="231" t="n">
        <v>0</v>
      </c>
      <c r="H208" s="231" t="n">
        <v>0</v>
      </c>
      <c r="I208" s="231" t="n">
        <v>0</v>
      </c>
      <c r="J208" s="231" t="n">
        <v>480</v>
      </c>
      <c r="K208" s="126" t="n">
        <v>0</v>
      </c>
      <c r="L208" s="58" t="n">
        <v>0</v>
      </c>
      <c r="M208" s="61" t="s">
        <v>3</v>
      </c>
      <c r="N208" s="97"/>
      <c r="O208" s="61"/>
      <c r="P208" s="62"/>
      <c r="Q208" s="61"/>
      <c r="R208" s="61"/>
      <c r="S208" s="97"/>
      <c r="T208" s="97"/>
      <c r="U208" s="97"/>
      <c r="V208" s="97"/>
      <c r="W208" s="232"/>
      <c r="X208" s="61"/>
      <c r="Y208" s="61"/>
    </row>
    <row r="209" customFormat="false" ht="15" hidden="false" customHeight="true" outlineLevel="0" collapsed="false">
      <c r="A209" s="56"/>
      <c r="B209" s="55"/>
      <c r="C209" s="231"/>
      <c r="D209" s="231"/>
      <c r="E209" s="231"/>
      <c r="F209" s="231"/>
      <c r="G209" s="231"/>
      <c r="H209" s="328"/>
      <c r="I209" s="328"/>
      <c r="J209" s="328"/>
      <c r="K209" s="349" t="s">
        <v>3</v>
      </c>
      <c r="L209" s="349"/>
      <c r="M209" s="356"/>
      <c r="N209" s="357"/>
      <c r="O209" s="356"/>
      <c r="P209" s="358"/>
      <c r="Q209" s="356"/>
      <c r="R209" s="356"/>
      <c r="S209" s="356"/>
      <c r="T209" s="357"/>
      <c r="U209" s="357"/>
      <c r="V209" s="357"/>
      <c r="W209" s="359"/>
      <c r="X209" s="356"/>
      <c r="Y209" s="356"/>
    </row>
    <row r="210" s="3" customFormat="true" ht="15.75" hidden="false" customHeight="true" outlineLevel="0" collapsed="false">
      <c r="A210" s="38" t="s">
        <v>139</v>
      </c>
      <c r="B210" s="107" t="s">
        <v>140</v>
      </c>
      <c r="C210" s="212" t="n">
        <f aca="false">SUM(C214:C214)</f>
        <v>17993.8776</v>
      </c>
      <c r="D210" s="212" t="n">
        <f aca="false">SUM(D214:D214)</f>
        <v>13062</v>
      </c>
      <c r="E210" s="212" t="n">
        <f aca="false">SUM(E214:E214)</f>
        <v>5273</v>
      </c>
      <c r="F210" s="212" t="n">
        <f aca="false">SUM(F214:F214)</f>
        <v>4739</v>
      </c>
      <c r="G210" s="212" t="n">
        <f aca="false">SUM(G214:G214)</f>
        <v>3845</v>
      </c>
      <c r="H210" s="212" t="n">
        <f aca="false">SUM(H214)</f>
        <v>2795</v>
      </c>
      <c r="I210" s="212" t="n">
        <f aca="false">SUM(I214)</f>
        <v>6024</v>
      </c>
      <c r="J210" s="212" t="n">
        <f aca="false">J212+J214</f>
        <v>22120</v>
      </c>
      <c r="K210" s="68" t="n">
        <f aca="false">K212+K214</f>
        <v>13270</v>
      </c>
      <c r="L210" s="68" t="n">
        <v>16920</v>
      </c>
      <c r="M210" s="69" t="n">
        <f aca="false">22806918/1000</f>
        <v>22806.918</v>
      </c>
      <c r="N210" s="70"/>
      <c r="O210" s="69"/>
      <c r="P210" s="71"/>
      <c r="Q210" s="68"/>
      <c r="R210" s="68"/>
      <c r="S210" s="68"/>
      <c r="T210" s="69"/>
      <c r="U210" s="69"/>
      <c r="V210" s="69"/>
      <c r="W210" s="68"/>
      <c r="X210" s="69"/>
      <c r="Y210" s="69"/>
    </row>
    <row r="211" s="3" customFormat="true" ht="15.75" hidden="false" customHeight="true" outlineLevel="0" collapsed="false">
      <c r="A211" s="72"/>
      <c r="B211" s="73"/>
      <c r="C211" s="118" t="s">
        <v>3</v>
      </c>
      <c r="D211" s="119" t="s">
        <v>3</v>
      </c>
      <c r="E211" s="119" t="s">
        <v>3</v>
      </c>
      <c r="F211" s="360" t="s">
        <v>3</v>
      </c>
      <c r="G211" s="92" t="s">
        <v>3</v>
      </c>
      <c r="H211" s="209" t="s">
        <v>3</v>
      </c>
      <c r="I211" s="307" t="s">
        <v>3</v>
      </c>
      <c r="J211" s="355" t="s">
        <v>3</v>
      </c>
      <c r="K211" s="167" t="s">
        <v>3</v>
      </c>
      <c r="L211" s="102" t="s">
        <v>3</v>
      </c>
      <c r="M211" s="170" t="s">
        <v>3</v>
      </c>
      <c r="N211" s="197"/>
      <c r="O211" s="170"/>
      <c r="P211" s="251"/>
      <c r="Q211" s="170"/>
      <c r="R211" s="170"/>
      <c r="S211" s="197"/>
      <c r="T211" s="170"/>
      <c r="U211" s="170"/>
      <c r="V211" s="170"/>
      <c r="W211" s="167"/>
      <c r="X211" s="170"/>
      <c r="Y211" s="170"/>
    </row>
    <row r="212" s="278" customFormat="true" ht="15.75" hidden="false" customHeight="true" outlineLevel="0" collapsed="false">
      <c r="A212" s="361"/>
      <c r="B212" s="362" t="s">
        <v>141</v>
      </c>
      <c r="C212" s="118"/>
      <c r="D212" s="119"/>
      <c r="E212" s="119"/>
      <c r="F212" s="360"/>
      <c r="G212" s="92"/>
      <c r="H212" s="209"/>
      <c r="I212" s="307"/>
      <c r="J212" s="119" t="n">
        <v>0</v>
      </c>
      <c r="K212" s="119" t="n">
        <v>0</v>
      </c>
      <c r="L212" s="119" t="s">
        <v>3</v>
      </c>
      <c r="M212" s="88" t="n">
        <f aca="false">M213</f>
        <v>1310</v>
      </c>
      <c r="N212" s="89"/>
      <c r="O212" s="88"/>
      <c r="P212" s="117"/>
      <c r="Q212" s="88"/>
      <c r="R212" s="88"/>
      <c r="S212" s="88"/>
      <c r="T212" s="88"/>
      <c r="U212" s="88"/>
      <c r="V212" s="88"/>
      <c r="W212" s="119"/>
      <c r="X212" s="88"/>
      <c r="Y212" s="88"/>
    </row>
    <row r="213" s="278" customFormat="true" ht="15" hidden="false" customHeight="true" outlineLevel="0" collapsed="false">
      <c r="A213" s="363"/>
      <c r="B213" s="253" t="s">
        <v>142</v>
      </c>
      <c r="C213" s="119" t="n">
        <v>0</v>
      </c>
      <c r="D213" s="224" t="n">
        <v>0</v>
      </c>
      <c r="E213" s="224" t="n">
        <v>0</v>
      </c>
      <c r="F213" s="224" t="n">
        <v>0</v>
      </c>
      <c r="G213" s="224" t="n">
        <v>101</v>
      </c>
      <c r="H213" s="224" t="n">
        <v>251</v>
      </c>
      <c r="I213" s="224" t="s">
        <v>3</v>
      </c>
      <c r="J213" s="224" t="n">
        <v>430</v>
      </c>
      <c r="K213" s="119" t="n">
        <v>0</v>
      </c>
      <c r="L213" s="119" t="s">
        <v>3</v>
      </c>
      <c r="M213" s="88" t="n">
        <v>1310</v>
      </c>
      <c r="N213" s="89"/>
      <c r="O213" s="88"/>
      <c r="P213" s="117"/>
      <c r="Q213" s="88"/>
      <c r="R213" s="88"/>
      <c r="S213" s="89"/>
      <c r="T213" s="89"/>
      <c r="U213" s="89"/>
      <c r="V213" s="89"/>
      <c r="W213" s="118"/>
      <c r="X213" s="88"/>
      <c r="Y213" s="88"/>
    </row>
    <row r="214" s="278" customFormat="true" ht="15.75" hidden="false" customHeight="true" outlineLevel="0" collapsed="false">
      <c r="A214" s="364"/>
      <c r="B214" s="365" t="s">
        <v>143</v>
      </c>
      <c r="C214" s="224" t="n">
        <f aca="false">SUM(C215:C219)</f>
        <v>17993.8776</v>
      </c>
      <c r="D214" s="224" t="n">
        <v>13062</v>
      </c>
      <c r="E214" s="224" t="n">
        <v>5273</v>
      </c>
      <c r="F214" s="224" t="n">
        <f aca="false">SUM(F215:F219)</f>
        <v>4739</v>
      </c>
      <c r="G214" s="224" t="n">
        <f aca="false">SUM(G215:G219)</f>
        <v>3845</v>
      </c>
      <c r="H214" s="224" t="n">
        <f aca="false">SUM(H215:H219)</f>
        <v>2795</v>
      </c>
      <c r="I214" s="224" t="n">
        <v>6024</v>
      </c>
      <c r="J214" s="224" t="n">
        <v>22120</v>
      </c>
      <c r="K214" s="119" t="n">
        <v>13270</v>
      </c>
      <c r="L214" s="119" t="s">
        <v>3</v>
      </c>
      <c r="M214" s="88" t="n">
        <f aca="false">SUM(M215:M220)</f>
        <v>13590</v>
      </c>
      <c r="N214" s="89"/>
      <c r="O214" s="88"/>
      <c r="P214" s="117"/>
      <c r="Q214" s="88"/>
      <c r="R214" s="88"/>
      <c r="S214" s="88"/>
      <c r="T214" s="88"/>
      <c r="U214" s="88"/>
      <c r="V214" s="88"/>
      <c r="W214" s="119"/>
      <c r="X214" s="88"/>
      <c r="Y214" s="88"/>
    </row>
    <row r="215" s="3" customFormat="true" ht="15" hidden="false" customHeight="true" outlineLevel="0" collapsed="false">
      <c r="A215" s="56"/>
      <c r="B215" s="95" t="s">
        <v>144</v>
      </c>
      <c r="C215" s="126" t="n">
        <v>1528.73832</v>
      </c>
      <c r="D215" s="231" t="n">
        <v>0</v>
      </c>
      <c r="E215" s="231" t="n">
        <v>1530</v>
      </c>
      <c r="F215" s="231" t="n">
        <v>1291</v>
      </c>
      <c r="G215" s="231" t="n">
        <v>470</v>
      </c>
      <c r="H215" s="231" t="n">
        <v>946</v>
      </c>
      <c r="I215" s="231" t="s">
        <v>3</v>
      </c>
      <c r="J215" s="231" t="n">
        <v>2090</v>
      </c>
      <c r="K215" s="126" t="s">
        <v>3</v>
      </c>
      <c r="L215" s="126" t="s">
        <v>3</v>
      </c>
      <c r="M215" s="129" t="n">
        <v>570</v>
      </c>
      <c r="N215" s="279"/>
      <c r="O215" s="129"/>
      <c r="P215" s="130"/>
      <c r="Q215" s="129"/>
      <c r="R215" s="129"/>
      <c r="S215" s="279"/>
      <c r="T215" s="279"/>
      <c r="U215" s="279"/>
      <c r="V215" s="279"/>
      <c r="W215" s="280"/>
      <c r="X215" s="129"/>
      <c r="Y215" s="129"/>
    </row>
    <row r="216" s="3" customFormat="true" ht="15" hidden="false" customHeight="true" outlineLevel="0" collapsed="false">
      <c r="A216" s="56"/>
      <c r="B216" s="95" t="s">
        <v>145</v>
      </c>
      <c r="C216" s="126" t="n">
        <f aca="false">857.03679</f>
        <v>857.03679</v>
      </c>
      <c r="D216" s="231" t="n">
        <v>0</v>
      </c>
      <c r="E216" s="231" t="n">
        <v>1910</v>
      </c>
      <c r="F216" s="231" t="n">
        <v>0</v>
      </c>
      <c r="G216" s="231" t="n">
        <v>0</v>
      </c>
      <c r="H216" s="231" t="n">
        <v>0</v>
      </c>
      <c r="I216" s="231" t="s">
        <v>3</v>
      </c>
      <c r="J216" s="231" t="n">
        <v>570</v>
      </c>
      <c r="K216" s="126" t="s">
        <v>3</v>
      </c>
      <c r="L216" s="126" t="s">
        <v>3</v>
      </c>
      <c r="M216" s="129"/>
      <c r="N216" s="279"/>
      <c r="O216" s="129"/>
      <c r="P216" s="130"/>
      <c r="Q216" s="129"/>
      <c r="R216" s="129"/>
      <c r="S216" s="279"/>
      <c r="T216" s="279"/>
      <c r="U216" s="279"/>
      <c r="V216" s="279"/>
      <c r="W216" s="280"/>
      <c r="X216" s="129"/>
      <c r="Y216" s="129"/>
    </row>
    <row r="217" s="3" customFormat="true" ht="15" hidden="false" customHeight="true" outlineLevel="0" collapsed="false">
      <c r="A217" s="56"/>
      <c r="B217" s="95" t="s">
        <v>146</v>
      </c>
      <c r="C217" s="126" t="n">
        <f aca="false">6.1325+3423.146+141.82399</f>
        <v>3571.10249</v>
      </c>
      <c r="D217" s="231" t="n">
        <v>0</v>
      </c>
      <c r="E217" s="231" t="n">
        <v>810</v>
      </c>
      <c r="F217" s="231" t="n">
        <v>3131</v>
      </c>
      <c r="G217" s="231" t="n">
        <v>3075</v>
      </c>
      <c r="H217" s="231" t="n">
        <v>1465</v>
      </c>
      <c r="I217" s="231" t="s">
        <v>3</v>
      </c>
      <c r="J217" s="231" t="n">
        <v>4500</v>
      </c>
      <c r="K217" s="126" t="s">
        <v>3</v>
      </c>
      <c r="L217" s="126" t="s">
        <v>3</v>
      </c>
      <c r="M217" s="129" t="n">
        <v>100</v>
      </c>
      <c r="N217" s="279"/>
      <c r="O217" s="129"/>
      <c r="P217" s="130"/>
      <c r="Q217" s="129"/>
      <c r="R217" s="129"/>
      <c r="S217" s="279"/>
      <c r="T217" s="279"/>
      <c r="U217" s="279"/>
      <c r="V217" s="279"/>
      <c r="W217" s="280"/>
      <c r="X217" s="129"/>
      <c r="Y217" s="129"/>
    </row>
    <row r="218" s="3" customFormat="true" ht="15" hidden="false" customHeight="true" outlineLevel="0" collapsed="false">
      <c r="A218" s="56"/>
      <c r="B218" s="95" t="s">
        <v>147</v>
      </c>
      <c r="C218" s="126"/>
      <c r="D218" s="231"/>
      <c r="E218" s="231"/>
      <c r="F218" s="231"/>
      <c r="G218" s="231"/>
      <c r="H218" s="231"/>
      <c r="I218" s="231"/>
      <c r="J218" s="231"/>
      <c r="K218" s="126" t="s">
        <v>3</v>
      </c>
      <c r="L218" s="126" t="s">
        <v>3</v>
      </c>
      <c r="M218" s="129" t="n">
        <v>12190</v>
      </c>
      <c r="N218" s="279"/>
      <c r="O218" s="129"/>
      <c r="P218" s="130"/>
      <c r="Q218" s="129"/>
      <c r="R218" s="129"/>
      <c r="S218" s="279"/>
      <c r="T218" s="279"/>
      <c r="U218" s="279"/>
      <c r="V218" s="279"/>
      <c r="W218" s="280"/>
      <c r="X218" s="129"/>
      <c r="Y218" s="129"/>
    </row>
    <row r="219" s="3" customFormat="true" ht="15" hidden="false" customHeight="true" outlineLevel="0" collapsed="false">
      <c r="A219" s="56"/>
      <c r="B219" s="95" t="s">
        <v>148</v>
      </c>
      <c r="C219" s="126" t="n">
        <v>12037</v>
      </c>
      <c r="D219" s="231"/>
      <c r="E219" s="231" t="n">
        <v>0</v>
      </c>
      <c r="F219" s="231" t="n">
        <v>317</v>
      </c>
      <c r="G219" s="231" t="n">
        <v>300</v>
      </c>
      <c r="H219" s="231" t="n">
        <v>384</v>
      </c>
      <c r="I219" s="231" t="s">
        <v>3</v>
      </c>
      <c r="J219" s="231" t="n">
        <v>4300</v>
      </c>
      <c r="K219" s="126" t="s">
        <v>3</v>
      </c>
      <c r="L219" s="126" t="s">
        <v>3</v>
      </c>
      <c r="M219" s="129" t="n">
        <v>730</v>
      </c>
      <c r="N219" s="279"/>
      <c r="O219" s="129"/>
      <c r="P219" s="130"/>
      <c r="Q219" s="129"/>
      <c r="R219" s="129"/>
      <c r="S219" s="279"/>
      <c r="T219" s="279"/>
      <c r="U219" s="279"/>
      <c r="V219" s="279"/>
      <c r="W219" s="280"/>
      <c r="X219" s="129"/>
      <c r="Y219" s="129"/>
    </row>
    <row r="220" s="3" customFormat="true" ht="15" hidden="false" customHeight="true" outlineLevel="0" collapsed="false">
      <c r="A220" s="56"/>
      <c r="B220" s="95" t="s">
        <v>149</v>
      </c>
      <c r="C220" s="126"/>
      <c r="D220" s="231"/>
      <c r="E220" s="231"/>
      <c r="F220" s="231"/>
      <c r="G220" s="231"/>
      <c r="H220" s="231"/>
      <c r="I220" s="231"/>
      <c r="J220" s="231" t="n">
        <v>0</v>
      </c>
      <c r="K220" s="126" t="s">
        <v>3</v>
      </c>
      <c r="L220" s="126" t="s">
        <v>3</v>
      </c>
      <c r="M220" s="129" t="n">
        <v>0</v>
      </c>
      <c r="N220" s="279"/>
      <c r="O220" s="129"/>
      <c r="P220" s="130"/>
      <c r="Q220" s="129"/>
      <c r="R220" s="129"/>
      <c r="S220" s="279"/>
      <c r="T220" s="279"/>
      <c r="U220" s="279"/>
      <c r="V220" s="279"/>
      <c r="W220" s="280"/>
      <c r="X220" s="129"/>
      <c r="Y220" s="129"/>
    </row>
    <row r="221" s="3" customFormat="true" ht="15" hidden="false" customHeight="true" outlineLevel="0" collapsed="false">
      <c r="A221" s="56"/>
      <c r="B221" s="95"/>
      <c r="C221" s="231"/>
      <c r="D221" s="231"/>
      <c r="E221" s="231"/>
      <c r="F221" s="231"/>
      <c r="G221" s="231"/>
      <c r="H221" s="231" t="s">
        <v>3</v>
      </c>
      <c r="I221" s="225" t="s">
        <v>3</v>
      </c>
      <c r="J221" s="226" t="s">
        <v>3</v>
      </c>
      <c r="K221" s="167" t="s">
        <v>3</v>
      </c>
      <c r="L221" s="167"/>
      <c r="M221" s="170"/>
      <c r="N221" s="197"/>
      <c r="O221" s="170"/>
      <c r="P221" s="251"/>
      <c r="Q221" s="170"/>
      <c r="R221" s="170"/>
      <c r="S221" s="197"/>
      <c r="T221" s="197"/>
      <c r="U221" s="197"/>
      <c r="V221" s="197"/>
      <c r="W221" s="252"/>
      <c r="X221" s="170"/>
      <c r="Y221" s="170"/>
    </row>
    <row r="222" s="3" customFormat="true" ht="15.75" hidden="false" customHeight="true" outlineLevel="0" collapsed="false">
      <c r="A222" s="38" t="s">
        <v>150</v>
      </c>
      <c r="B222" s="107" t="s">
        <v>151</v>
      </c>
      <c r="C222" s="212" t="n">
        <f aca="false">C224+C225</f>
        <v>4010.28762</v>
      </c>
      <c r="D222" s="212" t="n">
        <f aca="false">D224+D225</f>
        <v>8672.49608</v>
      </c>
      <c r="E222" s="212" t="n">
        <f aca="false">E224+E225</f>
        <v>10507</v>
      </c>
      <c r="F222" s="212" t="n">
        <f aca="false">F224+F225</f>
        <v>9264</v>
      </c>
      <c r="G222" s="212" t="n">
        <f aca="false">G224+G225</f>
        <v>4137</v>
      </c>
      <c r="H222" s="212" t="n">
        <f aca="false">H224+H225</f>
        <v>9100</v>
      </c>
      <c r="I222" s="212" t="n">
        <f aca="false">I224+I225</f>
        <v>13210</v>
      </c>
      <c r="J222" s="212" t="n">
        <f aca="false">J224+J225</f>
        <v>18262</v>
      </c>
      <c r="K222" s="68" t="n">
        <v>14964</v>
      </c>
      <c r="L222" s="68" t="n">
        <v>15704</v>
      </c>
      <c r="M222" s="69" t="n">
        <f aca="false">14397551/1000</f>
        <v>14397.551</v>
      </c>
      <c r="N222" s="70"/>
      <c r="O222" s="69"/>
      <c r="P222" s="71"/>
      <c r="Q222" s="69"/>
      <c r="R222" s="69"/>
      <c r="S222" s="69"/>
      <c r="T222" s="69"/>
      <c r="U222" s="69"/>
      <c r="V222" s="69"/>
      <c r="W222" s="68"/>
      <c r="X222" s="69"/>
      <c r="Y222" s="69"/>
    </row>
    <row r="223" s="3" customFormat="true" ht="15.75" hidden="false" customHeight="true" outlineLevel="0" collapsed="false">
      <c r="A223" s="72"/>
      <c r="B223" s="73"/>
      <c r="C223" s="119" t="s">
        <v>3</v>
      </c>
      <c r="D223" s="119" t="s">
        <v>3</v>
      </c>
      <c r="E223" s="119" t="s">
        <v>3</v>
      </c>
      <c r="F223" s="360" t="s">
        <v>3</v>
      </c>
      <c r="G223" s="92" t="s">
        <v>3</v>
      </c>
      <c r="H223" s="209" t="s">
        <v>3</v>
      </c>
      <c r="I223" s="307" t="s">
        <v>3</v>
      </c>
      <c r="J223" s="355" t="s">
        <v>3</v>
      </c>
      <c r="K223" s="167" t="s">
        <v>3</v>
      </c>
      <c r="L223" s="102" t="s">
        <v>3</v>
      </c>
      <c r="M223" s="170" t="s">
        <v>3</v>
      </c>
      <c r="N223" s="197"/>
      <c r="O223" s="170"/>
      <c r="P223" s="251"/>
      <c r="Q223" s="170"/>
      <c r="R223" s="170"/>
      <c r="S223" s="197"/>
      <c r="T223" s="197"/>
      <c r="U223" s="197"/>
      <c r="V223" s="197"/>
      <c r="W223" s="252"/>
      <c r="X223" s="170"/>
      <c r="Y223" s="170"/>
    </row>
    <row r="224" s="3" customFormat="true" ht="15.75" hidden="false" customHeight="true" outlineLevel="0" collapsed="false">
      <c r="A224" s="72"/>
      <c r="B224" s="95" t="s">
        <v>152</v>
      </c>
      <c r="C224" s="126" t="n">
        <v>0</v>
      </c>
      <c r="D224" s="231" t="n">
        <v>0</v>
      </c>
      <c r="E224" s="231" t="n">
        <v>0</v>
      </c>
      <c r="F224" s="231" t="n">
        <v>122</v>
      </c>
      <c r="G224" s="231" t="n">
        <v>0</v>
      </c>
      <c r="H224" s="231" t="n">
        <v>0</v>
      </c>
      <c r="I224" s="231" t="n">
        <v>0</v>
      </c>
      <c r="J224" s="231" t="n">
        <v>0</v>
      </c>
      <c r="K224" s="126" t="s">
        <v>3</v>
      </c>
      <c r="L224" s="119" t="n">
        <v>0</v>
      </c>
      <c r="M224" s="88" t="n">
        <v>0</v>
      </c>
      <c r="N224" s="89"/>
      <c r="O224" s="88"/>
      <c r="P224" s="366"/>
      <c r="Q224" s="367"/>
      <c r="R224" s="367"/>
      <c r="S224" s="368"/>
      <c r="T224" s="368"/>
      <c r="U224" s="368"/>
      <c r="V224" s="368"/>
      <c r="W224" s="369"/>
      <c r="X224" s="367"/>
      <c r="Y224" s="367"/>
    </row>
    <row r="225" s="3" customFormat="true" ht="15.75" hidden="false" customHeight="true" outlineLevel="0" collapsed="false">
      <c r="A225" s="72"/>
      <c r="B225" s="95" t="s">
        <v>153</v>
      </c>
      <c r="C225" s="126" t="n">
        <f aca="false">SUM(C226:C232)</f>
        <v>4010.28762</v>
      </c>
      <c r="D225" s="231" t="n">
        <v>8672.49608</v>
      </c>
      <c r="E225" s="231" t="n">
        <f aca="false">SUM(E226:E233)</f>
        <v>10507</v>
      </c>
      <c r="F225" s="231" t="n">
        <f aca="false">SUM(F226:F233)</f>
        <v>9142</v>
      </c>
      <c r="G225" s="231" t="n">
        <f aca="false">SUM(G226:G233)</f>
        <v>4137</v>
      </c>
      <c r="H225" s="231" t="n">
        <f aca="false">SUM(H226:H233)</f>
        <v>9100</v>
      </c>
      <c r="I225" s="231" t="n">
        <v>13210</v>
      </c>
      <c r="J225" s="231" t="n">
        <v>18262</v>
      </c>
      <c r="K225" s="126" t="n">
        <v>14964</v>
      </c>
      <c r="L225" s="119" t="n">
        <v>12900</v>
      </c>
      <c r="M225" s="88" t="n">
        <f aca="false">SUM(M226:M236)</f>
        <v>8800</v>
      </c>
      <c r="N225" s="89"/>
      <c r="O225" s="88"/>
      <c r="P225" s="117"/>
      <c r="Q225" s="88"/>
      <c r="R225" s="88"/>
      <c r="S225" s="88"/>
      <c r="T225" s="88"/>
      <c r="U225" s="88"/>
      <c r="V225" s="88"/>
      <c r="W225" s="119"/>
      <c r="X225" s="88"/>
      <c r="Y225" s="88"/>
    </row>
    <row r="226" s="3" customFormat="true" ht="15" hidden="false" customHeight="true" outlineLevel="0" collapsed="false">
      <c r="A226" s="56"/>
      <c r="B226" s="95" t="s">
        <v>154</v>
      </c>
      <c r="C226" s="126" t="n">
        <v>4010.28762</v>
      </c>
      <c r="D226" s="231" t="n">
        <v>0</v>
      </c>
      <c r="E226" s="231" t="n">
        <v>0</v>
      </c>
      <c r="F226" s="231" t="n">
        <v>0</v>
      </c>
      <c r="G226" s="231" t="n">
        <v>0</v>
      </c>
      <c r="H226" s="231" t="n">
        <v>0</v>
      </c>
      <c r="I226" s="231" t="n">
        <v>0</v>
      </c>
      <c r="J226" s="231" t="n">
        <v>0</v>
      </c>
      <c r="K226" s="126" t="s">
        <v>3</v>
      </c>
      <c r="L226" s="119" t="s">
        <v>3</v>
      </c>
      <c r="M226" s="88" t="n">
        <v>0</v>
      </c>
      <c r="N226" s="89"/>
      <c r="O226" s="88"/>
      <c r="P226" s="117"/>
      <c r="Q226" s="88"/>
      <c r="R226" s="88"/>
      <c r="S226" s="89"/>
      <c r="T226" s="89"/>
      <c r="U226" s="89"/>
      <c r="V226" s="89"/>
      <c r="W226" s="118"/>
      <c r="X226" s="88"/>
      <c r="Y226" s="88"/>
    </row>
    <row r="227" s="3" customFormat="true" ht="15" hidden="false" customHeight="true" outlineLevel="0" collapsed="false">
      <c r="A227" s="56"/>
      <c r="B227" s="95" t="s">
        <v>155</v>
      </c>
      <c r="C227" s="126" t="n">
        <v>0</v>
      </c>
      <c r="D227" s="231" t="n">
        <v>0</v>
      </c>
      <c r="E227" s="231" t="n">
        <v>252</v>
      </c>
      <c r="F227" s="231" t="n">
        <v>156</v>
      </c>
      <c r="G227" s="231" t="n">
        <v>68</v>
      </c>
      <c r="H227" s="231" t="n">
        <v>0</v>
      </c>
      <c r="I227" s="231" t="n">
        <v>288</v>
      </c>
      <c r="J227" s="231" t="n">
        <v>1100</v>
      </c>
      <c r="K227" s="126" t="s">
        <v>3</v>
      </c>
      <c r="L227" s="119" t="s">
        <v>3</v>
      </c>
      <c r="M227" s="88" t="n">
        <v>200</v>
      </c>
      <c r="N227" s="89"/>
      <c r="O227" s="88"/>
      <c r="P227" s="117"/>
      <c r="Q227" s="88"/>
      <c r="R227" s="88"/>
      <c r="S227" s="89"/>
      <c r="T227" s="89"/>
      <c r="U227" s="89"/>
      <c r="V227" s="89"/>
      <c r="W227" s="118"/>
      <c r="X227" s="88"/>
      <c r="Y227" s="88"/>
    </row>
    <row r="228" s="3" customFormat="true" ht="15" hidden="false" customHeight="true" outlineLevel="0" collapsed="false">
      <c r="A228" s="56"/>
      <c r="B228" s="95" t="s">
        <v>156</v>
      </c>
      <c r="C228" s="126" t="n">
        <v>0</v>
      </c>
      <c r="D228" s="231" t="n">
        <v>0</v>
      </c>
      <c r="E228" s="231" t="n">
        <v>6954</v>
      </c>
      <c r="F228" s="231" t="n">
        <v>8496</v>
      </c>
      <c r="G228" s="231" t="n">
        <v>3205</v>
      </c>
      <c r="H228" s="231" t="n">
        <v>5932</v>
      </c>
      <c r="I228" s="231" t="n">
        <v>3887</v>
      </c>
      <c r="J228" s="231" t="n">
        <v>1200</v>
      </c>
      <c r="K228" s="126" t="s">
        <v>3</v>
      </c>
      <c r="L228" s="119" t="s">
        <v>3</v>
      </c>
      <c r="M228" s="88" t="n">
        <v>2300</v>
      </c>
      <c r="N228" s="89"/>
      <c r="O228" s="88"/>
      <c r="P228" s="117"/>
      <c r="Q228" s="88"/>
      <c r="R228" s="88"/>
      <c r="S228" s="89"/>
      <c r="T228" s="89"/>
      <c r="U228" s="89"/>
      <c r="V228" s="89"/>
      <c r="W228" s="118"/>
      <c r="X228" s="88"/>
      <c r="Y228" s="88"/>
    </row>
    <row r="229" s="3" customFormat="true" ht="15" hidden="false" customHeight="true" outlineLevel="0" collapsed="false">
      <c r="A229" s="56"/>
      <c r="B229" s="95" t="s">
        <v>157</v>
      </c>
      <c r="C229" s="126" t="n">
        <v>0</v>
      </c>
      <c r="D229" s="231" t="n">
        <v>0</v>
      </c>
      <c r="E229" s="231" t="n">
        <v>2607</v>
      </c>
      <c r="F229" s="231" t="n">
        <v>182</v>
      </c>
      <c r="G229" s="231" t="n">
        <v>42</v>
      </c>
      <c r="H229" s="231" t="n">
        <v>2090</v>
      </c>
      <c r="I229" s="231" t="n">
        <v>5609</v>
      </c>
      <c r="J229" s="231" t="n">
        <v>6040</v>
      </c>
      <c r="K229" s="126" t="s">
        <v>3</v>
      </c>
      <c r="L229" s="119" t="s">
        <v>3</v>
      </c>
      <c r="M229" s="88" t="n">
        <v>1000</v>
      </c>
      <c r="N229" s="89"/>
      <c r="O229" s="88"/>
      <c r="P229" s="117"/>
      <c r="Q229" s="88"/>
      <c r="R229" s="88"/>
      <c r="S229" s="89"/>
      <c r="T229" s="89"/>
      <c r="U229" s="89"/>
      <c r="V229" s="89"/>
      <c r="W229" s="118"/>
      <c r="X229" s="88"/>
      <c r="Y229" s="88"/>
    </row>
    <row r="230" s="3" customFormat="true" ht="15" hidden="false" customHeight="true" outlineLevel="0" collapsed="false">
      <c r="A230" s="56"/>
      <c r="B230" s="95" t="s">
        <v>158</v>
      </c>
      <c r="C230" s="126" t="n">
        <v>0</v>
      </c>
      <c r="D230" s="231" t="n">
        <v>0</v>
      </c>
      <c r="E230" s="231" t="n">
        <v>0</v>
      </c>
      <c r="F230" s="231" t="n">
        <v>9</v>
      </c>
      <c r="G230" s="231" t="n">
        <v>510</v>
      </c>
      <c r="H230" s="231" t="n">
        <v>0</v>
      </c>
      <c r="I230" s="231" t="n">
        <v>0</v>
      </c>
      <c r="J230" s="231" t="n">
        <v>0</v>
      </c>
      <c r="K230" s="126" t="s">
        <v>3</v>
      </c>
      <c r="L230" s="119" t="s">
        <v>3</v>
      </c>
      <c r="M230" s="88" t="n">
        <v>0</v>
      </c>
      <c r="N230" s="89"/>
      <c r="O230" s="88"/>
      <c r="P230" s="117"/>
      <c r="Q230" s="88"/>
      <c r="R230" s="88"/>
      <c r="S230" s="89"/>
      <c r="T230" s="89"/>
      <c r="U230" s="89"/>
      <c r="V230" s="89"/>
      <c r="W230" s="118"/>
      <c r="X230" s="88"/>
      <c r="Y230" s="88"/>
    </row>
    <row r="231" s="3" customFormat="true" ht="15" hidden="false" customHeight="true" outlineLevel="0" collapsed="false">
      <c r="A231" s="56"/>
      <c r="B231" s="95" t="s">
        <v>159</v>
      </c>
      <c r="C231" s="126" t="n">
        <v>0</v>
      </c>
      <c r="D231" s="231" t="n">
        <v>0</v>
      </c>
      <c r="E231" s="231" t="n">
        <v>496</v>
      </c>
      <c r="F231" s="231" t="n">
        <v>46</v>
      </c>
      <c r="G231" s="231" t="n">
        <v>38</v>
      </c>
      <c r="H231" s="231" t="n">
        <v>98</v>
      </c>
      <c r="I231" s="231" t="n">
        <v>162</v>
      </c>
      <c r="J231" s="231" t="n">
        <v>530</v>
      </c>
      <c r="K231" s="126" t="s">
        <v>3</v>
      </c>
      <c r="L231" s="119" t="s">
        <v>3</v>
      </c>
      <c r="M231" s="88" t="n">
        <v>0</v>
      </c>
      <c r="N231" s="89"/>
      <c r="O231" s="88"/>
      <c r="P231" s="117"/>
      <c r="Q231" s="88"/>
      <c r="R231" s="88"/>
      <c r="S231" s="89"/>
      <c r="T231" s="89"/>
      <c r="U231" s="89"/>
      <c r="V231" s="89"/>
      <c r="W231" s="118"/>
      <c r="X231" s="88"/>
      <c r="Y231" s="88"/>
    </row>
    <row r="232" s="3" customFormat="true" ht="15" hidden="false" customHeight="true" outlineLevel="0" collapsed="false">
      <c r="A232" s="56"/>
      <c r="B232" s="95" t="s">
        <v>160</v>
      </c>
      <c r="C232" s="126" t="n">
        <v>0</v>
      </c>
      <c r="D232" s="231" t="n">
        <v>0</v>
      </c>
      <c r="E232" s="231" t="n">
        <v>198</v>
      </c>
      <c r="F232" s="231" t="n">
        <v>253</v>
      </c>
      <c r="G232" s="231" t="n">
        <v>76</v>
      </c>
      <c r="H232" s="231" t="n">
        <v>499</v>
      </c>
      <c r="I232" s="231" t="n">
        <v>298</v>
      </c>
      <c r="J232" s="231" t="n">
        <v>500</v>
      </c>
      <c r="K232" s="126" t="s">
        <v>3</v>
      </c>
      <c r="L232" s="119" t="s">
        <v>3</v>
      </c>
      <c r="M232" s="88" t="n">
        <v>1500</v>
      </c>
      <c r="N232" s="89"/>
      <c r="O232" s="88"/>
      <c r="P232" s="117"/>
      <c r="Q232" s="88"/>
      <c r="R232" s="88"/>
      <c r="S232" s="89"/>
      <c r="T232" s="89"/>
      <c r="U232" s="89"/>
      <c r="V232" s="89"/>
      <c r="W232" s="118"/>
      <c r="X232" s="88"/>
      <c r="Y232" s="88"/>
    </row>
    <row r="233" s="3" customFormat="true" ht="15" hidden="false" customHeight="true" outlineLevel="0" collapsed="false">
      <c r="A233" s="56"/>
      <c r="B233" s="95" t="s">
        <v>161</v>
      </c>
      <c r="C233" s="126" t="n">
        <v>0</v>
      </c>
      <c r="D233" s="231" t="n">
        <v>0</v>
      </c>
      <c r="E233" s="231" t="n">
        <v>0</v>
      </c>
      <c r="F233" s="231" t="n">
        <v>0</v>
      </c>
      <c r="G233" s="231" t="n">
        <v>198</v>
      </c>
      <c r="H233" s="231" t="n">
        <v>481</v>
      </c>
      <c r="I233" s="231" t="n">
        <v>2946</v>
      </c>
      <c r="J233" s="231" t="n">
        <v>1600</v>
      </c>
      <c r="K233" s="126" t="s">
        <v>3</v>
      </c>
      <c r="L233" s="119" t="s">
        <v>3</v>
      </c>
      <c r="M233" s="88" t="n">
        <v>2500</v>
      </c>
      <c r="N233" s="89"/>
      <c r="O233" s="88"/>
      <c r="P233" s="117"/>
      <c r="Q233" s="88"/>
      <c r="R233" s="88"/>
      <c r="S233" s="89"/>
      <c r="T233" s="89"/>
      <c r="U233" s="89"/>
      <c r="V233" s="89"/>
      <c r="W233" s="118"/>
      <c r="X233" s="88"/>
      <c r="Y233" s="88"/>
    </row>
    <row r="234" s="3" customFormat="true" ht="15" hidden="false" customHeight="true" outlineLevel="0" collapsed="false">
      <c r="A234" s="56"/>
      <c r="B234" s="95" t="s">
        <v>162</v>
      </c>
      <c r="C234" s="126"/>
      <c r="D234" s="231"/>
      <c r="E234" s="231"/>
      <c r="F234" s="231"/>
      <c r="G234" s="231"/>
      <c r="H234" s="231"/>
      <c r="I234" s="231"/>
      <c r="J234" s="231" t="n">
        <v>100</v>
      </c>
      <c r="K234" s="126" t="s">
        <v>3</v>
      </c>
      <c r="L234" s="119" t="s">
        <v>3</v>
      </c>
      <c r="M234" s="88" t="n">
        <v>500</v>
      </c>
      <c r="N234" s="89"/>
      <c r="O234" s="88"/>
      <c r="P234" s="117"/>
      <c r="Q234" s="88"/>
      <c r="R234" s="88"/>
      <c r="S234" s="89"/>
      <c r="T234" s="89"/>
      <c r="U234" s="89"/>
      <c r="V234" s="89"/>
      <c r="W234" s="118"/>
      <c r="X234" s="88"/>
      <c r="Y234" s="88"/>
    </row>
    <row r="235" s="3" customFormat="true" ht="15" hidden="false" customHeight="true" outlineLevel="0" collapsed="false">
      <c r="A235" s="56"/>
      <c r="B235" s="95" t="s">
        <v>163</v>
      </c>
      <c r="C235" s="126"/>
      <c r="D235" s="231"/>
      <c r="E235" s="231"/>
      <c r="F235" s="231"/>
      <c r="G235" s="231"/>
      <c r="H235" s="231"/>
      <c r="I235" s="231"/>
      <c r="J235" s="231"/>
      <c r="K235" s="126"/>
      <c r="L235" s="119" t="s">
        <v>3</v>
      </c>
      <c r="M235" s="88" t="n">
        <v>800</v>
      </c>
      <c r="N235" s="89"/>
      <c r="O235" s="88"/>
      <c r="P235" s="117"/>
      <c r="Q235" s="88"/>
      <c r="R235" s="88"/>
      <c r="S235" s="89"/>
      <c r="T235" s="89"/>
      <c r="U235" s="89"/>
      <c r="V235" s="89"/>
      <c r="W235" s="118"/>
      <c r="X235" s="88"/>
      <c r="Y235" s="88"/>
    </row>
    <row r="236" s="3" customFormat="true" ht="15" hidden="false" customHeight="true" outlineLevel="0" collapsed="false">
      <c r="A236" s="56"/>
      <c r="B236" s="95" t="s">
        <v>164</v>
      </c>
      <c r="C236" s="126"/>
      <c r="D236" s="231"/>
      <c r="E236" s="231"/>
      <c r="F236" s="231"/>
      <c r="G236" s="231"/>
      <c r="H236" s="231"/>
      <c r="I236" s="231"/>
      <c r="J236" s="231"/>
      <c r="K236" s="126"/>
      <c r="L236" s="119"/>
      <c r="M236" s="88"/>
      <c r="N236" s="89"/>
      <c r="O236" s="88"/>
      <c r="P236" s="117"/>
      <c r="Q236" s="88"/>
      <c r="R236" s="88"/>
      <c r="S236" s="89"/>
      <c r="T236" s="89"/>
      <c r="U236" s="89"/>
      <c r="V236" s="89"/>
      <c r="W236" s="118"/>
      <c r="X236" s="88"/>
      <c r="Y236" s="88"/>
    </row>
    <row r="237" s="3" customFormat="true" ht="15.75" hidden="false" customHeight="true" outlineLevel="0" collapsed="false">
      <c r="A237" s="56"/>
      <c r="B237" s="370" t="s">
        <v>3</v>
      </c>
      <c r="C237" s="231"/>
      <c r="D237" s="231"/>
      <c r="E237" s="231"/>
      <c r="F237" s="231"/>
      <c r="G237" s="231" t="s">
        <v>3</v>
      </c>
      <c r="H237" s="231"/>
      <c r="I237" s="231" t="s">
        <v>3</v>
      </c>
      <c r="J237" s="231"/>
      <c r="K237" s="126"/>
      <c r="L237" s="167"/>
      <c r="M237" s="170"/>
      <c r="N237" s="197"/>
      <c r="O237" s="170"/>
      <c r="P237" s="251"/>
      <c r="Q237" s="170"/>
      <c r="R237" s="170"/>
      <c r="S237" s="197"/>
      <c r="T237" s="197"/>
      <c r="U237" s="197"/>
      <c r="V237" s="197"/>
      <c r="W237" s="252"/>
      <c r="X237" s="170"/>
      <c r="Y237" s="170"/>
    </row>
    <row r="238" s="3" customFormat="true" ht="15.75" hidden="false" customHeight="true" outlineLevel="0" collapsed="false">
      <c r="A238" s="38" t="s">
        <v>165</v>
      </c>
      <c r="B238" s="107" t="s">
        <v>166</v>
      </c>
      <c r="C238" s="212" t="n">
        <f aca="false">SUM(C240:C241)</f>
        <v>1202.06205</v>
      </c>
      <c r="D238" s="212" t="n">
        <f aca="false">SUM(D240:D241)</f>
        <v>889.86322</v>
      </c>
      <c r="E238" s="212" t="n">
        <f aca="false">SUM(E240:E241)</f>
        <v>1126</v>
      </c>
      <c r="F238" s="212" t="n">
        <f aca="false">SUM(F240:F241)</f>
        <v>4344</v>
      </c>
      <c r="G238" s="212" t="n">
        <f aca="false">SUM(G240:G241)</f>
        <v>5343</v>
      </c>
      <c r="H238" s="212" t="n">
        <f aca="false">SUM(H240:H241)</f>
        <v>5524</v>
      </c>
      <c r="I238" s="212" t="n">
        <f aca="false">SUM(I240+I241)</f>
        <v>7246</v>
      </c>
      <c r="J238" s="212" t="n">
        <v>6588</v>
      </c>
      <c r="K238" s="68" t="n">
        <f aca="false">SUM(K240+K241)</f>
        <v>6162</v>
      </c>
      <c r="L238" s="68" t="n">
        <v>2910</v>
      </c>
      <c r="M238" s="69" t="n">
        <f aca="false">7898551/1000</f>
        <v>7898.551</v>
      </c>
      <c r="N238" s="70"/>
      <c r="O238" s="69"/>
      <c r="P238" s="71"/>
      <c r="Q238" s="68"/>
      <c r="R238" s="68"/>
      <c r="S238" s="68"/>
      <c r="T238" s="68"/>
      <c r="U238" s="68"/>
      <c r="V238" s="69"/>
      <c r="W238" s="68"/>
      <c r="X238" s="69"/>
      <c r="Y238" s="69"/>
    </row>
    <row r="239" s="3" customFormat="true" ht="15.75" hidden="false" customHeight="true" outlineLevel="0" collapsed="false">
      <c r="A239" s="72"/>
      <c r="B239" s="73"/>
      <c r="C239" s="68"/>
      <c r="D239" s="119" t="s">
        <v>3</v>
      </c>
      <c r="E239" s="119" t="s">
        <v>3</v>
      </c>
      <c r="F239" s="360" t="s">
        <v>3</v>
      </c>
      <c r="G239" s="92" t="s">
        <v>3</v>
      </c>
      <c r="H239" s="209" t="s">
        <v>3</v>
      </c>
      <c r="I239" s="307" t="s">
        <v>3</v>
      </c>
      <c r="J239" s="355" t="s">
        <v>3</v>
      </c>
      <c r="K239" s="167" t="s">
        <v>3</v>
      </c>
      <c r="L239" s="371" t="s">
        <v>3</v>
      </c>
      <c r="M239" s="285"/>
      <c r="N239" s="286"/>
      <c r="O239" s="285"/>
      <c r="P239" s="287"/>
      <c r="Q239" s="285"/>
      <c r="R239" s="285"/>
      <c r="S239" s="286"/>
      <c r="T239" s="286"/>
      <c r="U239" s="286"/>
      <c r="V239" s="286"/>
      <c r="W239" s="288"/>
      <c r="X239" s="285"/>
      <c r="Y239" s="285"/>
    </row>
    <row r="240" s="278" customFormat="true" ht="15.75" hidden="false" customHeight="true" outlineLevel="0" collapsed="false">
      <c r="A240" s="364"/>
      <c r="B240" s="253" t="s">
        <v>167</v>
      </c>
      <c r="C240" s="224" t="n">
        <v>366.75251</v>
      </c>
      <c r="D240" s="224" t="n">
        <v>512.90215</v>
      </c>
      <c r="E240" s="224" t="n">
        <v>157</v>
      </c>
      <c r="F240" s="224" t="n">
        <v>211</v>
      </c>
      <c r="G240" s="224" t="n">
        <v>51</v>
      </c>
      <c r="H240" s="224" t="n">
        <v>1179</v>
      </c>
      <c r="I240" s="224" t="n">
        <v>1745</v>
      </c>
      <c r="J240" s="224" t="s">
        <v>3</v>
      </c>
      <c r="K240" s="119" t="n">
        <v>3963</v>
      </c>
      <c r="L240" s="372" t="n">
        <v>0</v>
      </c>
      <c r="M240" s="367" t="n">
        <v>0</v>
      </c>
      <c r="N240" s="368"/>
      <c r="O240" s="367"/>
      <c r="P240" s="366"/>
      <c r="Q240" s="367"/>
      <c r="R240" s="367"/>
      <c r="S240" s="368"/>
      <c r="T240" s="368"/>
      <c r="U240" s="368"/>
      <c r="V240" s="368"/>
      <c r="W240" s="369"/>
      <c r="X240" s="367"/>
      <c r="Y240" s="367"/>
    </row>
    <row r="241" s="278" customFormat="true" ht="15.75" hidden="false" customHeight="true" outlineLevel="0" collapsed="false">
      <c r="A241" s="364"/>
      <c r="B241" s="253" t="s">
        <v>168</v>
      </c>
      <c r="C241" s="119" t="n">
        <f aca="false">SUM(C242:C254)</f>
        <v>835.30954</v>
      </c>
      <c r="D241" s="224" t="n">
        <v>376.96107</v>
      </c>
      <c r="E241" s="224" t="n">
        <f aca="false">SUM(E242:E253)</f>
        <v>969</v>
      </c>
      <c r="F241" s="224" t="n">
        <f aca="false">SUM(F242:F253)</f>
        <v>4133</v>
      </c>
      <c r="G241" s="224" t="n">
        <f aca="false">SUM(G242:G254)</f>
        <v>5292</v>
      </c>
      <c r="H241" s="224" t="n">
        <f aca="false">SUM(H242:H254)</f>
        <v>4345</v>
      </c>
      <c r="I241" s="224" t="n">
        <v>5501</v>
      </c>
      <c r="J241" s="224" t="s">
        <v>3</v>
      </c>
      <c r="K241" s="119" t="n">
        <v>2199</v>
      </c>
      <c r="L241" s="119" t="n">
        <f aca="false">SUM(L242:L254)</f>
        <v>3710</v>
      </c>
      <c r="M241" s="88" t="n">
        <f aca="false">SUM(M242:M254)</f>
        <v>6700</v>
      </c>
      <c r="N241" s="89"/>
      <c r="O241" s="88"/>
      <c r="P241" s="117"/>
      <c r="Q241" s="88"/>
      <c r="R241" s="88"/>
      <c r="S241" s="88"/>
      <c r="T241" s="88"/>
      <c r="U241" s="88"/>
      <c r="V241" s="88"/>
      <c r="W241" s="119"/>
      <c r="X241" s="88"/>
      <c r="Y241" s="88"/>
    </row>
    <row r="242" s="3" customFormat="true" ht="15" hidden="false" customHeight="true" outlineLevel="0" collapsed="false">
      <c r="A242" s="56"/>
      <c r="B242" s="95" t="s">
        <v>169</v>
      </c>
      <c r="C242" s="231" t="n">
        <v>245.2695</v>
      </c>
      <c r="D242" s="231" t="n">
        <v>0</v>
      </c>
      <c r="E242" s="231" t="n">
        <v>734</v>
      </c>
      <c r="F242" s="231" t="n">
        <v>2832</v>
      </c>
      <c r="G242" s="231" t="n">
        <v>3044</v>
      </c>
      <c r="H242" s="231" t="n">
        <v>2662</v>
      </c>
      <c r="I242" s="231" t="n">
        <v>2669</v>
      </c>
      <c r="J242" s="231" t="n">
        <v>1400</v>
      </c>
      <c r="K242" s="126" t="s">
        <v>3</v>
      </c>
      <c r="L242" s="313" t="n">
        <v>800</v>
      </c>
      <c r="M242" s="314" t="n">
        <v>840</v>
      </c>
      <c r="N242" s="315"/>
      <c r="O242" s="314"/>
      <c r="P242" s="316"/>
      <c r="Q242" s="314"/>
      <c r="R242" s="314"/>
      <c r="S242" s="315"/>
      <c r="T242" s="315"/>
      <c r="U242" s="315"/>
      <c r="V242" s="315"/>
      <c r="W242" s="317"/>
      <c r="X242" s="314"/>
      <c r="Y242" s="314"/>
    </row>
    <row r="243" s="3" customFormat="true" ht="15" hidden="false" customHeight="true" outlineLevel="0" collapsed="false">
      <c r="A243" s="56"/>
      <c r="B243" s="95" t="s">
        <v>170</v>
      </c>
      <c r="C243" s="231" t="n">
        <v>0</v>
      </c>
      <c r="D243" s="231" t="n">
        <v>0</v>
      </c>
      <c r="E243" s="231" t="n">
        <v>0</v>
      </c>
      <c r="F243" s="231" t="n">
        <v>0</v>
      </c>
      <c r="G243" s="231" t="n">
        <v>0</v>
      </c>
      <c r="H243" s="231" t="n">
        <v>0</v>
      </c>
      <c r="I243" s="231" t="n">
        <v>0</v>
      </c>
      <c r="J243" s="231" t="n">
        <v>0</v>
      </c>
      <c r="K243" s="126" t="s">
        <v>3</v>
      </c>
      <c r="L243" s="313" t="n">
        <v>0</v>
      </c>
      <c r="M243" s="314" t="n">
        <v>0</v>
      </c>
      <c r="N243" s="315"/>
      <c r="O243" s="314"/>
      <c r="P243" s="316"/>
      <c r="Q243" s="314"/>
      <c r="R243" s="314"/>
      <c r="S243" s="315"/>
      <c r="T243" s="315"/>
      <c r="U243" s="315"/>
      <c r="V243" s="315"/>
      <c r="W243" s="317"/>
      <c r="X243" s="314"/>
      <c r="Y243" s="314"/>
    </row>
    <row r="244" s="3" customFormat="true" ht="15" hidden="false" customHeight="true" outlineLevel="0" collapsed="false">
      <c r="A244" s="56"/>
      <c r="B244" s="95" t="s">
        <v>171</v>
      </c>
      <c r="C244" s="231" t="n">
        <v>182.74905</v>
      </c>
      <c r="D244" s="231" t="n">
        <v>0</v>
      </c>
      <c r="E244" s="231" t="n">
        <v>27</v>
      </c>
      <c r="F244" s="231" t="n">
        <v>1018</v>
      </c>
      <c r="G244" s="231" t="n">
        <v>728</v>
      </c>
      <c r="H244" s="231" t="n">
        <v>201</v>
      </c>
      <c r="I244" s="231" t="n">
        <v>337</v>
      </c>
      <c r="J244" s="231" t="n">
        <v>100</v>
      </c>
      <c r="K244" s="126" t="s">
        <v>3</v>
      </c>
      <c r="L244" s="313" t="n">
        <v>100</v>
      </c>
      <c r="M244" s="314" t="n">
        <v>0</v>
      </c>
      <c r="N244" s="315"/>
      <c r="O244" s="314"/>
      <c r="P244" s="316"/>
      <c r="Q244" s="314"/>
      <c r="R244" s="314"/>
      <c r="S244" s="315"/>
      <c r="T244" s="315"/>
      <c r="U244" s="315"/>
      <c r="V244" s="315"/>
      <c r="W244" s="317"/>
      <c r="X244" s="314"/>
      <c r="Y244" s="314"/>
    </row>
    <row r="245" s="3" customFormat="true" ht="15" hidden="false" customHeight="true" outlineLevel="0" collapsed="false">
      <c r="A245" s="56"/>
      <c r="B245" s="95" t="s">
        <v>172</v>
      </c>
      <c r="C245" s="231"/>
      <c r="D245" s="231" t="n">
        <v>0</v>
      </c>
      <c r="E245" s="231" t="n">
        <v>62</v>
      </c>
      <c r="F245" s="231" t="n">
        <v>71</v>
      </c>
      <c r="G245" s="231" t="n">
        <v>506</v>
      </c>
      <c r="H245" s="231" t="n">
        <v>71</v>
      </c>
      <c r="I245" s="231" t="n">
        <v>20</v>
      </c>
      <c r="J245" s="231" t="n">
        <v>100</v>
      </c>
      <c r="K245" s="126" t="s">
        <v>3</v>
      </c>
      <c r="L245" s="313" t="n">
        <v>0</v>
      </c>
      <c r="M245" s="314"/>
      <c r="N245" s="315"/>
      <c r="O245" s="314"/>
      <c r="P245" s="316"/>
      <c r="Q245" s="314"/>
      <c r="R245" s="314"/>
      <c r="S245" s="315"/>
      <c r="T245" s="315"/>
      <c r="U245" s="315"/>
      <c r="V245" s="315"/>
      <c r="W245" s="317"/>
      <c r="X245" s="314"/>
      <c r="Y245" s="314"/>
    </row>
    <row r="246" s="3" customFormat="true" ht="15" hidden="false" customHeight="true" outlineLevel="0" collapsed="false">
      <c r="A246" s="56"/>
      <c r="B246" s="95" t="s">
        <v>173</v>
      </c>
      <c r="C246" s="231"/>
      <c r="D246" s="231" t="n">
        <v>0</v>
      </c>
      <c r="E246" s="231" t="n">
        <v>107</v>
      </c>
      <c r="F246" s="231" t="n">
        <v>130</v>
      </c>
      <c r="G246" s="231" t="n">
        <v>795</v>
      </c>
      <c r="H246" s="231" t="n">
        <v>196</v>
      </c>
      <c r="I246" s="231" t="n">
        <v>245</v>
      </c>
      <c r="J246" s="231" t="n">
        <v>100</v>
      </c>
      <c r="K246" s="126" t="s">
        <v>3</v>
      </c>
      <c r="L246" s="313" t="n">
        <v>0</v>
      </c>
      <c r="M246" s="314"/>
      <c r="N246" s="315"/>
      <c r="O246" s="314"/>
      <c r="P246" s="316"/>
      <c r="Q246" s="314"/>
      <c r="R246" s="314"/>
      <c r="S246" s="315"/>
      <c r="T246" s="315"/>
      <c r="U246" s="315"/>
      <c r="V246" s="315"/>
      <c r="W246" s="317"/>
      <c r="X246" s="314"/>
      <c r="Y246" s="314"/>
    </row>
    <row r="247" s="3" customFormat="true" ht="15" hidden="false" customHeight="true" outlineLevel="0" collapsed="false">
      <c r="A247" s="56"/>
      <c r="B247" s="95" t="s">
        <v>174</v>
      </c>
      <c r="C247" s="231"/>
      <c r="D247" s="231" t="n">
        <v>0</v>
      </c>
      <c r="E247" s="231" t="n">
        <v>39</v>
      </c>
      <c r="F247" s="231" t="n">
        <v>82</v>
      </c>
      <c r="G247" s="231" t="n">
        <v>40</v>
      </c>
      <c r="H247" s="231" t="n">
        <v>613</v>
      </c>
      <c r="I247" s="231" t="n">
        <v>1203</v>
      </c>
      <c r="J247" s="231" t="n">
        <v>1300</v>
      </c>
      <c r="K247" s="126" t="s">
        <v>3</v>
      </c>
      <c r="L247" s="313" t="n">
        <v>80</v>
      </c>
      <c r="M247" s="314" t="n">
        <v>350</v>
      </c>
      <c r="N247" s="315"/>
      <c r="O247" s="314"/>
      <c r="P247" s="316"/>
      <c r="Q247" s="314"/>
      <c r="R247" s="314"/>
      <c r="S247" s="315"/>
      <c r="T247" s="315"/>
      <c r="U247" s="315"/>
      <c r="V247" s="315"/>
      <c r="W247" s="317"/>
      <c r="X247" s="314"/>
      <c r="Y247" s="314"/>
    </row>
    <row r="248" s="3" customFormat="true" ht="15" hidden="false" customHeight="true" outlineLevel="0" collapsed="false">
      <c r="A248" s="56"/>
      <c r="B248" s="95" t="s">
        <v>175</v>
      </c>
      <c r="C248" s="231"/>
      <c r="D248" s="231"/>
      <c r="E248" s="231"/>
      <c r="F248" s="231"/>
      <c r="G248" s="231" t="n">
        <v>16</v>
      </c>
      <c r="H248" s="231" t="n">
        <v>297</v>
      </c>
      <c r="I248" s="231" t="n">
        <v>775</v>
      </c>
      <c r="J248" s="231" t="n">
        <v>200</v>
      </c>
      <c r="K248" s="126" t="s">
        <v>3</v>
      </c>
      <c r="L248" s="313"/>
      <c r="M248" s="314"/>
      <c r="N248" s="315"/>
      <c r="O248" s="314"/>
      <c r="P248" s="316"/>
      <c r="Q248" s="314"/>
      <c r="R248" s="314"/>
      <c r="S248" s="315"/>
      <c r="T248" s="315"/>
      <c r="U248" s="315"/>
      <c r="V248" s="315"/>
      <c r="W248" s="317"/>
      <c r="X248" s="314"/>
      <c r="Y248" s="314"/>
    </row>
    <row r="249" s="3" customFormat="true" ht="15" hidden="false" customHeight="true" outlineLevel="0" collapsed="false">
      <c r="A249" s="56"/>
      <c r="B249" s="95" t="s">
        <v>176</v>
      </c>
      <c r="C249" s="231"/>
      <c r="D249" s="231" t="n">
        <v>0</v>
      </c>
      <c r="E249" s="231" t="n">
        <v>0</v>
      </c>
      <c r="F249" s="231" t="n">
        <v>0</v>
      </c>
      <c r="G249" s="231" t="n">
        <v>0</v>
      </c>
      <c r="H249" s="231" t="n">
        <v>0</v>
      </c>
      <c r="I249" s="231" t="n">
        <v>40</v>
      </c>
      <c r="J249" s="231" t="n">
        <v>0</v>
      </c>
      <c r="K249" s="126" t="s">
        <v>3</v>
      </c>
      <c r="L249" s="313" t="n">
        <v>510</v>
      </c>
      <c r="M249" s="314" t="n">
        <v>3050</v>
      </c>
      <c r="N249" s="315"/>
      <c r="O249" s="314"/>
      <c r="P249" s="316"/>
      <c r="Q249" s="314"/>
      <c r="R249" s="314"/>
      <c r="S249" s="315"/>
      <c r="T249" s="315"/>
      <c r="U249" s="315"/>
      <c r="V249" s="315"/>
      <c r="W249" s="317"/>
      <c r="X249" s="314"/>
      <c r="Y249" s="314"/>
    </row>
    <row r="250" s="3" customFormat="true" ht="15" hidden="false" customHeight="true" outlineLevel="0" collapsed="false">
      <c r="A250" s="56"/>
      <c r="B250" s="95" t="s">
        <v>177</v>
      </c>
      <c r="C250" s="231"/>
      <c r="D250" s="231" t="n">
        <v>0</v>
      </c>
      <c r="E250" s="231" t="n">
        <v>0</v>
      </c>
      <c r="F250" s="231" t="n">
        <v>0</v>
      </c>
      <c r="G250" s="231" t="n">
        <v>0</v>
      </c>
      <c r="H250" s="231" t="n">
        <v>80</v>
      </c>
      <c r="I250" s="231" t="n">
        <v>176</v>
      </c>
      <c r="J250" s="231" t="n">
        <v>100</v>
      </c>
      <c r="K250" s="126" t="s">
        <v>3</v>
      </c>
      <c r="L250" s="313" t="n">
        <v>1120</v>
      </c>
      <c r="M250" s="314" t="n">
        <v>880</v>
      </c>
      <c r="N250" s="315"/>
      <c r="O250" s="314"/>
      <c r="P250" s="316"/>
      <c r="Q250" s="314"/>
      <c r="R250" s="314"/>
      <c r="S250" s="315"/>
      <c r="T250" s="315"/>
      <c r="U250" s="315"/>
      <c r="V250" s="315"/>
      <c r="W250" s="317"/>
      <c r="X250" s="314"/>
      <c r="Y250" s="314"/>
    </row>
    <row r="251" s="3" customFormat="true" ht="15" hidden="false" customHeight="true" outlineLevel="0" collapsed="false">
      <c r="A251" s="56"/>
      <c r="B251" s="95" t="s">
        <v>178</v>
      </c>
      <c r="C251" s="231" t="n">
        <v>407.29099</v>
      </c>
      <c r="D251" s="231" t="n">
        <v>0</v>
      </c>
      <c r="E251" s="231" t="n">
        <v>0</v>
      </c>
      <c r="F251" s="231" t="n">
        <v>0</v>
      </c>
      <c r="G251" s="231" t="n">
        <v>12</v>
      </c>
      <c r="H251" s="231" t="n">
        <v>2</v>
      </c>
      <c r="I251" s="231" t="n">
        <v>6</v>
      </c>
      <c r="J251" s="231" t="n">
        <v>200</v>
      </c>
      <c r="K251" s="126" t="s">
        <v>3</v>
      </c>
      <c r="L251" s="313" t="n">
        <v>1100</v>
      </c>
      <c r="M251" s="314" t="n">
        <v>1480</v>
      </c>
      <c r="N251" s="315"/>
      <c r="O251" s="314"/>
      <c r="P251" s="316"/>
      <c r="Q251" s="314"/>
      <c r="R251" s="314"/>
      <c r="S251" s="315"/>
      <c r="T251" s="315"/>
      <c r="U251" s="315"/>
      <c r="V251" s="315"/>
      <c r="W251" s="317"/>
      <c r="X251" s="314"/>
      <c r="Y251" s="314"/>
    </row>
    <row r="252" s="3" customFormat="true" ht="15" hidden="false" customHeight="true" outlineLevel="0" collapsed="false">
      <c r="A252" s="56"/>
      <c r="B252" s="95" t="s">
        <v>179</v>
      </c>
      <c r="C252" s="231"/>
      <c r="D252" s="231"/>
      <c r="E252" s="231" t="n">
        <v>0</v>
      </c>
      <c r="F252" s="231" t="n">
        <v>0</v>
      </c>
      <c r="G252" s="231" t="n">
        <v>0</v>
      </c>
      <c r="H252" s="231" t="n">
        <v>0</v>
      </c>
      <c r="I252" s="231" t="n">
        <v>0</v>
      </c>
      <c r="J252" s="231" t="n">
        <v>0</v>
      </c>
      <c r="K252" s="126" t="s">
        <v>3</v>
      </c>
      <c r="L252" s="313" t="n">
        <v>0</v>
      </c>
      <c r="M252" s="314" t="n">
        <v>100</v>
      </c>
      <c r="N252" s="315"/>
      <c r="O252" s="314"/>
      <c r="P252" s="316"/>
      <c r="Q252" s="314"/>
      <c r="R252" s="314"/>
      <c r="S252" s="315"/>
      <c r="T252" s="315"/>
      <c r="U252" s="315"/>
      <c r="V252" s="315"/>
      <c r="W252" s="317"/>
      <c r="X252" s="314"/>
      <c r="Y252" s="314"/>
    </row>
    <row r="253" s="3" customFormat="true" ht="15" hidden="false" customHeight="true" outlineLevel="0" collapsed="false">
      <c r="A253" s="56"/>
      <c r="B253" s="95" t="s">
        <v>180</v>
      </c>
      <c r="C253" s="126" t="n">
        <v>0</v>
      </c>
      <c r="D253" s="231" t="n">
        <v>0</v>
      </c>
      <c r="E253" s="231" t="n">
        <v>0</v>
      </c>
      <c r="F253" s="231" t="n">
        <v>0</v>
      </c>
      <c r="G253" s="231" t="n">
        <v>2</v>
      </c>
      <c r="H253" s="231" t="n">
        <v>0</v>
      </c>
      <c r="I253" s="231" t="n">
        <v>0</v>
      </c>
      <c r="J253" s="231" t="n">
        <v>0</v>
      </c>
      <c r="K253" s="126" t="s">
        <v>3</v>
      </c>
      <c r="L253" s="313" t="n">
        <v>0</v>
      </c>
      <c r="M253" s="314" t="n">
        <v>0</v>
      </c>
      <c r="N253" s="315"/>
      <c r="O253" s="314"/>
      <c r="P253" s="316"/>
      <c r="Q253" s="314"/>
      <c r="R253" s="314"/>
      <c r="S253" s="315"/>
      <c r="T253" s="315"/>
      <c r="U253" s="315"/>
      <c r="V253" s="315"/>
      <c r="W253" s="317"/>
      <c r="X253" s="314"/>
      <c r="Y253" s="314"/>
    </row>
    <row r="254" s="3" customFormat="true" ht="15" hidden="false" customHeight="true" outlineLevel="0" collapsed="false">
      <c r="A254" s="56"/>
      <c r="B254" s="95" t="s">
        <v>181</v>
      </c>
      <c r="C254" s="126"/>
      <c r="D254" s="231"/>
      <c r="E254" s="231"/>
      <c r="F254" s="231"/>
      <c r="G254" s="231" t="n">
        <v>149</v>
      </c>
      <c r="H254" s="231" t="n">
        <v>223</v>
      </c>
      <c r="I254" s="231" t="n">
        <v>0</v>
      </c>
      <c r="J254" s="231" t="n">
        <v>0</v>
      </c>
      <c r="K254" s="126" t="s">
        <v>3</v>
      </c>
      <c r="L254" s="126" t="n">
        <v>0</v>
      </c>
      <c r="M254" s="129" t="n">
        <v>0</v>
      </c>
      <c r="N254" s="279"/>
      <c r="O254" s="129"/>
      <c r="P254" s="130"/>
      <c r="Q254" s="129"/>
      <c r="R254" s="129"/>
      <c r="S254" s="279"/>
      <c r="T254" s="279"/>
      <c r="U254" s="279"/>
      <c r="V254" s="279"/>
      <c r="W254" s="280"/>
      <c r="X254" s="129"/>
      <c r="Y254" s="129"/>
    </row>
    <row r="255" s="3" customFormat="true" ht="15" hidden="false" customHeight="true" outlineLevel="0" collapsed="false">
      <c r="A255" s="56"/>
      <c r="B255" s="95"/>
      <c r="C255" s="126"/>
      <c r="D255" s="231"/>
      <c r="E255" s="231"/>
      <c r="F255" s="231"/>
      <c r="G255" s="231" t="s">
        <v>3</v>
      </c>
      <c r="H255" s="231"/>
      <c r="I255" s="225" t="s">
        <v>3</v>
      </c>
      <c r="J255" s="226" t="s">
        <v>3</v>
      </c>
      <c r="K255" s="167" t="s">
        <v>3</v>
      </c>
      <c r="L255" s="373"/>
      <c r="M255" s="374"/>
      <c r="N255" s="375"/>
      <c r="O255" s="374"/>
      <c r="P255" s="376"/>
      <c r="Q255" s="374"/>
      <c r="R255" s="374"/>
      <c r="S255" s="375"/>
      <c r="T255" s="375"/>
      <c r="U255" s="375"/>
      <c r="V255" s="375"/>
      <c r="W255" s="377"/>
      <c r="X255" s="374"/>
      <c r="Y255" s="374"/>
    </row>
    <row r="256" s="3" customFormat="true" ht="15.75" hidden="false" customHeight="true" outlineLevel="0" collapsed="false">
      <c r="A256" s="38" t="s">
        <v>182</v>
      </c>
      <c r="B256" s="107" t="s">
        <v>183</v>
      </c>
      <c r="C256" s="212" t="n">
        <f aca="false">+C258+C261+C270</f>
        <v>386</v>
      </c>
      <c r="D256" s="212" t="n">
        <f aca="false">+D258+D261+D270+D271</f>
        <v>1872.57324</v>
      </c>
      <c r="E256" s="212" t="n">
        <f aca="false">+E258+E261+E270+E271</f>
        <v>1615</v>
      </c>
      <c r="F256" s="212" t="n">
        <f aca="false">+F258+F261+F270+F271</f>
        <v>3417</v>
      </c>
      <c r="G256" s="212" t="n">
        <f aca="false">+G258+G261+G270+G271</f>
        <v>9902</v>
      </c>
      <c r="H256" s="212" t="n">
        <f aca="false">+H258+H261+H270+H271</f>
        <v>13350</v>
      </c>
      <c r="I256" s="212" t="n">
        <f aca="false">+I258+I261+I270+I271</f>
        <v>18609</v>
      </c>
      <c r="J256" s="212" t="n">
        <v>26158</v>
      </c>
      <c r="K256" s="68" t="n">
        <f aca="false">+K258+K261+K270+K271</f>
        <v>33096</v>
      </c>
      <c r="L256" s="68" t="n">
        <v>34897</v>
      </c>
      <c r="M256" s="69" t="n">
        <f aca="false">18964599/1000</f>
        <v>18964.599</v>
      </c>
      <c r="N256" s="70"/>
      <c r="O256" s="69"/>
      <c r="P256" s="71"/>
      <c r="Q256" s="230"/>
      <c r="R256" s="69"/>
      <c r="S256" s="69"/>
      <c r="T256" s="69"/>
      <c r="U256" s="69"/>
      <c r="V256" s="69"/>
      <c r="W256" s="68"/>
      <c r="X256" s="69"/>
      <c r="Y256" s="69"/>
    </row>
    <row r="257" s="3" customFormat="true" ht="15.75" hidden="false" customHeight="true" outlineLevel="0" collapsed="false">
      <c r="A257" s="72"/>
      <c r="B257" s="73"/>
      <c r="C257" s="68"/>
      <c r="D257" s="119"/>
      <c r="E257" s="119" t="s">
        <v>3</v>
      </c>
      <c r="F257" s="360" t="s">
        <v>3</v>
      </c>
      <c r="G257" s="92" t="s">
        <v>3</v>
      </c>
      <c r="H257" s="209" t="s">
        <v>3</v>
      </c>
      <c r="I257" s="307" t="s">
        <v>3</v>
      </c>
      <c r="J257" s="355" t="s">
        <v>3</v>
      </c>
      <c r="K257" s="167" t="s">
        <v>3</v>
      </c>
      <c r="L257" s="371" t="s">
        <v>3</v>
      </c>
      <c r="M257" s="285" t="s">
        <v>3</v>
      </c>
      <c r="N257" s="286"/>
      <c r="O257" s="285"/>
      <c r="P257" s="287"/>
      <c r="Q257" s="285"/>
      <c r="R257" s="285"/>
      <c r="S257" s="286"/>
      <c r="T257" s="286"/>
      <c r="U257" s="286"/>
      <c r="V257" s="286"/>
      <c r="W257" s="288"/>
      <c r="X257" s="285"/>
      <c r="Y257" s="285"/>
    </row>
    <row r="258" s="3" customFormat="true" ht="15.75" hidden="false" customHeight="true" outlineLevel="0" collapsed="false">
      <c r="A258" s="38"/>
      <c r="B258" s="253" t="s">
        <v>184</v>
      </c>
      <c r="C258" s="224" t="n">
        <v>103</v>
      </c>
      <c r="D258" s="224" t="n">
        <v>409</v>
      </c>
      <c r="E258" s="224" t="n">
        <f aca="false">SUM(E259:E260)</f>
        <v>270</v>
      </c>
      <c r="F258" s="224" t="n">
        <f aca="false">SUM(F259:F260)</f>
        <v>1544</v>
      </c>
      <c r="G258" s="224" t="n">
        <f aca="false">SUM(G259:G260)</f>
        <v>2701</v>
      </c>
      <c r="H258" s="224" t="n">
        <f aca="false">SUM(H259:H260)</f>
        <v>488</v>
      </c>
      <c r="I258" s="224" t="n">
        <f aca="false">SUM(I259:I260)</f>
        <v>1899</v>
      </c>
      <c r="J258" s="224" t="s">
        <v>3</v>
      </c>
      <c r="K258" s="119" t="n">
        <v>1727</v>
      </c>
      <c r="L258" s="119" t="n">
        <v>3460</v>
      </c>
      <c r="M258" s="88" t="n">
        <v>3000</v>
      </c>
      <c r="N258" s="89"/>
      <c r="O258" s="88"/>
      <c r="P258" s="130"/>
      <c r="Q258" s="129"/>
      <c r="R258" s="129"/>
      <c r="S258" s="129"/>
      <c r="T258" s="129"/>
      <c r="U258" s="129"/>
      <c r="V258" s="129"/>
      <c r="W258" s="126"/>
      <c r="X258" s="129"/>
      <c r="Y258" s="129"/>
    </row>
    <row r="259" s="3" customFormat="true" ht="15.75" hidden="false" customHeight="true" outlineLevel="0" collapsed="false">
      <c r="A259" s="38"/>
      <c r="B259" s="253" t="s">
        <v>185</v>
      </c>
      <c r="C259" s="224"/>
      <c r="D259" s="224" t="n">
        <v>0</v>
      </c>
      <c r="E259" s="224" t="n">
        <v>270</v>
      </c>
      <c r="F259" s="224" t="n">
        <v>1544</v>
      </c>
      <c r="G259" s="224" t="n">
        <v>2701</v>
      </c>
      <c r="H259" s="224" t="n">
        <v>488</v>
      </c>
      <c r="I259" s="224" t="n">
        <v>1899</v>
      </c>
      <c r="J259" s="224" t="n">
        <v>3380</v>
      </c>
      <c r="K259" s="119" t="s">
        <v>3</v>
      </c>
      <c r="L259" s="372" t="n">
        <v>0</v>
      </c>
      <c r="M259" s="367" t="n">
        <v>0</v>
      </c>
      <c r="N259" s="368"/>
      <c r="O259" s="367"/>
      <c r="P259" s="316"/>
      <c r="Q259" s="314"/>
      <c r="R259" s="314"/>
      <c r="S259" s="315"/>
      <c r="T259" s="315"/>
      <c r="U259" s="315"/>
      <c r="V259" s="315"/>
      <c r="W259" s="317"/>
      <c r="X259" s="314"/>
      <c r="Y259" s="314"/>
    </row>
    <row r="260" s="3" customFormat="true" ht="15.75" hidden="false" customHeight="true" outlineLevel="0" collapsed="false">
      <c r="A260" s="38"/>
      <c r="B260" s="378" t="s">
        <v>186</v>
      </c>
      <c r="C260" s="222"/>
      <c r="D260" s="222" t="n">
        <v>0</v>
      </c>
      <c r="E260" s="222" t="n">
        <v>0</v>
      </c>
      <c r="F260" s="222" t="n">
        <v>0</v>
      </c>
      <c r="G260" s="222" t="n">
        <v>0</v>
      </c>
      <c r="H260" s="222" t="n">
        <v>0</v>
      </c>
      <c r="I260" s="222" t="n">
        <v>0</v>
      </c>
      <c r="J260" s="379" t="n">
        <v>0</v>
      </c>
      <c r="K260" s="119" t="s">
        <v>3</v>
      </c>
      <c r="L260" s="372" t="n">
        <v>2410</v>
      </c>
      <c r="M260" s="367" t="n">
        <v>3200</v>
      </c>
      <c r="N260" s="368"/>
      <c r="O260" s="367"/>
      <c r="P260" s="316"/>
      <c r="Q260" s="314"/>
      <c r="R260" s="314"/>
      <c r="S260" s="315"/>
      <c r="T260" s="315"/>
      <c r="U260" s="315"/>
      <c r="V260" s="315"/>
      <c r="W260" s="317"/>
      <c r="X260" s="314"/>
      <c r="Y260" s="314"/>
    </row>
    <row r="261" s="3" customFormat="true" ht="15.75" hidden="false" customHeight="true" outlineLevel="0" collapsed="false">
      <c r="A261" s="38"/>
      <c r="B261" s="253" t="s">
        <v>187</v>
      </c>
      <c r="C261" s="119" t="n">
        <v>243</v>
      </c>
      <c r="D261" s="277" t="n">
        <v>1310</v>
      </c>
      <c r="E261" s="276" t="n">
        <f aca="false">SUM(E262:E269)</f>
        <v>490</v>
      </c>
      <c r="F261" s="224" t="n">
        <f aca="false">SUM(F262:F269)</f>
        <v>1220</v>
      </c>
      <c r="G261" s="224" t="n">
        <f aca="false">SUM(G262:G269)</f>
        <v>6726</v>
      </c>
      <c r="H261" s="224" t="n">
        <f aca="false">SUM(H262:H269)</f>
        <v>12332</v>
      </c>
      <c r="I261" s="224" t="n">
        <f aca="false">SUM(I262:I269)</f>
        <v>16047</v>
      </c>
      <c r="J261" s="224" t="s">
        <v>3</v>
      </c>
      <c r="K261" s="119" t="n">
        <v>27695</v>
      </c>
      <c r="L261" s="119" t="n">
        <v>20000</v>
      </c>
      <c r="M261" s="88" t="n">
        <v>13000</v>
      </c>
      <c r="N261" s="89"/>
      <c r="O261" s="88"/>
      <c r="P261" s="130"/>
      <c r="Q261" s="129"/>
      <c r="R261" s="129"/>
      <c r="S261" s="129"/>
      <c r="T261" s="129"/>
      <c r="U261" s="129"/>
      <c r="V261" s="129"/>
      <c r="W261" s="126"/>
      <c r="X261" s="129"/>
      <c r="Y261" s="129"/>
    </row>
    <row r="262" s="3" customFormat="true" ht="15.75" hidden="false" customHeight="true" outlineLevel="0" collapsed="false">
      <c r="A262" s="38"/>
      <c r="B262" s="253" t="s">
        <v>188</v>
      </c>
      <c r="C262" s="119"/>
      <c r="D262" s="224" t="n">
        <v>0</v>
      </c>
      <c r="E262" s="224" t="n">
        <v>0</v>
      </c>
      <c r="F262" s="224" t="n">
        <v>0</v>
      </c>
      <c r="G262" s="224" t="n">
        <v>1793</v>
      </c>
      <c r="H262" s="224" t="n">
        <v>933</v>
      </c>
      <c r="I262" s="224" t="n">
        <v>4403</v>
      </c>
      <c r="J262" s="224" t="n">
        <v>2800</v>
      </c>
      <c r="K262" s="119" t="s">
        <v>3</v>
      </c>
      <c r="L262" s="372" t="n">
        <v>2800</v>
      </c>
      <c r="M262" s="367" t="n">
        <v>0</v>
      </c>
      <c r="N262" s="368"/>
      <c r="O262" s="367"/>
      <c r="P262" s="316"/>
      <c r="Q262" s="314"/>
      <c r="R262" s="314"/>
      <c r="S262" s="315"/>
      <c r="T262" s="315"/>
      <c r="U262" s="315"/>
      <c r="V262" s="315"/>
      <c r="W262" s="317"/>
      <c r="X262" s="314"/>
      <c r="Y262" s="314"/>
    </row>
    <row r="263" s="3" customFormat="true" ht="15.75" hidden="false" customHeight="true" outlineLevel="0" collapsed="false">
      <c r="A263" s="38"/>
      <c r="B263" s="253" t="s">
        <v>189</v>
      </c>
      <c r="C263" s="119"/>
      <c r="D263" s="224"/>
      <c r="E263" s="224"/>
      <c r="F263" s="224"/>
      <c r="G263" s="224" t="n">
        <v>313</v>
      </c>
      <c r="H263" s="224" t="n">
        <v>689</v>
      </c>
      <c r="I263" s="224" t="n">
        <v>1259</v>
      </c>
      <c r="J263" s="224" t="n">
        <v>2780</v>
      </c>
      <c r="K263" s="119" t="s">
        <v>3</v>
      </c>
      <c r="L263" s="372" t="n">
        <v>5000</v>
      </c>
      <c r="M263" s="367" t="n">
        <v>1000</v>
      </c>
      <c r="N263" s="368"/>
      <c r="O263" s="367"/>
      <c r="P263" s="316"/>
      <c r="Q263" s="314"/>
      <c r="R263" s="314"/>
      <c r="S263" s="315"/>
      <c r="T263" s="315"/>
      <c r="U263" s="315"/>
      <c r="V263" s="315"/>
      <c r="W263" s="317"/>
      <c r="X263" s="314"/>
      <c r="Y263" s="314"/>
    </row>
    <row r="264" s="3" customFormat="true" ht="15.75" hidden="false" customHeight="true" outlineLevel="0" collapsed="false">
      <c r="A264" s="38"/>
      <c r="B264" s="253" t="s">
        <v>190</v>
      </c>
      <c r="C264" s="119"/>
      <c r="D264" s="224"/>
      <c r="E264" s="224"/>
      <c r="F264" s="224" t="n">
        <v>0</v>
      </c>
      <c r="G264" s="224" t="n">
        <v>3889</v>
      </c>
      <c r="H264" s="224" t="n">
        <v>5367</v>
      </c>
      <c r="I264" s="224" t="n">
        <v>2852</v>
      </c>
      <c r="J264" s="224" t="n">
        <v>4080</v>
      </c>
      <c r="K264" s="119" t="s">
        <v>3</v>
      </c>
      <c r="L264" s="372" t="n">
        <v>2300</v>
      </c>
      <c r="M264" s="367" t="n">
        <v>0</v>
      </c>
      <c r="N264" s="368"/>
      <c r="O264" s="367"/>
      <c r="P264" s="316"/>
      <c r="Q264" s="314"/>
      <c r="R264" s="314"/>
      <c r="S264" s="315"/>
      <c r="T264" s="315"/>
      <c r="U264" s="315"/>
      <c r="V264" s="315"/>
      <c r="W264" s="317"/>
      <c r="X264" s="314"/>
      <c r="Y264" s="314"/>
    </row>
    <row r="265" s="3" customFormat="true" ht="15.75" hidden="false" customHeight="true" outlineLevel="0" collapsed="false">
      <c r="A265" s="38"/>
      <c r="B265" s="253" t="s">
        <v>191</v>
      </c>
      <c r="C265" s="119"/>
      <c r="D265" s="224"/>
      <c r="E265" s="224"/>
      <c r="F265" s="224"/>
      <c r="G265" s="224" t="n">
        <v>160</v>
      </c>
      <c r="H265" s="224" t="n">
        <v>823</v>
      </c>
      <c r="I265" s="224" t="n">
        <v>1251</v>
      </c>
      <c r="J265" s="224" t="n">
        <v>2040</v>
      </c>
      <c r="K265" s="119" t="s">
        <v>3</v>
      </c>
      <c r="L265" s="372" t="n">
        <v>7800</v>
      </c>
      <c r="M265" s="367" t="n">
        <v>5295</v>
      </c>
      <c r="N265" s="368"/>
      <c r="O265" s="367"/>
      <c r="P265" s="316"/>
      <c r="Q265" s="314"/>
      <c r="R265" s="314"/>
      <c r="S265" s="315"/>
      <c r="T265" s="315"/>
      <c r="U265" s="315"/>
      <c r="V265" s="315"/>
      <c r="W265" s="317"/>
      <c r="X265" s="314"/>
      <c r="Y265" s="314"/>
    </row>
    <row r="266" s="3" customFormat="true" ht="15.75" hidden="false" customHeight="true" outlineLevel="0" collapsed="false">
      <c r="A266" s="38"/>
      <c r="B266" s="253" t="s">
        <v>192</v>
      </c>
      <c r="C266" s="224"/>
      <c r="D266" s="224" t="n">
        <v>0</v>
      </c>
      <c r="E266" s="224" t="n">
        <v>187</v>
      </c>
      <c r="F266" s="224" t="n">
        <v>676</v>
      </c>
      <c r="G266" s="224" t="n">
        <v>0</v>
      </c>
      <c r="H266" s="224" t="n">
        <v>0</v>
      </c>
      <c r="I266" s="224" t="n">
        <v>0</v>
      </c>
      <c r="J266" s="224" t="n">
        <v>0</v>
      </c>
      <c r="K266" s="119" t="s">
        <v>3</v>
      </c>
      <c r="L266" s="372" t="n">
        <v>0</v>
      </c>
      <c r="M266" s="367" t="n">
        <v>5155</v>
      </c>
      <c r="N266" s="368"/>
      <c r="O266" s="367"/>
      <c r="P266" s="316"/>
      <c r="Q266" s="314"/>
      <c r="R266" s="314"/>
      <c r="S266" s="315"/>
      <c r="T266" s="315"/>
      <c r="U266" s="315"/>
      <c r="V266" s="315"/>
      <c r="W266" s="317"/>
      <c r="X266" s="314"/>
      <c r="Y266" s="314"/>
    </row>
    <row r="267" s="3" customFormat="true" ht="15.75" hidden="false" customHeight="true" outlineLevel="0" collapsed="false">
      <c r="A267" s="38"/>
      <c r="B267" s="253" t="s">
        <v>193</v>
      </c>
      <c r="C267" s="224"/>
      <c r="D267" s="224" t="n">
        <v>0</v>
      </c>
      <c r="E267" s="224" t="n">
        <v>0</v>
      </c>
      <c r="F267" s="224" t="n">
        <v>0</v>
      </c>
      <c r="G267" s="224" t="n">
        <v>490</v>
      </c>
      <c r="H267" s="224" t="n">
        <v>0</v>
      </c>
      <c r="I267" s="224" t="n">
        <v>0</v>
      </c>
      <c r="J267" s="224" t="n">
        <v>0</v>
      </c>
      <c r="K267" s="119" t="s">
        <v>3</v>
      </c>
      <c r="L267" s="372" t="n">
        <v>3000</v>
      </c>
      <c r="M267" s="367"/>
      <c r="N267" s="368"/>
      <c r="O267" s="367"/>
      <c r="P267" s="316"/>
      <c r="Q267" s="314"/>
      <c r="R267" s="314"/>
      <c r="S267" s="315"/>
      <c r="T267" s="315"/>
      <c r="U267" s="315"/>
      <c r="V267" s="315"/>
      <c r="W267" s="317"/>
      <c r="X267" s="314"/>
      <c r="Y267" s="314"/>
    </row>
    <row r="268" s="3" customFormat="true" ht="15.75" hidden="false" customHeight="true" outlineLevel="0" collapsed="false">
      <c r="A268" s="38"/>
      <c r="B268" s="378" t="s">
        <v>194</v>
      </c>
      <c r="C268" s="224"/>
      <c r="D268" s="224" t="n">
        <v>0</v>
      </c>
      <c r="E268" s="224" t="n">
        <v>303</v>
      </c>
      <c r="F268" s="224" t="n">
        <v>544</v>
      </c>
      <c r="G268" s="224" t="n">
        <v>81</v>
      </c>
      <c r="H268" s="224" t="n">
        <v>4520</v>
      </c>
      <c r="I268" s="224" t="n">
        <v>5870</v>
      </c>
      <c r="J268" s="224" t="n">
        <v>4100</v>
      </c>
      <c r="K268" s="119" t="s">
        <v>3</v>
      </c>
      <c r="L268" s="372" t="n">
        <v>0</v>
      </c>
      <c r="M268" s="367" t="n">
        <v>0</v>
      </c>
      <c r="N268" s="368"/>
      <c r="O268" s="367"/>
      <c r="P268" s="316"/>
      <c r="Q268" s="314"/>
      <c r="R268" s="314"/>
      <c r="S268" s="315"/>
      <c r="T268" s="315"/>
      <c r="U268" s="315"/>
      <c r="V268" s="315"/>
      <c r="W268" s="317"/>
      <c r="X268" s="314"/>
      <c r="Y268" s="314"/>
    </row>
    <row r="269" s="3" customFormat="true" ht="15.75" hidden="false" customHeight="true" outlineLevel="0" collapsed="false">
      <c r="A269" s="38"/>
      <c r="B269" s="378" t="s">
        <v>195</v>
      </c>
      <c r="C269" s="224"/>
      <c r="D269" s="224"/>
      <c r="E269" s="224" t="n">
        <v>0</v>
      </c>
      <c r="F269" s="224" t="n">
        <v>0</v>
      </c>
      <c r="G269" s="224" t="n">
        <v>0</v>
      </c>
      <c r="H269" s="224" t="n">
        <v>0</v>
      </c>
      <c r="I269" s="224" t="n">
        <v>412</v>
      </c>
      <c r="J269" s="224" t="n">
        <v>0</v>
      </c>
      <c r="K269" s="119" t="s">
        <v>3</v>
      </c>
      <c r="L269" s="372" t="n">
        <v>0</v>
      </c>
      <c r="M269" s="367" t="n">
        <v>0</v>
      </c>
      <c r="N269" s="368"/>
      <c r="O269" s="367"/>
      <c r="P269" s="316"/>
      <c r="Q269" s="314"/>
      <c r="R269" s="314"/>
      <c r="S269" s="315"/>
      <c r="T269" s="315"/>
      <c r="U269" s="315"/>
      <c r="V269" s="315"/>
      <c r="W269" s="317"/>
      <c r="X269" s="314"/>
      <c r="Y269" s="314"/>
    </row>
    <row r="270" s="3" customFormat="true" ht="15.75" hidden="false" customHeight="true" outlineLevel="0" collapsed="false">
      <c r="A270" s="38"/>
      <c r="B270" s="253" t="s">
        <v>196</v>
      </c>
      <c r="C270" s="224" t="n">
        <v>40</v>
      </c>
      <c r="D270" s="224" t="n">
        <v>153.57324</v>
      </c>
      <c r="E270" s="224" t="n">
        <v>502</v>
      </c>
      <c r="F270" s="224" t="n">
        <v>531</v>
      </c>
      <c r="G270" s="224" t="n">
        <v>0</v>
      </c>
      <c r="H270" s="224" t="n">
        <v>146</v>
      </c>
      <c r="I270" s="224" t="n">
        <v>96</v>
      </c>
      <c r="J270" s="224" t="s">
        <v>3</v>
      </c>
      <c r="K270" s="119" t="n">
        <v>3303</v>
      </c>
      <c r="L270" s="372" t="n">
        <v>2400</v>
      </c>
      <c r="M270" s="367" t="n">
        <v>2700</v>
      </c>
      <c r="N270" s="368"/>
      <c r="O270" s="367"/>
      <c r="P270" s="316"/>
      <c r="Q270" s="314"/>
      <c r="R270" s="314"/>
      <c r="S270" s="314"/>
      <c r="T270" s="314"/>
      <c r="U270" s="314"/>
      <c r="V270" s="314"/>
      <c r="W270" s="313"/>
      <c r="X270" s="314"/>
      <c r="Y270" s="314"/>
    </row>
    <row r="271" s="3" customFormat="true" ht="15.75" hidden="false" customHeight="true" outlineLevel="0" collapsed="false">
      <c r="A271" s="38"/>
      <c r="B271" s="253" t="s">
        <v>197</v>
      </c>
      <c r="C271" s="224" t="n">
        <v>0</v>
      </c>
      <c r="D271" s="224" t="n">
        <v>0</v>
      </c>
      <c r="E271" s="224" t="n">
        <v>353</v>
      </c>
      <c r="F271" s="224" t="n">
        <v>122</v>
      </c>
      <c r="G271" s="224" t="n">
        <v>475</v>
      </c>
      <c r="H271" s="224" t="n">
        <v>384</v>
      </c>
      <c r="I271" s="224" t="n">
        <v>567</v>
      </c>
      <c r="J271" s="224" t="s">
        <v>3</v>
      </c>
      <c r="K271" s="119" t="n">
        <v>371</v>
      </c>
      <c r="L271" s="372" t="n">
        <v>600</v>
      </c>
      <c r="M271" s="367" t="n">
        <v>1500</v>
      </c>
      <c r="N271" s="368"/>
      <c r="O271" s="367"/>
      <c r="P271" s="316"/>
      <c r="Q271" s="314"/>
      <c r="R271" s="314"/>
      <c r="S271" s="315"/>
      <c r="T271" s="315"/>
      <c r="U271" s="315"/>
      <c r="V271" s="315"/>
      <c r="W271" s="317"/>
      <c r="X271" s="314"/>
      <c r="Y271" s="314"/>
    </row>
    <row r="272" s="3" customFormat="true" ht="15.75" hidden="false" customHeight="true" outlineLevel="0" collapsed="false">
      <c r="A272" s="38" t="s">
        <v>3</v>
      </c>
      <c r="B272" s="73" t="s">
        <v>3</v>
      </c>
      <c r="C272" s="212"/>
      <c r="D272" s="212"/>
      <c r="E272" s="212"/>
      <c r="F272" s="212"/>
      <c r="G272" s="212"/>
      <c r="H272" s="212"/>
      <c r="I272" s="307" t="s">
        <v>3</v>
      </c>
      <c r="J272" s="248" t="s">
        <v>3</v>
      </c>
      <c r="K272" s="68" t="s">
        <v>3</v>
      </c>
      <c r="L272" s="380"/>
      <c r="M272" s="285"/>
      <c r="N272" s="286"/>
      <c r="O272" s="285"/>
      <c r="P272" s="287"/>
      <c r="Q272" s="285"/>
      <c r="R272" s="285"/>
      <c r="S272" s="286"/>
      <c r="T272" s="286"/>
      <c r="U272" s="286"/>
      <c r="V272" s="286"/>
      <c r="W272" s="288"/>
      <c r="X272" s="285"/>
      <c r="Y272" s="285"/>
    </row>
    <row r="273" s="3" customFormat="true" ht="15.75" hidden="false" customHeight="true" outlineLevel="0" collapsed="false">
      <c r="A273" s="38" t="s">
        <v>198</v>
      </c>
      <c r="B273" s="107" t="s">
        <v>199</v>
      </c>
      <c r="C273" s="212" t="n">
        <v>0</v>
      </c>
      <c r="D273" s="212" t="n">
        <v>0</v>
      </c>
      <c r="E273" s="212" t="n">
        <v>0</v>
      </c>
      <c r="F273" s="212" t="n">
        <v>0</v>
      </c>
      <c r="G273" s="212" t="n">
        <f aca="false">+G275+G276</f>
        <v>1777</v>
      </c>
      <c r="H273" s="212" t="n">
        <f aca="false">+H275+H276</f>
        <v>2651</v>
      </c>
      <c r="I273" s="212" t="n">
        <f aca="false">+I275+I276</f>
        <v>4113</v>
      </c>
      <c r="J273" s="212" t="n">
        <v>3101</v>
      </c>
      <c r="K273" s="68" t="n">
        <f aca="false">+K275+K276</f>
        <v>2227</v>
      </c>
      <c r="L273" s="68" t="n">
        <v>5913</v>
      </c>
      <c r="M273" s="69" t="n">
        <f aca="false">3835464/1000</f>
        <v>3835.464</v>
      </c>
      <c r="N273" s="70"/>
      <c r="O273" s="69"/>
      <c r="P273" s="71"/>
      <c r="Q273" s="69"/>
      <c r="R273" s="69"/>
      <c r="S273" s="69"/>
      <c r="T273" s="69"/>
      <c r="U273" s="69"/>
      <c r="V273" s="69"/>
      <c r="W273" s="68"/>
      <c r="X273" s="69"/>
      <c r="Y273" s="69"/>
    </row>
    <row r="274" s="3" customFormat="true" ht="15" hidden="false" customHeight="true" outlineLevel="0" collapsed="false">
      <c r="A274" s="72"/>
      <c r="B274" s="73"/>
      <c r="C274" s="212"/>
      <c r="D274" s="212"/>
      <c r="E274" s="212"/>
      <c r="F274" s="212"/>
      <c r="G274" s="303" t="s">
        <v>3</v>
      </c>
      <c r="H274" s="381" t="s">
        <v>3</v>
      </c>
      <c r="I274" s="229" t="s">
        <v>3</v>
      </c>
      <c r="J274" s="248" t="s">
        <v>3</v>
      </c>
      <c r="K274" s="167" t="s">
        <v>3</v>
      </c>
      <c r="L274" s="102" t="s">
        <v>3</v>
      </c>
      <c r="M274" s="170" t="s">
        <v>3</v>
      </c>
      <c r="N274" s="197"/>
      <c r="O274" s="170"/>
      <c r="P274" s="251"/>
      <c r="Q274" s="170"/>
      <c r="R274" s="170"/>
      <c r="S274" s="170"/>
      <c r="T274" s="170"/>
      <c r="U274" s="170"/>
      <c r="V274" s="170"/>
      <c r="W274" s="167"/>
      <c r="X274" s="170"/>
      <c r="Y274" s="170"/>
    </row>
    <row r="275" s="278" customFormat="true" ht="15.75" hidden="false" customHeight="true" outlineLevel="0" collapsed="false">
      <c r="A275" s="361"/>
      <c r="B275" s="253" t="s">
        <v>200</v>
      </c>
      <c r="C275" s="224"/>
      <c r="D275" s="224"/>
      <c r="E275" s="224"/>
      <c r="F275" s="224"/>
      <c r="G275" s="224" t="n">
        <v>226</v>
      </c>
      <c r="H275" s="224" t="n">
        <v>2619</v>
      </c>
      <c r="I275" s="224" t="n">
        <v>4113</v>
      </c>
      <c r="J275" s="382" t="s">
        <v>3</v>
      </c>
      <c r="K275" s="119" t="n">
        <v>2174</v>
      </c>
      <c r="L275" s="372" t="n">
        <v>1240</v>
      </c>
      <c r="M275" s="367" t="n">
        <v>1940</v>
      </c>
      <c r="N275" s="368"/>
      <c r="O275" s="367"/>
      <c r="P275" s="366"/>
      <c r="Q275" s="367"/>
      <c r="R275" s="367"/>
      <c r="S275" s="367"/>
      <c r="T275" s="367"/>
      <c r="U275" s="367"/>
      <c r="V275" s="367"/>
      <c r="W275" s="372"/>
      <c r="X275" s="367"/>
      <c r="Y275" s="367"/>
    </row>
    <row r="276" s="278" customFormat="true" ht="15.75" hidden="false" customHeight="true" outlineLevel="0" collapsed="false">
      <c r="A276" s="364"/>
      <c r="B276" s="253" t="s">
        <v>201</v>
      </c>
      <c r="C276" s="224"/>
      <c r="D276" s="224"/>
      <c r="E276" s="224"/>
      <c r="F276" s="224"/>
      <c r="G276" s="224" t="n">
        <v>1551</v>
      </c>
      <c r="H276" s="224" t="n">
        <v>32</v>
      </c>
      <c r="I276" s="224" t="n">
        <v>0</v>
      </c>
      <c r="J276" s="382" t="s">
        <v>3</v>
      </c>
      <c r="K276" s="119" t="n">
        <v>53</v>
      </c>
      <c r="L276" s="372" t="n">
        <v>1910</v>
      </c>
      <c r="M276" s="367" t="n">
        <v>860</v>
      </c>
      <c r="N276" s="368"/>
      <c r="O276" s="367"/>
      <c r="P276" s="366"/>
      <c r="Q276" s="367"/>
      <c r="R276" s="367"/>
      <c r="S276" s="367"/>
      <c r="T276" s="367"/>
      <c r="U276" s="367"/>
      <c r="V276" s="367"/>
      <c r="W276" s="372"/>
      <c r="X276" s="367"/>
      <c r="Y276" s="367"/>
    </row>
    <row r="277" s="3" customFormat="true" ht="15.75" hidden="false" customHeight="true" outlineLevel="0" collapsed="false">
      <c r="A277" s="38"/>
      <c r="B277" s="73" t="s">
        <v>3</v>
      </c>
      <c r="C277" s="212"/>
      <c r="D277" s="212"/>
      <c r="E277" s="212"/>
      <c r="F277" s="212"/>
      <c r="G277" s="212"/>
      <c r="H277" s="212"/>
      <c r="I277" s="212"/>
      <c r="J277" s="212"/>
      <c r="K277" s="68"/>
      <c r="L277" s="380" t="s">
        <v>3</v>
      </c>
      <c r="M277" s="285" t="s">
        <v>3</v>
      </c>
      <c r="N277" s="286"/>
      <c r="O277" s="285"/>
      <c r="P277" s="287"/>
      <c r="Q277" s="285"/>
      <c r="R277" s="285"/>
      <c r="S277" s="286"/>
      <c r="T277" s="286"/>
      <c r="U277" s="286"/>
      <c r="V277" s="286"/>
      <c r="W277" s="288"/>
      <c r="X277" s="285"/>
      <c r="Y277" s="285"/>
    </row>
    <row r="278" s="3" customFormat="true" ht="15.75" hidden="false" customHeight="true" outlineLevel="0" collapsed="false">
      <c r="A278" s="38" t="s">
        <v>202</v>
      </c>
      <c r="B278" s="107" t="s">
        <v>203</v>
      </c>
      <c r="C278" s="212"/>
      <c r="D278" s="212"/>
      <c r="E278" s="212"/>
      <c r="F278" s="212"/>
      <c r="G278" s="212" t="n">
        <v>1154</v>
      </c>
      <c r="H278" s="212" t="n">
        <v>2156</v>
      </c>
      <c r="I278" s="212" t="n">
        <v>2237</v>
      </c>
      <c r="J278" s="212" t="n">
        <v>2317</v>
      </c>
      <c r="K278" s="68" t="n">
        <v>1554</v>
      </c>
      <c r="L278" s="383" t="n">
        <v>508</v>
      </c>
      <c r="M278" s="281" t="n">
        <f aca="false">2472302/1000</f>
        <v>2472.302</v>
      </c>
      <c r="N278" s="282"/>
      <c r="O278" s="281"/>
      <c r="P278" s="283"/>
      <c r="Q278" s="281"/>
      <c r="R278" s="281"/>
      <c r="S278" s="282"/>
      <c r="T278" s="282"/>
      <c r="U278" s="282"/>
      <c r="V278" s="282"/>
      <c r="W278" s="284"/>
      <c r="X278" s="281"/>
      <c r="Y278" s="281"/>
    </row>
    <row r="279" s="3" customFormat="true" ht="15.75" hidden="false" customHeight="true" outlineLevel="0" collapsed="false">
      <c r="A279" s="38"/>
      <c r="B279" s="73"/>
      <c r="C279" s="212"/>
      <c r="D279" s="212"/>
      <c r="E279" s="212"/>
      <c r="F279" s="212"/>
      <c r="G279" s="212"/>
      <c r="H279" s="212"/>
      <c r="I279" s="212"/>
      <c r="J279" s="248"/>
      <c r="K279" s="68"/>
      <c r="L279" s="371" t="s">
        <v>3</v>
      </c>
      <c r="M279" s="285" t="s">
        <v>3</v>
      </c>
      <c r="N279" s="286"/>
      <c r="O279" s="285"/>
      <c r="P279" s="287"/>
      <c r="Q279" s="285"/>
      <c r="R279" s="285"/>
      <c r="S279" s="286"/>
      <c r="T279" s="286"/>
      <c r="U279" s="286"/>
      <c r="V279" s="286"/>
      <c r="W279" s="288"/>
      <c r="X279" s="285"/>
      <c r="Y279" s="285"/>
    </row>
    <row r="280" s="3" customFormat="true" ht="15.75" hidden="false" customHeight="true" outlineLevel="0" collapsed="false">
      <c r="A280" s="384" t="s">
        <v>204</v>
      </c>
      <c r="B280" s="107" t="s">
        <v>205</v>
      </c>
      <c r="C280" s="212"/>
      <c r="D280" s="212"/>
      <c r="E280" s="212"/>
      <c r="F280" s="212"/>
      <c r="G280" s="212"/>
      <c r="H280" s="212"/>
      <c r="I280" s="212" t="n">
        <v>689</v>
      </c>
      <c r="J280" s="212" t="n">
        <v>2038</v>
      </c>
      <c r="K280" s="68" t="n">
        <v>3093</v>
      </c>
      <c r="L280" s="383" t="n">
        <v>2436</v>
      </c>
      <c r="M280" s="281" t="n">
        <f aca="false">356282/1000</f>
        <v>356.282</v>
      </c>
      <c r="N280" s="282"/>
      <c r="O280" s="281"/>
      <c r="P280" s="283"/>
      <c r="Q280" s="281"/>
      <c r="R280" s="281"/>
      <c r="S280" s="282"/>
      <c r="T280" s="282"/>
      <c r="U280" s="282"/>
      <c r="V280" s="282"/>
      <c r="W280" s="284"/>
      <c r="X280" s="281"/>
      <c r="Y280" s="281"/>
    </row>
    <row r="281" s="3" customFormat="true" ht="15.75" hidden="false" customHeight="true" outlineLevel="0" collapsed="false">
      <c r="A281" s="38"/>
      <c r="B281" s="107" t="s">
        <v>206</v>
      </c>
      <c r="C281" s="212"/>
      <c r="D281" s="212"/>
      <c r="E281" s="212"/>
      <c r="F281" s="212"/>
      <c r="G281" s="212"/>
      <c r="H281" s="212"/>
      <c r="I281" s="212"/>
      <c r="J281" s="226" t="s">
        <v>3</v>
      </c>
      <c r="K281" s="167" t="s">
        <v>3</v>
      </c>
      <c r="L281" s="371" t="s">
        <v>3</v>
      </c>
      <c r="M281" s="285"/>
      <c r="N281" s="286"/>
      <c r="O281" s="285"/>
      <c r="P281" s="287"/>
      <c r="Q281" s="285"/>
      <c r="R281" s="285"/>
      <c r="S281" s="286"/>
      <c r="T281" s="286"/>
      <c r="U281" s="286"/>
      <c r="V281" s="286"/>
      <c r="W281" s="288"/>
      <c r="X281" s="285"/>
      <c r="Y281" s="285"/>
    </row>
    <row r="282" s="3" customFormat="true" ht="15.75" hidden="false" customHeight="true" outlineLevel="0" collapsed="false">
      <c r="A282" s="36"/>
      <c r="B282" s="73"/>
      <c r="C282" s="212"/>
      <c r="D282" s="212"/>
      <c r="E282" s="212"/>
      <c r="F282" s="212"/>
      <c r="G282" s="212"/>
      <c r="H282" s="212"/>
      <c r="I282" s="212"/>
      <c r="J282" s="248" t="s">
        <v>3</v>
      </c>
      <c r="K282" s="68"/>
      <c r="L282" s="371" t="s">
        <v>3</v>
      </c>
      <c r="M282" s="281"/>
      <c r="N282" s="282"/>
      <c r="O282" s="281"/>
      <c r="P282" s="283"/>
      <c r="Q282" s="281"/>
      <c r="R282" s="281"/>
      <c r="S282" s="282"/>
      <c r="T282" s="282"/>
      <c r="U282" s="282"/>
      <c r="V282" s="282"/>
      <c r="W282" s="284"/>
      <c r="X282" s="281"/>
      <c r="Y282" s="281"/>
    </row>
    <row r="283" s="3" customFormat="true" ht="15.75" hidden="false" customHeight="true" outlineLevel="0" collapsed="false">
      <c r="A283" s="385" t="s">
        <v>207</v>
      </c>
      <c r="B283" s="107" t="s">
        <v>208</v>
      </c>
      <c r="C283" s="212"/>
      <c r="D283" s="212"/>
      <c r="E283" s="212"/>
      <c r="F283" s="212"/>
      <c r="G283" s="212"/>
      <c r="H283" s="212"/>
      <c r="I283" s="212"/>
      <c r="J283" s="248"/>
      <c r="K283" s="68"/>
      <c r="L283" s="371"/>
      <c r="M283" s="281" t="n">
        <f aca="false">164461/1000</f>
        <v>164.461</v>
      </c>
      <c r="N283" s="282"/>
      <c r="O283" s="281"/>
      <c r="P283" s="283"/>
      <c r="Q283" s="281"/>
      <c r="R283" s="281"/>
      <c r="S283" s="282"/>
      <c r="T283" s="282"/>
      <c r="U283" s="282"/>
      <c r="V283" s="282"/>
      <c r="W283" s="284"/>
      <c r="X283" s="281"/>
      <c r="Y283" s="281"/>
    </row>
    <row r="284" s="3" customFormat="true" ht="15.75" hidden="false" customHeight="true" outlineLevel="0" collapsed="false">
      <c r="A284" s="385"/>
      <c r="B284" s="107"/>
      <c r="C284" s="212"/>
      <c r="D284" s="212"/>
      <c r="E284" s="212"/>
      <c r="F284" s="212"/>
      <c r="G284" s="212"/>
      <c r="H284" s="212"/>
      <c r="I284" s="212"/>
      <c r="J284" s="248"/>
      <c r="K284" s="68"/>
      <c r="L284" s="371"/>
      <c r="M284" s="386"/>
      <c r="N284" s="387"/>
      <c r="O284" s="281"/>
      <c r="P284" s="283"/>
      <c r="Q284" s="281"/>
      <c r="R284" s="281"/>
      <c r="S284" s="282"/>
      <c r="T284" s="282"/>
      <c r="U284" s="282"/>
      <c r="V284" s="282"/>
      <c r="W284" s="284"/>
      <c r="X284" s="281"/>
      <c r="Y284" s="281"/>
    </row>
    <row r="285" s="3" customFormat="true" ht="15.75" hidden="false" customHeight="true" outlineLevel="0" collapsed="false">
      <c r="A285" s="388"/>
      <c r="B285" s="389"/>
      <c r="C285" s="236"/>
      <c r="D285" s="236"/>
      <c r="E285" s="236"/>
      <c r="F285" s="236"/>
      <c r="G285" s="236"/>
      <c r="H285" s="236"/>
      <c r="I285" s="236"/>
      <c r="J285" s="390" t="s">
        <v>3</v>
      </c>
      <c r="K285" s="391"/>
      <c r="L285" s="392" t="s">
        <v>3</v>
      </c>
      <c r="M285" s="393" t="s">
        <v>3</v>
      </c>
      <c r="N285" s="394"/>
      <c r="O285" s="395" t="s">
        <v>3</v>
      </c>
      <c r="P285" s="396" t="s">
        <v>3</v>
      </c>
      <c r="Q285" s="397" t="s">
        <v>3</v>
      </c>
      <c r="R285" s="397" t="s">
        <v>3</v>
      </c>
      <c r="S285" s="397" t="s">
        <v>3</v>
      </c>
      <c r="T285" s="398" t="s">
        <v>3</v>
      </c>
      <c r="U285" s="398" t="s">
        <v>3</v>
      </c>
      <c r="V285" s="398" t="s">
        <v>3</v>
      </c>
      <c r="W285" s="399" t="s">
        <v>3</v>
      </c>
      <c r="X285" s="400" t="s">
        <v>3</v>
      </c>
      <c r="Y285" s="400"/>
    </row>
    <row r="286" customFormat="false" ht="15.75" hidden="false" customHeight="true" outlineLevel="0" collapsed="false">
      <c r="A286" s="111"/>
      <c r="B286" s="401" t="s">
        <v>209</v>
      </c>
      <c r="C286" s="177" t="n">
        <v>4010</v>
      </c>
      <c r="D286" s="177" t="n">
        <v>2489</v>
      </c>
      <c r="E286" s="177" t="n">
        <f aca="false">SUM(E290:E308)</f>
        <v>564</v>
      </c>
      <c r="F286" s="177" t="n">
        <f aca="false">SUM(F290:F308)</f>
        <v>1900</v>
      </c>
      <c r="G286" s="177" t="n">
        <f aca="false">SUM(G290:G311)</f>
        <v>2746</v>
      </c>
      <c r="H286" s="177" t="n">
        <f aca="false">SUM(H290:H311)</f>
        <v>8784</v>
      </c>
      <c r="I286" s="177" t="n">
        <f aca="false">SUM(I290:I311)</f>
        <v>8775</v>
      </c>
      <c r="J286" s="402" t="n">
        <f aca="false">SUM(J290:J311)</f>
        <v>1121</v>
      </c>
      <c r="K286" s="98" t="n">
        <f aca="false">SUM(K290:K311)</f>
        <v>1650</v>
      </c>
      <c r="L286" s="98" t="n">
        <f aca="false">SUM(L290:L311)</f>
        <v>919</v>
      </c>
      <c r="M286" s="99" t="n">
        <f aca="false">872624/1000</f>
        <v>872.624</v>
      </c>
      <c r="N286" s="100" t="n">
        <f aca="false">916242.72/1000</f>
        <v>916.24272</v>
      </c>
      <c r="O286" s="99" t="n">
        <f aca="false">SUM(O290:O311)+O287</f>
        <v>2090</v>
      </c>
      <c r="P286" s="101" t="n">
        <f aca="false">SUM(P290:P311)</f>
        <v>900</v>
      </c>
      <c r="Q286" s="99" t="n">
        <f aca="false">SUM(Q290:Q311)</f>
        <v>600</v>
      </c>
      <c r="R286" s="99" t="n">
        <f aca="false">SUM(R290:R311)</f>
        <v>1100</v>
      </c>
      <c r="S286" s="113" t="n">
        <f aca="false">SUM(S290:S311)</f>
        <v>7800</v>
      </c>
      <c r="T286" s="113" t="n">
        <f aca="false">SUM(T290:T311)</f>
        <v>21700</v>
      </c>
      <c r="U286" s="99" t="n">
        <f aca="false">SUM(U290:U311)</f>
        <v>12900</v>
      </c>
      <c r="V286" s="99" t="n">
        <f aca="false">SUM(V290:V311)</f>
        <v>8500</v>
      </c>
      <c r="W286" s="98" t="n">
        <f aca="false">SUM(W290:W311)</f>
        <v>7500</v>
      </c>
      <c r="X286" s="99" t="n">
        <f aca="false">SUM(X290:X311)</f>
        <v>500</v>
      </c>
      <c r="Y286" s="99" t="n">
        <f aca="false">SUM(Y290:Y311)</f>
        <v>500</v>
      </c>
      <c r="AH286" s="403"/>
    </row>
    <row r="287" customFormat="false" ht="15.75" hidden="false" customHeight="true" outlineLevel="0" collapsed="false">
      <c r="A287" s="93"/>
      <c r="B287" s="73"/>
      <c r="C287" s="177"/>
      <c r="D287" s="177"/>
      <c r="E287" s="404"/>
      <c r="F287" s="177"/>
      <c r="G287" s="177"/>
      <c r="H287" s="177"/>
      <c r="I287" s="177"/>
      <c r="J287" s="177"/>
      <c r="K287" s="98"/>
      <c r="L287" s="98"/>
      <c r="M287" s="99"/>
      <c r="N287" s="100"/>
      <c r="O287" s="75" t="n">
        <v>590</v>
      </c>
      <c r="P287" s="101"/>
      <c r="Q287" s="99"/>
      <c r="R287" s="99"/>
      <c r="S287" s="113"/>
      <c r="T287" s="113"/>
      <c r="U287" s="99"/>
      <c r="V287" s="99"/>
      <c r="W287" s="98"/>
      <c r="X287" s="99"/>
      <c r="Y287" s="99"/>
    </row>
    <row r="288" customFormat="false" ht="15" hidden="false" customHeight="true" outlineLevel="0" collapsed="false">
      <c r="A288" s="36"/>
      <c r="B288" s="76"/>
      <c r="C288" s="77"/>
      <c r="D288" s="77"/>
      <c r="E288" s="3"/>
      <c r="F288" s="78"/>
      <c r="G288" s="78"/>
      <c r="H288" s="78"/>
      <c r="I288" s="78"/>
      <c r="J288" s="78"/>
      <c r="K288" s="79"/>
      <c r="L288" s="80"/>
      <c r="M288" s="81"/>
      <c r="N288" s="81"/>
      <c r="O288" s="82"/>
      <c r="P288" s="83" t="n">
        <v>900</v>
      </c>
      <c r="Q288" s="84" t="n">
        <v>600</v>
      </c>
      <c r="R288" s="84" t="n">
        <v>1100</v>
      </c>
      <c r="S288" s="84" t="n">
        <v>2800</v>
      </c>
      <c r="T288" s="84" t="n">
        <v>16700</v>
      </c>
      <c r="U288" s="84" t="n">
        <v>12900</v>
      </c>
      <c r="V288" s="84" t="n">
        <v>8500</v>
      </c>
      <c r="W288" s="85" t="n">
        <v>7500</v>
      </c>
      <c r="X288" s="84" t="n">
        <v>500</v>
      </c>
      <c r="Y288" s="84" t="n">
        <v>500</v>
      </c>
    </row>
    <row r="289" customFormat="false" ht="15" hidden="false" customHeight="true" outlineLevel="0" collapsed="false">
      <c r="A289" s="36"/>
      <c r="B289" s="76"/>
      <c r="C289" s="77"/>
      <c r="D289" s="77"/>
      <c r="E289" s="3"/>
      <c r="F289" s="78"/>
      <c r="G289" s="78"/>
      <c r="H289" s="78"/>
      <c r="I289" s="78"/>
      <c r="J289" s="78"/>
      <c r="K289" s="79"/>
      <c r="L289" s="80"/>
      <c r="M289" s="81"/>
      <c r="N289" s="81"/>
      <c r="O289" s="82"/>
      <c r="P289" s="83" t="n">
        <f aca="false">P286-P288</f>
        <v>0</v>
      </c>
      <c r="Q289" s="84" t="n">
        <f aca="false">Q286-Q288</f>
        <v>0</v>
      </c>
      <c r="R289" s="84" t="n">
        <f aca="false">R286-R288</f>
        <v>0</v>
      </c>
      <c r="S289" s="84" t="n">
        <f aca="false">S286-S288</f>
        <v>5000</v>
      </c>
      <c r="T289" s="84" t="n">
        <f aca="false">T286-T288</f>
        <v>5000</v>
      </c>
      <c r="U289" s="84" t="n">
        <f aca="false">U286-U288</f>
        <v>0</v>
      </c>
      <c r="V289" s="84" t="n">
        <f aca="false">V286-V288</f>
        <v>0</v>
      </c>
      <c r="W289" s="85" t="n">
        <f aca="false">W286-W288</f>
        <v>0</v>
      </c>
      <c r="X289" s="84" t="n">
        <f aca="false">X286-X288</f>
        <v>0</v>
      </c>
      <c r="Y289" s="84"/>
    </row>
    <row r="290" customFormat="false" ht="15" hidden="false" customHeight="false" outlineLevel="0" collapsed="false">
      <c r="A290" s="54"/>
      <c r="B290" s="55" t="s">
        <v>210</v>
      </c>
      <c r="C290" s="231" t="n">
        <v>0</v>
      </c>
      <c r="D290" s="231" t="n">
        <v>0</v>
      </c>
      <c r="E290" s="231" t="n">
        <v>0</v>
      </c>
      <c r="F290" s="231" t="n">
        <v>0</v>
      </c>
      <c r="G290" s="231" t="n">
        <v>0</v>
      </c>
      <c r="H290" s="231" t="n">
        <v>21</v>
      </c>
      <c r="I290" s="231" t="n">
        <v>2685</v>
      </c>
      <c r="J290" s="231" t="n">
        <v>652</v>
      </c>
      <c r="K290" s="126" t="n">
        <v>41</v>
      </c>
      <c r="L290" s="58"/>
      <c r="M290" s="59"/>
      <c r="N290" s="60"/>
      <c r="O290" s="61"/>
      <c r="P290" s="62"/>
      <c r="Q290" s="61"/>
      <c r="R290" s="61"/>
      <c r="S290" s="97"/>
      <c r="T290" s="97"/>
      <c r="U290" s="97"/>
      <c r="V290" s="97"/>
      <c r="W290" s="232"/>
      <c r="X290" s="61"/>
      <c r="Y290" s="61"/>
    </row>
    <row r="291" customFormat="false" ht="15" hidden="false" customHeight="false" outlineLevel="0" collapsed="false">
      <c r="A291" s="56"/>
      <c r="B291" s="95" t="s">
        <v>211</v>
      </c>
      <c r="C291" s="231" t="n">
        <v>0</v>
      </c>
      <c r="D291" s="231" t="n">
        <v>0</v>
      </c>
      <c r="E291" s="231" t="n">
        <v>0</v>
      </c>
      <c r="F291" s="231" t="n">
        <v>0</v>
      </c>
      <c r="G291" s="231" t="n">
        <v>0</v>
      </c>
      <c r="H291" s="231" t="n">
        <v>6</v>
      </c>
      <c r="I291" s="231" t="n">
        <v>399</v>
      </c>
      <c r="J291" s="231" t="n">
        <v>57</v>
      </c>
      <c r="K291" s="126" t="n">
        <v>0</v>
      </c>
      <c r="L291" s="58"/>
      <c r="M291" s="59"/>
      <c r="N291" s="60"/>
      <c r="O291" s="61"/>
      <c r="P291" s="62"/>
      <c r="Q291" s="61"/>
      <c r="R291" s="61"/>
      <c r="S291" s="97"/>
      <c r="T291" s="97"/>
      <c r="U291" s="97"/>
      <c r="V291" s="97"/>
      <c r="W291" s="232"/>
      <c r="X291" s="61"/>
      <c r="Y291" s="61"/>
    </row>
    <row r="292" customFormat="false" ht="15" hidden="false" customHeight="false" outlineLevel="0" collapsed="false">
      <c r="A292" s="54"/>
      <c r="B292" s="55" t="s">
        <v>212</v>
      </c>
      <c r="C292" s="231" t="n">
        <v>0</v>
      </c>
      <c r="D292" s="231" t="n">
        <v>0</v>
      </c>
      <c r="E292" s="231" t="n">
        <v>559</v>
      </c>
      <c r="F292" s="231" t="n">
        <v>1900</v>
      </c>
      <c r="G292" s="231" t="n">
        <v>2630</v>
      </c>
      <c r="H292" s="231" t="n">
        <v>8599</v>
      </c>
      <c r="I292" s="231" t="n">
        <v>4149</v>
      </c>
      <c r="J292" s="231" t="n">
        <v>0</v>
      </c>
      <c r="K292" s="126" t="n">
        <v>0</v>
      </c>
      <c r="L292" s="58" t="n">
        <v>3</v>
      </c>
      <c r="M292" s="59"/>
      <c r="N292" s="60"/>
      <c r="O292" s="61"/>
      <c r="P292" s="62"/>
      <c r="Q292" s="61"/>
      <c r="R292" s="61"/>
      <c r="S292" s="97"/>
      <c r="T292" s="97"/>
      <c r="U292" s="97"/>
      <c r="V292" s="97"/>
      <c r="W292" s="232"/>
      <c r="X292" s="61"/>
      <c r="Y292" s="61"/>
    </row>
    <row r="293" customFormat="false" ht="15" hidden="false" customHeight="false" outlineLevel="0" collapsed="false">
      <c r="A293" s="54"/>
      <c r="B293" s="55" t="s">
        <v>213</v>
      </c>
      <c r="C293" s="231" t="n">
        <v>0</v>
      </c>
      <c r="D293" s="231" t="n">
        <v>0</v>
      </c>
      <c r="E293" s="231" t="n">
        <v>0</v>
      </c>
      <c r="F293" s="231" t="n">
        <v>0</v>
      </c>
      <c r="G293" s="231" t="n">
        <v>0</v>
      </c>
      <c r="H293" s="231" t="n">
        <v>0</v>
      </c>
      <c r="I293" s="231" t="n">
        <v>0</v>
      </c>
      <c r="J293" s="231" t="n">
        <v>0</v>
      </c>
      <c r="K293" s="126" t="n">
        <v>0</v>
      </c>
      <c r="L293" s="58" t="n">
        <v>0</v>
      </c>
      <c r="M293" s="59"/>
      <c r="N293" s="60"/>
      <c r="O293" s="61" t="n">
        <v>200</v>
      </c>
      <c r="P293" s="405"/>
      <c r="Q293" s="406"/>
      <c r="R293" s="407"/>
      <c r="S293" s="408" t="n">
        <v>5000</v>
      </c>
      <c r="T293" s="127" t="n">
        <v>5000</v>
      </c>
      <c r="U293" s="129"/>
      <c r="V293" s="129"/>
      <c r="W293" s="279"/>
      <c r="X293" s="129"/>
      <c r="Y293" s="129"/>
    </row>
    <row r="294" customFormat="false" ht="15" hidden="false" customHeight="false" outlineLevel="0" collapsed="false">
      <c r="A294" s="54"/>
      <c r="B294" s="55" t="s">
        <v>214</v>
      </c>
      <c r="C294" s="231" t="n">
        <v>0</v>
      </c>
      <c r="D294" s="231" t="n">
        <v>0</v>
      </c>
      <c r="E294" s="231" t="n">
        <v>5</v>
      </c>
      <c r="F294" s="231" t="n">
        <v>0</v>
      </c>
      <c r="G294" s="231" t="n">
        <v>0</v>
      </c>
      <c r="H294" s="231" t="n">
        <v>0</v>
      </c>
      <c r="I294" s="231" t="n">
        <v>0</v>
      </c>
      <c r="J294" s="231" t="n">
        <v>0</v>
      </c>
      <c r="K294" s="126" t="n">
        <v>0</v>
      </c>
      <c r="L294" s="126" t="n">
        <v>0</v>
      </c>
      <c r="M294" s="127"/>
      <c r="N294" s="128"/>
      <c r="O294" s="129" t="s">
        <v>3</v>
      </c>
      <c r="P294" s="130" t="s">
        <v>3</v>
      </c>
      <c r="Q294" s="129" t="s">
        <v>3</v>
      </c>
      <c r="R294" s="129"/>
      <c r="S294" s="279"/>
      <c r="T294" s="279"/>
      <c r="U294" s="279"/>
      <c r="V294" s="279"/>
      <c r="W294" s="280"/>
      <c r="X294" s="129"/>
      <c r="Y294" s="129"/>
    </row>
    <row r="295" customFormat="false" ht="15" hidden="false" customHeight="false" outlineLevel="0" collapsed="false">
      <c r="A295" s="54"/>
      <c r="B295" s="55" t="s">
        <v>215</v>
      </c>
      <c r="C295" s="231"/>
      <c r="D295" s="231"/>
      <c r="E295" s="231"/>
      <c r="F295" s="231"/>
      <c r="G295" s="231"/>
      <c r="H295" s="231"/>
      <c r="I295" s="231"/>
      <c r="J295" s="231"/>
      <c r="K295" s="126"/>
      <c r="L295" s="126"/>
      <c r="M295" s="127"/>
      <c r="N295" s="128"/>
      <c r="O295" s="129"/>
      <c r="P295" s="130"/>
      <c r="Q295" s="129"/>
      <c r="R295" s="129"/>
      <c r="S295" s="279"/>
      <c r="T295" s="279"/>
      <c r="U295" s="279"/>
      <c r="V295" s="279"/>
      <c r="W295" s="280"/>
      <c r="X295" s="129"/>
      <c r="Y295" s="129"/>
    </row>
    <row r="296" customFormat="false" ht="15" hidden="false" customHeight="false" outlineLevel="0" collapsed="false">
      <c r="A296" s="54"/>
      <c r="B296" s="55" t="s">
        <v>216</v>
      </c>
      <c r="C296" s="231" t="n">
        <v>0</v>
      </c>
      <c r="D296" s="231" t="n">
        <v>0</v>
      </c>
      <c r="E296" s="231" t="n">
        <v>0</v>
      </c>
      <c r="F296" s="231" t="n">
        <v>0</v>
      </c>
      <c r="G296" s="231" t="n">
        <v>0</v>
      </c>
      <c r="H296" s="231" t="n">
        <v>0</v>
      </c>
      <c r="I296" s="231" t="n">
        <v>0</v>
      </c>
      <c r="J296" s="231" t="n">
        <v>0</v>
      </c>
      <c r="K296" s="126" t="n">
        <v>39</v>
      </c>
      <c r="L296" s="126" t="n">
        <v>108</v>
      </c>
      <c r="M296" s="127"/>
      <c r="N296" s="128"/>
      <c r="O296" s="129" t="n">
        <v>200</v>
      </c>
      <c r="P296" s="130"/>
      <c r="Q296" s="129"/>
      <c r="R296" s="129"/>
      <c r="S296" s="409"/>
      <c r="T296" s="409"/>
      <c r="U296" s="279" t="s">
        <v>3</v>
      </c>
      <c r="V296" s="279" t="n">
        <v>5000</v>
      </c>
      <c r="W296" s="280" t="n">
        <v>5000</v>
      </c>
      <c r="X296" s="129"/>
      <c r="Y296" s="129"/>
    </row>
    <row r="297" customFormat="false" ht="15" hidden="false" customHeight="false" outlineLevel="0" collapsed="false">
      <c r="A297" s="54"/>
      <c r="B297" s="55" t="s">
        <v>217</v>
      </c>
      <c r="C297" s="231" t="n">
        <v>0</v>
      </c>
      <c r="D297" s="231" t="n">
        <v>0</v>
      </c>
      <c r="E297" s="231" t="n">
        <v>0</v>
      </c>
      <c r="F297" s="231" t="n">
        <v>0</v>
      </c>
      <c r="G297" s="231" t="n">
        <v>0</v>
      </c>
      <c r="H297" s="231" t="n">
        <v>0</v>
      </c>
      <c r="I297" s="231" t="n">
        <v>399</v>
      </c>
      <c r="J297" s="231" t="n">
        <v>0</v>
      </c>
      <c r="K297" s="126" t="n">
        <v>0</v>
      </c>
      <c r="L297" s="126" t="n">
        <v>0</v>
      </c>
      <c r="M297" s="127"/>
      <c r="N297" s="128"/>
      <c r="O297" s="129"/>
      <c r="P297" s="130"/>
      <c r="Q297" s="129"/>
      <c r="R297" s="129"/>
      <c r="S297" s="279"/>
      <c r="T297" s="279"/>
      <c r="U297" s="279"/>
      <c r="V297" s="279"/>
      <c r="W297" s="280"/>
      <c r="X297" s="129"/>
      <c r="Y297" s="129"/>
    </row>
    <row r="298" customFormat="false" ht="15" hidden="false" customHeight="false" outlineLevel="0" collapsed="false">
      <c r="A298" s="54"/>
      <c r="B298" s="410" t="s">
        <v>218</v>
      </c>
      <c r="C298" s="231" t="n">
        <v>0</v>
      </c>
      <c r="D298" s="231" t="n">
        <v>0</v>
      </c>
      <c r="E298" s="231" t="n">
        <v>0</v>
      </c>
      <c r="F298" s="231" t="n">
        <v>0</v>
      </c>
      <c r="G298" s="231" t="n">
        <v>0</v>
      </c>
      <c r="H298" s="231" t="n">
        <v>0</v>
      </c>
      <c r="I298" s="231" t="n">
        <v>0</v>
      </c>
      <c r="J298" s="231" t="n">
        <v>0</v>
      </c>
      <c r="K298" s="126" t="n">
        <v>0</v>
      </c>
      <c r="L298" s="126" t="n">
        <v>101</v>
      </c>
      <c r="M298" s="127"/>
      <c r="N298" s="128"/>
      <c r="O298" s="129" t="n">
        <v>200</v>
      </c>
      <c r="P298" s="130"/>
      <c r="Q298" s="407"/>
      <c r="R298" s="407"/>
      <c r="S298" s="279"/>
      <c r="T298" s="279"/>
      <c r="U298" s="129"/>
      <c r="V298" s="279"/>
      <c r="W298" s="279"/>
      <c r="X298" s="129" t="s">
        <v>3</v>
      </c>
      <c r="Y298" s="129"/>
    </row>
    <row r="299" customFormat="false" ht="15" hidden="false" customHeight="false" outlineLevel="0" collapsed="false">
      <c r="A299" s="54"/>
      <c r="B299" s="95" t="s">
        <v>219</v>
      </c>
      <c r="C299" s="231" t="n">
        <v>0</v>
      </c>
      <c r="D299" s="231" t="n">
        <v>0</v>
      </c>
      <c r="E299" s="231" t="n">
        <v>0</v>
      </c>
      <c r="F299" s="231" t="n">
        <v>0</v>
      </c>
      <c r="G299" s="231" t="n">
        <v>0</v>
      </c>
      <c r="H299" s="231" t="n">
        <v>0</v>
      </c>
      <c r="I299" s="231" t="n">
        <v>0</v>
      </c>
      <c r="J299" s="231" t="n">
        <v>0</v>
      </c>
      <c r="K299" s="126" t="n">
        <v>0</v>
      </c>
      <c r="L299" s="126"/>
      <c r="M299" s="127"/>
      <c r="N299" s="128"/>
      <c r="O299" s="129"/>
      <c r="P299" s="130"/>
      <c r="Q299" s="129"/>
      <c r="R299" s="129"/>
      <c r="S299" s="279"/>
      <c r="T299" s="279"/>
      <c r="U299" s="279" t="s">
        <v>3</v>
      </c>
      <c r="V299" s="279" t="s">
        <v>3</v>
      </c>
      <c r="W299" s="280"/>
      <c r="X299" s="129"/>
      <c r="Y299" s="129"/>
    </row>
    <row r="300" customFormat="false" ht="15" hidden="false" customHeight="false" outlineLevel="0" collapsed="false">
      <c r="A300" s="274"/>
      <c r="B300" s="95" t="s">
        <v>220</v>
      </c>
      <c r="C300" s="231" t="n">
        <v>0</v>
      </c>
      <c r="D300" s="231" t="n">
        <v>0</v>
      </c>
      <c r="E300" s="231" t="n">
        <v>0</v>
      </c>
      <c r="F300" s="231" t="n">
        <v>0</v>
      </c>
      <c r="G300" s="231" t="n">
        <v>0</v>
      </c>
      <c r="H300" s="231" t="n">
        <v>0</v>
      </c>
      <c r="I300" s="231" t="n">
        <v>0</v>
      </c>
      <c r="J300" s="231" t="n">
        <v>0</v>
      </c>
      <c r="K300" s="126" t="n">
        <v>0</v>
      </c>
      <c r="L300" s="126" t="n">
        <v>30</v>
      </c>
      <c r="M300" s="127"/>
      <c r="N300" s="128"/>
      <c r="O300" s="129" t="n">
        <v>500</v>
      </c>
      <c r="P300" s="130" t="n">
        <v>500</v>
      </c>
      <c r="Q300" s="129"/>
      <c r="R300" s="407"/>
      <c r="S300" s="407"/>
      <c r="T300" s="409" t="n">
        <f aca="false">11200+2200</f>
        <v>13400</v>
      </c>
      <c r="U300" s="279" t="n">
        <f aca="false">10400+2200</f>
        <v>12600</v>
      </c>
      <c r="V300" s="279" t="s">
        <v>3</v>
      </c>
      <c r="W300" s="280"/>
      <c r="X300" s="129"/>
      <c r="Y300" s="129"/>
    </row>
    <row r="301" customFormat="false" ht="15" hidden="false" customHeight="false" outlineLevel="0" collapsed="false">
      <c r="A301" s="54"/>
      <c r="B301" s="55" t="s">
        <v>221</v>
      </c>
      <c r="C301" s="231" t="n">
        <v>0</v>
      </c>
      <c r="D301" s="231" t="n">
        <v>0</v>
      </c>
      <c r="E301" s="231" t="n">
        <v>0</v>
      </c>
      <c r="F301" s="231" t="n">
        <v>0</v>
      </c>
      <c r="G301" s="231" t="n">
        <v>0</v>
      </c>
      <c r="H301" s="231" t="n">
        <v>0</v>
      </c>
      <c r="I301" s="231" t="n">
        <v>0</v>
      </c>
      <c r="J301" s="231" t="n">
        <v>15</v>
      </c>
      <c r="K301" s="126" t="n">
        <v>0</v>
      </c>
      <c r="L301" s="126" t="n">
        <v>384</v>
      </c>
      <c r="M301" s="127"/>
      <c r="N301" s="128"/>
      <c r="O301" s="129"/>
      <c r="P301" s="130"/>
      <c r="Q301" s="129"/>
      <c r="R301" s="129"/>
      <c r="S301" s="279"/>
      <c r="T301" s="279"/>
      <c r="U301" s="279"/>
      <c r="V301" s="279"/>
      <c r="W301" s="280"/>
      <c r="X301" s="129"/>
      <c r="Y301" s="129"/>
    </row>
    <row r="302" customFormat="false" ht="15" hidden="false" customHeight="false" outlineLevel="0" collapsed="false">
      <c r="A302" s="54"/>
      <c r="B302" s="55" t="s">
        <v>222</v>
      </c>
      <c r="C302" s="231"/>
      <c r="D302" s="231"/>
      <c r="E302" s="231"/>
      <c r="F302" s="231"/>
      <c r="G302" s="231"/>
      <c r="H302" s="411"/>
      <c r="I302" s="231"/>
      <c r="J302" s="231"/>
      <c r="K302" s="126" t="n">
        <v>798</v>
      </c>
      <c r="L302" s="126"/>
      <c r="M302" s="127"/>
      <c r="N302" s="128"/>
      <c r="O302" s="129"/>
      <c r="P302" s="130" t="s">
        <v>3</v>
      </c>
      <c r="Q302" s="129" t="s">
        <v>3</v>
      </c>
      <c r="R302" s="129" t="s">
        <v>3</v>
      </c>
      <c r="S302" s="279" t="s">
        <v>3</v>
      </c>
      <c r="T302" s="279" t="s">
        <v>3</v>
      </c>
      <c r="U302" s="279" t="s">
        <v>3</v>
      </c>
      <c r="V302" s="279" t="s">
        <v>3</v>
      </c>
      <c r="W302" s="280" t="s">
        <v>3</v>
      </c>
      <c r="X302" s="129"/>
      <c r="Y302" s="129"/>
    </row>
    <row r="303" customFormat="false" ht="15" hidden="false" customHeight="false" outlineLevel="0" collapsed="false">
      <c r="A303" s="56"/>
      <c r="B303" s="95" t="s">
        <v>223</v>
      </c>
      <c r="C303" s="231" t="n">
        <v>0</v>
      </c>
      <c r="D303" s="231" t="n">
        <v>0</v>
      </c>
      <c r="E303" s="231" t="n">
        <v>0</v>
      </c>
      <c r="F303" s="231" t="n">
        <v>0</v>
      </c>
      <c r="G303" s="231" t="n">
        <v>0</v>
      </c>
      <c r="H303" s="231" t="n">
        <v>26</v>
      </c>
      <c r="I303" s="231" t="n">
        <v>702</v>
      </c>
      <c r="J303" s="231" t="n">
        <v>68</v>
      </c>
      <c r="K303" s="126" t="n">
        <v>8</v>
      </c>
      <c r="L303" s="126"/>
      <c r="M303" s="127"/>
      <c r="N303" s="128"/>
      <c r="O303" s="129"/>
      <c r="P303" s="130"/>
      <c r="Q303" s="129"/>
      <c r="R303" s="129"/>
      <c r="S303" s="279"/>
      <c r="T303" s="279"/>
      <c r="U303" s="279"/>
      <c r="V303" s="279"/>
      <c r="W303" s="280"/>
      <c r="X303" s="129"/>
      <c r="Y303" s="129"/>
    </row>
    <row r="304" customFormat="false" ht="15" hidden="false" customHeight="false" outlineLevel="0" collapsed="false">
      <c r="A304" s="56"/>
      <c r="B304" s="95" t="s">
        <v>224</v>
      </c>
      <c r="C304" s="231"/>
      <c r="D304" s="231"/>
      <c r="E304" s="231"/>
      <c r="F304" s="231"/>
      <c r="G304" s="231"/>
      <c r="H304" s="231"/>
      <c r="I304" s="231"/>
      <c r="J304" s="231"/>
      <c r="K304" s="126"/>
      <c r="L304" s="126"/>
      <c r="M304" s="127"/>
      <c r="N304" s="128"/>
      <c r="O304" s="129" t="n">
        <v>100</v>
      </c>
      <c r="P304" s="130"/>
      <c r="Q304" s="129" t="n">
        <v>300</v>
      </c>
      <c r="R304" s="129" t="n">
        <v>300</v>
      </c>
      <c r="S304" s="279" t="n">
        <v>2500</v>
      </c>
      <c r="T304" s="279" t="n">
        <v>2500</v>
      </c>
      <c r="U304" s="279"/>
      <c r="V304" s="279"/>
      <c r="W304" s="280"/>
      <c r="X304" s="129"/>
      <c r="Y304" s="129"/>
    </row>
    <row r="305" customFormat="false" ht="15" hidden="false" customHeight="false" outlineLevel="0" collapsed="false">
      <c r="A305" s="56"/>
      <c r="B305" s="95" t="s">
        <v>225</v>
      </c>
      <c r="C305" s="231" t="n">
        <v>0</v>
      </c>
      <c r="D305" s="231" t="n">
        <v>0</v>
      </c>
      <c r="E305" s="231" t="n">
        <v>0</v>
      </c>
      <c r="F305" s="231" t="n">
        <v>0</v>
      </c>
      <c r="G305" s="231" t="n">
        <v>0</v>
      </c>
      <c r="H305" s="231" t="n">
        <v>0</v>
      </c>
      <c r="I305" s="231" t="n">
        <v>0</v>
      </c>
      <c r="J305" s="231" t="n">
        <v>0</v>
      </c>
      <c r="K305" s="126" t="n">
        <v>0</v>
      </c>
      <c r="L305" s="126" t="s">
        <v>3</v>
      </c>
      <c r="M305" s="127"/>
      <c r="N305" s="128"/>
      <c r="O305" s="129" t="s">
        <v>3</v>
      </c>
      <c r="P305" s="130"/>
      <c r="Q305" s="129"/>
      <c r="R305" s="129"/>
      <c r="S305" s="279"/>
      <c r="T305" s="279"/>
      <c r="U305" s="279" t="s">
        <v>3</v>
      </c>
      <c r="V305" s="279" t="n">
        <v>2000</v>
      </c>
      <c r="W305" s="280" t="n">
        <v>2000</v>
      </c>
      <c r="X305" s="129"/>
      <c r="Y305" s="129"/>
    </row>
    <row r="306" customFormat="false" ht="15" hidden="false" customHeight="false" outlineLevel="0" collapsed="false">
      <c r="A306" s="56"/>
      <c r="B306" s="95" t="s">
        <v>226</v>
      </c>
      <c r="C306" s="231"/>
      <c r="D306" s="231"/>
      <c r="E306" s="231"/>
      <c r="F306" s="231" t="n">
        <v>0</v>
      </c>
      <c r="G306" s="231" t="n">
        <v>0</v>
      </c>
      <c r="H306" s="231" t="n">
        <v>0</v>
      </c>
      <c r="I306" s="231" t="n">
        <v>300</v>
      </c>
      <c r="J306" s="231" t="n">
        <v>293</v>
      </c>
      <c r="K306" s="126" t="n">
        <v>703</v>
      </c>
      <c r="L306" s="126" t="n">
        <v>191</v>
      </c>
      <c r="M306" s="127"/>
      <c r="N306" s="128"/>
      <c r="O306" s="129"/>
      <c r="P306" s="130"/>
      <c r="Q306" s="129"/>
      <c r="R306" s="129"/>
      <c r="S306" s="279"/>
      <c r="T306" s="279"/>
      <c r="U306" s="279"/>
      <c r="V306" s="279"/>
      <c r="W306" s="280"/>
      <c r="X306" s="129"/>
      <c r="Y306" s="129"/>
    </row>
    <row r="307" customFormat="false" ht="15" hidden="false" customHeight="false" outlineLevel="0" collapsed="false">
      <c r="A307" s="56"/>
      <c r="B307" s="95" t="s">
        <v>227</v>
      </c>
      <c r="C307" s="231"/>
      <c r="D307" s="231"/>
      <c r="E307" s="231"/>
      <c r="F307" s="231"/>
      <c r="G307" s="231"/>
      <c r="H307" s="231"/>
      <c r="I307" s="231"/>
      <c r="J307" s="231"/>
      <c r="K307" s="126"/>
      <c r="L307" s="126" t="n">
        <v>0</v>
      </c>
      <c r="M307" s="127"/>
      <c r="N307" s="128"/>
      <c r="O307" s="129"/>
      <c r="P307" s="412"/>
      <c r="Q307" s="129"/>
      <c r="R307" s="129"/>
      <c r="S307" s="279"/>
      <c r="T307" s="279" t="n">
        <v>500</v>
      </c>
      <c r="U307" s="279"/>
      <c r="V307" s="279"/>
      <c r="W307" s="280"/>
      <c r="X307" s="129"/>
      <c r="Y307" s="129"/>
    </row>
    <row r="308" customFormat="false" ht="15" hidden="false" customHeight="false" outlineLevel="0" collapsed="false">
      <c r="A308" s="56"/>
      <c r="B308" s="95" t="s">
        <v>228</v>
      </c>
      <c r="C308" s="231" t="n">
        <v>0</v>
      </c>
      <c r="D308" s="231" t="n">
        <v>0</v>
      </c>
      <c r="E308" s="231" t="n">
        <v>0</v>
      </c>
      <c r="F308" s="231" t="n">
        <v>0</v>
      </c>
      <c r="G308" s="231" t="n">
        <v>0</v>
      </c>
      <c r="H308" s="231" t="n">
        <v>0</v>
      </c>
      <c r="I308" s="231" t="n">
        <v>0</v>
      </c>
      <c r="J308" s="231" t="n">
        <v>0</v>
      </c>
      <c r="K308" s="126"/>
      <c r="L308" s="126" t="n">
        <v>0</v>
      </c>
      <c r="M308" s="127"/>
      <c r="N308" s="128"/>
      <c r="O308" s="129" t="n">
        <v>0</v>
      </c>
      <c r="P308" s="412" t="n">
        <v>100</v>
      </c>
      <c r="Q308" s="129" t="s">
        <v>3</v>
      </c>
      <c r="R308" s="129" t="n">
        <v>500</v>
      </c>
      <c r="S308" s="279"/>
      <c r="T308" s="279"/>
      <c r="U308" s="279"/>
      <c r="V308" s="279"/>
      <c r="W308" s="280"/>
      <c r="X308" s="129"/>
      <c r="Y308" s="129"/>
    </row>
    <row r="309" customFormat="false" ht="15" hidden="false" customHeight="false" outlineLevel="0" collapsed="false">
      <c r="A309" s="56"/>
      <c r="B309" s="413" t="s">
        <v>229</v>
      </c>
      <c r="C309" s="414"/>
      <c r="D309" s="414"/>
      <c r="E309" s="414"/>
      <c r="F309" s="414"/>
      <c r="G309" s="414"/>
      <c r="H309" s="414"/>
      <c r="I309" s="414"/>
      <c r="J309" s="414"/>
      <c r="K309" s="415"/>
      <c r="L309" s="415"/>
      <c r="M309" s="127"/>
      <c r="N309" s="128"/>
      <c r="O309" s="129"/>
      <c r="P309" s="416"/>
      <c r="Q309" s="417"/>
      <c r="R309" s="129"/>
      <c r="S309" s="279"/>
      <c r="T309" s="279"/>
      <c r="U309" s="279"/>
      <c r="V309" s="279" t="n">
        <v>1200</v>
      </c>
      <c r="W309" s="280"/>
      <c r="X309" s="129"/>
      <c r="Y309" s="129"/>
    </row>
    <row r="310" customFormat="false" ht="15" hidden="false" customHeight="false" outlineLevel="0" collapsed="false">
      <c r="A310" s="56"/>
      <c r="B310" s="413" t="s">
        <v>230</v>
      </c>
      <c r="C310" s="414"/>
      <c r="D310" s="414"/>
      <c r="E310" s="414"/>
      <c r="F310" s="414"/>
      <c r="G310" s="414"/>
      <c r="H310" s="414"/>
      <c r="I310" s="414"/>
      <c r="J310" s="414"/>
      <c r="K310" s="415"/>
      <c r="L310" s="415"/>
      <c r="M310" s="127"/>
      <c r="N310" s="128"/>
      <c r="O310" s="129"/>
      <c r="P310" s="416"/>
      <c r="Q310" s="417"/>
      <c r="R310" s="129"/>
      <c r="S310" s="279"/>
      <c r="T310" s="279"/>
      <c r="U310" s="279"/>
      <c r="V310" s="279"/>
      <c r="W310" s="280"/>
      <c r="X310" s="129"/>
      <c r="Y310" s="129"/>
    </row>
    <row r="311" customFormat="false" ht="15.75" hidden="false" customHeight="true" outlineLevel="0" collapsed="false">
      <c r="A311" s="56"/>
      <c r="B311" s="95" t="s">
        <v>231</v>
      </c>
      <c r="C311" s="231"/>
      <c r="D311" s="231"/>
      <c r="E311" s="231"/>
      <c r="F311" s="231"/>
      <c r="G311" s="231" t="n">
        <v>116</v>
      </c>
      <c r="H311" s="231" t="n">
        <v>132</v>
      </c>
      <c r="I311" s="231" t="n">
        <v>141</v>
      </c>
      <c r="J311" s="231" t="n">
        <v>36</v>
      </c>
      <c r="K311" s="126" t="n">
        <v>61</v>
      </c>
      <c r="L311" s="58" t="n">
        <v>102</v>
      </c>
      <c r="M311" s="59"/>
      <c r="N311" s="60"/>
      <c r="O311" s="61" t="n">
        <v>300</v>
      </c>
      <c r="P311" s="62" t="n">
        <v>300</v>
      </c>
      <c r="Q311" s="61" t="n">
        <v>300</v>
      </c>
      <c r="R311" s="61" t="n">
        <v>300</v>
      </c>
      <c r="S311" s="97" t="n">
        <v>300</v>
      </c>
      <c r="T311" s="97" t="n">
        <v>300</v>
      </c>
      <c r="U311" s="97" t="n">
        <v>300</v>
      </c>
      <c r="V311" s="97" t="n">
        <v>300</v>
      </c>
      <c r="W311" s="232" t="n">
        <v>500</v>
      </c>
      <c r="X311" s="61" t="n">
        <v>500</v>
      </c>
      <c r="Y311" s="61" t="n">
        <v>500</v>
      </c>
    </row>
    <row r="312" s="3" customFormat="true" ht="15.75" hidden="false" customHeight="false" outlineLevel="0" collapsed="false">
      <c r="A312" s="418"/>
      <c r="B312" s="418"/>
      <c r="C312" s="419"/>
      <c r="D312" s="419"/>
      <c r="E312" s="419"/>
      <c r="F312" s="419"/>
      <c r="G312" s="419"/>
      <c r="H312" s="419"/>
      <c r="I312" s="419"/>
      <c r="J312" s="420"/>
      <c r="K312" s="421"/>
      <c r="L312" s="422"/>
      <c r="M312" s="423"/>
      <c r="N312" s="424"/>
      <c r="O312" s="425"/>
      <c r="P312" s="426"/>
      <c r="Q312" s="427"/>
      <c r="R312" s="427"/>
      <c r="S312" s="427"/>
      <c r="T312" s="428"/>
      <c r="U312" s="428"/>
      <c r="V312" s="429"/>
      <c r="W312" s="428"/>
      <c r="X312" s="430"/>
      <c r="Y312" s="430"/>
    </row>
    <row r="313" customFormat="false" ht="15.75" hidden="false" customHeight="false" outlineLevel="0" collapsed="false">
      <c r="A313" s="431" t="s">
        <v>232</v>
      </c>
      <c r="B313" s="432" t="s">
        <v>233</v>
      </c>
      <c r="C313" s="433" t="n">
        <f aca="false">C319+C364</f>
        <v>27888.92493</v>
      </c>
      <c r="D313" s="433" t="n">
        <f aca="false">D319+D364</f>
        <v>21906.233</v>
      </c>
      <c r="E313" s="433" t="n">
        <f aca="false">E319+E364</f>
        <v>18969</v>
      </c>
      <c r="F313" s="433" t="n">
        <f aca="false">F319+F364</f>
        <v>20574</v>
      </c>
      <c r="G313" s="433" t="n">
        <f aca="false">G319+G364</f>
        <v>20563</v>
      </c>
      <c r="H313" s="433" t="n">
        <f aca="false">H319+H364</f>
        <v>20001</v>
      </c>
      <c r="I313" s="433" t="n">
        <f aca="false">I319+I364</f>
        <v>16668</v>
      </c>
      <c r="J313" s="433" t="n">
        <f aca="false">J319+J364</f>
        <v>15827</v>
      </c>
      <c r="K313" s="434" t="n">
        <f aca="false">K319+K364</f>
        <v>23235.59151</v>
      </c>
      <c r="L313" s="434" t="n">
        <f aca="false">L319+L364</f>
        <v>23078</v>
      </c>
      <c r="M313" s="435" t="n">
        <f aca="false">M319+M364</f>
        <v>37403.51524</v>
      </c>
      <c r="N313" s="436" t="n">
        <f aca="false">N319+N364</f>
        <v>23593.45868</v>
      </c>
      <c r="O313" s="435" t="n">
        <f aca="false">31900+O315</f>
        <v>32700</v>
      </c>
      <c r="P313" s="437" t="n">
        <f aca="false">P319</f>
        <v>20800</v>
      </c>
      <c r="Q313" s="438" t="n">
        <f aca="false">Q319</f>
        <v>22800</v>
      </c>
      <c r="R313" s="439" t="n">
        <f aca="false">R319</f>
        <v>21800</v>
      </c>
      <c r="S313" s="439" t="n">
        <f aca="false">S319</f>
        <v>21400</v>
      </c>
      <c r="T313" s="439" t="n">
        <f aca="false">T319</f>
        <v>19100</v>
      </c>
      <c r="U313" s="439" t="n">
        <f aca="false">U319</f>
        <v>24400</v>
      </c>
      <c r="V313" s="439" t="n">
        <f aca="false">V319</f>
        <v>44600</v>
      </c>
      <c r="W313" s="440" t="n">
        <f aca="false">W319</f>
        <v>49300</v>
      </c>
      <c r="X313" s="439" t="n">
        <f aca="false">X319</f>
        <v>24500</v>
      </c>
      <c r="Y313" s="439" t="n">
        <f aca="false">Y319</f>
        <v>11000</v>
      </c>
    </row>
    <row r="314" customFormat="false" ht="15" hidden="false" customHeight="false" outlineLevel="0" collapsed="false">
      <c r="A314" s="54"/>
      <c r="B314" s="97" t="s">
        <v>58</v>
      </c>
      <c r="C314" s="178" t="s">
        <v>3</v>
      </c>
      <c r="D314" s="181" t="n">
        <f aca="false">+(D313-C313)/C313</f>
        <v>-0.214518556918788</v>
      </c>
      <c r="E314" s="181" t="n">
        <f aca="false">+(E313-D313)/D313</f>
        <v>-0.134082066962403</v>
      </c>
      <c r="F314" s="181" t="n">
        <f aca="false">+(F313-E313)/E313</f>
        <v>0.0846117349359481</v>
      </c>
      <c r="G314" s="181" t="n">
        <f aca="false">+(G313-F313)/F313</f>
        <v>-0.000534655390298435</v>
      </c>
      <c r="H314" s="181" t="n">
        <f aca="false">+(H313-G313)/G313</f>
        <v>-0.0273306424159899</v>
      </c>
      <c r="I314" s="181" t="n">
        <f aca="false">+(I313-H313)/H313</f>
        <v>-0.166641667916604</v>
      </c>
      <c r="J314" s="181" t="n">
        <f aca="false">+(J313-I313)/I313</f>
        <v>-0.0504559635229182</v>
      </c>
      <c r="K314" s="182" t="n">
        <f aca="false">+(K313-J313)/J313</f>
        <v>0.468098282049662</v>
      </c>
      <c r="L314" s="182" t="n">
        <f aca="false">+(L313-K313)/K313</f>
        <v>-0.0067823326095303</v>
      </c>
      <c r="M314" s="183" t="n">
        <f aca="false">+(M313-L313)/L313</f>
        <v>0.620743359043245</v>
      </c>
      <c r="N314" s="184" t="n">
        <f aca="false">+(N313-M313)/M313</f>
        <v>-0.369218146246085</v>
      </c>
      <c r="O314" s="183" t="n">
        <f aca="false">+(O313-M313)/M313</f>
        <v>-0.125750620224325</v>
      </c>
      <c r="P314" s="185" t="n">
        <f aca="false">+(P313-O313)/O313</f>
        <v>-0.363914373088685</v>
      </c>
      <c r="Q314" s="183" t="n">
        <f aca="false">+(Q313-P313)/P313</f>
        <v>0.0961538461538462</v>
      </c>
      <c r="R314" s="183" t="n">
        <f aca="false">+(R313-Q313)/Q313</f>
        <v>-0.043859649122807</v>
      </c>
      <c r="S314" s="183" t="n">
        <f aca="false">+(S313-R313)/R313</f>
        <v>-0.018348623853211</v>
      </c>
      <c r="T314" s="183" t="n">
        <f aca="false">+(T313-S313)/S313</f>
        <v>-0.107476635514019</v>
      </c>
      <c r="U314" s="183" t="n">
        <f aca="false">+(U313-T313)/T313</f>
        <v>0.277486910994764</v>
      </c>
      <c r="V314" s="183" t="n">
        <f aca="false">+(V313-U313)/U313</f>
        <v>0.827868852459016</v>
      </c>
      <c r="W314" s="182" t="n">
        <f aca="false">+(W313-V313)/V313</f>
        <v>0.105381165919283</v>
      </c>
      <c r="X314" s="183" t="n">
        <f aca="false">+(X313-W313)/W313</f>
        <v>-0.503042596348884</v>
      </c>
      <c r="Y314" s="183"/>
    </row>
    <row r="315" customFormat="false" ht="15" hidden="false" customHeight="false" outlineLevel="0" collapsed="false">
      <c r="A315" s="54"/>
      <c r="B315" s="73" t="s">
        <v>18</v>
      </c>
      <c r="C315" s="178"/>
      <c r="D315" s="181"/>
      <c r="E315" s="441"/>
      <c r="F315" s="441"/>
      <c r="G315" s="181"/>
      <c r="H315" s="181"/>
      <c r="I315" s="181"/>
      <c r="J315" s="181"/>
      <c r="K315" s="182"/>
      <c r="L315" s="182"/>
      <c r="M315" s="183"/>
      <c r="N315" s="184"/>
      <c r="O315" s="442" t="n">
        <v>800</v>
      </c>
      <c r="P315" s="443"/>
      <c r="Q315" s="73"/>
      <c r="R315" s="73"/>
      <c r="S315" s="73"/>
      <c r="T315" s="73"/>
      <c r="U315" s="73"/>
      <c r="V315" s="73"/>
      <c r="W315" s="73"/>
      <c r="X315" s="73"/>
      <c r="Y315" s="73"/>
    </row>
    <row r="316" customFormat="false" ht="15" hidden="false" customHeight="true" outlineLevel="0" collapsed="false">
      <c r="A316" s="36"/>
      <c r="B316" s="76" t="s">
        <v>19</v>
      </c>
      <c r="C316" s="77" t="s">
        <v>3</v>
      </c>
      <c r="D316" s="77" t="s">
        <v>3</v>
      </c>
      <c r="E316" s="3" t="s">
        <v>3</v>
      </c>
      <c r="F316" s="78" t="s">
        <v>3</v>
      </c>
      <c r="G316" s="78" t="s">
        <v>3</v>
      </c>
      <c r="H316" s="78" t="s">
        <v>3</v>
      </c>
      <c r="I316" s="78" t="s">
        <v>3</v>
      </c>
      <c r="J316" s="78" t="s">
        <v>3</v>
      </c>
      <c r="K316" s="79" t="s">
        <v>3</v>
      </c>
      <c r="L316" s="80" t="s">
        <v>3</v>
      </c>
      <c r="M316" s="81" t="s">
        <v>3</v>
      </c>
      <c r="N316" s="81"/>
      <c r="O316" s="82" t="s">
        <v>3</v>
      </c>
      <c r="P316" s="83" t="n">
        <v>22400</v>
      </c>
      <c r="Q316" s="84" t="n">
        <v>25700</v>
      </c>
      <c r="R316" s="84" t="n">
        <v>24800</v>
      </c>
      <c r="S316" s="84" t="n">
        <v>23600</v>
      </c>
      <c r="T316" s="84" t="n">
        <v>24100</v>
      </c>
      <c r="U316" s="84" t="n">
        <v>18900</v>
      </c>
      <c r="V316" s="84" t="n">
        <v>17600</v>
      </c>
      <c r="W316" s="85" t="n">
        <v>19500</v>
      </c>
      <c r="X316" s="84" t="n">
        <v>21700</v>
      </c>
      <c r="Y316" s="84" t="n">
        <v>22400</v>
      </c>
    </row>
    <row r="317" customFormat="false" ht="15" hidden="false" customHeight="true" outlineLevel="0" collapsed="false">
      <c r="A317" s="36"/>
      <c r="B317" s="76" t="s">
        <v>20</v>
      </c>
      <c r="C317" s="77"/>
      <c r="D317" s="77"/>
      <c r="E317" s="3"/>
      <c r="F317" s="78"/>
      <c r="G317" s="78"/>
      <c r="H317" s="78"/>
      <c r="I317" s="78"/>
      <c r="J317" s="78"/>
      <c r="K317" s="79"/>
      <c r="L317" s="80"/>
      <c r="M317" s="81"/>
      <c r="N317" s="81"/>
      <c r="O317" s="82"/>
      <c r="P317" s="83" t="n">
        <f aca="false">P313-P316</f>
        <v>-1600</v>
      </c>
      <c r="Q317" s="84" t="n">
        <f aca="false">Q313-Q316</f>
        <v>-2900</v>
      </c>
      <c r="R317" s="84" t="n">
        <f aca="false">R313-R316</f>
        <v>-3000</v>
      </c>
      <c r="S317" s="84" t="n">
        <f aca="false">S313-S316</f>
        <v>-2200</v>
      </c>
      <c r="T317" s="84" t="n">
        <f aca="false">T313-T316</f>
        <v>-5000</v>
      </c>
      <c r="U317" s="84" t="n">
        <f aca="false">U313-U316</f>
        <v>5500</v>
      </c>
      <c r="V317" s="84" t="n">
        <f aca="false">V313-V316</f>
        <v>27000</v>
      </c>
      <c r="W317" s="85" t="n">
        <f aca="false">W313-W316</f>
        <v>29800</v>
      </c>
      <c r="X317" s="84" t="n">
        <f aca="false">X313-X316</f>
        <v>2800</v>
      </c>
      <c r="Y317" s="84" t="n">
        <f aca="false">Y313-Y316</f>
        <v>-11400</v>
      </c>
    </row>
    <row r="318" customFormat="false" ht="15" hidden="false" customHeight="true" outlineLevel="0" collapsed="false">
      <c r="A318" s="36"/>
      <c r="B318" s="76"/>
      <c r="C318" s="78"/>
      <c r="D318" s="78"/>
      <c r="E318" s="3"/>
      <c r="F318" s="78"/>
      <c r="G318" s="78"/>
      <c r="H318" s="78"/>
      <c r="I318" s="78"/>
      <c r="J318" s="78"/>
      <c r="K318" s="79"/>
      <c r="L318" s="80"/>
      <c r="M318" s="81"/>
      <c r="N318" s="444"/>
      <c r="O318" s="82"/>
      <c r="P318" s="83"/>
      <c r="Q318" s="445"/>
      <c r="R318" s="445"/>
      <c r="S318" s="445"/>
      <c r="T318" s="445"/>
      <c r="U318" s="445"/>
      <c r="V318" s="445"/>
      <c r="W318" s="446"/>
      <c r="X318" s="84"/>
      <c r="Y318" s="84"/>
    </row>
    <row r="319" s="2" customFormat="true" ht="15.75" hidden="false" customHeight="true" outlineLevel="0" collapsed="false">
      <c r="A319" s="447"/>
      <c r="B319" s="448" t="s">
        <v>234</v>
      </c>
      <c r="C319" s="98" t="n">
        <f aca="false">SUM(C325+C337+C349)</f>
        <v>27387.925</v>
      </c>
      <c r="D319" s="98" t="n">
        <f aca="false">SUM(D325+D337+D349)</f>
        <v>18499.233</v>
      </c>
      <c r="E319" s="98" t="n">
        <f aca="false">SUM(E325+E337+E349)</f>
        <v>16458</v>
      </c>
      <c r="F319" s="98" t="n">
        <f aca="false">SUM(F325+F337+F349)</f>
        <v>19045</v>
      </c>
      <c r="G319" s="98" t="n">
        <f aca="false">SUM(G325+G337+G349)</f>
        <v>18766</v>
      </c>
      <c r="H319" s="98" t="n">
        <f aca="false">SUM(H325+H337+H349)</f>
        <v>13777</v>
      </c>
      <c r="I319" s="98" t="n">
        <f aca="false">SUM(I325+I337+I349)</f>
        <v>12838</v>
      </c>
      <c r="J319" s="98" t="n">
        <f aca="false">SUM(J325+J337+J349)</f>
        <v>12077</v>
      </c>
      <c r="K319" s="98" t="n">
        <f aca="false">SUM(K325+K337+K349)</f>
        <v>13540.59151</v>
      </c>
      <c r="L319" s="98" t="n">
        <f aca="false">SUM(L325+L337+L349)</f>
        <v>11620</v>
      </c>
      <c r="M319" s="99" t="n">
        <f aca="false">SUM(M325+M337+M349)</f>
        <v>28546.82624</v>
      </c>
      <c r="N319" s="100" t="n">
        <f aca="false">N321+N349</f>
        <v>19237.96781</v>
      </c>
      <c r="O319" s="99" t="n">
        <f aca="false">O321+O349</f>
        <v>31900</v>
      </c>
      <c r="P319" s="449" t="n">
        <f aca="false">P321+P349</f>
        <v>20800</v>
      </c>
      <c r="Q319" s="450" t="n">
        <f aca="false">Q321+Q349</f>
        <v>22800</v>
      </c>
      <c r="R319" s="100" t="n">
        <f aca="false">R321+R349</f>
        <v>21800</v>
      </c>
      <c r="S319" s="100" t="n">
        <f aca="false">S321+S349</f>
        <v>21400</v>
      </c>
      <c r="T319" s="100" t="n">
        <f aca="false">T321+T349</f>
        <v>19100</v>
      </c>
      <c r="U319" s="100" t="n">
        <f aca="false">U321+U349</f>
        <v>24400</v>
      </c>
      <c r="V319" s="100" t="n">
        <f aca="false">V321+V349</f>
        <v>44600</v>
      </c>
      <c r="W319" s="451" t="n">
        <f aca="false">W321+W349</f>
        <v>49300</v>
      </c>
      <c r="X319" s="99" t="n">
        <f aca="false">X321+X349</f>
        <v>24500</v>
      </c>
      <c r="Y319" s="99" t="n">
        <f aca="false">Y321+Y349</f>
        <v>11000</v>
      </c>
    </row>
    <row r="320" s="2" customFormat="true" ht="15.75" hidden="false" customHeight="false" outlineLevel="0" collapsed="false">
      <c r="A320" s="54"/>
      <c r="B320" s="452"/>
      <c r="C320" s="119"/>
      <c r="D320" s="119"/>
      <c r="E320" s="119"/>
      <c r="F320" s="453"/>
      <c r="G320" s="119"/>
      <c r="H320" s="119"/>
      <c r="I320" s="167"/>
      <c r="J320" s="119"/>
      <c r="K320" s="119"/>
      <c r="L320" s="454"/>
      <c r="M320" s="455" t="s">
        <v>3</v>
      </c>
      <c r="N320" s="456"/>
      <c r="O320" s="455" t="s">
        <v>3</v>
      </c>
      <c r="P320" s="457" t="s">
        <v>3</v>
      </c>
      <c r="Q320" s="458" t="s">
        <v>3</v>
      </c>
      <c r="R320" s="458"/>
      <c r="S320" s="459"/>
      <c r="T320" s="459"/>
      <c r="U320" s="459"/>
      <c r="V320" s="459"/>
      <c r="W320" s="460"/>
      <c r="X320" s="458"/>
      <c r="Y320" s="458"/>
    </row>
    <row r="321" s="468" customFormat="true" ht="31.5" hidden="false" customHeight="false" outlineLevel="0" collapsed="false">
      <c r="A321" s="461"/>
      <c r="B321" s="462" t="s">
        <v>235</v>
      </c>
      <c r="C321" s="463" t="n">
        <f aca="false">SUM(C325+C337)</f>
        <v>11788.925</v>
      </c>
      <c r="D321" s="463" t="n">
        <f aca="false">SUM(D325+D337)</f>
        <v>5190.233</v>
      </c>
      <c r="E321" s="463" t="n">
        <f aca="false">SUM(E325+E337)</f>
        <v>2438</v>
      </c>
      <c r="F321" s="463" t="n">
        <f aca="false">SUM(F325+F337)</f>
        <v>4863</v>
      </c>
      <c r="G321" s="463" t="n">
        <f aca="false">SUM(G325+G337)</f>
        <v>7925</v>
      </c>
      <c r="H321" s="463" t="n">
        <f aca="false">SUM(H325+H337)</f>
        <v>3304</v>
      </c>
      <c r="I321" s="463" t="n">
        <f aca="false">SUM(I325+I337)</f>
        <v>4340</v>
      </c>
      <c r="J321" s="463" t="n">
        <v>4949</v>
      </c>
      <c r="K321" s="463" t="n">
        <v>6517</v>
      </c>
      <c r="L321" s="463" t="n">
        <f aca="false">SUM(L325+L337)</f>
        <v>192</v>
      </c>
      <c r="M321" s="464" t="n">
        <f aca="false">18888017/1000</f>
        <v>18888.017</v>
      </c>
      <c r="N321" s="465" t="n">
        <f aca="false">11167324.29/1000</f>
        <v>11167.32429</v>
      </c>
      <c r="O321" s="464" t="n">
        <v>14400</v>
      </c>
      <c r="P321" s="466" t="n">
        <f aca="false">P325+P337</f>
        <v>6200</v>
      </c>
      <c r="Q321" s="467" t="n">
        <f aca="false">Q325+Q337</f>
        <v>13000</v>
      </c>
      <c r="R321" s="463" t="n">
        <f aca="false">R325+R337</f>
        <v>13000</v>
      </c>
      <c r="S321" s="463" t="n">
        <f aca="false">S325+S337</f>
        <v>12400</v>
      </c>
      <c r="T321" s="463" t="n">
        <f aca="false">T325+T337</f>
        <v>9800</v>
      </c>
      <c r="U321" s="464" t="n">
        <f aca="false">U325+U337</f>
        <v>16800</v>
      </c>
      <c r="V321" s="464" t="n">
        <f aca="false">V325+V337+1000</f>
        <v>39600</v>
      </c>
      <c r="W321" s="463" t="n">
        <f aca="false">W325+W337</f>
        <v>41200</v>
      </c>
      <c r="X321" s="464" t="n">
        <f aca="false">X325+X337</f>
        <v>15200</v>
      </c>
      <c r="Y321" s="464" t="n">
        <f aca="false">Y325+Y337</f>
        <v>1000</v>
      </c>
    </row>
    <row r="322" customFormat="false" ht="15" hidden="false" customHeight="true" outlineLevel="0" collapsed="false">
      <c r="A322" s="36"/>
      <c r="B322" s="76" t="s">
        <v>19</v>
      </c>
      <c r="C322" s="77"/>
      <c r="D322" s="77"/>
      <c r="E322" s="3"/>
      <c r="F322" s="78"/>
      <c r="G322" s="78"/>
      <c r="H322" s="78"/>
      <c r="I322" s="78"/>
      <c r="J322" s="78"/>
      <c r="K322" s="79"/>
      <c r="L322" s="80"/>
      <c r="M322" s="81"/>
      <c r="N322" s="81"/>
      <c r="O322" s="82"/>
      <c r="P322" s="83" t="n">
        <v>13300</v>
      </c>
      <c r="Q322" s="84" t="n">
        <v>15900</v>
      </c>
      <c r="R322" s="84" t="n">
        <v>16000</v>
      </c>
      <c r="S322" s="84" t="n">
        <v>14600</v>
      </c>
      <c r="T322" s="84" t="n">
        <v>14800</v>
      </c>
      <c r="U322" s="84" t="n">
        <v>11300</v>
      </c>
      <c r="V322" s="84" t="n">
        <v>12600</v>
      </c>
      <c r="W322" s="85" t="n">
        <v>11400</v>
      </c>
      <c r="X322" s="84" t="n">
        <v>12400</v>
      </c>
      <c r="Y322" s="84" t="n">
        <v>12400</v>
      </c>
    </row>
    <row r="323" customFormat="false" ht="15" hidden="false" customHeight="true" outlineLevel="0" collapsed="false">
      <c r="A323" s="36"/>
      <c r="B323" s="76" t="s">
        <v>20</v>
      </c>
      <c r="C323" s="77"/>
      <c r="D323" s="77"/>
      <c r="E323" s="3"/>
      <c r="F323" s="78"/>
      <c r="G323" s="78"/>
      <c r="H323" s="78"/>
      <c r="I323" s="78"/>
      <c r="J323" s="78"/>
      <c r="K323" s="79"/>
      <c r="L323" s="80"/>
      <c r="M323" s="81"/>
      <c r="N323" s="81"/>
      <c r="O323" s="82"/>
      <c r="P323" s="83" t="n">
        <f aca="false">P321-P322</f>
        <v>-7100</v>
      </c>
      <c r="Q323" s="84" t="n">
        <f aca="false">Q321-Q322</f>
        <v>-2900</v>
      </c>
      <c r="R323" s="84" t="n">
        <f aca="false">R321-R322</f>
        <v>-3000</v>
      </c>
      <c r="S323" s="84" t="n">
        <f aca="false">S321-S322</f>
        <v>-2200</v>
      </c>
      <c r="T323" s="84" t="n">
        <f aca="false">T321-T322</f>
        <v>-5000</v>
      </c>
      <c r="U323" s="84" t="n">
        <f aca="false">U321-U322</f>
        <v>5500</v>
      </c>
      <c r="V323" s="84" t="n">
        <f aca="false">V321-V322</f>
        <v>27000</v>
      </c>
      <c r="W323" s="85" t="n">
        <f aca="false">W321-W322</f>
        <v>29800</v>
      </c>
      <c r="X323" s="84" t="n">
        <f aca="false">X321-X322</f>
        <v>2800</v>
      </c>
      <c r="Y323" s="84"/>
    </row>
    <row r="324" s="2" customFormat="true" ht="15.75" hidden="false" customHeight="false" outlineLevel="0" collapsed="false">
      <c r="A324" s="469"/>
      <c r="B324" s="103"/>
      <c r="C324" s="470"/>
      <c r="D324" s="470"/>
      <c r="E324" s="470"/>
      <c r="F324" s="471"/>
      <c r="G324" s="470"/>
      <c r="H324" s="470"/>
      <c r="I324" s="472"/>
      <c r="J324" s="473"/>
      <c r="K324" s="474"/>
      <c r="L324" s="380"/>
      <c r="M324" s="285"/>
      <c r="N324" s="286"/>
      <c r="O324" s="285"/>
      <c r="P324" s="475"/>
      <c r="Q324" s="476"/>
      <c r="R324" s="476"/>
      <c r="S324" s="477"/>
      <c r="T324" s="477"/>
      <c r="U324" s="477"/>
      <c r="V324" s="477"/>
      <c r="W324" s="478"/>
      <c r="X324" s="476"/>
      <c r="Y324" s="476"/>
    </row>
    <row r="325" s="2" customFormat="true" ht="15.75" hidden="false" customHeight="false" outlineLevel="0" collapsed="false">
      <c r="A325" s="479"/>
      <c r="B325" s="112" t="s">
        <v>236</v>
      </c>
      <c r="C325" s="68" t="n">
        <f aca="false">SUM(C326:C332)</f>
        <v>8443.313</v>
      </c>
      <c r="D325" s="68" t="n">
        <f aca="false">SUM(D326:D332)</f>
        <v>4549.549</v>
      </c>
      <c r="E325" s="68" t="n">
        <f aca="false">SUM(E326:E332)</f>
        <v>1546</v>
      </c>
      <c r="F325" s="68" t="n">
        <f aca="false">SUM(F326:F332)</f>
        <v>2276</v>
      </c>
      <c r="G325" s="68" t="n">
        <f aca="false">SUM(G326:G332)</f>
        <v>3914</v>
      </c>
      <c r="H325" s="68" t="n">
        <f aca="false">SUM(H326:H332)</f>
        <v>1510</v>
      </c>
      <c r="I325" s="68" t="n">
        <f aca="false">SUM(I326:I332)</f>
        <v>2324</v>
      </c>
      <c r="J325" s="68" t="n">
        <f aca="false">2593818.38/1000</f>
        <v>2593.81838</v>
      </c>
      <c r="K325" s="68" t="n">
        <f aca="false">3123729.97/1000</f>
        <v>3123.72997</v>
      </c>
      <c r="L325" s="68" t="n">
        <f aca="false">SUM(L326:L333)</f>
        <v>0</v>
      </c>
      <c r="M325" s="69" t="n">
        <f aca="false">8022091.64/1000+54</f>
        <v>8076.09164</v>
      </c>
      <c r="N325" s="69" t="n">
        <f aca="false">SUM(N326:N333)</f>
        <v>0</v>
      </c>
      <c r="O325" s="70"/>
      <c r="P325" s="71" t="n">
        <f aca="false">SUM(P326:P332)</f>
        <v>2500</v>
      </c>
      <c r="Q325" s="109" t="n">
        <f aca="false">SUM(Q326:Q332)</f>
        <v>5900</v>
      </c>
      <c r="R325" s="69" t="n">
        <f aca="false">SUM(R326:R332)</f>
        <v>4900</v>
      </c>
      <c r="S325" s="69" t="n">
        <f aca="false">SUM(S326:S332)</f>
        <v>4900</v>
      </c>
      <c r="T325" s="69" t="n">
        <f aca="false">SUM(T326:T332)</f>
        <v>4100</v>
      </c>
      <c r="U325" s="69" t="n">
        <f aca="false">SUM(U326:U332)</f>
        <v>7600</v>
      </c>
      <c r="V325" s="69" t="n">
        <f aca="false">SUM(V326:V332)</f>
        <v>18800</v>
      </c>
      <c r="W325" s="68" t="n">
        <f aca="false">SUM(W326:W332)</f>
        <v>19800</v>
      </c>
      <c r="X325" s="69" t="n">
        <f aca="false">SUM(X326:X332)</f>
        <v>6800</v>
      </c>
      <c r="Y325" s="69" t="n">
        <f aca="false">SUM(Y326:Y332)</f>
        <v>0</v>
      </c>
    </row>
    <row r="326" s="2" customFormat="true" ht="15.75" hidden="false" customHeight="false" outlineLevel="0" collapsed="false">
      <c r="A326" s="38" t="n">
        <v>1</v>
      </c>
      <c r="B326" s="480" t="s">
        <v>65</v>
      </c>
      <c r="C326" s="231" t="n">
        <v>5148.173</v>
      </c>
      <c r="D326" s="231" t="n">
        <v>3946.199</v>
      </c>
      <c r="E326" s="231" t="n">
        <v>807</v>
      </c>
      <c r="F326" s="231" t="n">
        <v>1504</v>
      </c>
      <c r="G326" s="231" t="n">
        <v>2658</v>
      </c>
      <c r="H326" s="231" t="n">
        <v>1066</v>
      </c>
      <c r="I326" s="231" t="n">
        <v>564</v>
      </c>
      <c r="J326" s="231" t="n">
        <v>1000</v>
      </c>
      <c r="K326" s="126" t="s">
        <v>3</v>
      </c>
      <c r="L326" s="481"/>
      <c r="M326" s="292"/>
      <c r="N326" s="482"/>
      <c r="O326" s="292" t="n">
        <v>1800</v>
      </c>
      <c r="P326" s="483" t="n">
        <v>1000</v>
      </c>
      <c r="Q326" s="292" t="n">
        <v>1300</v>
      </c>
      <c r="R326" s="292" t="n">
        <v>1700</v>
      </c>
      <c r="S326" s="293" t="n">
        <v>2000</v>
      </c>
      <c r="T326" s="293" t="n">
        <v>1000</v>
      </c>
      <c r="U326" s="293" t="n">
        <v>1200</v>
      </c>
      <c r="V326" s="293" t="n">
        <v>2000</v>
      </c>
      <c r="W326" s="295" t="n">
        <v>2000</v>
      </c>
      <c r="X326" s="292" t="n">
        <v>2500</v>
      </c>
      <c r="Y326" s="292"/>
      <c r="AH326" s="213" t="s">
        <v>66</v>
      </c>
    </row>
    <row r="327" s="2" customFormat="true" ht="15.75" hidden="false" customHeight="false" outlineLevel="0" collapsed="false">
      <c r="A327" s="38" t="n">
        <v>2</v>
      </c>
      <c r="B327" s="480" t="s">
        <v>67</v>
      </c>
      <c r="C327" s="231" t="n">
        <v>619.527</v>
      </c>
      <c r="D327" s="231" t="n">
        <v>315.106</v>
      </c>
      <c r="E327" s="231" t="n">
        <v>180</v>
      </c>
      <c r="F327" s="231" t="n">
        <v>221</v>
      </c>
      <c r="G327" s="231" t="n">
        <v>495</v>
      </c>
      <c r="H327" s="231" t="n">
        <v>179</v>
      </c>
      <c r="I327" s="231" t="n">
        <v>814</v>
      </c>
      <c r="J327" s="231" t="n">
        <v>1210</v>
      </c>
      <c r="K327" s="126" t="s">
        <v>3</v>
      </c>
      <c r="L327" s="481"/>
      <c r="M327" s="292"/>
      <c r="N327" s="482"/>
      <c r="O327" s="292" t="n">
        <v>200</v>
      </c>
      <c r="P327" s="483" t="n">
        <v>100</v>
      </c>
      <c r="Q327" s="292" t="n">
        <v>700</v>
      </c>
      <c r="R327" s="292" t="n">
        <v>500</v>
      </c>
      <c r="S327" s="292" t="n">
        <v>600</v>
      </c>
      <c r="T327" s="292" t="n">
        <v>800</v>
      </c>
      <c r="U327" s="292" t="n">
        <v>1200</v>
      </c>
      <c r="V327" s="292" t="n">
        <v>1300</v>
      </c>
      <c r="W327" s="291" t="n">
        <v>1400</v>
      </c>
      <c r="X327" s="292" t="n">
        <v>1500</v>
      </c>
      <c r="Y327" s="292"/>
      <c r="AH327" s="213" t="s">
        <v>66</v>
      </c>
    </row>
    <row r="328" s="2" customFormat="true" ht="15.75" hidden="false" customHeight="false" outlineLevel="0" collapsed="false">
      <c r="A328" s="38" t="n">
        <v>3</v>
      </c>
      <c r="B328" s="480" t="s">
        <v>68</v>
      </c>
      <c r="C328" s="231" t="n">
        <v>76.48</v>
      </c>
      <c r="D328" s="231" t="n">
        <v>97.004</v>
      </c>
      <c r="E328" s="231" t="n">
        <v>130</v>
      </c>
      <c r="F328" s="231" t="n">
        <v>210</v>
      </c>
      <c r="G328" s="231" t="n">
        <v>28</v>
      </c>
      <c r="H328" s="231" t="n">
        <v>51</v>
      </c>
      <c r="I328" s="231" t="n">
        <v>118</v>
      </c>
      <c r="J328" s="231" t="n">
        <v>780</v>
      </c>
      <c r="K328" s="126" t="s">
        <v>3</v>
      </c>
      <c r="L328" s="481"/>
      <c r="M328" s="292"/>
      <c r="N328" s="482"/>
      <c r="O328" s="292" t="n">
        <v>200</v>
      </c>
      <c r="P328" s="483" t="n">
        <v>400</v>
      </c>
      <c r="Q328" s="292" t="n">
        <v>900</v>
      </c>
      <c r="R328" s="292" t="n">
        <v>400</v>
      </c>
      <c r="S328" s="293" t="n">
        <v>400</v>
      </c>
      <c r="T328" s="293" t="n">
        <f aca="false">400</f>
        <v>400</v>
      </c>
      <c r="U328" s="482" t="n">
        <f aca="false">400+3000</f>
        <v>3400</v>
      </c>
      <c r="V328" s="482" t="n">
        <f aca="false">800+13000</f>
        <v>13800</v>
      </c>
      <c r="W328" s="484" t="n">
        <f aca="false">800+14000</f>
        <v>14800</v>
      </c>
      <c r="X328" s="292" t="n">
        <v>800</v>
      </c>
      <c r="Y328" s="292"/>
      <c r="AH328" s="213" t="s">
        <v>66</v>
      </c>
    </row>
    <row r="329" s="2" customFormat="true" ht="15.75" hidden="false" customHeight="false" outlineLevel="0" collapsed="false">
      <c r="A329" s="38" t="n">
        <v>4</v>
      </c>
      <c r="B329" s="480" t="s">
        <v>69</v>
      </c>
      <c r="C329" s="231" t="n">
        <v>173.604</v>
      </c>
      <c r="D329" s="231" t="n">
        <v>81.594</v>
      </c>
      <c r="E329" s="231" t="n">
        <v>145</v>
      </c>
      <c r="F329" s="231" t="n">
        <v>96</v>
      </c>
      <c r="G329" s="231" t="n">
        <v>42</v>
      </c>
      <c r="H329" s="231" t="n">
        <v>111</v>
      </c>
      <c r="I329" s="231" t="n">
        <v>453</v>
      </c>
      <c r="J329" s="231" t="n">
        <v>200</v>
      </c>
      <c r="K329" s="126" t="s">
        <v>3</v>
      </c>
      <c r="L329" s="481"/>
      <c r="M329" s="292"/>
      <c r="N329" s="482"/>
      <c r="O329" s="292" t="n">
        <v>100</v>
      </c>
      <c r="P329" s="483" t="n">
        <v>400</v>
      </c>
      <c r="Q329" s="292" t="n">
        <v>600</v>
      </c>
      <c r="R329" s="292" t="n">
        <v>800</v>
      </c>
      <c r="S329" s="293" t="n">
        <v>600</v>
      </c>
      <c r="T329" s="293" t="n">
        <v>800</v>
      </c>
      <c r="U329" s="293" t="n">
        <v>800</v>
      </c>
      <c r="V329" s="293" t="n">
        <v>800</v>
      </c>
      <c r="W329" s="295" t="n">
        <v>800</v>
      </c>
      <c r="X329" s="292" t="n">
        <v>1100</v>
      </c>
      <c r="Y329" s="292"/>
      <c r="AH329" s="213" t="s">
        <v>66</v>
      </c>
    </row>
    <row r="330" s="2" customFormat="true" ht="15.75" hidden="false" customHeight="false" outlineLevel="0" collapsed="false">
      <c r="A330" s="38" t="n">
        <v>5</v>
      </c>
      <c r="B330" s="480" t="s">
        <v>70</v>
      </c>
      <c r="C330" s="231" t="n">
        <f aca="false">240.569+2005.683</f>
        <v>2246.252</v>
      </c>
      <c r="D330" s="231" t="n">
        <v>93.553</v>
      </c>
      <c r="E330" s="231" t="n">
        <v>284</v>
      </c>
      <c r="F330" s="231" t="n">
        <v>207</v>
      </c>
      <c r="G330" s="231" t="n">
        <v>189</v>
      </c>
      <c r="H330" s="231" t="n">
        <v>57</v>
      </c>
      <c r="I330" s="231" t="n">
        <v>100</v>
      </c>
      <c r="J330" s="231" t="n">
        <v>420</v>
      </c>
      <c r="K330" s="126" t="s">
        <v>3</v>
      </c>
      <c r="L330" s="481"/>
      <c r="M330" s="292"/>
      <c r="N330" s="482"/>
      <c r="O330" s="292" t="n">
        <v>300</v>
      </c>
      <c r="P330" s="483" t="n">
        <v>500</v>
      </c>
      <c r="Q330" s="292" t="n">
        <v>300</v>
      </c>
      <c r="R330" s="292" t="n">
        <v>200</v>
      </c>
      <c r="S330" s="293" t="n">
        <v>900</v>
      </c>
      <c r="T330" s="293" t="n">
        <v>950</v>
      </c>
      <c r="U330" s="293" t="n">
        <v>800</v>
      </c>
      <c r="V330" s="293" t="n">
        <v>600</v>
      </c>
      <c r="W330" s="295" t="n">
        <v>600</v>
      </c>
      <c r="X330" s="292" t="n">
        <v>600</v>
      </c>
      <c r="Y330" s="292"/>
      <c r="AH330" s="213" t="s">
        <v>66</v>
      </c>
    </row>
    <row r="331" s="2" customFormat="true" ht="15.75" hidden="false" customHeight="false" outlineLevel="0" collapsed="false">
      <c r="A331" s="38" t="n">
        <v>6</v>
      </c>
      <c r="B331" s="480" t="s">
        <v>71</v>
      </c>
      <c r="C331" s="231" t="n">
        <v>179.277</v>
      </c>
      <c r="D331" s="231" t="n">
        <v>16.093</v>
      </c>
      <c r="E331" s="231" t="n">
        <v>0</v>
      </c>
      <c r="F331" s="231" t="n">
        <v>38</v>
      </c>
      <c r="G331" s="231" t="n">
        <v>502</v>
      </c>
      <c r="H331" s="231" t="n">
        <v>46</v>
      </c>
      <c r="I331" s="231" t="n">
        <v>275</v>
      </c>
      <c r="J331" s="231" t="n">
        <v>200</v>
      </c>
      <c r="K331" s="126" t="s">
        <v>3</v>
      </c>
      <c r="L331" s="481"/>
      <c r="M331" s="292"/>
      <c r="N331" s="482"/>
      <c r="O331" s="292" t="n">
        <v>200</v>
      </c>
      <c r="P331" s="483" t="n">
        <v>100</v>
      </c>
      <c r="Q331" s="292" t="n">
        <v>2100</v>
      </c>
      <c r="R331" s="292" t="n">
        <v>1300</v>
      </c>
      <c r="S331" s="292" t="n">
        <v>400</v>
      </c>
      <c r="T331" s="292" t="n">
        <v>150</v>
      </c>
      <c r="U331" s="292" t="n">
        <v>200</v>
      </c>
      <c r="V331" s="292" t="n">
        <v>300</v>
      </c>
      <c r="W331" s="291" t="n">
        <v>200</v>
      </c>
      <c r="X331" s="292" t="n">
        <v>300</v>
      </c>
      <c r="Y331" s="292"/>
      <c r="AH331" s="213" t="s">
        <v>66</v>
      </c>
    </row>
    <row r="332" s="2" customFormat="true" ht="15.75" hidden="false" customHeight="false" outlineLevel="0" collapsed="false">
      <c r="A332" s="38" t="n">
        <v>7</v>
      </c>
      <c r="B332" s="480" t="s">
        <v>72</v>
      </c>
      <c r="C332" s="231"/>
      <c r="D332" s="231"/>
      <c r="E332" s="231"/>
      <c r="F332" s="231"/>
      <c r="G332" s="231"/>
      <c r="H332" s="231"/>
      <c r="I332" s="231"/>
      <c r="J332" s="231"/>
      <c r="K332" s="126"/>
      <c r="L332" s="481"/>
      <c r="M332" s="292"/>
      <c r="N332" s="482"/>
      <c r="O332" s="292"/>
      <c r="P332" s="483"/>
      <c r="Q332" s="292"/>
      <c r="R332" s="292"/>
      <c r="S332" s="292"/>
      <c r="T332" s="292"/>
      <c r="U332" s="292"/>
      <c r="V332" s="292"/>
      <c r="W332" s="291"/>
      <c r="X332" s="292"/>
      <c r="Y332" s="292"/>
      <c r="AH332" s="213" t="s">
        <v>66</v>
      </c>
    </row>
    <row r="333" s="2" customFormat="true" ht="15.75" hidden="false" customHeight="false" outlineLevel="0" collapsed="false">
      <c r="A333" s="38" t="n">
        <v>8</v>
      </c>
      <c r="B333" s="480" t="s">
        <v>90</v>
      </c>
      <c r="C333" s="231" t="n">
        <v>50.472</v>
      </c>
      <c r="D333" s="231" t="n">
        <v>37.334</v>
      </c>
      <c r="E333" s="231" t="n">
        <v>153</v>
      </c>
      <c r="F333" s="231" t="n">
        <v>311</v>
      </c>
      <c r="G333" s="231" t="n">
        <v>97</v>
      </c>
      <c r="H333" s="231" t="n">
        <v>284</v>
      </c>
      <c r="I333" s="231" t="n">
        <v>256</v>
      </c>
      <c r="J333" s="231" t="n">
        <v>390</v>
      </c>
      <c r="K333" s="126" t="s">
        <v>3</v>
      </c>
      <c r="L333" s="481"/>
      <c r="M333" s="292"/>
      <c r="N333" s="482"/>
      <c r="O333" s="292" t="n">
        <v>200</v>
      </c>
      <c r="P333" s="483" t="n">
        <v>200</v>
      </c>
      <c r="Q333" s="292" t="n">
        <v>200</v>
      </c>
      <c r="R333" s="292" t="n">
        <v>2200</v>
      </c>
      <c r="S333" s="292" t="n">
        <v>1600</v>
      </c>
      <c r="T333" s="292" t="n">
        <v>600</v>
      </c>
      <c r="U333" s="292" t="n">
        <v>600</v>
      </c>
      <c r="V333" s="292" t="s">
        <v>91</v>
      </c>
      <c r="W333" s="291" t="n">
        <v>600</v>
      </c>
      <c r="X333" s="292" t="n">
        <v>600</v>
      </c>
      <c r="Y333" s="292"/>
      <c r="AH333" s="213" t="s">
        <v>66</v>
      </c>
    </row>
    <row r="334" s="2" customFormat="true" ht="15.75" hidden="false" customHeight="false" outlineLevel="0" collapsed="false">
      <c r="A334" s="479"/>
      <c r="B334" s="480" t="s">
        <v>237</v>
      </c>
      <c r="C334" s="485" t="n">
        <f aca="false">C325/C319</f>
        <v>0.308285969090393</v>
      </c>
      <c r="D334" s="485" t="n">
        <f aca="false">D325/D319</f>
        <v>0.245931763765557</v>
      </c>
      <c r="E334" s="485" t="n">
        <f aca="false">E325/E319</f>
        <v>0.0939360797180702</v>
      </c>
      <c r="F334" s="485" t="n">
        <f aca="false">F325/F319</f>
        <v>0.119506432134418</v>
      </c>
      <c r="G334" s="485" t="n">
        <f aca="false">G325/G319</f>
        <v>0.208568688052862</v>
      </c>
      <c r="H334" s="485" t="n">
        <f aca="false">H325/H319</f>
        <v>0.109602961457502</v>
      </c>
      <c r="I334" s="485" t="n">
        <f aca="false">I325/I319</f>
        <v>0.181025081788441</v>
      </c>
      <c r="J334" s="485" t="n">
        <f aca="false">J325/J319</f>
        <v>0.214773402335017</v>
      </c>
      <c r="K334" s="485" t="n">
        <f aca="false">K325/K319</f>
        <v>0.230693760142831</v>
      </c>
      <c r="L334" s="485" t="n">
        <f aca="false">L325/L319</f>
        <v>0</v>
      </c>
      <c r="M334" s="486" t="n">
        <f aca="false">M325/M319</f>
        <v>0.282906813251405</v>
      </c>
      <c r="N334" s="486" t="n">
        <f aca="false">N325/N319</f>
        <v>0</v>
      </c>
      <c r="O334" s="487" t="n">
        <f aca="false">O325/O319</f>
        <v>0</v>
      </c>
      <c r="P334" s="488" t="n">
        <f aca="false">P325/P319</f>
        <v>0.120192307692308</v>
      </c>
      <c r="Q334" s="486" t="n">
        <f aca="false">Q325/Q319</f>
        <v>0.258771929824561</v>
      </c>
      <c r="R334" s="486" t="n">
        <f aca="false">R325/R319</f>
        <v>0.224770642201835</v>
      </c>
      <c r="S334" s="486" t="n">
        <f aca="false">S325/S319</f>
        <v>0.228971962616822</v>
      </c>
      <c r="T334" s="486" t="n">
        <f aca="false">T325/T319</f>
        <v>0.214659685863874</v>
      </c>
      <c r="U334" s="486" t="n">
        <f aca="false">U325/U319</f>
        <v>0.311475409836066</v>
      </c>
      <c r="V334" s="486" t="n">
        <f aca="false">V325/V319</f>
        <v>0.42152466367713</v>
      </c>
      <c r="W334" s="485" t="n">
        <f aca="false">W325/W319</f>
        <v>0.401622718052738</v>
      </c>
      <c r="X334" s="486" t="n">
        <f aca="false">X325/X319</f>
        <v>0.277551020408163</v>
      </c>
      <c r="Y334" s="486"/>
    </row>
    <row r="335" s="2" customFormat="true" ht="15.75" hidden="false" customHeight="false" outlineLevel="0" collapsed="false">
      <c r="A335" s="479"/>
      <c r="B335" s="480"/>
      <c r="C335" s="489"/>
      <c r="D335" s="489"/>
      <c r="E335" s="489" t="s">
        <v>3</v>
      </c>
      <c r="F335" s="489"/>
      <c r="G335" s="489"/>
      <c r="H335" s="489"/>
      <c r="I335" s="489"/>
      <c r="J335" s="489"/>
      <c r="K335" s="489"/>
      <c r="L335" s="380"/>
      <c r="M335" s="285"/>
      <c r="N335" s="285"/>
      <c r="O335" s="286"/>
      <c r="P335" s="287"/>
      <c r="Q335" s="285"/>
      <c r="R335" s="285"/>
      <c r="S335" s="286"/>
      <c r="T335" s="286"/>
      <c r="U335" s="286"/>
      <c r="V335" s="286"/>
      <c r="W335" s="288"/>
      <c r="X335" s="285"/>
      <c r="Y335" s="285"/>
    </row>
    <row r="336" s="2" customFormat="true" ht="15.75" hidden="false" customHeight="false" outlineLevel="0" collapsed="false">
      <c r="A336" s="479"/>
      <c r="B336" s="480" t="s">
        <v>238</v>
      </c>
      <c r="C336" s="489"/>
      <c r="D336" s="489"/>
      <c r="E336" s="489"/>
      <c r="F336" s="489"/>
      <c r="G336" s="489"/>
      <c r="H336" s="489"/>
      <c r="I336" s="489"/>
      <c r="J336" s="489"/>
      <c r="K336" s="489"/>
      <c r="L336" s="380"/>
      <c r="M336" s="285"/>
      <c r="N336" s="285"/>
      <c r="O336" s="286"/>
      <c r="P336" s="287"/>
      <c r="Q336" s="285"/>
      <c r="R336" s="285"/>
      <c r="S336" s="286"/>
      <c r="T336" s="286"/>
      <c r="U336" s="286"/>
      <c r="V336" s="286"/>
      <c r="W336" s="288"/>
      <c r="X336" s="285"/>
      <c r="Y336" s="285"/>
    </row>
    <row r="337" s="2" customFormat="true" ht="15.75" hidden="false" customHeight="false" outlineLevel="0" collapsed="false">
      <c r="A337" s="479"/>
      <c r="B337" s="112" t="s">
        <v>239</v>
      </c>
      <c r="C337" s="68" t="n">
        <f aca="false">SUM(C339:C345)</f>
        <v>3345.612</v>
      </c>
      <c r="D337" s="68" t="n">
        <f aca="false">SUM(D339:D345)</f>
        <v>640.684</v>
      </c>
      <c r="E337" s="68" t="n">
        <f aca="false">SUM(E339:E345)</f>
        <v>892</v>
      </c>
      <c r="F337" s="68" t="n">
        <f aca="false">SUM(F338:F345)</f>
        <v>2587</v>
      </c>
      <c r="G337" s="68" t="n">
        <f aca="false">SUM(G338:G345)</f>
        <v>4011</v>
      </c>
      <c r="H337" s="68" t="n">
        <f aca="false">SUM(H338:H345)</f>
        <v>1794</v>
      </c>
      <c r="I337" s="68" t="n">
        <f aca="false">SUM(I339:I345)</f>
        <v>2016</v>
      </c>
      <c r="J337" s="68" t="n">
        <f aca="false">J321-J325</f>
        <v>2355.18162</v>
      </c>
      <c r="K337" s="68" t="n">
        <f aca="false">3392861.54/1000</f>
        <v>3392.86154</v>
      </c>
      <c r="L337" s="68" t="n">
        <f aca="false">SUM(L338:L346)</f>
        <v>192</v>
      </c>
      <c r="M337" s="69" t="n">
        <f aca="false">10811464.6/1000</f>
        <v>10811.4646</v>
      </c>
      <c r="N337" s="69" t="n">
        <f aca="false">5781227.88/1000</f>
        <v>5781.22788</v>
      </c>
      <c r="O337" s="70"/>
      <c r="P337" s="214" t="n">
        <f aca="false">SUM(P338:P346)</f>
        <v>3700</v>
      </c>
      <c r="Q337" s="109" t="n">
        <f aca="false">SUM(Q338:Q346)</f>
        <v>7100</v>
      </c>
      <c r="R337" s="69" t="n">
        <f aca="false">SUM(R338:R346)</f>
        <v>8100</v>
      </c>
      <c r="S337" s="69" t="n">
        <f aca="false">SUM(S338:S346)</f>
        <v>7500</v>
      </c>
      <c r="T337" s="69" t="n">
        <f aca="false">SUM(T338:T346)</f>
        <v>5700</v>
      </c>
      <c r="U337" s="69" t="n">
        <f aca="false">SUM(U338:U346)</f>
        <v>9200</v>
      </c>
      <c r="V337" s="69" t="n">
        <f aca="false">SUM(V338:V346)</f>
        <v>19800</v>
      </c>
      <c r="W337" s="68" t="n">
        <f aca="false">SUM(W338:W346)</f>
        <v>21400</v>
      </c>
      <c r="X337" s="69" t="n">
        <f aca="false">SUM(X338:X346)</f>
        <v>8400</v>
      </c>
      <c r="Y337" s="69" t="n">
        <f aca="false">SUM(Y338:Y346)</f>
        <v>1000</v>
      </c>
    </row>
    <row r="338" s="2" customFormat="true" ht="15.75" hidden="false" customHeight="false" outlineLevel="0" collapsed="false">
      <c r="A338" s="38" t="n">
        <v>1</v>
      </c>
      <c r="B338" s="480" t="s">
        <v>65</v>
      </c>
      <c r="C338" s="231" t="n">
        <v>5148.173</v>
      </c>
      <c r="D338" s="231" t="n">
        <v>3946.199</v>
      </c>
      <c r="E338" s="231" t="n">
        <v>807</v>
      </c>
      <c r="F338" s="231" t="n">
        <v>1504</v>
      </c>
      <c r="G338" s="231" t="n">
        <v>2658</v>
      </c>
      <c r="H338" s="231" t="n">
        <v>1066</v>
      </c>
      <c r="I338" s="231" t="n">
        <v>564</v>
      </c>
      <c r="J338" s="231" t="n">
        <v>1000</v>
      </c>
      <c r="K338" s="126" t="s">
        <v>3</v>
      </c>
      <c r="L338" s="481"/>
      <c r="M338" s="292"/>
      <c r="N338" s="482"/>
      <c r="O338" s="292" t="n">
        <v>1800</v>
      </c>
      <c r="P338" s="483" t="n">
        <v>1000</v>
      </c>
      <c r="Q338" s="292" t="n">
        <v>1300</v>
      </c>
      <c r="R338" s="292" t="n">
        <v>1700</v>
      </c>
      <c r="S338" s="293" t="n">
        <v>2000</v>
      </c>
      <c r="T338" s="293" t="n">
        <v>1000</v>
      </c>
      <c r="U338" s="293" t="n">
        <v>1200</v>
      </c>
      <c r="V338" s="293" t="n">
        <v>2000</v>
      </c>
      <c r="W338" s="295" t="n">
        <v>2000</v>
      </c>
      <c r="X338" s="292" t="n">
        <v>2500</v>
      </c>
      <c r="Y338" s="292"/>
      <c r="AH338" s="213" t="s">
        <v>66</v>
      </c>
    </row>
    <row r="339" s="2" customFormat="true" ht="15.75" hidden="false" customHeight="false" outlineLevel="0" collapsed="false">
      <c r="A339" s="38" t="n">
        <v>2</v>
      </c>
      <c r="B339" s="480" t="s">
        <v>67</v>
      </c>
      <c r="C339" s="231" t="n">
        <v>619.527</v>
      </c>
      <c r="D339" s="231" t="n">
        <v>315.106</v>
      </c>
      <c r="E339" s="231" t="n">
        <v>180</v>
      </c>
      <c r="F339" s="231" t="n">
        <v>221</v>
      </c>
      <c r="G339" s="231" t="n">
        <v>495</v>
      </c>
      <c r="H339" s="231" t="n">
        <v>179</v>
      </c>
      <c r="I339" s="231" t="n">
        <v>814</v>
      </c>
      <c r="J339" s="231" t="n">
        <v>1210</v>
      </c>
      <c r="K339" s="126" t="s">
        <v>3</v>
      </c>
      <c r="L339" s="481"/>
      <c r="M339" s="292"/>
      <c r="N339" s="482"/>
      <c r="O339" s="292" t="n">
        <v>200</v>
      </c>
      <c r="P339" s="483" t="n">
        <v>100</v>
      </c>
      <c r="Q339" s="292" t="n">
        <v>700</v>
      </c>
      <c r="R339" s="292" t="n">
        <v>500</v>
      </c>
      <c r="S339" s="292" t="n">
        <v>600</v>
      </c>
      <c r="T339" s="292" t="n">
        <v>800</v>
      </c>
      <c r="U339" s="292" t="n">
        <v>1200</v>
      </c>
      <c r="V339" s="292" t="n">
        <v>1300</v>
      </c>
      <c r="W339" s="291" t="n">
        <v>1400</v>
      </c>
      <c r="X339" s="292" t="n">
        <v>1500</v>
      </c>
      <c r="Y339" s="292"/>
      <c r="AH339" s="213" t="s">
        <v>66</v>
      </c>
    </row>
    <row r="340" s="2" customFormat="true" ht="15.75" hidden="false" customHeight="false" outlineLevel="0" collapsed="false">
      <c r="A340" s="38" t="n">
        <v>3</v>
      </c>
      <c r="B340" s="480" t="s">
        <v>68</v>
      </c>
      <c r="C340" s="231" t="n">
        <v>76.48</v>
      </c>
      <c r="D340" s="231" t="n">
        <v>97.004</v>
      </c>
      <c r="E340" s="231" t="n">
        <v>130</v>
      </c>
      <c r="F340" s="231" t="n">
        <v>210</v>
      </c>
      <c r="G340" s="231" t="n">
        <v>28</v>
      </c>
      <c r="H340" s="231" t="n">
        <v>51</v>
      </c>
      <c r="I340" s="231" t="n">
        <v>118</v>
      </c>
      <c r="J340" s="231" t="n">
        <v>780</v>
      </c>
      <c r="K340" s="126" t="s">
        <v>3</v>
      </c>
      <c r="L340" s="481"/>
      <c r="M340" s="292"/>
      <c r="N340" s="482"/>
      <c r="O340" s="292" t="n">
        <v>200</v>
      </c>
      <c r="P340" s="483" t="n">
        <v>400</v>
      </c>
      <c r="Q340" s="292" t="n">
        <v>900</v>
      </c>
      <c r="R340" s="292" t="n">
        <v>400</v>
      </c>
      <c r="S340" s="293" t="n">
        <v>400</v>
      </c>
      <c r="T340" s="293" t="n">
        <f aca="false">400</f>
        <v>400</v>
      </c>
      <c r="U340" s="482" t="n">
        <f aca="false">400+3000</f>
        <v>3400</v>
      </c>
      <c r="V340" s="482" t="n">
        <f aca="false">800+13000</f>
        <v>13800</v>
      </c>
      <c r="W340" s="484" t="n">
        <f aca="false">800+14000</f>
        <v>14800</v>
      </c>
      <c r="X340" s="292" t="n">
        <v>800</v>
      </c>
      <c r="Y340" s="292"/>
      <c r="AH340" s="213" t="s">
        <v>66</v>
      </c>
    </row>
    <row r="341" s="2" customFormat="true" ht="15.75" hidden="false" customHeight="false" outlineLevel="0" collapsed="false">
      <c r="A341" s="38" t="n">
        <v>4</v>
      </c>
      <c r="B341" s="480" t="s">
        <v>69</v>
      </c>
      <c r="C341" s="231" t="n">
        <v>173.604</v>
      </c>
      <c r="D341" s="231" t="n">
        <v>81.594</v>
      </c>
      <c r="E341" s="231" t="n">
        <v>145</v>
      </c>
      <c r="F341" s="231" t="n">
        <v>96</v>
      </c>
      <c r="G341" s="231" t="n">
        <v>42</v>
      </c>
      <c r="H341" s="231" t="n">
        <v>111</v>
      </c>
      <c r="I341" s="231" t="n">
        <v>453</v>
      </c>
      <c r="J341" s="231" t="n">
        <v>200</v>
      </c>
      <c r="K341" s="126" t="s">
        <v>3</v>
      </c>
      <c r="L341" s="481"/>
      <c r="M341" s="292"/>
      <c r="N341" s="482"/>
      <c r="O341" s="292" t="n">
        <v>100</v>
      </c>
      <c r="P341" s="483" t="n">
        <v>400</v>
      </c>
      <c r="Q341" s="292" t="n">
        <v>600</v>
      </c>
      <c r="R341" s="292" t="n">
        <v>800</v>
      </c>
      <c r="S341" s="293" t="n">
        <v>600</v>
      </c>
      <c r="T341" s="293" t="n">
        <v>800</v>
      </c>
      <c r="U341" s="293" t="n">
        <v>800</v>
      </c>
      <c r="V341" s="293" t="n">
        <v>800</v>
      </c>
      <c r="W341" s="295" t="n">
        <v>800</v>
      </c>
      <c r="X341" s="292" t="n">
        <v>1100</v>
      </c>
      <c r="Y341" s="292"/>
      <c r="AH341" s="213" t="s">
        <v>66</v>
      </c>
    </row>
    <row r="342" s="2" customFormat="true" ht="15.75" hidden="false" customHeight="false" outlineLevel="0" collapsed="false">
      <c r="A342" s="38" t="n">
        <v>5</v>
      </c>
      <c r="B342" s="480" t="s">
        <v>70</v>
      </c>
      <c r="C342" s="231" t="n">
        <f aca="false">240.569+2005.683</f>
        <v>2246.252</v>
      </c>
      <c r="D342" s="231" t="n">
        <v>93.553</v>
      </c>
      <c r="E342" s="231" t="n">
        <v>284</v>
      </c>
      <c r="F342" s="231" t="n">
        <v>207</v>
      </c>
      <c r="G342" s="231" t="n">
        <v>189</v>
      </c>
      <c r="H342" s="231" t="n">
        <v>57</v>
      </c>
      <c r="I342" s="231" t="n">
        <v>100</v>
      </c>
      <c r="J342" s="231" t="n">
        <v>420</v>
      </c>
      <c r="K342" s="126" t="s">
        <v>3</v>
      </c>
      <c r="L342" s="481"/>
      <c r="M342" s="292"/>
      <c r="N342" s="482"/>
      <c r="O342" s="292" t="n">
        <v>300</v>
      </c>
      <c r="P342" s="483" t="n">
        <v>500</v>
      </c>
      <c r="Q342" s="292" t="n">
        <v>300</v>
      </c>
      <c r="R342" s="292" t="n">
        <v>200</v>
      </c>
      <c r="S342" s="293" t="n">
        <v>900</v>
      </c>
      <c r="T342" s="293" t="n">
        <v>950</v>
      </c>
      <c r="U342" s="293" t="n">
        <v>800</v>
      </c>
      <c r="V342" s="293" t="n">
        <v>600</v>
      </c>
      <c r="W342" s="295" t="n">
        <v>600</v>
      </c>
      <c r="X342" s="292" t="n">
        <v>600</v>
      </c>
      <c r="Y342" s="292"/>
      <c r="AH342" s="213" t="s">
        <v>66</v>
      </c>
    </row>
    <row r="343" s="2" customFormat="true" ht="15.75" hidden="false" customHeight="false" outlineLevel="0" collapsed="false">
      <c r="A343" s="38" t="n">
        <v>6</v>
      </c>
      <c r="B343" s="480" t="s">
        <v>71</v>
      </c>
      <c r="C343" s="231" t="n">
        <v>179.277</v>
      </c>
      <c r="D343" s="231" t="n">
        <v>16.093</v>
      </c>
      <c r="E343" s="231" t="n">
        <v>0</v>
      </c>
      <c r="F343" s="231" t="n">
        <v>38</v>
      </c>
      <c r="G343" s="231" t="n">
        <v>502</v>
      </c>
      <c r="H343" s="231" t="n">
        <v>46</v>
      </c>
      <c r="I343" s="231" t="n">
        <v>275</v>
      </c>
      <c r="J343" s="231" t="n">
        <v>200</v>
      </c>
      <c r="K343" s="126" t="s">
        <v>3</v>
      </c>
      <c r="L343" s="481"/>
      <c r="M343" s="292"/>
      <c r="N343" s="482"/>
      <c r="O343" s="292" t="n">
        <v>200</v>
      </c>
      <c r="P343" s="483" t="n">
        <v>100</v>
      </c>
      <c r="Q343" s="292" t="n">
        <v>2100</v>
      </c>
      <c r="R343" s="292" t="n">
        <v>1300</v>
      </c>
      <c r="S343" s="292" t="n">
        <v>400</v>
      </c>
      <c r="T343" s="292" t="n">
        <v>150</v>
      </c>
      <c r="U343" s="292" t="n">
        <v>200</v>
      </c>
      <c r="V343" s="292" t="n">
        <v>300</v>
      </c>
      <c r="W343" s="291" t="n">
        <v>200</v>
      </c>
      <c r="X343" s="292" t="n">
        <v>300</v>
      </c>
      <c r="Y343" s="292"/>
      <c r="AH343" s="213" t="s">
        <v>66</v>
      </c>
    </row>
    <row r="344" s="2" customFormat="true" ht="15.75" hidden="false" customHeight="false" outlineLevel="0" collapsed="false">
      <c r="A344" s="38" t="n">
        <v>7</v>
      </c>
      <c r="B344" s="480" t="s">
        <v>72</v>
      </c>
      <c r="C344" s="231"/>
      <c r="D344" s="231"/>
      <c r="E344" s="231"/>
      <c r="F344" s="231"/>
      <c r="G344" s="231"/>
      <c r="H344" s="231"/>
      <c r="I344" s="231"/>
      <c r="J344" s="231"/>
      <c r="K344" s="126"/>
      <c r="L344" s="481"/>
      <c r="M344" s="292"/>
      <c r="N344" s="482"/>
      <c r="O344" s="292"/>
      <c r="P344" s="483"/>
      <c r="Q344" s="292"/>
      <c r="R344" s="292"/>
      <c r="S344" s="292"/>
      <c r="T344" s="292"/>
      <c r="U344" s="292"/>
      <c r="V344" s="292"/>
      <c r="W344" s="291"/>
      <c r="X344" s="292"/>
      <c r="Y344" s="292"/>
      <c r="AH344" s="213" t="s">
        <v>66</v>
      </c>
    </row>
    <row r="345" s="2" customFormat="true" ht="15.75" hidden="false" customHeight="false" outlineLevel="0" collapsed="false">
      <c r="A345" s="38" t="n">
        <v>8</v>
      </c>
      <c r="B345" s="480" t="s">
        <v>90</v>
      </c>
      <c r="C345" s="231" t="n">
        <v>50.472</v>
      </c>
      <c r="D345" s="231" t="n">
        <v>37.334</v>
      </c>
      <c r="E345" s="231" t="n">
        <v>153</v>
      </c>
      <c r="F345" s="231" t="n">
        <v>311</v>
      </c>
      <c r="G345" s="231" t="n">
        <v>97</v>
      </c>
      <c r="H345" s="231" t="n">
        <v>284</v>
      </c>
      <c r="I345" s="231" t="n">
        <v>256</v>
      </c>
      <c r="J345" s="231" t="n">
        <v>390</v>
      </c>
      <c r="K345" s="126" t="s">
        <v>3</v>
      </c>
      <c r="L345" s="481"/>
      <c r="M345" s="292"/>
      <c r="N345" s="482"/>
      <c r="O345" s="292" t="n">
        <v>200</v>
      </c>
      <c r="P345" s="483" t="n">
        <v>200</v>
      </c>
      <c r="Q345" s="292" t="n">
        <v>200</v>
      </c>
      <c r="R345" s="292" t="n">
        <v>2200</v>
      </c>
      <c r="S345" s="292" t="n">
        <v>1600</v>
      </c>
      <c r="T345" s="292" t="n">
        <v>600</v>
      </c>
      <c r="U345" s="292" t="n">
        <v>600</v>
      </c>
      <c r="V345" s="292" t="s">
        <v>91</v>
      </c>
      <c r="W345" s="291" t="n">
        <v>600</v>
      </c>
      <c r="X345" s="292" t="n">
        <v>600</v>
      </c>
      <c r="Y345" s="292"/>
      <c r="AH345" s="213" t="s">
        <v>66</v>
      </c>
    </row>
    <row r="346" s="2" customFormat="true" ht="15.75" hidden="false" customHeight="false" outlineLevel="0" collapsed="false">
      <c r="A346" s="479"/>
      <c r="B346" s="480" t="s">
        <v>238</v>
      </c>
      <c r="C346" s="126"/>
      <c r="D346" s="126"/>
      <c r="E346" s="126"/>
      <c r="F346" s="126"/>
      <c r="G346" s="126"/>
      <c r="H346" s="126"/>
      <c r="I346" s="126"/>
      <c r="J346" s="126"/>
      <c r="K346" s="126"/>
      <c r="L346" s="313" t="n">
        <v>192</v>
      </c>
      <c r="M346" s="314"/>
      <c r="N346" s="314" t="n">
        <f aca="false">470397.77/1000</f>
        <v>470.39777</v>
      </c>
      <c r="O346" s="315"/>
      <c r="P346" s="316" t="n">
        <v>1000</v>
      </c>
      <c r="Q346" s="314" t="n">
        <v>1000</v>
      </c>
      <c r="R346" s="314" t="n">
        <v>1000</v>
      </c>
      <c r="S346" s="315" t="n">
        <v>1000</v>
      </c>
      <c r="T346" s="315" t="n">
        <v>1000</v>
      </c>
      <c r="U346" s="315" t="n">
        <v>1000</v>
      </c>
      <c r="V346" s="315" t="n">
        <v>1000</v>
      </c>
      <c r="W346" s="317" t="n">
        <v>1000</v>
      </c>
      <c r="X346" s="314" t="n">
        <v>1000</v>
      </c>
      <c r="Y346" s="314" t="n">
        <v>1000</v>
      </c>
    </row>
    <row r="347" s="2" customFormat="true" ht="15.75" hidden="false" customHeight="false" outlineLevel="0" collapsed="false">
      <c r="A347" s="479"/>
      <c r="B347" s="299" t="s">
        <v>237</v>
      </c>
      <c r="C347" s="182" t="n">
        <f aca="false">C337/C319</f>
        <v>0.122156461287228</v>
      </c>
      <c r="D347" s="182" t="n">
        <f aca="false">D337/D319</f>
        <v>0.0346330034331694</v>
      </c>
      <c r="E347" s="182" t="n">
        <f aca="false">E337/E319</f>
        <v>0.0541985660469073</v>
      </c>
      <c r="F347" s="182" t="n">
        <f aca="false">F337/F319</f>
        <v>0.135836177474403</v>
      </c>
      <c r="G347" s="182" t="n">
        <f aca="false">G337/G319</f>
        <v>0.213737610572312</v>
      </c>
      <c r="H347" s="182" t="n">
        <f aca="false">H337/H319</f>
        <v>0.130217028380634</v>
      </c>
      <c r="I347" s="182" t="n">
        <f aca="false">I337/I319</f>
        <v>0.157033805888768</v>
      </c>
      <c r="J347" s="182" t="s">
        <v>3</v>
      </c>
      <c r="K347" s="182" t="s">
        <v>3</v>
      </c>
      <c r="L347" s="182" t="n">
        <f aca="false">L337/L319</f>
        <v>0.0165232358003442</v>
      </c>
      <c r="M347" s="183" t="n">
        <f aca="false">M337/M319</f>
        <v>0.378727376175041</v>
      </c>
      <c r="N347" s="183" t="n">
        <f aca="false">N337/N319</f>
        <v>0.300511360508405</v>
      </c>
      <c r="O347" s="184" t="n">
        <f aca="false">O337/O319</f>
        <v>0</v>
      </c>
      <c r="P347" s="185" t="n">
        <f aca="false">P337/P319</f>
        <v>0.177884615384615</v>
      </c>
      <c r="Q347" s="183" t="n">
        <f aca="false">Q337/Q319</f>
        <v>0.31140350877193</v>
      </c>
      <c r="R347" s="183" t="n">
        <f aca="false">R337/R319</f>
        <v>0.371559633027523</v>
      </c>
      <c r="S347" s="183" t="n">
        <f aca="false">S337/S319</f>
        <v>0.350467289719626</v>
      </c>
      <c r="T347" s="183" t="n">
        <f aca="false">T337/T319</f>
        <v>0.298429319371728</v>
      </c>
      <c r="U347" s="183" t="n">
        <f aca="false">U337/U319</f>
        <v>0.377049180327869</v>
      </c>
      <c r="V347" s="183" t="n">
        <f aca="false">V337/V319</f>
        <v>0.443946188340807</v>
      </c>
      <c r="W347" s="182" t="n">
        <f aca="false">W337/W319</f>
        <v>0.434077079107505</v>
      </c>
      <c r="X347" s="183" t="n">
        <f aca="false">X337/X319</f>
        <v>0.342857142857143</v>
      </c>
      <c r="Y347" s="183"/>
    </row>
    <row r="348" s="2" customFormat="true" ht="15.75" hidden="false" customHeight="false" outlineLevel="0" collapsed="false">
      <c r="A348" s="479"/>
      <c r="B348" s="299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3"/>
      <c r="N348" s="183"/>
      <c r="O348" s="184"/>
      <c r="P348" s="490" t="s">
        <v>3</v>
      </c>
      <c r="Q348" s="491" t="s">
        <v>3</v>
      </c>
      <c r="R348" s="492"/>
      <c r="S348" s="493"/>
      <c r="T348" s="493"/>
      <c r="U348" s="493"/>
      <c r="V348" s="493"/>
      <c r="W348" s="494"/>
      <c r="X348" s="492"/>
      <c r="Y348" s="492"/>
    </row>
    <row r="349" s="2" customFormat="true" ht="15.75" hidden="false" customHeight="false" outlineLevel="0" collapsed="false">
      <c r="A349" s="36"/>
      <c r="B349" s="107" t="s">
        <v>240</v>
      </c>
      <c r="C349" s="98" t="n">
        <v>15599</v>
      </c>
      <c r="D349" s="98" t="n">
        <v>13309</v>
      </c>
      <c r="E349" s="98" t="n">
        <v>14020</v>
      </c>
      <c r="F349" s="98" t="n">
        <v>14182</v>
      </c>
      <c r="G349" s="98" t="n">
        <v>10841</v>
      </c>
      <c r="H349" s="98" t="n">
        <v>10473</v>
      </c>
      <c r="I349" s="98" t="n">
        <v>8498</v>
      </c>
      <c r="J349" s="98" t="n">
        <v>7128</v>
      </c>
      <c r="K349" s="98" t="n">
        <f aca="false">SUM(K352+K357)</f>
        <v>7024</v>
      </c>
      <c r="L349" s="98" t="n">
        <f aca="false">SUM(L352+L357)</f>
        <v>11428</v>
      </c>
      <c r="M349" s="99" t="n">
        <f aca="false">9659270/1000</f>
        <v>9659.27</v>
      </c>
      <c r="N349" s="99" t="n">
        <f aca="false">8070643.52/1000</f>
        <v>8070.64352</v>
      </c>
      <c r="O349" s="100" t="n">
        <v>17500</v>
      </c>
      <c r="P349" s="449" t="n">
        <f aca="false">9100+5500</f>
        <v>14600</v>
      </c>
      <c r="Q349" s="98" t="n">
        <f aca="false">9800</f>
        <v>9800</v>
      </c>
      <c r="R349" s="98" t="n">
        <v>8800</v>
      </c>
      <c r="S349" s="98" t="n">
        <v>9000</v>
      </c>
      <c r="T349" s="98" t="n">
        <v>9300</v>
      </c>
      <c r="U349" s="98" t="n">
        <v>7600</v>
      </c>
      <c r="V349" s="99" t="n">
        <v>5000</v>
      </c>
      <c r="W349" s="98" t="n">
        <v>8100</v>
      </c>
      <c r="X349" s="99" t="n">
        <v>9300</v>
      </c>
      <c r="Y349" s="99" t="n">
        <v>10000</v>
      </c>
    </row>
    <row r="350" customFormat="false" ht="15" hidden="false" customHeight="true" outlineLevel="0" collapsed="false">
      <c r="A350" s="36"/>
      <c r="B350" s="76" t="s">
        <v>19</v>
      </c>
      <c r="C350" s="77"/>
      <c r="D350" s="77"/>
      <c r="E350" s="3"/>
      <c r="F350" s="78"/>
      <c r="G350" s="78"/>
      <c r="H350" s="78"/>
      <c r="I350" s="78"/>
      <c r="J350" s="78"/>
      <c r="K350" s="79"/>
      <c r="L350" s="80"/>
      <c r="M350" s="81"/>
      <c r="N350" s="81"/>
      <c r="O350" s="82"/>
      <c r="P350" s="83" t="n">
        <v>9100</v>
      </c>
      <c r="Q350" s="84" t="n">
        <v>9800</v>
      </c>
      <c r="R350" s="84" t="n">
        <v>8800</v>
      </c>
      <c r="S350" s="84" t="n">
        <v>9000</v>
      </c>
      <c r="T350" s="84" t="n">
        <v>9300</v>
      </c>
      <c r="U350" s="84" t="n">
        <v>7600</v>
      </c>
      <c r="V350" s="84" t="n">
        <v>5000</v>
      </c>
      <c r="W350" s="85" t="n">
        <v>8100</v>
      </c>
      <c r="X350" s="84" t="n">
        <v>9300</v>
      </c>
      <c r="Y350" s="84" t="n">
        <v>10000</v>
      </c>
    </row>
    <row r="351" customFormat="false" ht="15" hidden="false" customHeight="true" outlineLevel="0" collapsed="false">
      <c r="A351" s="36"/>
      <c r="B351" s="76" t="s">
        <v>20</v>
      </c>
      <c r="C351" s="77"/>
      <c r="D351" s="77"/>
      <c r="E351" s="3"/>
      <c r="F351" s="78"/>
      <c r="G351" s="78"/>
      <c r="H351" s="78"/>
      <c r="I351" s="78"/>
      <c r="J351" s="78"/>
      <c r="K351" s="79"/>
      <c r="L351" s="80"/>
      <c r="M351" s="81"/>
      <c r="N351" s="81"/>
      <c r="O351" s="495"/>
      <c r="P351" s="83" t="n">
        <f aca="false">P349-P350</f>
        <v>5500</v>
      </c>
      <c r="Q351" s="84" t="n">
        <f aca="false">Q349-Q350</f>
        <v>0</v>
      </c>
      <c r="R351" s="84" t="n">
        <f aca="false">R349-R350</f>
        <v>0</v>
      </c>
      <c r="S351" s="84" t="n">
        <f aca="false">S349-S350</f>
        <v>0</v>
      </c>
      <c r="T351" s="84" t="n">
        <f aca="false">T349-T350</f>
        <v>0</v>
      </c>
      <c r="U351" s="84" t="n">
        <f aca="false">U349-U350</f>
        <v>0</v>
      </c>
      <c r="V351" s="84" t="n">
        <f aca="false">V349-V350</f>
        <v>0</v>
      </c>
      <c r="W351" s="85" t="n">
        <f aca="false">W349-W350</f>
        <v>0</v>
      </c>
      <c r="X351" s="84" t="n">
        <f aca="false">X349-X350</f>
        <v>0</v>
      </c>
      <c r="Y351" s="84"/>
    </row>
    <row r="352" customFormat="false" ht="15.75" hidden="false" customHeight="false" outlineLevel="0" collapsed="false">
      <c r="A352" s="36"/>
      <c r="B352" s="496" t="s">
        <v>241</v>
      </c>
      <c r="C352" s="182"/>
      <c r="D352" s="182"/>
      <c r="E352" s="182"/>
      <c r="F352" s="182"/>
      <c r="G352" s="126"/>
      <c r="H352" s="126"/>
      <c r="I352" s="126"/>
      <c r="J352" s="307"/>
      <c r="K352" s="68" t="n">
        <v>2113</v>
      </c>
      <c r="L352" s="68" t="n">
        <v>2164</v>
      </c>
      <c r="M352" s="69" t="n">
        <f aca="false">2120654.68/1000</f>
        <v>2120.65468</v>
      </c>
      <c r="N352" s="69" t="n">
        <f aca="false">1085032.14/1000</f>
        <v>1085.03214</v>
      </c>
      <c r="O352" s="70" t="n">
        <v>1150</v>
      </c>
      <c r="P352" s="71" t="n">
        <v>2700</v>
      </c>
      <c r="Q352" s="68" t="n">
        <v>2350</v>
      </c>
      <c r="R352" s="68" t="n">
        <f aca="false">SUM(R353:R354)</f>
        <v>3000</v>
      </c>
      <c r="S352" s="68" t="n">
        <f aca="false">SUM(S353:S354)</f>
        <v>2300</v>
      </c>
      <c r="T352" s="68" t="n">
        <f aca="false">SUM(T353:T354)</f>
        <v>2900</v>
      </c>
      <c r="U352" s="68" t="n">
        <f aca="false">SUM(U353:U354)</f>
        <v>2400</v>
      </c>
      <c r="V352" s="69" t="n">
        <f aca="false">SUM(V353:V354)</f>
        <v>3800</v>
      </c>
      <c r="W352" s="68" t="n">
        <f aca="false">SUM(W353:W354)</f>
        <v>3800</v>
      </c>
      <c r="X352" s="69" t="n">
        <f aca="false">SUM(X353:X354)</f>
        <v>3800</v>
      </c>
      <c r="Y352" s="69"/>
    </row>
    <row r="353" customFormat="false" ht="15.75" hidden="false" customHeight="false" outlineLevel="0" collapsed="false">
      <c r="A353" s="36"/>
      <c r="B353" s="480" t="s">
        <v>242</v>
      </c>
      <c r="C353" s="182"/>
      <c r="D353" s="182"/>
      <c r="E353" s="182"/>
      <c r="F353" s="182"/>
      <c r="G353" s="126"/>
      <c r="H353" s="126"/>
      <c r="I353" s="126"/>
      <c r="J353" s="126"/>
      <c r="K353" s="126" t="n">
        <v>500</v>
      </c>
      <c r="L353" s="126" t="n">
        <v>300</v>
      </c>
      <c r="M353" s="127"/>
      <c r="N353" s="127"/>
      <c r="O353" s="279" t="n">
        <v>0</v>
      </c>
      <c r="P353" s="130" t="n">
        <v>800</v>
      </c>
      <c r="Q353" s="129" t="n">
        <v>1600</v>
      </c>
      <c r="R353" s="129" t="n">
        <v>2200</v>
      </c>
      <c r="S353" s="129" t="n">
        <v>0</v>
      </c>
      <c r="T353" s="129" t="n">
        <v>1600</v>
      </c>
      <c r="U353" s="129" t="n">
        <v>1600</v>
      </c>
      <c r="V353" s="129" t="n">
        <v>2600</v>
      </c>
      <c r="W353" s="126" t="n">
        <v>2600</v>
      </c>
      <c r="X353" s="129" t="n">
        <v>2600</v>
      </c>
      <c r="Y353" s="129"/>
    </row>
    <row r="354" customFormat="false" ht="15.75" hidden="false" customHeight="false" outlineLevel="0" collapsed="false">
      <c r="A354" s="36"/>
      <c r="B354" s="480" t="s">
        <v>243</v>
      </c>
      <c r="C354" s="182"/>
      <c r="D354" s="182"/>
      <c r="E354" s="182"/>
      <c r="F354" s="182"/>
      <c r="G354" s="126"/>
      <c r="H354" s="126"/>
      <c r="I354" s="126"/>
      <c r="J354" s="126"/>
      <c r="K354" s="126" t="n">
        <v>1750</v>
      </c>
      <c r="L354" s="126" t="n">
        <v>2000</v>
      </c>
      <c r="M354" s="127"/>
      <c r="N354" s="127"/>
      <c r="O354" s="279" t="n">
        <v>800</v>
      </c>
      <c r="P354" s="130" t="n">
        <v>800</v>
      </c>
      <c r="Q354" s="129" t="n">
        <v>800</v>
      </c>
      <c r="R354" s="129" t="n">
        <v>800</v>
      </c>
      <c r="S354" s="279" t="n">
        <v>2300</v>
      </c>
      <c r="T354" s="279" t="n">
        <v>1300</v>
      </c>
      <c r="U354" s="279" t="n">
        <v>800</v>
      </c>
      <c r="V354" s="279" t="n">
        <v>1200</v>
      </c>
      <c r="W354" s="280" t="n">
        <v>1200</v>
      </c>
      <c r="X354" s="129" t="n">
        <v>1200</v>
      </c>
      <c r="Y354" s="129"/>
    </row>
    <row r="355" customFormat="false" ht="15.75" hidden="false" customHeight="false" outlineLevel="0" collapsed="false">
      <c r="A355" s="36"/>
      <c r="B355" s="497" t="s">
        <v>237</v>
      </c>
      <c r="C355" s="182"/>
      <c r="D355" s="182"/>
      <c r="E355" s="182"/>
      <c r="F355" s="182"/>
      <c r="G355" s="126"/>
      <c r="H355" s="126"/>
      <c r="I355" s="126"/>
      <c r="J355" s="126"/>
      <c r="K355" s="498" t="n">
        <f aca="false">K352/K349</f>
        <v>0.300825740318907</v>
      </c>
      <c r="L355" s="499" t="n">
        <f aca="false">L352/L349</f>
        <v>0.189359467973399</v>
      </c>
      <c r="M355" s="500" t="n">
        <f aca="false">M352/M349</f>
        <v>0.219546060934211</v>
      </c>
      <c r="N355" s="500"/>
      <c r="O355" s="501" t="n">
        <f aca="false">O352/O349</f>
        <v>0.0657142857142857</v>
      </c>
      <c r="P355" s="502" t="n">
        <f aca="false">P352/P349</f>
        <v>0.184931506849315</v>
      </c>
      <c r="Q355" s="503" t="n">
        <f aca="false">Q352/Q349</f>
        <v>0.239795918367347</v>
      </c>
      <c r="R355" s="503" t="n">
        <f aca="false">R352/R349</f>
        <v>0.340909090909091</v>
      </c>
      <c r="S355" s="501" t="n">
        <f aca="false">S352/S349</f>
        <v>0.255555555555556</v>
      </c>
      <c r="T355" s="501" t="n">
        <f aca="false">T352/T349</f>
        <v>0.311827956989247</v>
      </c>
      <c r="U355" s="501" t="n">
        <f aca="false">U352/U349</f>
        <v>0.315789473684211</v>
      </c>
      <c r="V355" s="501" t="n">
        <f aca="false">V352/V349</f>
        <v>0.76</v>
      </c>
      <c r="W355" s="504" t="n">
        <f aca="false">W352/W349</f>
        <v>0.469135802469136</v>
      </c>
      <c r="X355" s="503" t="n">
        <f aca="false">X352/X349</f>
        <v>0.408602150537634</v>
      </c>
      <c r="Y355" s="503"/>
    </row>
    <row r="356" customFormat="false" ht="15.75" hidden="false" customHeight="false" outlineLevel="0" collapsed="false">
      <c r="A356" s="36"/>
      <c r="B356" s="97"/>
      <c r="C356" s="182"/>
      <c r="D356" s="182"/>
      <c r="E356" s="182"/>
      <c r="F356" s="182"/>
      <c r="G356" s="126"/>
      <c r="H356" s="126"/>
      <c r="I356" s="126"/>
      <c r="J356" s="126"/>
      <c r="K356" s="126"/>
      <c r="L356" s="126"/>
      <c r="M356" s="127"/>
      <c r="N356" s="128"/>
      <c r="O356" s="129"/>
      <c r="P356" s="130"/>
      <c r="Q356" s="129"/>
      <c r="R356" s="129"/>
      <c r="S356" s="279"/>
      <c r="T356" s="279"/>
      <c r="U356" s="279"/>
      <c r="V356" s="279"/>
      <c r="W356" s="280"/>
      <c r="X356" s="129"/>
      <c r="Y356" s="129"/>
    </row>
    <row r="357" customFormat="false" ht="15.75" hidden="false" customHeight="false" outlineLevel="0" collapsed="false">
      <c r="A357" s="36"/>
      <c r="B357" s="496" t="s">
        <v>244</v>
      </c>
      <c r="C357" s="182"/>
      <c r="D357" s="182"/>
      <c r="E357" s="182"/>
      <c r="F357" s="182"/>
      <c r="G357" s="126"/>
      <c r="H357" s="126"/>
      <c r="I357" s="126"/>
      <c r="J357" s="126"/>
      <c r="K357" s="68" t="n">
        <v>4911</v>
      </c>
      <c r="L357" s="68" t="n">
        <v>9264</v>
      </c>
      <c r="M357" s="69" t="n">
        <f aca="false">7538615.41/1000</f>
        <v>7538.61541</v>
      </c>
      <c r="N357" s="505" t="n">
        <f aca="false">6985611.38/1000</f>
        <v>6985.61138</v>
      </c>
      <c r="O357" s="69" t="n">
        <f aca="false">SUM(O358:O361)</f>
        <v>6350</v>
      </c>
      <c r="P357" s="71" t="n">
        <f aca="false">SUM(P358:P361)</f>
        <v>5500</v>
      </c>
      <c r="Q357" s="69" t="n">
        <f aca="false">SUM(Q358:Q361)</f>
        <v>5050</v>
      </c>
      <c r="R357" s="69" t="n">
        <f aca="false">SUM(R358:R361)</f>
        <v>5800</v>
      </c>
      <c r="S357" s="69" t="n">
        <f aca="false">SUM(S358:S361)</f>
        <v>6100</v>
      </c>
      <c r="T357" s="69" t="n">
        <f aca="false">SUM(T358:T361)</f>
        <v>5200</v>
      </c>
      <c r="U357" s="69" t="n">
        <f aca="false">SUM(U358:U361)</f>
        <v>5400</v>
      </c>
      <c r="V357" s="69" t="n">
        <f aca="false">SUM(V358:V361)</f>
        <v>4400</v>
      </c>
      <c r="W357" s="68" t="n">
        <f aca="false">SUM(W358:W361)</f>
        <v>3900</v>
      </c>
      <c r="X357" s="69" t="n">
        <f aca="false">SUM(X358:X361)</f>
        <v>3900</v>
      </c>
      <c r="Y357" s="69"/>
    </row>
    <row r="358" customFormat="false" ht="15.75" hidden="false" customHeight="false" outlineLevel="0" collapsed="false">
      <c r="A358" s="36"/>
      <c r="B358" s="480" t="s">
        <v>245</v>
      </c>
      <c r="C358" s="182"/>
      <c r="D358" s="182"/>
      <c r="E358" s="182"/>
      <c r="F358" s="182"/>
      <c r="G358" s="126"/>
      <c r="H358" s="126"/>
      <c r="I358" s="126"/>
      <c r="J358" s="126"/>
      <c r="K358" s="126" t="n">
        <v>600</v>
      </c>
      <c r="L358" s="126" t="s">
        <v>3</v>
      </c>
      <c r="M358" s="127"/>
      <c r="N358" s="128"/>
      <c r="O358" s="129" t="n">
        <v>1300</v>
      </c>
      <c r="P358" s="130" t="n">
        <v>800</v>
      </c>
      <c r="Q358" s="129" t="n">
        <v>1700</v>
      </c>
      <c r="R358" s="129" t="n">
        <v>800</v>
      </c>
      <c r="S358" s="279" t="n">
        <v>700</v>
      </c>
      <c r="T358" s="279" t="n">
        <v>1000</v>
      </c>
      <c r="U358" s="279" t="n">
        <v>600</v>
      </c>
      <c r="V358" s="279" t="n">
        <v>1100</v>
      </c>
      <c r="W358" s="280" t="n">
        <v>600</v>
      </c>
      <c r="X358" s="129" t="n">
        <v>600</v>
      </c>
      <c r="Y358" s="129"/>
    </row>
    <row r="359" customFormat="false" ht="15.75" hidden="false" customHeight="false" outlineLevel="0" collapsed="false">
      <c r="A359" s="36"/>
      <c r="B359" s="480" t="s">
        <v>246</v>
      </c>
      <c r="C359" s="182"/>
      <c r="D359" s="182"/>
      <c r="E359" s="182"/>
      <c r="F359" s="182"/>
      <c r="G359" s="126"/>
      <c r="H359" s="126"/>
      <c r="I359" s="126"/>
      <c r="J359" s="126"/>
      <c r="K359" s="126" t="n">
        <v>1760</v>
      </c>
      <c r="L359" s="126" t="s">
        <v>3</v>
      </c>
      <c r="M359" s="127"/>
      <c r="N359" s="128"/>
      <c r="O359" s="129" t="n">
        <v>600</v>
      </c>
      <c r="P359" s="130" t="n">
        <v>1000</v>
      </c>
      <c r="Q359" s="129" t="n">
        <v>1950</v>
      </c>
      <c r="R359" s="129" t="n">
        <v>1600</v>
      </c>
      <c r="S359" s="129" t="n">
        <v>1600</v>
      </c>
      <c r="T359" s="129" t="n">
        <v>1600</v>
      </c>
      <c r="U359" s="129" t="n">
        <v>1600</v>
      </c>
      <c r="V359" s="129" t="n">
        <v>1600</v>
      </c>
      <c r="W359" s="126" t="n">
        <v>1600</v>
      </c>
      <c r="X359" s="129" t="n">
        <v>1600</v>
      </c>
      <c r="Y359" s="129"/>
    </row>
    <row r="360" customFormat="false" ht="15.75" hidden="false" customHeight="false" outlineLevel="0" collapsed="false">
      <c r="A360" s="36"/>
      <c r="B360" s="480" t="s">
        <v>247</v>
      </c>
      <c r="C360" s="182"/>
      <c r="D360" s="182"/>
      <c r="E360" s="182"/>
      <c r="F360" s="182"/>
      <c r="G360" s="126"/>
      <c r="H360" s="126"/>
      <c r="I360" s="126"/>
      <c r="J360" s="126"/>
      <c r="K360" s="126" t="n">
        <v>600</v>
      </c>
      <c r="L360" s="126" t="s">
        <v>3</v>
      </c>
      <c r="M360" s="127"/>
      <c r="N360" s="128"/>
      <c r="O360" s="129" t="n">
        <v>500</v>
      </c>
      <c r="P360" s="130" t="n">
        <v>500</v>
      </c>
      <c r="Q360" s="129" t="n">
        <v>300</v>
      </c>
      <c r="R360" s="129" t="n">
        <v>700</v>
      </c>
      <c r="S360" s="279" t="n">
        <v>800</v>
      </c>
      <c r="T360" s="279" t="n">
        <v>500</v>
      </c>
      <c r="U360" s="279" t="n">
        <v>500</v>
      </c>
      <c r="V360" s="279" t="n">
        <v>500</v>
      </c>
      <c r="W360" s="280" t="n">
        <v>500</v>
      </c>
      <c r="X360" s="129" t="n">
        <v>500</v>
      </c>
      <c r="Y360" s="129"/>
    </row>
    <row r="361" customFormat="false" ht="15.75" hidden="false" customHeight="false" outlineLevel="0" collapsed="false">
      <c r="A361" s="36"/>
      <c r="B361" s="480" t="s">
        <v>248</v>
      </c>
      <c r="C361" s="182"/>
      <c r="D361" s="182"/>
      <c r="E361" s="182"/>
      <c r="F361" s="182"/>
      <c r="G361" s="126"/>
      <c r="H361" s="126"/>
      <c r="I361" s="126"/>
      <c r="J361" s="126"/>
      <c r="K361" s="126" t="n">
        <v>1650</v>
      </c>
      <c r="L361" s="126" t="s">
        <v>3</v>
      </c>
      <c r="M361" s="127"/>
      <c r="N361" s="128"/>
      <c r="O361" s="129" t="n">
        <v>3950</v>
      </c>
      <c r="P361" s="130" t="n">
        <v>3200</v>
      </c>
      <c r="Q361" s="129" t="n">
        <v>1100</v>
      </c>
      <c r="R361" s="129" t="n">
        <v>2700</v>
      </c>
      <c r="S361" s="279" t="n">
        <v>3000</v>
      </c>
      <c r="T361" s="279" t="n">
        <v>2100</v>
      </c>
      <c r="U361" s="279" t="n">
        <v>2700</v>
      </c>
      <c r="V361" s="279" t="n">
        <v>1200</v>
      </c>
      <c r="W361" s="280" t="n">
        <v>1200</v>
      </c>
      <c r="X361" s="129" t="n">
        <v>1200</v>
      </c>
      <c r="Y361" s="129"/>
    </row>
    <row r="362" customFormat="false" ht="15.75" hidden="false" customHeight="false" outlineLevel="0" collapsed="false">
      <c r="A362" s="36"/>
      <c r="B362" s="299" t="s">
        <v>237</v>
      </c>
      <c r="C362" s="182"/>
      <c r="D362" s="182"/>
      <c r="E362" s="182"/>
      <c r="F362" s="182"/>
      <c r="G362" s="126"/>
      <c r="H362" s="126"/>
      <c r="I362" s="126"/>
      <c r="J362" s="126"/>
      <c r="K362" s="498" t="n">
        <f aca="false">K357/K349</f>
        <v>0.699174259681093</v>
      </c>
      <c r="L362" s="499" t="n">
        <f aca="false">L357/L349</f>
        <v>0.810640532026601</v>
      </c>
      <c r="M362" s="500" t="n">
        <f aca="false">M357/M349</f>
        <v>0.780453948383263</v>
      </c>
      <c r="N362" s="506"/>
      <c r="O362" s="503" t="n">
        <f aca="false">O357/O349</f>
        <v>0.362857142857143</v>
      </c>
      <c r="P362" s="502" t="n">
        <f aca="false">P357/P349</f>
        <v>0.376712328767123</v>
      </c>
      <c r="Q362" s="503" t="n">
        <f aca="false">Q357/Q349</f>
        <v>0.51530612244898</v>
      </c>
      <c r="R362" s="503" t="n">
        <f aca="false">R357/R349</f>
        <v>0.659090909090909</v>
      </c>
      <c r="S362" s="503" t="n">
        <f aca="false">S357/S349</f>
        <v>0.677777777777778</v>
      </c>
      <c r="T362" s="503" t="n">
        <f aca="false">T357/T349</f>
        <v>0.559139784946237</v>
      </c>
      <c r="U362" s="503" t="n">
        <f aca="false">U357/U349</f>
        <v>0.710526315789474</v>
      </c>
      <c r="V362" s="503" t="n">
        <f aca="false">V357/V349</f>
        <v>0.88</v>
      </c>
      <c r="W362" s="499" t="n">
        <f aca="false">W357/W349</f>
        <v>0.481481481481481</v>
      </c>
      <c r="X362" s="503" t="n">
        <f aca="false">X357/X349</f>
        <v>0.419354838709677</v>
      </c>
      <c r="Y362" s="503"/>
    </row>
    <row r="363" customFormat="false" ht="15.75" hidden="false" customHeight="false" outlineLevel="0" collapsed="false">
      <c r="A363" s="36"/>
      <c r="B363" s="73"/>
      <c r="C363" s="507"/>
      <c r="D363" s="507"/>
      <c r="E363" s="507"/>
      <c r="F363" s="507"/>
      <c r="G363" s="507"/>
      <c r="H363" s="507"/>
      <c r="I363" s="507"/>
      <c r="J363" s="481" t="s">
        <v>3</v>
      </c>
      <c r="K363" s="291" t="n">
        <v>3069</v>
      </c>
      <c r="L363" s="291" t="s">
        <v>3</v>
      </c>
      <c r="M363" s="491" t="s">
        <v>3</v>
      </c>
      <c r="N363" s="482"/>
      <c r="O363" s="292" t="s">
        <v>3</v>
      </c>
      <c r="P363" s="483" t="s">
        <v>3</v>
      </c>
      <c r="Q363" s="292" t="s">
        <v>3</v>
      </c>
      <c r="R363" s="292" t="s">
        <v>3</v>
      </c>
      <c r="S363" s="293" t="s">
        <v>3</v>
      </c>
      <c r="T363" s="293" t="s">
        <v>3</v>
      </c>
      <c r="U363" s="293" t="s">
        <v>3</v>
      </c>
      <c r="V363" s="293" t="s">
        <v>3</v>
      </c>
      <c r="W363" s="295" t="s">
        <v>3</v>
      </c>
      <c r="X363" s="292" t="s">
        <v>3</v>
      </c>
      <c r="Y363" s="292"/>
    </row>
    <row r="364" customFormat="false" ht="31.5" hidden="false" customHeight="false" outlineLevel="0" collapsed="false">
      <c r="A364" s="93" t="s">
        <v>249</v>
      </c>
      <c r="B364" s="508" t="s">
        <v>250</v>
      </c>
      <c r="C364" s="98" t="n">
        <f aca="false">SUM(C369+C375+C381+C384+C387+C390)</f>
        <v>500.99993</v>
      </c>
      <c r="D364" s="98" t="n">
        <v>3407</v>
      </c>
      <c r="E364" s="98" t="n">
        <f aca="false">SUM(E369+E375+E381+E384+E387+E390)</f>
        <v>2511</v>
      </c>
      <c r="F364" s="98" t="n">
        <f aca="false">SUM(F369+F375+F381+F384+F387+F390)</f>
        <v>1529</v>
      </c>
      <c r="G364" s="98" t="n">
        <f aca="false">SUM(G369+G375+G381+G384+G387+G390)</f>
        <v>1797</v>
      </c>
      <c r="H364" s="98" t="n">
        <f aca="false">SUM(H369+H375+H381+H384+H387+H390)</f>
        <v>6224</v>
      </c>
      <c r="I364" s="98" t="n">
        <f aca="false">SUM(I369+I375+I381+I384+I387+I390)</f>
        <v>3830</v>
      </c>
      <c r="J364" s="98" t="n">
        <f aca="false">SUM(J369+J375+J381+J384+J387+J390)</f>
        <v>3750</v>
      </c>
      <c r="K364" s="98" t="n">
        <f aca="false">SUM(K369+K375+K381+K384+K387+K390)</f>
        <v>9695</v>
      </c>
      <c r="L364" s="98" t="n">
        <f aca="false">SUM(L369+L375+L381+L384+L387+L390)</f>
        <v>11458</v>
      </c>
      <c r="M364" s="99" t="n">
        <f aca="false">SUM(M369+M375+M381+M384+M387+M390+M398)</f>
        <v>8856.689</v>
      </c>
      <c r="N364" s="100" t="n">
        <f aca="false">4355490.87/1000</f>
        <v>4355.49087</v>
      </c>
      <c r="O364" s="99"/>
      <c r="P364" s="101"/>
      <c r="Q364" s="98"/>
      <c r="R364" s="98"/>
      <c r="S364" s="98"/>
      <c r="T364" s="98"/>
      <c r="U364" s="98"/>
      <c r="V364" s="98"/>
      <c r="W364" s="98"/>
      <c r="X364" s="99"/>
      <c r="Y364" s="99"/>
    </row>
    <row r="365" customFormat="false" ht="15.75" hidden="false" customHeight="false" outlineLevel="0" collapsed="false">
      <c r="A365" s="36"/>
      <c r="B365" s="509"/>
      <c r="C365" s="68"/>
      <c r="D365" s="68"/>
      <c r="E365" s="68"/>
      <c r="F365" s="68"/>
      <c r="G365" s="510" t="s">
        <v>3</v>
      </c>
      <c r="H365" s="511" t="s">
        <v>3</v>
      </c>
      <c r="I365" s="512" t="s">
        <v>3</v>
      </c>
      <c r="J365" s="181" t="n">
        <f aca="false">+(J364-I364)/I364</f>
        <v>-0.02088772845953</v>
      </c>
      <c r="K365" s="182" t="n">
        <f aca="false">+(K364-J364)/J364</f>
        <v>1.58533333333333</v>
      </c>
      <c r="L365" s="182" t="n">
        <f aca="false">+(L364-K364)/K364</f>
        <v>0.181846312532233</v>
      </c>
      <c r="M365" s="183" t="n">
        <f aca="false">+(M364-L364)/L364</f>
        <v>-0.227030109966835</v>
      </c>
      <c r="N365" s="184"/>
      <c r="O365" s="183"/>
      <c r="P365" s="185"/>
      <c r="Q365" s="183"/>
      <c r="R365" s="183"/>
      <c r="S365" s="183"/>
      <c r="T365" s="183"/>
      <c r="U365" s="183"/>
      <c r="V365" s="183"/>
      <c r="W365" s="182"/>
      <c r="X365" s="183"/>
      <c r="Y365" s="183"/>
    </row>
    <row r="366" customFormat="false" ht="15.75" hidden="false" customHeight="false" outlineLevel="0" collapsed="false">
      <c r="A366" s="36"/>
      <c r="B366" s="509"/>
      <c r="C366" s="68"/>
      <c r="D366" s="68"/>
      <c r="E366" s="68"/>
      <c r="F366" s="68"/>
      <c r="G366" s="510"/>
      <c r="H366" s="511"/>
      <c r="I366" s="512"/>
      <c r="J366" s="181"/>
      <c r="K366" s="182"/>
      <c r="L366" s="513"/>
      <c r="M366" s="514"/>
      <c r="N366" s="515"/>
      <c r="O366" s="514"/>
      <c r="P366" s="516"/>
      <c r="Q366" s="517"/>
      <c r="R366" s="517"/>
      <c r="S366" s="518"/>
      <c r="T366" s="519"/>
      <c r="U366" s="519"/>
      <c r="V366" s="519"/>
      <c r="W366" s="520"/>
      <c r="X366" s="521"/>
      <c r="Y366" s="521"/>
    </row>
    <row r="367" customFormat="false" ht="15.75" hidden="false" customHeight="false" outlineLevel="0" collapsed="false">
      <c r="A367" s="36"/>
      <c r="C367" s="68"/>
      <c r="D367" s="68"/>
      <c r="E367" s="68"/>
      <c r="F367" s="68"/>
      <c r="G367" s="510"/>
      <c r="H367" s="511"/>
      <c r="I367" s="512"/>
      <c r="J367" s="181"/>
      <c r="K367" s="182"/>
      <c r="L367" s="513"/>
      <c r="M367" s="514"/>
      <c r="N367" s="515"/>
      <c r="O367" s="514" t="n">
        <f aca="false">O369+O375+O381+O384+O387+O390+O398+O396</f>
        <v>0</v>
      </c>
      <c r="P367" s="516" t="n">
        <f aca="false">P369+P375+P381+P384+P387+P390+P398+P396</f>
        <v>0</v>
      </c>
      <c r="Q367" s="517" t="n">
        <f aca="false">Q369+Q375+Q381+Q384+Q387+Q390+Q398+Q396</f>
        <v>0</v>
      </c>
      <c r="R367" s="517" t="n">
        <f aca="false">R369+R375+R381+R384+R387+R390+R398+R396</f>
        <v>0</v>
      </c>
      <c r="S367" s="518" t="n">
        <f aca="false">S369+S375+S381+S384+S387+S390+S398+S396</f>
        <v>0</v>
      </c>
      <c r="T367" s="519" t="n">
        <f aca="false">T369+T375+T381+T384+T387+T390+T398+T396</f>
        <v>0</v>
      </c>
      <c r="U367" s="519" t="n">
        <f aca="false">U369+U375+U381+U384+U387+U390+U398+U396</f>
        <v>0</v>
      </c>
      <c r="V367" s="519" t="n">
        <f aca="false">V369+V375+V381+V384+V387+V390+V398+V396</f>
        <v>0</v>
      </c>
      <c r="W367" s="520" t="n">
        <f aca="false">W369+W375+W381+W384+W387+W390+W398+W396</f>
        <v>0</v>
      </c>
      <c r="X367" s="521" t="n">
        <f aca="false">X369+X375+X381+X384+X387+X390+X398+X396</f>
        <v>0</v>
      </c>
      <c r="Y367" s="521"/>
    </row>
    <row r="368" customFormat="false" ht="15.75" hidden="false" customHeight="false" outlineLevel="0" collapsed="false">
      <c r="A368" s="36"/>
      <c r="B368" s="86"/>
      <c r="C368" s="522"/>
      <c r="D368" s="522"/>
      <c r="E368" s="522"/>
      <c r="F368" s="507"/>
      <c r="G368" s="507"/>
      <c r="H368" s="204"/>
      <c r="I368" s="167"/>
      <c r="J368" s="355"/>
      <c r="K368" s="167" t="s">
        <v>3</v>
      </c>
      <c r="L368" s="102"/>
      <c r="M368" s="88" t="s">
        <v>3</v>
      </c>
      <c r="N368" s="89"/>
      <c r="O368" s="88" t="s">
        <v>3</v>
      </c>
      <c r="P368" s="117" t="s">
        <v>3</v>
      </c>
      <c r="Q368" s="88" t="s">
        <v>3</v>
      </c>
      <c r="R368" s="88" t="s">
        <v>3</v>
      </c>
      <c r="S368" s="89" t="s">
        <v>3</v>
      </c>
      <c r="T368" s="89" t="s">
        <v>3</v>
      </c>
      <c r="U368" s="89" t="s">
        <v>3</v>
      </c>
      <c r="V368" s="89" t="s">
        <v>3</v>
      </c>
      <c r="W368" s="118" t="s">
        <v>3</v>
      </c>
      <c r="X368" s="88" t="s">
        <v>3</v>
      </c>
      <c r="Y368" s="88"/>
    </row>
    <row r="369" customFormat="false" ht="15.75" hidden="false" customHeight="false" outlineLevel="0" collapsed="false">
      <c r="A369" s="36" t="s">
        <v>251</v>
      </c>
      <c r="B369" s="107" t="s">
        <v>252</v>
      </c>
      <c r="C369" s="523" t="n">
        <v>451</v>
      </c>
      <c r="D369" s="80" t="n">
        <v>1521</v>
      </c>
      <c r="E369" s="80" t="n">
        <v>1502</v>
      </c>
      <c r="F369" s="80" t="n">
        <v>584</v>
      </c>
      <c r="G369" s="68" t="n">
        <f aca="false">SUM(G371:G373)</f>
        <v>567</v>
      </c>
      <c r="H369" s="68" t="n">
        <f aca="false">SUM(H371:H373)</f>
        <v>5398</v>
      </c>
      <c r="I369" s="68" t="n">
        <f aca="false">SUM(I371:I373)</f>
        <v>457</v>
      </c>
      <c r="J369" s="68" t="n">
        <f aca="false">SUM(J371:J373)</f>
        <v>250</v>
      </c>
      <c r="K369" s="68" t="n">
        <f aca="false">SUM(K371:K373)</f>
        <v>5000</v>
      </c>
      <c r="L369" s="68" t="n">
        <v>2496</v>
      </c>
      <c r="M369" s="69" t="n">
        <v>199.15</v>
      </c>
      <c r="N369" s="70"/>
      <c r="O369" s="69"/>
      <c r="P369" s="71"/>
      <c r="Q369" s="69"/>
      <c r="R369" s="69"/>
      <c r="S369" s="69"/>
      <c r="T369" s="69"/>
      <c r="U369" s="69"/>
      <c r="V369" s="69"/>
      <c r="W369" s="68"/>
      <c r="X369" s="69"/>
      <c r="Y369" s="69"/>
    </row>
    <row r="370" customFormat="false" ht="15.75" hidden="false" customHeight="false" outlineLevel="0" collapsed="false">
      <c r="A370" s="36"/>
      <c r="B370" s="73"/>
      <c r="C370" s="88"/>
      <c r="D370" s="118" t="s">
        <v>3</v>
      </c>
      <c r="E370" s="119" t="s">
        <v>3</v>
      </c>
      <c r="F370" s="224" t="s">
        <v>3</v>
      </c>
      <c r="G370" s="92" t="s">
        <v>3</v>
      </c>
      <c r="H370" s="209" t="s">
        <v>3</v>
      </c>
      <c r="I370" s="307" t="s">
        <v>3</v>
      </c>
      <c r="J370" s="355" t="s">
        <v>3</v>
      </c>
      <c r="K370" s="167" t="s">
        <v>3</v>
      </c>
      <c r="L370" s="380" t="n">
        <v>0</v>
      </c>
      <c r="M370" s="322"/>
      <c r="N370" s="324"/>
      <c r="O370" s="322"/>
      <c r="P370" s="323"/>
      <c r="Q370" s="322"/>
      <c r="R370" s="322"/>
      <c r="S370" s="324"/>
      <c r="T370" s="324"/>
      <c r="U370" s="324"/>
      <c r="V370" s="324"/>
      <c r="W370" s="325"/>
      <c r="X370" s="322"/>
      <c r="Y370" s="322"/>
    </row>
    <row r="371" customFormat="false" ht="15.75" hidden="false" customHeight="false" outlineLevel="0" collapsed="false">
      <c r="A371" s="36"/>
      <c r="B371" s="97" t="s">
        <v>253</v>
      </c>
      <c r="C371" s="119"/>
      <c r="D371" s="119"/>
      <c r="E371" s="119"/>
      <c r="F371" s="224"/>
      <c r="G371" s="126" t="n">
        <v>0</v>
      </c>
      <c r="H371" s="126" t="n">
        <v>0</v>
      </c>
      <c r="I371" s="126" t="n">
        <v>0</v>
      </c>
      <c r="J371" s="126" t="n">
        <v>0</v>
      </c>
      <c r="K371" s="126" t="n">
        <v>5000</v>
      </c>
      <c r="L371" s="313" t="n">
        <v>1400</v>
      </c>
      <c r="M371" s="314" t="n">
        <v>0</v>
      </c>
      <c r="N371" s="315"/>
      <c r="O371" s="314"/>
      <c r="P371" s="316"/>
      <c r="Q371" s="314"/>
      <c r="R371" s="314"/>
      <c r="S371" s="315"/>
      <c r="T371" s="315"/>
      <c r="U371" s="315"/>
      <c r="V371" s="315"/>
      <c r="W371" s="317"/>
      <c r="X371" s="314"/>
      <c r="Y371" s="314"/>
    </row>
    <row r="372" customFormat="false" ht="15.75" hidden="false" customHeight="false" outlineLevel="0" collapsed="false">
      <c r="A372" s="36"/>
      <c r="B372" s="97" t="s">
        <v>254</v>
      </c>
      <c r="C372" s="119"/>
      <c r="D372" s="119"/>
      <c r="E372" s="119"/>
      <c r="F372" s="224"/>
      <c r="G372" s="126" t="n">
        <v>567</v>
      </c>
      <c r="H372" s="126" t="n">
        <v>5398</v>
      </c>
      <c r="I372" s="126" t="n">
        <v>457</v>
      </c>
      <c r="J372" s="126" t="n">
        <v>250</v>
      </c>
      <c r="K372" s="126" t="n">
        <v>0</v>
      </c>
      <c r="L372" s="313" t="n">
        <v>0</v>
      </c>
      <c r="M372" s="314" t="n">
        <v>0</v>
      </c>
      <c r="N372" s="315"/>
      <c r="O372" s="314"/>
      <c r="P372" s="316"/>
      <c r="Q372" s="314"/>
      <c r="R372" s="314"/>
      <c r="S372" s="315"/>
      <c r="T372" s="315"/>
      <c r="U372" s="315"/>
      <c r="V372" s="315"/>
      <c r="W372" s="317"/>
      <c r="X372" s="314"/>
      <c r="Y372" s="314"/>
    </row>
    <row r="373" customFormat="false" ht="15.75" hidden="false" customHeight="false" outlineLevel="0" collapsed="false">
      <c r="A373" s="36"/>
      <c r="B373" s="97" t="s">
        <v>255</v>
      </c>
      <c r="C373" s="119"/>
      <c r="D373" s="119"/>
      <c r="E373" s="119"/>
      <c r="F373" s="224"/>
      <c r="G373" s="126"/>
      <c r="H373" s="126"/>
      <c r="I373" s="126" t="n">
        <v>0</v>
      </c>
      <c r="J373" s="126" t="n">
        <v>0</v>
      </c>
      <c r="K373" s="126" t="n">
        <v>0</v>
      </c>
      <c r="L373" s="313" t="n">
        <v>0</v>
      </c>
      <c r="M373" s="314" t="n">
        <v>0</v>
      </c>
      <c r="N373" s="315"/>
      <c r="O373" s="314"/>
      <c r="P373" s="316"/>
      <c r="Q373" s="314"/>
      <c r="R373" s="314"/>
      <c r="S373" s="315"/>
      <c r="T373" s="315"/>
      <c r="U373" s="315"/>
      <c r="V373" s="315"/>
      <c r="W373" s="317"/>
      <c r="X373" s="314"/>
      <c r="Y373" s="314"/>
    </row>
    <row r="374" customFormat="false" ht="15.75" hidden="false" customHeight="false" outlineLevel="0" collapsed="false">
      <c r="A374" s="36"/>
      <c r="B374" s="452"/>
      <c r="C374" s="68"/>
      <c r="D374" s="68"/>
      <c r="E374" s="68"/>
      <c r="F374" s="68"/>
      <c r="G374" s="68"/>
      <c r="H374" s="68"/>
      <c r="I374" s="68"/>
      <c r="J374" s="68"/>
      <c r="K374" s="68"/>
      <c r="L374" s="380"/>
      <c r="M374" s="285"/>
      <c r="N374" s="286"/>
      <c r="O374" s="285"/>
      <c r="P374" s="287"/>
      <c r="Q374" s="285"/>
      <c r="R374" s="285"/>
      <c r="S374" s="286"/>
      <c r="T374" s="286"/>
      <c r="U374" s="286"/>
      <c r="V374" s="286"/>
      <c r="W374" s="288"/>
      <c r="X374" s="285"/>
      <c r="Y374" s="285"/>
    </row>
    <row r="375" s="525" customFormat="true" ht="15.75" hidden="false" customHeight="false" outlineLevel="0" collapsed="false">
      <c r="A375" s="524" t="s">
        <v>256</v>
      </c>
      <c r="B375" s="37" t="s">
        <v>257</v>
      </c>
      <c r="C375" s="68" t="n">
        <v>49.99993</v>
      </c>
      <c r="D375" s="68" t="n">
        <v>700.16676</v>
      </c>
      <c r="E375" s="68" t="n">
        <v>1009</v>
      </c>
      <c r="F375" s="68" t="n">
        <f aca="false">SUM(F377:F378)</f>
        <v>885</v>
      </c>
      <c r="G375" s="68" t="n">
        <f aca="false">G377+G378</f>
        <v>1126</v>
      </c>
      <c r="H375" s="68" t="n">
        <f aca="false">SUM(H377:H378)</f>
        <v>349</v>
      </c>
      <c r="I375" s="68" t="n">
        <f aca="false">SUM(I377:I378)</f>
        <v>1582</v>
      </c>
      <c r="J375" s="68" t="n">
        <f aca="false">SUM(J377:J379)</f>
        <v>1355</v>
      </c>
      <c r="K375" s="68" t="n">
        <f aca="false">SUM(K377:K379)</f>
        <v>2879</v>
      </c>
      <c r="L375" s="68" t="n">
        <v>6441</v>
      </c>
      <c r="M375" s="69" t="n">
        <f aca="false">4146050/1000</f>
        <v>4146.05</v>
      </c>
      <c r="N375" s="70"/>
      <c r="O375" s="69"/>
      <c r="P375" s="71"/>
      <c r="Q375" s="69"/>
      <c r="R375" s="69"/>
      <c r="S375" s="69"/>
      <c r="T375" s="69"/>
      <c r="U375" s="69"/>
      <c r="V375" s="69"/>
      <c r="W375" s="68"/>
      <c r="X375" s="69"/>
      <c r="Y375" s="69"/>
    </row>
    <row r="376" customFormat="false" ht="15.75" hidden="false" customHeight="false" outlineLevel="0" collapsed="false">
      <c r="A376" s="36"/>
      <c r="B376" s="73"/>
      <c r="C376" s="119" t="s">
        <v>3</v>
      </c>
      <c r="D376" s="119" t="s">
        <v>3</v>
      </c>
      <c r="E376" s="119" t="s">
        <v>3</v>
      </c>
      <c r="F376" s="224" t="s">
        <v>3</v>
      </c>
      <c r="G376" s="92" t="s">
        <v>3</v>
      </c>
      <c r="H376" s="209" t="s">
        <v>3</v>
      </c>
      <c r="I376" s="307" t="s">
        <v>3</v>
      </c>
      <c r="J376" s="119"/>
      <c r="K376" s="167" t="s">
        <v>3</v>
      </c>
      <c r="L376" s="380" t="n">
        <v>0</v>
      </c>
      <c r="M376" s="322"/>
      <c r="N376" s="324"/>
      <c r="O376" s="322"/>
      <c r="P376" s="323"/>
      <c r="Q376" s="322"/>
      <c r="R376" s="322"/>
      <c r="S376" s="324"/>
      <c r="T376" s="324"/>
      <c r="U376" s="324"/>
      <c r="V376" s="324"/>
      <c r="W376" s="325"/>
      <c r="X376" s="322"/>
      <c r="Y376" s="322"/>
    </row>
    <row r="377" customFormat="false" ht="15.75" hidden="false" customHeight="false" outlineLevel="0" collapsed="false">
      <c r="A377" s="36"/>
      <c r="B377" s="97" t="s">
        <v>258</v>
      </c>
      <c r="C377" s="126"/>
      <c r="D377" s="126"/>
      <c r="E377" s="126"/>
      <c r="F377" s="231" t="n">
        <v>590</v>
      </c>
      <c r="G377" s="126" t="n">
        <v>840</v>
      </c>
      <c r="H377" s="126" t="n">
        <v>0</v>
      </c>
      <c r="I377" s="126" t="n">
        <v>0</v>
      </c>
      <c r="J377" s="126" t="n">
        <v>0</v>
      </c>
      <c r="K377" s="126" t="n">
        <v>0</v>
      </c>
      <c r="L377" s="313" t="n">
        <v>500</v>
      </c>
      <c r="M377" s="314"/>
      <c r="N377" s="315"/>
      <c r="O377" s="314"/>
      <c r="P377" s="316"/>
      <c r="Q377" s="314"/>
      <c r="R377" s="314"/>
      <c r="S377" s="315"/>
      <c r="T377" s="315"/>
      <c r="U377" s="315"/>
      <c r="V377" s="315"/>
      <c r="W377" s="317"/>
      <c r="X377" s="314"/>
      <c r="Y377" s="314"/>
    </row>
    <row r="378" customFormat="false" ht="15.75" hidden="false" customHeight="false" outlineLevel="0" collapsed="false">
      <c r="A378" s="36"/>
      <c r="B378" s="97" t="s">
        <v>259</v>
      </c>
      <c r="C378" s="126"/>
      <c r="D378" s="126"/>
      <c r="E378" s="126"/>
      <c r="F378" s="231" t="n">
        <v>295</v>
      </c>
      <c r="G378" s="126" t="n">
        <v>286</v>
      </c>
      <c r="H378" s="126" t="n">
        <v>349</v>
      </c>
      <c r="I378" s="126" t="n">
        <v>1582</v>
      </c>
      <c r="J378" s="126" t="n">
        <v>1355</v>
      </c>
      <c r="K378" s="126" t="n">
        <v>2879</v>
      </c>
      <c r="L378" s="313" t="n">
        <v>700</v>
      </c>
      <c r="M378" s="314" t="n">
        <v>1800</v>
      </c>
      <c r="N378" s="315"/>
      <c r="O378" s="314"/>
      <c r="P378" s="316"/>
      <c r="Q378" s="314"/>
      <c r="R378" s="314"/>
      <c r="S378" s="315"/>
      <c r="T378" s="315"/>
      <c r="U378" s="315"/>
      <c r="V378" s="315"/>
      <c r="W378" s="317"/>
      <c r="X378" s="314"/>
      <c r="Y378" s="314"/>
    </row>
    <row r="379" customFormat="false" ht="15.75" hidden="false" customHeight="false" outlineLevel="0" collapsed="false">
      <c r="A379" s="36"/>
      <c r="B379" s="97" t="s">
        <v>260</v>
      </c>
      <c r="C379" s="126"/>
      <c r="D379" s="126"/>
      <c r="E379" s="126"/>
      <c r="F379" s="231"/>
      <c r="G379" s="126"/>
      <c r="H379" s="126"/>
      <c r="I379" s="126"/>
      <c r="J379" s="126"/>
      <c r="K379" s="126" t="n">
        <v>0</v>
      </c>
      <c r="L379" s="313" t="n">
        <v>2800</v>
      </c>
      <c r="M379" s="314" t="n">
        <v>2800</v>
      </c>
      <c r="N379" s="315"/>
      <c r="O379" s="314"/>
      <c r="P379" s="316"/>
      <c r="Q379" s="314"/>
      <c r="R379" s="314"/>
      <c r="S379" s="315"/>
      <c r="T379" s="315"/>
      <c r="U379" s="315"/>
      <c r="V379" s="315"/>
      <c r="W379" s="317"/>
      <c r="X379" s="314"/>
      <c r="Y379" s="314"/>
    </row>
    <row r="380" customFormat="false" ht="15.75" hidden="false" customHeight="false" outlineLevel="0" collapsed="false">
      <c r="A380" s="36"/>
      <c r="B380" s="452"/>
      <c r="C380" s="68"/>
      <c r="D380" s="68"/>
      <c r="E380" s="68"/>
      <c r="F380" s="68"/>
      <c r="G380" s="68"/>
      <c r="H380" s="68"/>
      <c r="I380" s="68"/>
      <c r="J380" s="68"/>
      <c r="K380" s="68"/>
      <c r="L380" s="380" t="s">
        <v>3</v>
      </c>
      <c r="M380" s="285" t="s">
        <v>3</v>
      </c>
      <c r="N380" s="286"/>
      <c r="O380" s="285"/>
      <c r="P380" s="287"/>
      <c r="Q380" s="285"/>
      <c r="R380" s="285"/>
      <c r="S380" s="286"/>
      <c r="T380" s="286"/>
      <c r="U380" s="286"/>
      <c r="V380" s="286"/>
      <c r="W380" s="288"/>
      <c r="X380" s="285"/>
      <c r="Y380" s="285"/>
    </row>
    <row r="381" s="525" customFormat="true" ht="15.75" hidden="false" customHeight="false" outlineLevel="0" collapsed="false">
      <c r="A381" s="524" t="s">
        <v>261</v>
      </c>
      <c r="B381" s="37" t="s">
        <v>262</v>
      </c>
      <c r="C381" s="68" t="n">
        <v>0</v>
      </c>
      <c r="D381" s="68" t="n">
        <v>0</v>
      </c>
      <c r="E381" s="68" t="n">
        <v>0</v>
      </c>
      <c r="F381" s="68" t="n">
        <v>60</v>
      </c>
      <c r="G381" s="68" t="n">
        <v>104</v>
      </c>
      <c r="H381" s="68" t="n">
        <v>418</v>
      </c>
      <c r="I381" s="68" t="n">
        <v>1368</v>
      </c>
      <c r="J381" s="68" t="n">
        <v>1088</v>
      </c>
      <c r="K381" s="68" t="n">
        <v>422</v>
      </c>
      <c r="L381" s="383" t="n">
        <v>1293</v>
      </c>
      <c r="M381" s="281" t="n">
        <f aca="false">1582830/1000</f>
        <v>1582.83</v>
      </c>
      <c r="N381" s="282"/>
      <c r="O381" s="281"/>
      <c r="P381" s="283"/>
      <c r="Q381" s="281"/>
      <c r="R381" s="281"/>
      <c r="S381" s="282"/>
      <c r="T381" s="282"/>
      <c r="U381" s="282"/>
      <c r="V381" s="282"/>
      <c r="W381" s="284"/>
      <c r="X381" s="281"/>
      <c r="Y381" s="281"/>
    </row>
    <row r="382" customFormat="false" ht="15.75" hidden="false" customHeight="false" outlineLevel="0" collapsed="false">
      <c r="A382" s="36"/>
      <c r="B382" s="73"/>
      <c r="C382" s="119"/>
      <c r="D382" s="119"/>
      <c r="E382" s="119"/>
      <c r="F382" s="360" t="s">
        <v>3</v>
      </c>
      <c r="G382" s="92" t="s">
        <v>3</v>
      </c>
      <c r="H382" s="526" t="s">
        <v>3</v>
      </c>
      <c r="I382" s="307" t="s">
        <v>3</v>
      </c>
      <c r="J382" s="119"/>
      <c r="K382" s="167" t="s">
        <v>3</v>
      </c>
      <c r="L382" s="380" t="n">
        <v>80</v>
      </c>
      <c r="M382" s="314"/>
      <c r="N382" s="315"/>
      <c r="O382" s="314"/>
      <c r="P382" s="316"/>
      <c r="Q382" s="314"/>
      <c r="R382" s="314"/>
      <c r="S382" s="315"/>
      <c r="T382" s="315"/>
      <c r="U382" s="315"/>
      <c r="V382" s="315"/>
      <c r="W382" s="317"/>
      <c r="X382" s="314"/>
      <c r="Y382" s="314"/>
    </row>
    <row r="383" customFormat="false" ht="15.75" hidden="false" customHeight="false" outlineLevel="0" collapsed="false">
      <c r="A383" s="36"/>
      <c r="B383" s="452"/>
      <c r="C383" s="68"/>
      <c r="D383" s="68"/>
      <c r="E383" s="68"/>
      <c r="F383" s="68"/>
      <c r="G383" s="68"/>
      <c r="H383" s="68"/>
      <c r="I383" s="68"/>
      <c r="J383" s="68"/>
      <c r="K383" s="68"/>
      <c r="L383" s="380" t="s">
        <v>3</v>
      </c>
      <c r="M383" s="285" t="s">
        <v>3</v>
      </c>
      <c r="N383" s="286"/>
      <c r="O383" s="285"/>
      <c r="P383" s="287"/>
      <c r="Q383" s="314"/>
      <c r="R383" s="314"/>
      <c r="S383" s="315"/>
      <c r="T383" s="315"/>
      <c r="U383" s="315"/>
      <c r="V383" s="315"/>
      <c r="W383" s="317"/>
      <c r="X383" s="314"/>
      <c r="Y383" s="314"/>
    </row>
    <row r="384" customFormat="false" ht="15.75" hidden="false" customHeight="false" outlineLevel="0" collapsed="false">
      <c r="A384" s="524" t="s">
        <v>263</v>
      </c>
      <c r="B384" s="37" t="s">
        <v>264</v>
      </c>
      <c r="C384" s="68" t="n">
        <v>0</v>
      </c>
      <c r="D384" s="68" t="n">
        <v>0</v>
      </c>
      <c r="E384" s="68" t="n">
        <v>0</v>
      </c>
      <c r="F384" s="68" t="n">
        <v>0</v>
      </c>
      <c r="G384" s="68" t="n">
        <v>0</v>
      </c>
      <c r="H384" s="68" t="n">
        <v>0</v>
      </c>
      <c r="I384" s="68" t="n">
        <v>0</v>
      </c>
      <c r="J384" s="68" t="n">
        <v>120</v>
      </c>
      <c r="K384" s="68" t="n">
        <v>268</v>
      </c>
      <c r="L384" s="383" t="n">
        <v>471</v>
      </c>
      <c r="M384" s="281" t="n">
        <f aca="false">1036373/1000</f>
        <v>1036.373</v>
      </c>
      <c r="N384" s="282"/>
      <c r="O384" s="281"/>
      <c r="P384" s="283"/>
      <c r="Q384" s="281"/>
      <c r="R384" s="281"/>
      <c r="S384" s="282"/>
      <c r="T384" s="282"/>
      <c r="U384" s="282"/>
      <c r="V384" s="282"/>
      <c r="W384" s="284"/>
      <c r="X384" s="281"/>
      <c r="Y384" s="281"/>
    </row>
    <row r="385" customFormat="false" ht="15.75" hidden="false" customHeight="false" outlineLevel="0" collapsed="false">
      <c r="A385" s="36"/>
      <c r="B385" s="73"/>
      <c r="C385" s="119"/>
      <c r="D385" s="119"/>
      <c r="E385" s="119"/>
      <c r="F385" s="360" t="s">
        <v>3</v>
      </c>
      <c r="G385" s="92" t="s">
        <v>3</v>
      </c>
      <c r="H385" s="119" t="s">
        <v>3</v>
      </c>
      <c r="I385" s="307" t="n">
        <v>0</v>
      </c>
      <c r="J385" s="119" t="s">
        <v>3</v>
      </c>
      <c r="K385" s="119"/>
      <c r="L385" s="372" t="n">
        <v>0</v>
      </c>
      <c r="M385" s="314"/>
      <c r="N385" s="315"/>
      <c r="O385" s="314"/>
      <c r="P385" s="316"/>
      <c r="Q385" s="314"/>
      <c r="R385" s="314"/>
      <c r="S385" s="315"/>
      <c r="T385" s="315"/>
      <c r="U385" s="315"/>
      <c r="V385" s="315"/>
      <c r="W385" s="317"/>
      <c r="X385" s="314"/>
      <c r="Y385" s="314"/>
    </row>
    <row r="386" customFormat="false" ht="15.75" hidden="false" customHeight="false" outlineLevel="0" collapsed="false">
      <c r="A386" s="36"/>
      <c r="B386" s="452"/>
      <c r="C386" s="119"/>
      <c r="D386" s="119"/>
      <c r="E386" s="119"/>
      <c r="F386" s="224"/>
      <c r="G386" s="119"/>
      <c r="H386" s="119"/>
      <c r="I386" s="119"/>
      <c r="J386" s="119"/>
      <c r="K386" s="119"/>
      <c r="L386" s="380" t="s">
        <v>53</v>
      </c>
      <c r="M386" s="285" t="s">
        <v>3</v>
      </c>
      <c r="N386" s="286"/>
      <c r="O386" s="285"/>
      <c r="P386" s="287"/>
      <c r="Q386" s="314"/>
      <c r="R386" s="314"/>
      <c r="S386" s="315"/>
      <c r="T386" s="315"/>
      <c r="U386" s="315"/>
      <c r="V386" s="315"/>
      <c r="W386" s="317"/>
      <c r="X386" s="314"/>
      <c r="Y386" s="314"/>
    </row>
    <row r="387" customFormat="false" ht="15.75" hidden="false" customHeight="false" outlineLevel="0" collapsed="false">
      <c r="A387" s="36" t="s">
        <v>265</v>
      </c>
      <c r="B387" s="107" t="s">
        <v>266</v>
      </c>
      <c r="C387" s="119"/>
      <c r="D387" s="119"/>
      <c r="E387" s="68" t="n">
        <v>0</v>
      </c>
      <c r="F387" s="212" t="n">
        <v>0</v>
      </c>
      <c r="G387" s="68" t="n">
        <v>0</v>
      </c>
      <c r="H387" s="68" t="n">
        <v>0</v>
      </c>
      <c r="I387" s="68" t="n">
        <v>95</v>
      </c>
      <c r="J387" s="68" t="n">
        <v>195</v>
      </c>
      <c r="K387" s="68" t="n">
        <v>896</v>
      </c>
      <c r="L387" s="383" t="n">
        <v>51</v>
      </c>
      <c r="M387" s="281" t="n">
        <f aca="false">114308/1000</f>
        <v>114.308</v>
      </c>
      <c r="N387" s="282"/>
      <c r="O387" s="281"/>
      <c r="P387" s="283"/>
      <c r="Q387" s="281"/>
      <c r="R387" s="281"/>
      <c r="S387" s="282"/>
      <c r="T387" s="282"/>
      <c r="U387" s="282"/>
      <c r="V387" s="282"/>
      <c r="W387" s="284"/>
      <c r="X387" s="281"/>
      <c r="Y387" s="281"/>
    </row>
    <row r="388" customFormat="false" ht="15.75" hidden="false" customHeight="false" outlineLevel="0" collapsed="false">
      <c r="A388" s="93"/>
      <c r="B388" s="73"/>
      <c r="C388" s="119"/>
      <c r="D388" s="119"/>
      <c r="E388" s="98"/>
      <c r="F388" s="177"/>
      <c r="G388" s="92" t="s">
        <v>3</v>
      </c>
      <c r="H388" s="98"/>
      <c r="I388" s="527"/>
      <c r="J388" s="355" t="n">
        <v>0</v>
      </c>
      <c r="K388" s="98"/>
      <c r="L388" s="528"/>
      <c r="M388" s="529"/>
      <c r="N388" s="530"/>
      <c r="O388" s="529"/>
      <c r="P388" s="531"/>
      <c r="Q388" s="529"/>
      <c r="R388" s="529"/>
      <c r="S388" s="530"/>
      <c r="T388" s="530"/>
      <c r="U388" s="530"/>
      <c r="V388" s="530"/>
      <c r="W388" s="532"/>
      <c r="X388" s="529"/>
      <c r="Y388" s="529"/>
    </row>
    <row r="389" customFormat="false" ht="15.75" hidden="false" customHeight="false" outlineLevel="0" collapsed="false">
      <c r="A389" s="93"/>
      <c r="B389" s="533"/>
      <c r="C389" s="119"/>
      <c r="D389" s="119"/>
      <c r="E389" s="98"/>
      <c r="F389" s="177"/>
      <c r="G389" s="98"/>
      <c r="H389" s="98"/>
      <c r="I389" s="98"/>
      <c r="J389" s="98"/>
      <c r="K389" s="98"/>
      <c r="L389" s="380" t="s">
        <v>3</v>
      </c>
      <c r="M389" s="322" t="s">
        <v>3</v>
      </c>
      <c r="N389" s="324"/>
      <c r="O389" s="322"/>
      <c r="P389" s="323"/>
      <c r="Q389" s="314"/>
      <c r="R389" s="314"/>
      <c r="S389" s="315"/>
      <c r="T389" s="315"/>
      <c r="U389" s="315"/>
      <c r="V389" s="315"/>
      <c r="W389" s="317"/>
      <c r="X389" s="314"/>
      <c r="Y389" s="314"/>
    </row>
    <row r="390" customFormat="false" ht="15.75" hidden="false" customHeight="false" outlineLevel="0" collapsed="false">
      <c r="A390" s="36" t="s">
        <v>267</v>
      </c>
      <c r="B390" s="107" t="s">
        <v>268</v>
      </c>
      <c r="C390" s="119"/>
      <c r="D390" s="119"/>
      <c r="E390" s="68" t="n">
        <v>0</v>
      </c>
      <c r="F390" s="212" t="n">
        <v>0</v>
      </c>
      <c r="G390" s="68" t="n">
        <v>0</v>
      </c>
      <c r="H390" s="68" t="n">
        <v>59</v>
      </c>
      <c r="I390" s="68" t="n">
        <v>328</v>
      </c>
      <c r="J390" s="68" t="n">
        <f aca="false">SUM(J392+J394)</f>
        <v>742</v>
      </c>
      <c r="K390" s="68" t="n">
        <f aca="false">SUM(K392+K394)</f>
        <v>230</v>
      </c>
      <c r="L390" s="68" t="n">
        <v>706</v>
      </c>
      <c r="M390" s="281" t="n">
        <f aca="false">1688293/1000</f>
        <v>1688.293</v>
      </c>
      <c r="N390" s="282"/>
      <c r="O390" s="281"/>
      <c r="P390" s="283"/>
      <c r="Q390" s="281"/>
      <c r="R390" s="281"/>
      <c r="S390" s="281"/>
      <c r="T390" s="282"/>
      <c r="U390" s="282"/>
      <c r="V390" s="282"/>
      <c r="W390" s="284"/>
      <c r="X390" s="281"/>
      <c r="Y390" s="281"/>
    </row>
    <row r="391" customFormat="false" ht="15.75" hidden="false" customHeight="false" outlineLevel="0" collapsed="false">
      <c r="A391" s="93"/>
      <c r="B391" s="73"/>
      <c r="C391" s="68"/>
      <c r="D391" s="68"/>
      <c r="E391" s="68" t="s">
        <v>3</v>
      </c>
      <c r="F391" s="306" t="s">
        <v>3</v>
      </c>
      <c r="G391" s="92" t="s">
        <v>3</v>
      </c>
      <c r="H391" s="119" t="s">
        <v>3</v>
      </c>
      <c r="I391" s="307" t="s">
        <v>3</v>
      </c>
      <c r="J391" s="204" t="s">
        <v>3</v>
      </c>
      <c r="K391" s="167" t="s">
        <v>3</v>
      </c>
      <c r="L391" s="380" t="n">
        <v>0</v>
      </c>
      <c r="M391" s="285" t="s">
        <v>3</v>
      </c>
      <c r="N391" s="286"/>
      <c r="O391" s="285"/>
      <c r="P391" s="287"/>
      <c r="Q391" s="285"/>
      <c r="R391" s="285"/>
      <c r="S391" s="285"/>
      <c r="T391" s="286"/>
      <c r="U391" s="286"/>
      <c r="V391" s="286"/>
      <c r="W391" s="288"/>
      <c r="X391" s="285"/>
      <c r="Y391" s="285"/>
    </row>
    <row r="392" customFormat="false" ht="15.75" hidden="false" customHeight="false" outlineLevel="0" collapsed="false">
      <c r="A392" s="93"/>
      <c r="B392" s="97" t="s">
        <v>269</v>
      </c>
      <c r="C392" s="126"/>
      <c r="D392" s="126"/>
      <c r="E392" s="98"/>
      <c r="F392" s="177"/>
      <c r="G392" s="126" t="n">
        <v>0</v>
      </c>
      <c r="H392" s="126" t="n">
        <v>120</v>
      </c>
      <c r="I392" s="126" t="n">
        <v>270</v>
      </c>
      <c r="J392" s="126" t="n">
        <v>742</v>
      </c>
      <c r="K392" s="126" t="n">
        <v>230</v>
      </c>
      <c r="L392" s="313" t="s">
        <v>3</v>
      </c>
      <c r="M392" s="314" t="n">
        <v>0</v>
      </c>
      <c r="N392" s="315"/>
      <c r="O392" s="314"/>
      <c r="P392" s="316"/>
      <c r="Q392" s="314"/>
      <c r="R392" s="314"/>
      <c r="S392" s="315"/>
      <c r="T392" s="315"/>
      <c r="U392" s="315"/>
      <c r="V392" s="315"/>
      <c r="W392" s="317"/>
      <c r="X392" s="314"/>
      <c r="Y392" s="314"/>
    </row>
    <row r="393" customFormat="false" ht="15.75" hidden="false" customHeight="false" outlineLevel="0" collapsed="false">
      <c r="A393" s="93"/>
      <c r="B393" s="73" t="s">
        <v>124</v>
      </c>
      <c r="C393" s="280"/>
      <c r="D393" s="126"/>
      <c r="E393" s="98"/>
      <c r="F393" s="177"/>
      <c r="G393" s="126"/>
      <c r="H393" s="126"/>
      <c r="I393" s="307" t="n">
        <v>60</v>
      </c>
      <c r="J393" s="126"/>
      <c r="K393" s="126"/>
      <c r="L393" s="380" t="n">
        <v>0</v>
      </c>
      <c r="M393" s="314"/>
      <c r="N393" s="315"/>
      <c r="O393" s="314"/>
      <c r="P393" s="316"/>
      <c r="Q393" s="314"/>
      <c r="R393" s="314"/>
      <c r="S393" s="315"/>
      <c r="T393" s="315"/>
      <c r="U393" s="315"/>
      <c r="V393" s="315"/>
      <c r="W393" s="317"/>
      <c r="X393" s="314"/>
      <c r="Y393" s="314"/>
    </row>
    <row r="394" customFormat="false" ht="15.75" hidden="false" customHeight="false" outlineLevel="0" collapsed="false">
      <c r="A394" s="36" t="s">
        <v>3</v>
      </c>
      <c r="B394" s="232" t="s">
        <v>270</v>
      </c>
      <c r="C394" s="230"/>
      <c r="D394" s="68"/>
      <c r="E394" s="68" t="s">
        <v>3</v>
      </c>
      <c r="F394" s="126" t="n">
        <v>0</v>
      </c>
      <c r="G394" s="126" t="n">
        <v>0</v>
      </c>
      <c r="H394" s="126" t="n">
        <v>0</v>
      </c>
      <c r="I394" s="126" t="n">
        <v>0</v>
      </c>
      <c r="J394" s="126" t="n">
        <v>0</v>
      </c>
      <c r="K394" s="126" t="n">
        <v>0</v>
      </c>
      <c r="L394" s="313" t="n">
        <v>0</v>
      </c>
      <c r="M394" s="314" t="s">
        <v>3</v>
      </c>
      <c r="N394" s="315"/>
      <c r="O394" s="314"/>
      <c r="P394" s="316"/>
      <c r="Q394" s="314"/>
      <c r="R394" s="314"/>
      <c r="S394" s="314"/>
      <c r="T394" s="315"/>
      <c r="U394" s="315"/>
      <c r="V394" s="315"/>
      <c r="W394" s="317"/>
      <c r="X394" s="314"/>
      <c r="Y394" s="314"/>
    </row>
    <row r="395" customFormat="false" ht="15.75" hidden="false" customHeight="false" outlineLevel="0" collapsed="false">
      <c r="A395" s="36" t="s">
        <v>271</v>
      </c>
      <c r="B395" s="107" t="s">
        <v>205</v>
      </c>
      <c r="C395" s="230"/>
      <c r="D395" s="68"/>
      <c r="E395" s="230"/>
      <c r="F395" s="126"/>
      <c r="G395" s="126"/>
      <c r="H395" s="126"/>
      <c r="I395" s="126"/>
      <c r="J395" s="126"/>
      <c r="K395" s="126"/>
      <c r="L395" s="313"/>
      <c r="M395" s="314"/>
      <c r="N395" s="315"/>
      <c r="O395" s="314"/>
      <c r="P395" s="316"/>
      <c r="Q395" s="314"/>
      <c r="R395" s="314"/>
      <c r="S395" s="314"/>
      <c r="T395" s="315"/>
      <c r="U395" s="315"/>
      <c r="V395" s="315"/>
      <c r="W395" s="317"/>
      <c r="X395" s="314"/>
      <c r="Y395" s="314"/>
    </row>
    <row r="396" customFormat="false" ht="15.75" hidden="false" customHeight="false" outlineLevel="0" collapsed="false">
      <c r="A396" s="36"/>
      <c r="B396" s="107" t="s">
        <v>206</v>
      </c>
      <c r="C396" s="230"/>
      <c r="D396" s="68"/>
      <c r="E396" s="230"/>
      <c r="F396" s="126"/>
      <c r="G396" s="126"/>
      <c r="H396" s="126"/>
      <c r="I396" s="126"/>
      <c r="J396" s="126"/>
      <c r="K396" s="126"/>
      <c r="L396" s="313"/>
      <c r="M396" s="314"/>
      <c r="N396" s="315"/>
      <c r="O396" s="314"/>
      <c r="P396" s="283"/>
      <c r="Q396" s="281"/>
      <c r="R396" s="281"/>
      <c r="S396" s="281"/>
      <c r="T396" s="282"/>
      <c r="U396" s="282"/>
      <c r="V396" s="282"/>
      <c r="W396" s="284"/>
      <c r="X396" s="281"/>
      <c r="Y396" s="281"/>
    </row>
    <row r="397" customFormat="false" ht="15.75" hidden="false" customHeight="false" outlineLevel="0" collapsed="false">
      <c r="A397" s="36"/>
      <c r="B397" s="107"/>
      <c r="C397" s="230"/>
      <c r="D397" s="68"/>
      <c r="E397" s="230"/>
      <c r="F397" s="126"/>
      <c r="G397" s="126"/>
      <c r="H397" s="126"/>
      <c r="I397" s="126"/>
      <c r="J397" s="126"/>
      <c r="K397" s="126"/>
      <c r="L397" s="313"/>
      <c r="M397" s="314"/>
      <c r="N397" s="315"/>
      <c r="O397" s="314"/>
      <c r="P397" s="316"/>
      <c r="Q397" s="314"/>
      <c r="R397" s="314"/>
      <c r="S397" s="314"/>
      <c r="T397" s="315"/>
      <c r="U397" s="315"/>
      <c r="V397" s="315"/>
      <c r="W397" s="317"/>
      <c r="X397" s="314"/>
      <c r="Y397" s="314"/>
    </row>
    <row r="398" customFormat="false" ht="15" hidden="false" customHeight="true" outlineLevel="0" collapsed="false">
      <c r="A398" s="36" t="s">
        <v>272</v>
      </c>
      <c r="B398" s="107" t="s">
        <v>273</v>
      </c>
      <c r="C398" s="230"/>
      <c r="D398" s="68"/>
      <c r="E398" s="230"/>
      <c r="F398" s="68"/>
      <c r="G398" s="68"/>
      <c r="H398" s="68"/>
      <c r="I398" s="68"/>
      <c r="J398" s="68"/>
      <c r="K398" s="68"/>
      <c r="L398" s="383"/>
      <c r="M398" s="281" t="n">
        <f aca="false">89685/1000</f>
        <v>89.685</v>
      </c>
      <c r="N398" s="282"/>
      <c r="O398" s="281"/>
      <c r="P398" s="283"/>
      <c r="Q398" s="281"/>
      <c r="R398" s="281"/>
      <c r="S398" s="281"/>
      <c r="T398" s="282"/>
      <c r="U398" s="282"/>
      <c r="V398" s="282"/>
      <c r="W398" s="284"/>
      <c r="X398" s="281"/>
      <c r="Y398" s="281"/>
    </row>
    <row r="399" customFormat="false" ht="15.75" hidden="false" customHeight="false" outlineLevel="0" collapsed="false">
      <c r="A399" s="36"/>
      <c r="B399" s="299"/>
      <c r="C399" s="182"/>
      <c r="D399" s="182"/>
      <c r="E399" s="182"/>
      <c r="F399" s="534"/>
      <c r="G399" s="126"/>
      <c r="H399" s="126"/>
      <c r="I399" s="126"/>
      <c r="J399" s="126"/>
      <c r="K399" s="498"/>
      <c r="L399" s="499"/>
      <c r="M399" s="535"/>
      <c r="N399" s="501"/>
      <c r="O399" s="503"/>
      <c r="P399" s="502"/>
      <c r="Q399" s="499"/>
      <c r="R399" s="499"/>
      <c r="S399" s="499"/>
      <c r="T399" s="499"/>
      <c r="U399" s="499"/>
      <c r="V399" s="503"/>
      <c r="W399" s="499"/>
      <c r="X399" s="503"/>
      <c r="Y399" s="503"/>
    </row>
    <row r="400" customFormat="false" ht="15.75" hidden="false" customHeight="false" outlineLevel="0" collapsed="false">
      <c r="A400" s="536"/>
      <c r="B400" s="537"/>
      <c r="C400" s="538"/>
      <c r="D400" s="538"/>
      <c r="E400" s="538"/>
      <c r="F400" s="539"/>
      <c r="G400" s="540"/>
      <c r="H400" s="540"/>
      <c r="I400" s="540"/>
      <c r="J400" s="540"/>
      <c r="K400" s="541"/>
      <c r="L400" s="542"/>
      <c r="M400" s="542"/>
      <c r="N400" s="543"/>
      <c r="O400" s="543"/>
      <c r="P400" s="544"/>
      <c r="Q400" s="542"/>
      <c r="R400" s="542"/>
      <c r="S400" s="542"/>
      <c r="T400" s="542"/>
      <c r="U400" s="542"/>
      <c r="V400" s="543"/>
      <c r="W400" s="542"/>
      <c r="X400" s="543"/>
      <c r="Y400" s="543"/>
    </row>
    <row r="401" customFormat="false" ht="15.75" hidden="false" customHeight="false" outlineLevel="0" collapsed="false">
      <c r="A401" s="545" t="s">
        <v>274</v>
      </c>
      <c r="B401" s="67" t="s">
        <v>275</v>
      </c>
      <c r="C401" s="182"/>
      <c r="D401" s="182"/>
      <c r="E401" s="182"/>
      <c r="F401" s="534"/>
      <c r="G401" s="126"/>
      <c r="H401" s="126"/>
      <c r="I401" s="126"/>
      <c r="J401" s="126"/>
      <c r="K401" s="498"/>
      <c r="L401" s="499"/>
      <c r="M401" s="499"/>
      <c r="N401" s="503"/>
      <c r="O401" s="98" t="n">
        <f aca="false">O406+O429+O518</f>
        <v>115236</v>
      </c>
      <c r="P401" s="449" t="n">
        <f aca="false">P406+P429+P518</f>
        <v>123000</v>
      </c>
      <c r="Q401" s="98" t="n">
        <f aca="false">Q406+Q429+Q518</f>
        <v>127550</v>
      </c>
      <c r="R401" s="98" t="n">
        <f aca="false">R406+R429+R518</f>
        <v>141300</v>
      </c>
      <c r="S401" s="98" t="n">
        <f aca="false">S406+S429+S518</f>
        <v>222400</v>
      </c>
      <c r="T401" s="98" t="n">
        <f aca="false">T406+T429+T518</f>
        <v>221200</v>
      </c>
      <c r="U401" s="98" t="n">
        <f aca="false">U406+U429+U518</f>
        <v>169950</v>
      </c>
      <c r="V401" s="99" t="n">
        <f aca="false">V406+V429+V518</f>
        <v>169000</v>
      </c>
      <c r="W401" s="98" t="n">
        <f aca="false">W406+W429+W518</f>
        <v>170850</v>
      </c>
      <c r="X401" s="99" t="n">
        <f aca="false">X406+X429+X518</f>
        <v>159300</v>
      </c>
      <c r="Y401" s="99" t="n">
        <f aca="false">Y406+Y429+Y518</f>
        <v>165300</v>
      </c>
    </row>
    <row r="402" customFormat="false" ht="15" hidden="false" customHeight="false" outlineLevel="0" collapsed="false">
      <c r="A402" s="54"/>
      <c r="B402" s="73" t="s">
        <v>18</v>
      </c>
      <c r="C402" s="178"/>
      <c r="D402" s="181"/>
      <c r="E402" s="441"/>
      <c r="F402" s="441"/>
      <c r="G402" s="181"/>
      <c r="H402" s="181"/>
      <c r="I402" s="181"/>
      <c r="J402" s="181"/>
      <c r="K402" s="182"/>
      <c r="L402" s="182"/>
      <c r="M402" s="183"/>
      <c r="N402" s="184"/>
      <c r="O402" s="442" t="n">
        <f aca="false">O407+O431+O520</f>
        <v>11536</v>
      </c>
      <c r="P402" s="443"/>
      <c r="Q402" s="73"/>
      <c r="R402" s="73"/>
      <c r="S402" s="73"/>
      <c r="T402" s="73"/>
      <c r="U402" s="73"/>
      <c r="V402" s="73"/>
      <c r="W402" s="73"/>
      <c r="X402" s="73"/>
      <c r="Y402" s="73"/>
    </row>
    <row r="403" customFormat="false" ht="15" hidden="false" customHeight="true" outlineLevel="0" collapsed="false">
      <c r="A403" s="36"/>
      <c r="B403" s="76" t="s">
        <v>19</v>
      </c>
      <c r="C403" s="77"/>
      <c r="D403" s="77"/>
      <c r="E403" s="3"/>
      <c r="F403" s="78"/>
      <c r="G403" s="78"/>
      <c r="H403" s="78"/>
      <c r="I403" s="78"/>
      <c r="J403" s="78"/>
      <c r="K403" s="79"/>
      <c r="L403" s="80"/>
      <c r="M403" s="81"/>
      <c r="N403" s="81"/>
      <c r="O403" s="82"/>
      <c r="P403" s="83" t="n">
        <v>122800</v>
      </c>
      <c r="Q403" s="84" t="n">
        <v>131450</v>
      </c>
      <c r="R403" s="84" t="n">
        <v>144600</v>
      </c>
      <c r="S403" s="84" t="n">
        <v>201800</v>
      </c>
      <c r="T403" s="84" t="n">
        <v>208900</v>
      </c>
      <c r="U403" s="84" t="n">
        <v>164350</v>
      </c>
      <c r="V403" s="84" t="n">
        <v>164000</v>
      </c>
      <c r="W403" s="85" t="n">
        <v>165850</v>
      </c>
      <c r="X403" s="84" t="n">
        <v>154300</v>
      </c>
      <c r="Y403" s="84" t="n">
        <v>160300</v>
      </c>
    </row>
    <row r="404" customFormat="false" ht="15" hidden="false" customHeight="true" outlineLevel="0" collapsed="false">
      <c r="A404" s="36"/>
      <c r="B404" s="76" t="s">
        <v>20</v>
      </c>
      <c r="C404" s="77"/>
      <c r="D404" s="77"/>
      <c r="E404" s="3"/>
      <c r="F404" s="78"/>
      <c r="G404" s="78"/>
      <c r="H404" s="78"/>
      <c r="I404" s="78"/>
      <c r="J404" s="78"/>
      <c r="K404" s="79"/>
      <c r="L404" s="80"/>
      <c r="M404" s="81"/>
      <c r="N404" s="81"/>
      <c r="O404" s="82"/>
      <c r="P404" s="83" t="n">
        <f aca="false">P401-P403</f>
        <v>200</v>
      </c>
      <c r="Q404" s="84" t="n">
        <f aca="false">Q401-Q403</f>
        <v>-3900</v>
      </c>
      <c r="R404" s="84" t="n">
        <f aca="false">R401-R403</f>
        <v>-3300</v>
      </c>
      <c r="S404" s="84" t="n">
        <f aca="false">S401-S403</f>
        <v>20600</v>
      </c>
      <c r="T404" s="84" t="n">
        <f aca="false">T401-T403</f>
        <v>12300</v>
      </c>
      <c r="U404" s="84" t="n">
        <f aca="false">U401-U403</f>
        <v>5600</v>
      </c>
      <c r="V404" s="84" t="n">
        <f aca="false">V401-V403</f>
        <v>5000</v>
      </c>
      <c r="W404" s="85" t="n">
        <f aca="false">W401-W403</f>
        <v>5000</v>
      </c>
      <c r="X404" s="84" t="n">
        <f aca="false">X401-X403</f>
        <v>5000</v>
      </c>
      <c r="Y404" s="84" t="n">
        <f aca="false">Y401-Y403</f>
        <v>5000</v>
      </c>
    </row>
    <row r="405" customFormat="false" ht="15.75" hidden="false" customHeight="false" outlineLevel="0" collapsed="false">
      <c r="A405" s="36"/>
      <c r="B405" s="546"/>
      <c r="C405" s="182"/>
      <c r="D405" s="182"/>
      <c r="E405" s="182"/>
      <c r="F405" s="534"/>
      <c r="G405" s="126"/>
      <c r="H405" s="126"/>
      <c r="I405" s="126"/>
      <c r="J405" s="126"/>
      <c r="K405" s="498"/>
      <c r="L405" s="499"/>
      <c r="M405" s="499"/>
      <c r="N405" s="503"/>
      <c r="O405" s="503"/>
      <c r="P405" s="502"/>
      <c r="Q405" s="503"/>
      <c r="R405" s="503"/>
      <c r="S405" s="503"/>
      <c r="T405" s="503"/>
      <c r="U405" s="503"/>
      <c r="V405" s="503"/>
      <c r="W405" s="499"/>
      <c r="X405" s="503"/>
      <c r="Y405" s="503"/>
    </row>
    <row r="406" customFormat="false" ht="15.75" hidden="false" customHeight="false" outlineLevel="0" collapsed="false">
      <c r="A406" s="111"/>
      <c r="B406" s="112" t="s">
        <v>43</v>
      </c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9"/>
      <c r="O406" s="99" t="n">
        <f aca="false">SUM(O414,O416,O418,O420,O422,O424,O426)+O407</f>
        <v>49100</v>
      </c>
      <c r="P406" s="101" t="n">
        <f aca="false">SUM(P414,P416,P418,P420,P422,P424,P426)</f>
        <v>46400</v>
      </c>
      <c r="Q406" s="99" t="n">
        <f aca="false">SUM(Q414,Q416,Q418,Q420,Q422,Q424,Q426)</f>
        <v>57150</v>
      </c>
      <c r="R406" s="99" t="n">
        <f aca="false">SUM(R414,R416,R418,R420,R422,R424,R426)</f>
        <v>73600</v>
      </c>
      <c r="S406" s="99" t="n">
        <f aca="false">SUM(S414,S416,S418,S420,S422,S424,S426)</f>
        <v>109900</v>
      </c>
      <c r="T406" s="99" t="n">
        <f aca="false">SUM(T414,T416,T418,T420,T422,T424,T426)</f>
        <v>101000</v>
      </c>
      <c r="U406" s="99" t="n">
        <f aca="false">SUM(U414,U416,U418,U420,U422,U424,U426)</f>
        <v>85150</v>
      </c>
      <c r="V406" s="99" t="n">
        <f aca="false">SUM(V414,V416,V418,V420,V422,V424,V426)</f>
        <v>90700</v>
      </c>
      <c r="W406" s="98" t="n">
        <f aca="false">SUM(W414,W416,W418,W420,W422,W424,W426)</f>
        <v>73350</v>
      </c>
      <c r="X406" s="99" t="n">
        <f aca="false">SUM(X414,X416,X418,X420,X422,X424,X426)</f>
        <v>73400</v>
      </c>
      <c r="Y406" s="99" t="n">
        <f aca="false">SUM(Y414,Y416,Y418,Y420,Y422,Y424,Y426)</f>
        <v>79500</v>
      </c>
    </row>
    <row r="407" customFormat="false" ht="15.75" hidden="false" customHeight="false" outlineLevel="0" collapsed="false">
      <c r="A407" s="38"/>
      <c r="B407" s="73" t="s">
        <v>18</v>
      </c>
      <c r="C407" s="56"/>
      <c r="D407" s="57"/>
      <c r="E407" s="56"/>
      <c r="F407" s="56"/>
      <c r="G407" s="56"/>
      <c r="H407" s="56"/>
      <c r="I407" s="56"/>
      <c r="J407" s="56"/>
      <c r="K407" s="68"/>
      <c r="L407" s="102"/>
      <c r="M407" s="92"/>
      <c r="N407" s="91"/>
      <c r="O407" s="442" t="n">
        <v>3900</v>
      </c>
      <c r="P407" s="90"/>
      <c r="Q407" s="91"/>
      <c r="R407" s="91"/>
      <c r="S407" s="91"/>
      <c r="T407" s="91"/>
      <c r="U407" s="91"/>
      <c r="V407" s="91"/>
      <c r="W407" s="91"/>
      <c r="X407" s="91"/>
      <c r="Y407" s="91"/>
    </row>
    <row r="408" customFormat="false" ht="15.75" hidden="false" customHeight="false" outlineLevel="0" collapsed="false">
      <c r="A408" s="38"/>
      <c r="B408" s="103"/>
      <c r="C408" s="56"/>
      <c r="D408" s="57"/>
      <c r="E408" s="56"/>
      <c r="F408" s="56"/>
      <c r="G408" s="56"/>
      <c r="H408" s="56"/>
      <c r="I408" s="56"/>
      <c r="J408" s="56"/>
      <c r="K408" s="68"/>
      <c r="L408" s="102"/>
      <c r="M408" s="92"/>
      <c r="N408" s="91"/>
      <c r="O408" s="88"/>
      <c r="P408" s="90"/>
      <c r="Q408" s="91"/>
      <c r="R408" s="91"/>
      <c r="S408" s="91"/>
      <c r="T408" s="91"/>
      <c r="U408" s="91"/>
      <c r="V408" s="91"/>
      <c r="W408" s="92"/>
      <c r="X408" s="91"/>
      <c r="Y408" s="91"/>
    </row>
    <row r="409" customFormat="false" ht="15.75" hidden="false" customHeight="false" outlineLevel="0" collapsed="false">
      <c r="A409" s="38"/>
      <c r="B409" s="547" t="s">
        <v>276</v>
      </c>
      <c r="C409" s="56"/>
      <c r="D409" s="57"/>
      <c r="E409" s="56"/>
      <c r="F409" s="56"/>
      <c r="G409" s="56"/>
      <c r="H409" s="56"/>
      <c r="I409" s="56"/>
      <c r="J409" s="56"/>
      <c r="K409" s="68"/>
      <c r="L409" s="102"/>
      <c r="M409" s="92"/>
      <c r="N409" s="91"/>
      <c r="O409" s="88" t="n">
        <v>40800</v>
      </c>
      <c r="P409" s="548" t="n">
        <v>41500</v>
      </c>
      <c r="Q409" s="75" t="n">
        <v>49700</v>
      </c>
      <c r="R409" s="75" t="n">
        <v>64800</v>
      </c>
      <c r="S409" s="75" t="n">
        <v>71900</v>
      </c>
      <c r="T409" s="75" t="n">
        <v>69300</v>
      </c>
      <c r="U409" s="75" t="n">
        <v>55200</v>
      </c>
      <c r="V409" s="75" t="n">
        <v>60700</v>
      </c>
      <c r="W409" s="549" t="n">
        <v>58400</v>
      </c>
      <c r="X409" s="75"/>
      <c r="Y409" s="75"/>
    </row>
    <row r="410" customFormat="false" ht="1.5" hidden="false" customHeight="true" outlineLevel="0" collapsed="false">
      <c r="A410" s="38"/>
      <c r="B410" s="547" t="s">
        <v>277</v>
      </c>
      <c r="C410" s="56"/>
      <c r="D410" s="57"/>
      <c r="E410" s="56"/>
      <c r="F410" s="56"/>
      <c r="G410" s="56"/>
      <c r="H410" s="56"/>
      <c r="I410" s="56"/>
      <c r="J410" s="56"/>
      <c r="K410" s="68"/>
      <c r="L410" s="102"/>
      <c r="M410" s="92"/>
      <c r="N410" s="91"/>
      <c r="O410" s="88" t="n">
        <v>63800</v>
      </c>
      <c r="P410" s="548" t="n">
        <v>61500</v>
      </c>
      <c r="Q410" s="75" t="n">
        <v>86700</v>
      </c>
      <c r="R410" s="75" t="n">
        <v>94800</v>
      </c>
      <c r="S410" s="75" t="n">
        <v>101900</v>
      </c>
      <c r="T410" s="75" t="n">
        <v>99300</v>
      </c>
      <c r="U410" s="75" t="n">
        <v>85200</v>
      </c>
      <c r="V410" s="75" t="n">
        <v>90700</v>
      </c>
      <c r="W410" s="549" t="n">
        <v>73400</v>
      </c>
      <c r="X410" s="75" t="n">
        <v>73400</v>
      </c>
      <c r="Y410" s="75"/>
    </row>
    <row r="411" customFormat="false" ht="15.75" hidden="false" customHeight="false" outlineLevel="0" collapsed="false">
      <c r="A411" s="38"/>
      <c r="B411" s="547"/>
      <c r="C411" s="56"/>
      <c r="D411" s="57"/>
      <c r="E411" s="56"/>
      <c r="F411" s="56"/>
      <c r="G411" s="56"/>
      <c r="H411" s="56"/>
      <c r="I411" s="56"/>
      <c r="J411" s="56"/>
      <c r="K411" s="68"/>
      <c r="L411" s="102"/>
      <c r="M411" s="92"/>
      <c r="N411" s="91"/>
      <c r="O411" s="88"/>
      <c r="P411" s="548"/>
      <c r="Q411" s="75"/>
      <c r="R411" s="75"/>
      <c r="S411" s="75"/>
      <c r="T411" s="75"/>
      <c r="U411" s="75"/>
      <c r="V411" s="75"/>
      <c r="W411" s="549"/>
      <c r="X411" s="75"/>
      <c r="Y411" s="75"/>
    </row>
    <row r="412" customFormat="false" ht="15.75" hidden="false" customHeight="false" outlineLevel="0" collapsed="false">
      <c r="A412" s="38"/>
      <c r="B412" s="120" t="s">
        <v>278</v>
      </c>
      <c r="C412" s="38"/>
      <c r="D412" s="39"/>
      <c r="E412" s="38"/>
      <c r="F412" s="38"/>
      <c r="G412" s="38"/>
      <c r="H412" s="38"/>
      <c r="I412" s="38"/>
      <c r="J412" s="38"/>
      <c r="K412" s="68"/>
      <c r="L412" s="68"/>
      <c r="M412" s="68"/>
      <c r="N412" s="69"/>
      <c r="O412" s="69"/>
      <c r="P412" s="71"/>
      <c r="Q412" s="69"/>
      <c r="R412" s="69"/>
      <c r="S412" s="69"/>
      <c r="T412" s="69"/>
      <c r="U412" s="69"/>
      <c r="V412" s="69"/>
      <c r="W412" s="68"/>
      <c r="X412" s="69"/>
      <c r="Y412" s="69"/>
    </row>
    <row r="413" customFormat="false" ht="15.75" hidden="false" customHeight="false" outlineLevel="0" collapsed="false">
      <c r="A413" s="38"/>
      <c r="B413" s="73"/>
      <c r="C413" s="106"/>
      <c r="D413" s="108"/>
      <c r="E413" s="106"/>
      <c r="F413" s="106"/>
      <c r="G413" s="106"/>
      <c r="H413" s="106"/>
      <c r="I413" s="106"/>
      <c r="J413" s="106"/>
      <c r="K413" s="68"/>
      <c r="L413" s="102"/>
      <c r="M413" s="68"/>
      <c r="N413" s="69"/>
      <c r="O413" s="69"/>
      <c r="P413" s="71"/>
      <c r="Q413" s="69"/>
      <c r="R413" s="69"/>
      <c r="S413" s="69"/>
      <c r="T413" s="69"/>
      <c r="U413" s="69"/>
      <c r="V413" s="69"/>
      <c r="W413" s="68"/>
      <c r="X413" s="69"/>
      <c r="Y413" s="69"/>
    </row>
    <row r="414" customFormat="false" ht="15.75" hidden="false" customHeight="false" outlineLevel="0" collapsed="false">
      <c r="A414" s="38"/>
      <c r="B414" s="120" t="s">
        <v>279</v>
      </c>
      <c r="C414" s="106"/>
      <c r="D414" s="108"/>
      <c r="E414" s="106"/>
      <c r="F414" s="106"/>
      <c r="G414" s="106"/>
      <c r="H414" s="106"/>
      <c r="I414" s="106"/>
      <c r="J414" s="106"/>
      <c r="K414" s="68"/>
      <c r="L414" s="68"/>
      <c r="M414" s="68"/>
      <c r="N414" s="69"/>
      <c r="O414" s="69" t="n">
        <v>11300</v>
      </c>
      <c r="P414" s="71" t="n">
        <v>11400</v>
      </c>
      <c r="Q414" s="109" t="n">
        <f aca="false">12000-3300</f>
        <v>8700</v>
      </c>
      <c r="R414" s="109" t="n">
        <f aca="false">12000-1700</f>
        <v>10300</v>
      </c>
      <c r="S414" s="109" t="n">
        <f aca="false">15700+3300</f>
        <v>19000</v>
      </c>
      <c r="T414" s="109" t="n">
        <f aca="false">18500+1700</f>
        <v>20200</v>
      </c>
      <c r="U414" s="69" t="n">
        <v>13000</v>
      </c>
      <c r="V414" s="69" t="n">
        <v>14600</v>
      </c>
      <c r="W414" s="68" t="n">
        <v>6600</v>
      </c>
      <c r="X414" s="69" t="n">
        <v>4000</v>
      </c>
      <c r="Y414" s="69" t="n">
        <v>6000</v>
      </c>
    </row>
    <row r="415" customFormat="false" ht="15.75" hidden="false" customHeight="false" outlineLevel="0" collapsed="false">
      <c r="A415" s="38"/>
      <c r="B415" s="73"/>
      <c r="C415" s="106"/>
      <c r="D415" s="108"/>
      <c r="E415" s="106"/>
      <c r="F415" s="106"/>
      <c r="G415" s="106"/>
      <c r="H415" s="106"/>
      <c r="I415" s="106"/>
      <c r="J415" s="106"/>
      <c r="K415" s="68"/>
      <c r="L415" s="102"/>
      <c r="M415" s="68"/>
      <c r="N415" s="69"/>
      <c r="O415" s="69"/>
      <c r="P415" s="130"/>
      <c r="Q415" s="129"/>
      <c r="R415" s="129"/>
      <c r="S415" s="129"/>
      <c r="T415" s="129"/>
      <c r="U415" s="129"/>
      <c r="V415" s="129"/>
      <c r="W415" s="126"/>
      <c r="X415" s="129"/>
      <c r="Y415" s="129"/>
    </row>
    <row r="416" customFormat="false" ht="15.75" hidden="false" customHeight="false" outlineLevel="0" collapsed="false">
      <c r="A416" s="38"/>
      <c r="B416" s="120" t="s">
        <v>280</v>
      </c>
      <c r="C416" s="106"/>
      <c r="D416" s="108"/>
      <c r="E416" s="106"/>
      <c r="F416" s="106"/>
      <c r="G416" s="106"/>
      <c r="H416" s="106"/>
      <c r="I416" s="106"/>
      <c r="J416" s="106"/>
      <c r="K416" s="68"/>
      <c r="L416" s="68"/>
      <c r="M416" s="68"/>
      <c r="N416" s="69"/>
      <c r="O416" s="69" t="n">
        <v>5400</v>
      </c>
      <c r="P416" s="71" t="n">
        <v>8400</v>
      </c>
      <c r="Q416" s="69" t="n">
        <v>24000</v>
      </c>
      <c r="R416" s="69" t="n">
        <f aca="false">41000-18000</f>
        <v>23000</v>
      </c>
      <c r="S416" s="69" t="n">
        <v>40500</v>
      </c>
      <c r="T416" s="69" t="n">
        <v>43100</v>
      </c>
      <c r="U416" s="69" t="n">
        <v>25000</v>
      </c>
      <c r="V416" s="69" t="n">
        <v>15000</v>
      </c>
      <c r="W416" s="68" t="n">
        <v>14000</v>
      </c>
      <c r="X416" s="69" t="n">
        <v>14700</v>
      </c>
      <c r="Y416" s="69" t="n">
        <v>16000</v>
      </c>
    </row>
    <row r="417" customFormat="false" ht="15.75" hidden="false" customHeight="false" outlineLevel="0" collapsed="false">
      <c r="A417" s="38"/>
      <c r="B417" s="73"/>
      <c r="C417" s="106"/>
      <c r="D417" s="108"/>
      <c r="E417" s="106"/>
      <c r="F417" s="106"/>
      <c r="G417" s="106"/>
      <c r="H417" s="106"/>
      <c r="I417" s="106"/>
      <c r="J417" s="106"/>
      <c r="K417" s="68"/>
      <c r="L417" s="102"/>
      <c r="M417" s="68"/>
      <c r="N417" s="69"/>
      <c r="O417" s="69"/>
      <c r="P417" s="130"/>
      <c r="Q417" s="129"/>
      <c r="R417" s="129"/>
      <c r="S417" s="129"/>
      <c r="T417" s="129"/>
      <c r="U417" s="129"/>
      <c r="V417" s="129"/>
      <c r="W417" s="126"/>
      <c r="X417" s="129"/>
      <c r="Y417" s="129"/>
    </row>
    <row r="418" customFormat="false" ht="15.75" hidden="false" customHeight="false" outlineLevel="0" collapsed="false">
      <c r="A418" s="38"/>
      <c r="B418" s="120" t="s">
        <v>281</v>
      </c>
      <c r="C418" s="106"/>
      <c r="D418" s="108"/>
      <c r="E418" s="106"/>
      <c r="F418" s="106"/>
      <c r="G418" s="106"/>
      <c r="H418" s="106"/>
      <c r="I418" s="106"/>
      <c r="J418" s="106"/>
      <c r="K418" s="68"/>
      <c r="L418" s="68"/>
      <c r="M418" s="68"/>
      <c r="N418" s="69"/>
      <c r="O418" s="69" t="n">
        <f aca="false">7200-600</f>
        <v>6600</v>
      </c>
      <c r="P418" s="214" t="n">
        <f aca="false">9500-1200</f>
        <v>8300</v>
      </c>
      <c r="Q418" s="69" t="n">
        <v>6000</v>
      </c>
      <c r="R418" s="69" t="n">
        <v>3100</v>
      </c>
      <c r="S418" s="109" t="n">
        <f aca="false">3100+1200</f>
        <v>4300</v>
      </c>
      <c r="T418" s="69" t="n">
        <v>7600</v>
      </c>
      <c r="U418" s="69" t="n">
        <v>6200</v>
      </c>
      <c r="V418" s="69" t="n">
        <v>1600</v>
      </c>
      <c r="W418" s="68"/>
      <c r="X418" s="69"/>
      <c r="Y418" s="69"/>
    </row>
    <row r="419" customFormat="false" ht="15.75" hidden="false" customHeight="false" outlineLevel="0" collapsed="false">
      <c r="A419" s="38"/>
      <c r="B419" s="73"/>
      <c r="C419" s="106"/>
      <c r="D419" s="108"/>
      <c r="E419" s="106"/>
      <c r="F419" s="106"/>
      <c r="G419" s="106"/>
      <c r="H419" s="106"/>
      <c r="I419" s="106"/>
      <c r="J419" s="106"/>
      <c r="K419" s="68"/>
      <c r="L419" s="102"/>
      <c r="M419" s="68"/>
      <c r="N419" s="69"/>
      <c r="O419" s="69"/>
      <c r="P419" s="130"/>
      <c r="Q419" s="129"/>
      <c r="R419" s="129"/>
      <c r="S419" s="129"/>
      <c r="T419" s="129"/>
      <c r="U419" s="129"/>
      <c r="V419" s="129"/>
      <c r="W419" s="126"/>
      <c r="X419" s="129"/>
      <c r="Y419" s="129"/>
    </row>
    <row r="420" customFormat="false" ht="15.75" hidden="false" customHeight="false" outlineLevel="0" collapsed="false">
      <c r="A420" s="38"/>
      <c r="B420" s="120" t="s">
        <v>282</v>
      </c>
      <c r="C420" s="106"/>
      <c r="D420" s="108"/>
      <c r="E420" s="106"/>
      <c r="F420" s="106"/>
      <c r="G420" s="106"/>
      <c r="H420" s="106"/>
      <c r="I420" s="106"/>
      <c r="J420" s="106"/>
      <c r="K420" s="68"/>
      <c r="L420" s="68"/>
      <c r="M420" s="68"/>
      <c r="N420" s="69"/>
      <c r="O420" s="69" t="n">
        <v>3000</v>
      </c>
      <c r="P420" s="71" t="n">
        <v>3800</v>
      </c>
      <c r="Q420" s="69" t="n">
        <v>9500</v>
      </c>
      <c r="R420" s="69" t="n">
        <v>11800</v>
      </c>
      <c r="S420" s="69" t="n">
        <v>4500</v>
      </c>
      <c r="T420" s="69" t="n">
        <v>1000</v>
      </c>
      <c r="U420" s="69" t="n">
        <v>1000</v>
      </c>
      <c r="V420" s="69" t="n">
        <v>1500</v>
      </c>
      <c r="W420" s="68" t="n">
        <v>1500</v>
      </c>
      <c r="X420" s="69" t="n">
        <v>1500</v>
      </c>
      <c r="Y420" s="69" t="n">
        <v>2000</v>
      </c>
    </row>
    <row r="421" customFormat="false" ht="15.75" hidden="false" customHeight="false" outlineLevel="0" collapsed="false">
      <c r="A421" s="38"/>
      <c r="B421" s="73"/>
      <c r="C421" s="106"/>
      <c r="D421" s="108"/>
      <c r="E421" s="106"/>
      <c r="F421" s="106"/>
      <c r="G421" s="106"/>
      <c r="H421" s="106"/>
      <c r="I421" s="106"/>
      <c r="J421" s="106"/>
      <c r="K421" s="68"/>
      <c r="L421" s="102"/>
      <c r="M421" s="68"/>
      <c r="N421" s="69"/>
      <c r="O421" s="69"/>
      <c r="P421" s="71"/>
      <c r="Q421" s="69"/>
      <c r="R421" s="69"/>
      <c r="S421" s="69"/>
      <c r="T421" s="69"/>
      <c r="U421" s="69"/>
      <c r="V421" s="69"/>
      <c r="W421" s="68"/>
      <c r="X421" s="69"/>
      <c r="Y421" s="69"/>
    </row>
    <row r="422" customFormat="false" ht="15.75" hidden="false" customHeight="false" outlineLevel="0" collapsed="false">
      <c r="A422" s="38"/>
      <c r="B422" s="120" t="s">
        <v>283</v>
      </c>
      <c r="C422" s="106"/>
      <c r="D422" s="108"/>
      <c r="E422" s="106"/>
      <c r="F422" s="106"/>
      <c r="G422" s="106"/>
      <c r="H422" s="106"/>
      <c r="I422" s="106"/>
      <c r="J422" s="106"/>
      <c r="K422" s="68"/>
      <c r="L422" s="68"/>
      <c r="M422" s="68"/>
      <c r="N422" s="69"/>
      <c r="O422" s="69" t="n">
        <v>4000</v>
      </c>
      <c r="P422" s="71" t="n">
        <v>1500</v>
      </c>
      <c r="Q422" s="69" t="n">
        <v>600</v>
      </c>
      <c r="R422" s="69" t="n">
        <v>400</v>
      </c>
      <c r="S422" s="69"/>
      <c r="T422" s="69"/>
      <c r="U422" s="69"/>
      <c r="V422" s="69"/>
      <c r="W422" s="68"/>
      <c r="X422" s="69"/>
      <c r="Y422" s="69"/>
    </row>
    <row r="423" customFormat="false" ht="15.75" hidden="false" customHeight="false" outlineLevel="0" collapsed="false">
      <c r="A423" s="38"/>
      <c r="B423" s="73"/>
      <c r="C423" s="106"/>
      <c r="D423" s="108"/>
      <c r="E423" s="106"/>
      <c r="F423" s="106"/>
      <c r="G423" s="106"/>
      <c r="H423" s="106"/>
      <c r="I423" s="106"/>
      <c r="J423" s="106"/>
      <c r="K423" s="68"/>
      <c r="L423" s="102"/>
      <c r="M423" s="68"/>
      <c r="N423" s="69"/>
      <c r="O423" s="69"/>
      <c r="P423" s="71"/>
      <c r="Q423" s="69"/>
      <c r="R423" s="69"/>
      <c r="S423" s="69"/>
      <c r="T423" s="69"/>
      <c r="U423" s="69"/>
      <c r="V423" s="69"/>
      <c r="W423" s="68"/>
      <c r="X423" s="69"/>
      <c r="Y423" s="69"/>
    </row>
    <row r="424" customFormat="false" ht="15.75" hidden="false" customHeight="false" outlineLevel="0" collapsed="false">
      <c r="A424" s="38"/>
      <c r="B424" s="120" t="s">
        <v>40</v>
      </c>
      <c r="C424" s="106"/>
      <c r="D424" s="108"/>
      <c r="E424" s="106"/>
      <c r="F424" s="106"/>
      <c r="G424" s="106"/>
      <c r="H424" s="106"/>
      <c r="I424" s="106"/>
      <c r="J424" s="106"/>
      <c r="K424" s="68"/>
      <c r="L424" s="68"/>
      <c r="M424" s="68"/>
      <c r="N424" s="69"/>
      <c r="O424" s="69" t="n">
        <v>1500</v>
      </c>
      <c r="P424" s="71" t="n">
        <v>900</v>
      </c>
      <c r="Q424" s="69" t="n">
        <v>2500</v>
      </c>
      <c r="R424" s="69" t="n">
        <v>3500</v>
      </c>
      <c r="S424" s="69" t="n">
        <v>18000</v>
      </c>
      <c r="T424" s="69" t="n">
        <v>26000</v>
      </c>
      <c r="U424" s="69" t="n">
        <v>21000</v>
      </c>
      <c r="V424" s="69" t="n">
        <v>32000</v>
      </c>
      <c r="W424" s="68" t="n">
        <v>37600</v>
      </c>
      <c r="X424" s="69" t="n">
        <v>40000</v>
      </c>
      <c r="Y424" s="69" t="n">
        <v>45000</v>
      </c>
    </row>
    <row r="425" customFormat="false" ht="15.75" hidden="false" customHeight="false" outlineLevel="0" collapsed="false">
      <c r="A425" s="38"/>
      <c r="B425" s="73"/>
      <c r="C425" s="106"/>
      <c r="D425" s="108"/>
      <c r="E425" s="106"/>
      <c r="F425" s="106"/>
      <c r="G425" s="106"/>
      <c r="H425" s="106"/>
      <c r="I425" s="106"/>
      <c r="J425" s="106"/>
      <c r="K425" s="68"/>
      <c r="L425" s="102"/>
      <c r="M425" s="68"/>
      <c r="N425" s="69"/>
      <c r="O425" s="69"/>
      <c r="P425" s="71"/>
      <c r="Q425" s="69"/>
      <c r="R425" s="69"/>
      <c r="S425" s="69"/>
      <c r="T425" s="69"/>
      <c r="U425" s="69"/>
      <c r="V425" s="69"/>
      <c r="W425" s="68"/>
      <c r="X425" s="69"/>
      <c r="Y425" s="69"/>
    </row>
    <row r="426" customFormat="false" ht="15.75" hidden="false" customHeight="false" outlineLevel="0" collapsed="false">
      <c r="A426" s="38"/>
      <c r="B426" s="480" t="s">
        <v>284</v>
      </c>
      <c r="C426" s="106"/>
      <c r="D426" s="108"/>
      <c r="E426" s="106"/>
      <c r="F426" s="106"/>
      <c r="G426" s="106"/>
      <c r="H426" s="106"/>
      <c r="I426" s="106"/>
      <c r="J426" s="106"/>
      <c r="K426" s="68"/>
      <c r="L426" s="102"/>
      <c r="M426" s="68"/>
      <c r="N426" s="69"/>
      <c r="O426" s="69" t="n">
        <v>13400</v>
      </c>
      <c r="P426" s="71" t="n">
        <v>12100</v>
      </c>
      <c r="Q426" s="69" t="n">
        <f aca="false">5900-50</f>
        <v>5850</v>
      </c>
      <c r="R426" s="69" t="n">
        <v>21500</v>
      </c>
      <c r="S426" s="69" t="n">
        <v>23600</v>
      </c>
      <c r="T426" s="69" t="n">
        <v>3100</v>
      </c>
      <c r="U426" s="69" t="n">
        <f aca="false">19000-50</f>
        <v>18950</v>
      </c>
      <c r="V426" s="69" t="n">
        <v>26000</v>
      </c>
      <c r="W426" s="68" t="n">
        <f aca="false">13700-50</f>
        <v>13650</v>
      </c>
      <c r="X426" s="69" t="n">
        <v>13200</v>
      </c>
      <c r="Y426" s="69" t="n">
        <v>10500</v>
      </c>
    </row>
    <row r="427" customFormat="false" ht="15.75" hidden="false" customHeight="false" outlineLevel="0" collapsed="false">
      <c r="A427" s="38"/>
      <c r="B427" s="37"/>
      <c r="C427" s="106"/>
      <c r="D427" s="108"/>
      <c r="E427" s="106"/>
      <c r="F427" s="106"/>
      <c r="G427" s="106"/>
      <c r="H427" s="106"/>
      <c r="I427" s="106"/>
      <c r="J427" s="106"/>
      <c r="K427" s="68"/>
      <c r="L427" s="68"/>
      <c r="M427" s="68"/>
      <c r="N427" s="69"/>
      <c r="O427" s="69"/>
      <c r="P427" s="71"/>
      <c r="Q427" s="69"/>
      <c r="R427" s="69"/>
      <c r="S427" s="69"/>
      <c r="T427" s="69"/>
      <c r="U427" s="69"/>
      <c r="V427" s="69"/>
      <c r="W427" s="68"/>
      <c r="X427" s="69"/>
      <c r="Y427" s="69"/>
    </row>
    <row r="428" customFormat="false" ht="15.75" hidden="false" customHeight="false" outlineLevel="0" collapsed="false">
      <c r="A428" s="36"/>
      <c r="B428" s="73"/>
      <c r="C428" s="507"/>
      <c r="D428" s="507"/>
      <c r="E428" s="507"/>
      <c r="F428" s="507"/>
      <c r="G428" s="507"/>
      <c r="H428" s="507"/>
      <c r="I428" s="507"/>
      <c r="J428" s="481"/>
      <c r="K428" s="291"/>
      <c r="L428" s="291"/>
      <c r="M428" s="491"/>
      <c r="N428" s="491"/>
      <c r="O428" s="292" t="s">
        <v>3</v>
      </c>
      <c r="P428" s="483" t="s">
        <v>3</v>
      </c>
      <c r="Q428" s="292" t="s">
        <v>3</v>
      </c>
      <c r="R428" s="292" t="s">
        <v>3</v>
      </c>
      <c r="S428" s="293" t="s">
        <v>3</v>
      </c>
      <c r="T428" s="293" t="s">
        <v>3</v>
      </c>
      <c r="U428" s="293" t="s">
        <v>3</v>
      </c>
      <c r="V428" s="293" t="s">
        <v>3</v>
      </c>
      <c r="W428" s="295" t="s">
        <v>3</v>
      </c>
      <c r="X428" s="292" t="s">
        <v>3</v>
      </c>
      <c r="Y428" s="292"/>
    </row>
    <row r="429" customFormat="false" ht="15.75" hidden="false" customHeight="true" outlineLevel="0" collapsed="false">
      <c r="A429" s="111"/>
      <c r="B429" s="401" t="s">
        <v>285</v>
      </c>
      <c r="C429" s="327"/>
      <c r="D429" s="327"/>
      <c r="E429" s="177"/>
      <c r="F429" s="177"/>
      <c r="G429" s="177"/>
      <c r="H429" s="177"/>
      <c r="I429" s="177"/>
      <c r="J429" s="177"/>
      <c r="K429" s="98"/>
      <c r="L429" s="98"/>
      <c r="M429" s="99"/>
      <c r="N429" s="99"/>
      <c r="O429" s="99" t="n">
        <f aca="false">SUM(O436,O443,O455,O471,O489,O506,O512,O515)+O431</f>
        <v>58540</v>
      </c>
      <c r="P429" s="101" t="n">
        <f aca="false">SUM(P436,P443,P455,P471,P489,P506,P512,P515)</f>
        <v>68800</v>
      </c>
      <c r="Q429" s="98" t="n">
        <f aca="false">SUM(Q436,Q443,Q455,Q471,Q489,Q506,Q512,Q515)</f>
        <v>60300</v>
      </c>
      <c r="R429" s="98" t="n">
        <f aca="false">SUM(R436,R443,R455,R471,R489,R506,R512,R515)</f>
        <v>57000</v>
      </c>
      <c r="S429" s="98" t="n">
        <f aca="false">SUM(S436,S443,S455,S471,S489,S506,S512,S515)</f>
        <v>101100</v>
      </c>
      <c r="T429" s="98" t="n">
        <f aca="false">SUM(T436,T443,T455,T471,T489,T506,T512,T515)</f>
        <v>108600</v>
      </c>
      <c r="U429" s="98" t="n">
        <f aca="false">SUM(U436,U443,U455,U471,U489,U506,U512,U515)</f>
        <v>73200</v>
      </c>
      <c r="V429" s="98" t="n">
        <f aca="false">SUM(V436,V443,V455,V471,V489,V506,V512,V515)</f>
        <v>66900</v>
      </c>
      <c r="W429" s="98" t="n">
        <f aca="false">SUM(W436,W443,W455,W471,W489,W506,W512,W515)</f>
        <v>86500</v>
      </c>
      <c r="X429" s="99" t="n">
        <f aca="false">SUM(X436,X443,X455,X471,X489,X506,X512,X515)</f>
        <v>74900</v>
      </c>
      <c r="Y429" s="99" t="n">
        <f aca="false">SUM(Y436,Y443,Y455,Y471,Y489,Y506,Y512,Y515)</f>
        <v>73800</v>
      </c>
    </row>
    <row r="430" customFormat="false" ht="15" hidden="false" customHeight="true" outlineLevel="0" collapsed="false">
      <c r="A430" s="54"/>
      <c r="B430" s="73" t="s">
        <v>132</v>
      </c>
      <c r="C430" s="231"/>
      <c r="D430" s="231"/>
      <c r="E430" s="231"/>
      <c r="F430" s="231"/>
      <c r="G430" s="231"/>
      <c r="H430" s="328"/>
      <c r="I430" s="181"/>
      <c r="J430" s="329"/>
      <c r="K430" s="330"/>
      <c r="L430" s="330"/>
      <c r="M430" s="331"/>
      <c r="N430" s="331"/>
      <c r="O430" s="331" t="n">
        <v>0.557124518613607</v>
      </c>
      <c r="P430" s="333" t="n">
        <v>0.10840890354493</v>
      </c>
      <c r="Q430" s="331" t="n">
        <v>-0.41316474525846</v>
      </c>
      <c r="R430" s="331" t="n">
        <v>-0.17743979721166</v>
      </c>
      <c r="S430" s="331" t="n">
        <v>0.268104776579353</v>
      </c>
      <c r="T430" s="331" t="n">
        <v>0.0984204131227218</v>
      </c>
      <c r="U430" s="331" t="n">
        <v>-0.186946902654867</v>
      </c>
      <c r="V430" s="331" t="n">
        <v>0.183673469387755</v>
      </c>
      <c r="W430" s="330" t="n">
        <v>0.109195402298851</v>
      </c>
      <c r="X430" s="331" t="n">
        <f aca="false">+(X429-W429)/W429</f>
        <v>-0.134104046242775</v>
      </c>
      <c r="Y430" s="331" t="n">
        <f aca="false">+(Y429-X429)/X429</f>
        <v>-0.0146862483311081</v>
      </c>
    </row>
    <row r="431" s="345" customFormat="true" ht="15" hidden="false" customHeight="true" outlineLevel="0" collapsed="false">
      <c r="A431" s="334"/>
      <c r="B431" s="73" t="s">
        <v>18</v>
      </c>
      <c r="C431" s="336"/>
      <c r="D431" s="336"/>
      <c r="E431" s="336"/>
      <c r="F431" s="336"/>
      <c r="G431" s="336"/>
      <c r="H431" s="337"/>
      <c r="I431" s="338"/>
      <c r="J431" s="337"/>
      <c r="K431" s="339"/>
      <c r="L431" s="339"/>
      <c r="M431" s="342"/>
      <c r="N431" s="342"/>
      <c r="O431" s="442" t="n">
        <v>6040</v>
      </c>
      <c r="P431" s="550"/>
      <c r="Q431" s="344"/>
      <c r="R431" s="344"/>
      <c r="S431" s="344"/>
      <c r="T431" s="344"/>
      <c r="U431" s="344"/>
      <c r="V431" s="344"/>
      <c r="W431" s="344"/>
      <c r="X431" s="344"/>
      <c r="Y431" s="344"/>
    </row>
    <row r="432" customFormat="false" ht="15" hidden="false" customHeight="true" outlineLevel="0" collapsed="false">
      <c r="A432" s="54"/>
      <c r="B432" s="346"/>
      <c r="C432" s="231"/>
      <c r="D432" s="231"/>
      <c r="E432" s="231"/>
      <c r="F432" s="231"/>
      <c r="G432" s="303"/>
      <c r="H432" s="347"/>
      <c r="I432" s="348"/>
      <c r="J432" s="347"/>
      <c r="K432" s="349"/>
      <c r="L432" s="134"/>
      <c r="M432" s="551"/>
      <c r="N432" s="551"/>
      <c r="O432" s="352"/>
      <c r="P432" s="552"/>
      <c r="Q432" s="344"/>
      <c r="R432" s="351"/>
      <c r="S432" s="351"/>
      <c r="T432" s="351"/>
      <c r="U432" s="351"/>
      <c r="V432" s="351"/>
      <c r="W432" s="354"/>
      <c r="X432" s="350"/>
      <c r="Y432" s="350"/>
    </row>
    <row r="433" customFormat="false" ht="15" hidden="false" customHeight="true" outlineLevel="0" collapsed="false">
      <c r="A433" s="54"/>
      <c r="B433" s="73" t="s">
        <v>286</v>
      </c>
      <c r="C433" s="231"/>
      <c r="D433" s="231"/>
      <c r="E433" s="231"/>
      <c r="F433" s="231"/>
      <c r="G433" s="303"/>
      <c r="H433" s="347"/>
      <c r="I433" s="348"/>
      <c r="J433" s="347"/>
      <c r="K433" s="349"/>
      <c r="L433" s="134"/>
      <c r="M433" s="551"/>
      <c r="N433" s="551"/>
      <c r="O433" s="352" t="n">
        <v>121300</v>
      </c>
      <c r="P433" s="117" t="n">
        <v>134450</v>
      </c>
      <c r="Q433" s="75" t="n">
        <v>78900</v>
      </c>
      <c r="R433" s="75" t="n">
        <v>64900</v>
      </c>
      <c r="S433" s="75" t="n">
        <v>82300</v>
      </c>
      <c r="T433" s="75" t="n">
        <v>90400</v>
      </c>
      <c r="U433" s="75" t="n">
        <v>73500</v>
      </c>
      <c r="V433" s="75" t="n">
        <v>87000</v>
      </c>
      <c r="W433" s="549" t="n">
        <v>96500</v>
      </c>
      <c r="X433" s="75"/>
      <c r="Y433" s="75"/>
    </row>
    <row r="434" customFormat="false" ht="15" hidden="false" customHeight="true" outlineLevel="0" collapsed="false">
      <c r="A434" s="54"/>
      <c r="B434" s="73" t="s">
        <v>277</v>
      </c>
      <c r="C434" s="231"/>
      <c r="D434" s="231"/>
      <c r="E434" s="231"/>
      <c r="F434" s="231"/>
      <c r="G434" s="303"/>
      <c r="H434" s="347"/>
      <c r="I434" s="348"/>
      <c r="J434" s="347"/>
      <c r="K434" s="349"/>
      <c r="L434" s="134"/>
      <c r="M434" s="551"/>
      <c r="N434" s="551"/>
      <c r="O434" s="352" t="n">
        <v>143300</v>
      </c>
      <c r="P434" s="117" t="n">
        <v>182450</v>
      </c>
      <c r="Q434" s="553" t="n">
        <v>109900</v>
      </c>
      <c r="R434" s="553" t="n">
        <v>74850</v>
      </c>
      <c r="S434" s="553" t="n">
        <v>92300</v>
      </c>
      <c r="T434" s="553" t="n">
        <v>100400</v>
      </c>
      <c r="U434" s="553" t="n">
        <v>78500</v>
      </c>
      <c r="V434" s="553" t="n">
        <v>92000</v>
      </c>
      <c r="W434" s="554" t="n">
        <v>111500</v>
      </c>
      <c r="X434" s="553" t="n">
        <v>100000</v>
      </c>
      <c r="Y434" s="553"/>
    </row>
    <row r="435" customFormat="false" ht="15" hidden="false" customHeight="true" outlineLevel="0" collapsed="false">
      <c r="A435" s="54"/>
      <c r="B435" s="73"/>
      <c r="C435" s="231"/>
      <c r="D435" s="231"/>
      <c r="E435" s="231"/>
      <c r="F435" s="231"/>
      <c r="G435" s="303"/>
      <c r="H435" s="347"/>
      <c r="I435" s="348"/>
      <c r="J435" s="347"/>
      <c r="K435" s="349"/>
      <c r="L435" s="134"/>
      <c r="M435" s="551"/>
      <c r="N435" s="551"/>
      <c r="O435" s="352"/>
      <c r="P435" s="117"/>
      <c r="Q435" s="553"/>
      <c r="R435" s="553"/>
      <c r="S435" s="553"/>
      <c r="T435" s="553"/>
      <c r="U435" s="553"/>
      <c r="V435" s="553"/>
      <c r="W435" s="110"/>
      <c r="X435" s="553"/>
      <c r="Y435" s="553"/>
    </row>
    <row r="436" s="3" customFormat="true" ht="15.75" hidden="false" customHeight="true" outlineLevel="0" collapsed="false">
      <c r="A436" s="38"/>
      <c r="B436" s="120" t="s">
        <v>278</v>
      </c>
      <c r="C436" s="212"/>
      <c r="D436" s="212"/>
      <c r="E436" s="212"/>
      <c r="F436" s="212"/>
      <c r="G436" s="212"/>
      <c r="H436" s="212"/>
      <c r="I436" s="212"/>
      <c r="J436" s="212"/>
      <c r="K436" s="68"/>
      <c r="L436" s="68"/>
      <c r="M436" s="69"/>
      <c r="N436" s="69"/>
      <c r="O436" s="69" t="n">
        <v>400</v>
      </c>
      <c r="P436" s="71" t="n">
        <v>400</v>
      </c>
      <c r="Q436" s="70" t="n">
        <v>3300</v>
      </c>
      <c r="R436" s="70" t="n">
        <v>5600</v>
      </c>
      <c r="S436" s="70" t="n">
        <v>3700</v>
      </c>
      <c r="T436" s="70" t="n">
        <v>1800</v>
      </c>
      <c r="U436" s="110"/>
      <c r="V436" s="110"/>
      <c r="W436" s="110"/>
      <c r="X436" s="110"/>
      <c r="Y436" s="110"/>
    </row>
    <row r="437" customFormat="false" ht="15" hidden="false" customHeight="true" outlineLevel="0" collapsed="false">
      <c r="A437" s="56"/>
      <c r="B437" s="73"/>
      <c r="C437" s="118"/>
      <c r="D437" s="119"/>
      <c r="E437" s="119"/>
      <c r="F437" s="224"/>
      <c r="G437" s="92"/>
      <c r="H437" s="209"/>
      <c r="I437" s="307"/>
      <c r="J437" s="355"/>
      <c r="K437" s="167"/>
      <c r="L437" s="304"/>
      <c r="M437" s="298"/>
      <c r="N437" s="298"/>
      <c r="O437" s="298"/>
      <c r="P437" s="308"/>
      <c r="Q437" s="298"/>
      <c r="R437" s="298"/>
      <c r="S437" s="299"/>
      <c r="T437" s="299"/>
      <c r="U437" s="555"/>
      <c r="V437" s="555"/>
      <c r="W437" s="556"/>
      <c r="X437" s="557"/>
      <c r="Y437" s="557"/>
    </row>
    <row r="438" customFormat="false" ht="15" hidden="false" customHeight="true" outlineLevel="0" collapsed="false">
      <c r="A438" s="56"/>
      <c r="B438" s="55" t="s">
        <v>135</v>
      </c>
      <c r="C438" s="231"/>
      <c r="D438" s="231"/>
      <c r="E438" s="231"/>
      <c r="F438" s="231"/>
      <c r="G438" s="231"/>
      <c r="H438" s="231"/>
      <c r="I438" s="231"/>
      <c r="J438" s="231"/>
      <c r="K438" s="126"/>
      <c r="L438" s="126"/>
      <c r="M438" s="129"/>
      <c r="N438" s="129"/>
      <c r="O438" s="129"/>
      <c r="P438" s="130"/>
      <c r="Q438" s="129"/>
      <c r="R438" s="129"/>
      <c r="S438" s="279"/>
      <c r="T438" s="279"/>
      <c r="U438" s="128"/>
      <c r="V438" s="128"/>
      <c r="W438" s="558"/>
      <c r="X438" s="127"/>
      <c r="Y438" s="127"/>
    </row>
    <row r="439" customFormat="false" ht="15" hidden="false" customHeight="true" outlineLevel="0" collapsed="false">
      <c r="A439" s="56"/>
      <c r="B439" s="95" t="s">
        <v>136</v>
      </c>
      <c r="C439" s="231"/>
      <c r="D439" s="231"/>
      <c r="E439" s="231"/>
      <c r="F439" s="231"/>
      <c r="G439" s="231"/>
      <c r="H439" s="231"/>
      <c r="I439" s="231"/>
      <c r="J439" s="231"/>
      <c r="K439" s="126"/>
      <c r="L439" s="58"/>
      <c r="M439" s="61"/>
      <c r="N439" s="61"/>
      <c r="O439" s="61"/>
      <c r="P439" s="62"/>
      <c r="Q439" s="61"/>
      <c r="R439" s="61"/>
      <c r="S439" s="97"/>
      <c r="T439" s="97"/>
      <c r="U439" s="60"/>
      <c r="V439" s="60"/>
      <c r="W439" s="235"/>
      <c r="X439" s="59"/>
      <c r="Y439" s="59"/>
    </row>
    <row r="440" customFormat="false" ht="15" hidden="false" customHeight="true" outlineLevel="0" collapsed="false">
      <c r="A440" s="56"/>
      <c r="B440" s="95" t="s">
        <v>137</v>
      </c>
      <c r="C440" s="231"/>
      <c r="D440" s="231"/>
      <c r="E440" s="231"/>
      <c r="F440" s="231"/>
      <c r="G440" s="231"/>
      <c r="H440" s="231"/>
      <c r="I440" s="231"/>
      <c r="J440" s="231"/>
      <c r="K440" s="126"/>
      <c r="L440" s="126"/>
      <c r="M440" s="129"/>
      <c r="N440" s="129"/>
      <c r="O440" s="129"/>
      <c r="P440" s="62"/>
      <c r="Q440" s="61"/>
      <c r="R440" s="61"/>
      <c r="S440" s="61"/>
      <c r="T440" s="61"/>
      <c r="U440" s="59"/>
      <c r="V440" s="59"/>
      <c r="W440" s="559"/>
      <c r="X440" s="59"/>
      <c r="Y440" s="59"/>
    </row>
    <row r="441" customFormat="false" ht="15" hidden="false" customHeight="true" outlineLevel="0" collapsed="false">
      <c r="A441" s="56"/>
      <c r="B441" s="95" t="s">
        <v>138</v>
      </c>
      <c r="C441" s="231"/>
      <c r="D441" s="231"/>
      <c r="E441" s="231"/>
      <c r="F441" s="231"/>
      <c r="G441" s="231"/>
      <c r="H441" s="231"/>
      <c r="I441" s="231"/>
      <c r="J441" s="231"/>
      <c r="K441" s="126"/>
      <c r="L441" s="58"/>
      <c r="M441" s="61"/>
      <c r="N441" s="61"/>
      <c r="O441" s="61"/>
      <c r="P441" s="62"/>
      <c r="Q441" s="61"/>
      <c r="R441" s="61"/>
      <c r="S441" s="97"/>
      <c r="T441" s="97"/>
      <c r="U441" s="60"/>
      <c r="V441" s="60"/>
      <c r="W441" s="235"/>
      <c r="X441" s="59"/>
      <c r="Y441" s="59"/>
    </row>
    <row r="442" customFormat="false" ht="15" hidden="false" customHeight="true" outlineLevel="0" collapsed="false">
      <c r="A442" s="56"/>
      <c r="B442" s="55"/>
      <c r="C442" s="231"/>
      <c r="D442" s="231"/>
      <c r="E442" s="231"/>
      <c r="F442" s="231"/>
      <c r="G442" s="231"/>
      <c r="H442" s="328"/>
      <c r="I442" s="328"/>
      <c r="J442" s="328"/>
      <c r="K442" s="349"/>
      <c r="L442" s="349"/>
      <c r="M442" s="356"/>
      <c r="N442" s="356"/>
      <c r="O442" s="356"/>
      <c r="P442" s="358"/>
      <c r="Q442" s="356"/>
      <c r="R442" s="356"/>
      <c r="S442" s="356"/>
      <c r="T442" s="357"/>
      <c r="U442" s="560"/>
      <c r="V442" s="560"/>
      <c r="W442" s="561"/>
      <c r="X442" s="562"/>
      <c r="Y442" s="562"/>
    </row>
    <row r="443" s="3" customFormat="true" ht="15.75" hidden="false" customHeight="true" outlineLevel="0" collapsed="false">
      <c r="A443" s="38"/>
      <c r="B443" s="120" t="s">
        <v>279</v>
      </c>
      <c r="C443" s="212"/>
      <c r="D443" s="212"/>
      <c r="E443" s="212"/>
      <c r="F443" s="212"/>
      <c r="G443" s="212"/>
      <c r="H443" s="212"/>
      <c r="I443" s="212"/>
      <c r="J443" s="212"/>
      <c r="K443" s="68"/>
      <c r="L443" s="68"/>
      <c r="M443" s="69"/>
      <c r="N443" s="69"/>
      <c r="O443" s="69" t="n">
        <v>13000</v>
      </c>
      <c r="P443" s="71" t="n">
        <v>25500</v>
      </c>
      <c r="Q443" s="68" t="n">
        <v>21300</v>
      </c>
      <c r="R443" s="122" t="n">
        <f aca="false">14500-1000</f>
        <v>13500</v>
      </c>
      <c r="S443" s="122" t="n">
        <f aca="false">22500+1000+15000</f>
        <v>38500</v>
      </c>
      <c r="T443" s="109" t="n">
        <f aca="false">29000+10000</f>
        <v>39000</v>
      </c>
      <c r="U443" s="109" t="n">
        <f aca="false">20000+5000</f>
        <v>25000</v>
      </c>
      <c r="V443" s="109" t="n">
        <f aca="false">11500+5000</f>
        <v>16500</v>
      </c>
      <c r="W443" s="122" t="n">
        <f aca="false">9000+5000</f>
        <v>14000</v>
      </c>
      <c r="X443" s="109" t="n">
        <f aca="false">12500+5000</f>
        <v>17500</v>
      </c>
      <c r="Y443" s="109" t="n">
        <f aca="false">10300+5000</f>
        <v>15300</v>
      </c>
    </row>
    <row r="444" s="3" customFormat="true" ht="15.75" hidden="false" customHeight="true" outlineLevel="0" collapsed="false">
      <c r="A444" s="72"/>
      <c r="B444" s="73"/>
      <c r="C444" s="118"/>
      <c r="D444" s="119"/>
      <c r="E444" s="119"/>
      <c r="F444" s="360"/>
      <c r="G444" s="92"/>
      <c r="H444" s="209"/>
      <c r="I444" s="307"/>
      <c r="J444" s="355"/>
      <c r="K444" s="167"/>
      <c r="L444" s="102"/>
      <c r="M444" s="170"/>
      <c r="N444" s="170"/>
      <c r="O444" s="170"/>
      <c r="P444" s="251"/>
      <c r="Q444" s="170"/>
      <c r="R444" s="170"/>
      <c r="S444" s="197"/>
      <c r="T444" s="170"/>
      <c r="U444" s="170"/>
      <c r="V444" s="170"/>
      <c r="W444" s="167"/>
      <c r="X444" s="170"/>
      <c r="Y444" s="170"/>
    </row>
    <row r="445" s="278" customFormat="true" ht="15.75" hidden="false" customHeight="true" outlineLevel="0" collapsed="false">
      <c r="A445" s="361"/>
      <c r="B445" s="362" t="s">
        <v>141</v>
      </c>
      <c r="C445" s="118"/>
      <c r="D445" s="119"/>
      <c r="E445" s="119"/>
      <c r="F445" s="360"/>
      <c r="G445" s="92"/>
      <c r="H445" s="209"/>
      <c r="I445" s="307"/>
      <c r="J445" s="119"/>
      <c r="K445" s="119"/>
      <c r="L445" s="119"/>
      <c r="M445" s="88"/>
      <c r="N445" s="88"/>
      <c r="O445" s="88"/>
      <c r="P445" s="117"/>
      <c r="Q445" s="88"/>
      <c r="R445" s="88"/>
      <c r="S445" s="88"/>
      <c r="T445" s="88"/>
      <c r="U445" s="88"/>
      <c r="V445" s="88"/>
      <c r="W445" s="119"/>
      <c r="X445" s="88"/>
      <c r="Y445" s="88"/>
    </row>
    <row r="446" s="278" customFormat="true" ht="15" hidden="false" customHeight="true" outlineLevel="0" collapsed="false">
      <c r="A446" s="363"/>
      <c r="B446" s="253" t="s">
        <v>142</v>
      </c>
      <c r="C446" s="119"/>
      <c r="D446" s="224"/>
      <c r="E446" s="224"/>
      <c r="F446" s="224"/>
      <c r="G446" s="224"/>
      <c r="H446" s="224"/>
      <c r="I446" s="224"/>
      <c r="J446" s="224"/>
      <c r="K446" s="119"/>
      <c r="L446" s="119"/>
      <c r="M446" s="88"/>
      <c r="N446" s="88"/>
      <c r="O446" s="88"/>
      <c r="P446" s="117"/>
      <c r="Q446" s="88"/>
      <c r="R446" s="88"/>
      <c r="S446" s="89"/>
      <c r="T446" s="89"/>
      <c r="U446" s="89"/>
      <c r="V446" s="89"/>
      <c r="W446" s="118"/>
      <c r="X446" s="88"/>
      <c r="Y446" s="88"/>
    </row>
    <row r="447" s="278" customFormat="true" ht="15.75" hidden="false" customHeight="true" outlineLevel="0" collapsed="false">
      <c r="A447" s="364"/>
      <c r="B447" s="365" t="s">
        <v>143</v>
      </c>
      <c r="C447" s="224"/>
      <c r="D447" s="224"/>
      <c r="E447" s="224"/>
      <c r="F447" s="224"/>
      <c r="G447" s="224"/>
      <c r="H447" s="224"/>
      <c r="I447" s="224"/>
      <c r="J447" s="224"/>
      <c r="K447" s="119"/>
      <c r="L447" s="119"/>
      <c r="M447" s="88"/>
      <c r="N447" s="88"/>
      <c r="O447" s="88"/>
      <c r="P447" s="117"/>
      <c r="Q447" s="88"/>
      <c r="R447" s="88"/>
      <c r="S447" s="88"/>
      <c r="T447" s="88"/>
      <c r="U447" s="88"/>
      <c r="V447" s="88"/>
      <c r="W447" s="119"/>
      <c r="X447" s="88"/>
      <c r="Y447" s="88"/>
    </row>
    <row r="448" s="3" customFormat="true" ht="15" hidden="false" customHeight="true" outlineLevel="0" collapsed="false">
      <c r="A448" s="56"/>
      <c r="B448" s="95" t="s">
        <v>144</v>
      </c>
      <c r="C448" s="126"/>
      <c r="D448" s="231"/>
      <c r="E448" s="231"/>
      <c r="F448" s="231"/>
      <c r="G448" s="231"/>
      <c r="H448" s="231"/>
      <c r="I448" s="231"/>
      <c r="J448" s="231"/>
      <c r="K448" s="126"/>
      <c r="L448" s="126"/>
      <c r="M448" s="129"/>
      <c r="N448" s="129"/>
      <c r="O448" s="129"/>
      <c r="P448" s="130"/>
      <c r="Q448" s="129"/>
      <c r="R448" s="129"/>
      <c r="S448" s="279"/>
      <c r="T448" s="279"/>
      <c r="U448" s="279"/>
      <c r="V448" s="279"/>
      <c r="W448" s="280"/>
      <c r="X448" s="129"/>
      <c r="Y448" s="129"/>
    </row>
    <row r="449" s="3" customFormat="true" ht="15" hidden="false" customHeight="true" outlineLevel="0" collapsed="false">
      <c r="A449" s="56"/>
      <c r="B449" s="95" t="s">
        <v>145</v>
      </c>
      <c r="C449" s="126"/>
      <c r="D449" s="231"/>
      <c r="E449" s="231"/>
      <c r="F449" s="231"/>
      <c r="G449" s="231"/>
      <c r="H449" s="231"/>
      <c r="I449" s="231"/>
      <c r="J449" s="231"/>
      <c r="K449" s="126"/>
      <c r="L449" s="126"/>
      <c r="M449" s="129"/>
      <c r="N449" s="129"/>
      <c r="O449" s="129"/>
      <c r="P449" s="130"/>
      <c r="Q449" s="129"/>
      <c r="R449" s="129"/>
      <c r="S449" s="279"/>
      <c r="T449" s="279"/>
      <c r="U449" s="279"/>
      <c r="V449" s="279"/>
      <c r="W449" s="280"/>
      <c r="X449" s="129"/>
      <c r="Y449" s="129"/>
    </row>
    <row r="450" s="3" customFormat="true" ht="15" hidden="false" customHeight="true" outlineLevel="0" collapsed="false">
      <c r="A450" s="56"/>
      <c r="B450" s="95" t="s">
        <v>146</v>
      </c>
      <c r="C450" s="126"/>
      <c r="D450" s="231"/>
      <c r="E450" s="231"/>
      <c r="F450" s="231"/>
      <c r="G450" s="231"/>
      <c r="H450" s="231"/>
      <c r="I450" s="231"/>
      <c r="J450" s="231"/>
      <c r="K450" s="126"/>
      <c r="L450" s="126"/>
      <c r="M450" s="129"/>
      <c r="N450" s="129"/>
      <c r="O450" s="129"/>
      <c r="P450" s="130"/>
      <c r="Q450" s="129"/>
      <c r="R450" s="129"/>
      <c r="S450" s="279"/>
      <c r="T450" s="279"/>
      <c r="U450" s="279"/>
      <c r="V450" s="279"/>
      <c r="W450" s="280"/>
      <c r="X450" s="129"/>
      <c r="Y450" s="129"/>
    </row>
    <row r="451" s="3" customFormat="true" ht="15" hidden="false" customHeight="true" outlineLevel="0" collapsed="false">
      <c r="A451" s="56"/>
      <c r="B451" s="95" t="s">
        <v>147</v>
      </c>
      <c r="C451" s="126"/>
      <c r="D451" s="231"/>
      <c r="E451" s="231"/>
      <c r="F451" s="231"/>
      <c r="G451" s="231"/>
      <c r="H451" s="231"/>
      <c r="I451" s="231"/>
      <c r="J451" s="231"/>
      <c r="K451" s="126"/>
      <c r="L451" s="126"/>
      <c r="M451" s="129"/>
      <c r="N451" s="129"/>
      <c r="O451" s="129"/>
      <c r="P451" s="130"/>
      <c r="Q451" s="129"/>
      <c r="R451" s="129"/>
      <c r="S451" s="279"/>
      <c r="T451" s="279"/>
      <c r="U451" s="279"/>
      <c r="V451" s="279"/>
      <c r="W451" s="280"/>
      <c r="X451" s="129"/>
      <c r="Y451" s="129"/>
    </row>
    <row r="452" s="3" customFormat="true" ht="15" hidden="false" customHeight="true" outlineLevel="0" collapsed="false">
      <c r="A452" s="56"/>
      <c r="B452" s="95" t="s">
        <v>148</v>
      </c>
      <c r="C452" s="126"/>
      <c r="D452" s="231"/>
      <c r="E452" s="231"/>
      <c r="F452" s="231"/>
      <c r="G452" s="231"/>
      <c r="H452" s="231"/>
      <c r="I452" s="231"/>
      <c r="J452" s="231"/>
      <c r="K452" s="126"/>
      <c r="L452" s="126"/>
      <c r="M452" s="129"/>
      <c r="N452" s="129"/>
      <c r="O452" s="129"/>
      <c r="P452" s="130"/>
      <c r="Q452" s="129"/>
      <c r="R452" s="129"/>
      <c r="S452" s="279"/>
      <c r="T452" s="279"/>
      <c r="U452" s="279"/>
      <c r="V452" s="279"/>
      <c r="W452" s="280"/>
      <c r="X452" s="129"/>
      <c r="Y452" s="129"/>
    </row>
    <row r="453" s="3" customFormat="true" ht="15" hidden="false" customHeight="true" outlineLevel="0" collapsed="false">
      <c r="A453" s="56"/>
      <c r="B453" s="95" t="s">
        <v>149</v>
      </c>
      <c r="C453" s="126"/>
      <c r="D453" s="231"/>
      <c r="E453" s="231"/>
      <c r="F453" s="231"/>
      <c r="G453" s="231"/>
      <c r="H453" s="231"/>
      <c r="I453" s="231"/>
      <c r="J453" s="231"/>
      <c r="K453" s="126"/>
      <c r="L453" s="126"/>
      <c r="M453" s="129"/>
      <c r="N453" s="129"/>
      <c r="O453" s="129"/>
      <c r="P453" s="130"/>
      <c r="Q453" s="129"/>
      <c r="R453" s="129"/>
      <c r="S453" s="279"/>
      <c r="T453" s="279"/>
      <c r="U453" s="279"/>
      <c r="V453" s="279"/>
      <c r="W453" s="280"/>
      <c r="X453" s="129"/>
      <c r="Y453" s="129"/>
    </row>
    <row r="454" s="3" customFormat="true" ht="15" hidden="false" customHeight="true" outlineLevel="0" collapsed="false">
      <c r="A454" s="56"/>
      <c r="B454" s="95"/>
      <c r="C454" s="231"/>
      <c r="D454" s="231"/>
      <c r="E454" s="231"/>
      <c r="F454" s="231"/>
      <c r="G454" s="231"/>
      <c r="H454" s="231"/>
      <c r="I454" s="225"/>
      <c r="J454" s="226"/>
      <c r="K454" s="167"/>
      <c r="L454" s="167"/>
      <c r="M454" s="170"/>
      <c r="N454" s="170"/>
      <c r="O454" s="170"/>
      <c r="P454" s="251"/>
      <c r="Q454" s="170"/>
      <c r="R454" s="170"/>
      <c r="S454" s="197"/>
      <c r="T454" s="197"/>
      <c r="U454" s="197"/>
      <c r="V454" s="197"/>
      <c r="W454" s="252"/>
      <c r="X454" s="170"/>
      <c r="Y454" s="170"/>
    </row>
    <row r="455" s="3" customFormat="true" ht="15.75" hidden="false" customHeight="true" outlineLevel="0" collapsed="false">
      <c r="A455" s="38"/>
      <c r="B455" s="120" t="s">
        <v>280</v>
      </c>
      <c r="C455" s="212"/>
      <c r="D455" s="212"/>
      <c r="E455" s="212"/>
      <c r="F455" s="212"/>
      <c r="G455" s="212"/>
      <c r="H455" s="212"/>
      <c r="I455" s="212"/>
      <c r="J455" s="212"/>
      <c r="K455" s="68"/>
      <c r="L455" s="68"/>
      <c r="M455" s="69"/>
      <c r="N455" s="69"/>
      <c r="O455" s="69" t="n">
        <v>4200</v>
      </c>
      <c r="P455" s="71" t="n">
        <v>4500</v>
      </c>
      <c r="Q455" s="69" t="n">
        <v>4900</v>
      </c>
      <c r="R455" s="69" t="n">
        <f aca="false">5800-2000</f>
        <v>3800</v>
      </c>
      <c r="S455" s="69" t="n">
        <v>8100</v>
      </c>
      <c r="T455" s="69" t="n">
        <v>16400</v>
      </c>
      <c r="U455" s="69" t="n">
        <v>8500</v>
      </c>
      <c r="V455" s="69" t="n">
        <v>4800</v>
      </c>
      <c r="W455" s="68" t="n">
        <v>6000</v>
      </c>
      <c r="X455" s="69" t="n">
        <v>6400</v>
      </c>
      <c r="Y455" s="69" t="n">
        <v>6000</v>
      </c>
    </row>
    <row r="456" s="3" customFormat="true" ht="15.75" hidden="false" customHeight="true" outlineLevel="0" collapsed="false">
      <c r="A456" s="72"/>
      <c r="B456" s="73"/>
      <c r="C456" s="119"/>
      <c r="D456" s="119"/>
      <c r="E456" s="119"/>
      <c r="F456" s="360"/>
      <c r="G456" s="92"/>
      <c r="H456" s="209"/>
      <c r="I456" s="307"/>
      <c r="J456" s="355"/>
      <c r="K456" s="167"/>
      <c r="L456" s="102"/>
      <c r="M456" s="170"/>
      <c r="N456" s="170"/>
      <c r="O456" s="170"/>
      <c r="P456" s="287"/>
      <c r="Q456" s="285"/>
      <c r="R456" s="285"/>
      <c r="S456" s="286"/>
      <c r="T456" s="286"/>
      <c r="U456" s="286"/>
      <c r="V456" s="286"/>
      <c r="W456" s="288"/>
      <c r="X456" s="285"/>
      <c r="Y456" s="285"/>
    </row>
    <row r="457" s="3" customFormat="true" ht="15.75" hidden="false" customHeight="true" outlineLevel="0" collapsed="false">
      <c r="A457" s="72"/>
      <c r="B457" s="95" t="s">
        <v>152</v>
      </c>
      <c r="C457" s="126"/>
      <c r="D457" s="231"/>
      <c r="E457" s="231"/>
      <c r="F457" s="231"/>
      <c r="G457" s="231"/>
      <c r="H457" s="231"/>
      <c r="I457" s="231"/>
      <c r="J457" s="231"/>
      <c r="K457" s="126"/>
      <c r="L457" s="119"/>
      <c r="M457" s="88"/>
      <c r="N457" s="88"/>
      <c r="O457" s="88"/>
      <c r="P457" s="366"/>
      <c r="Q457" s="367"/>
      <c r="R457" s="367"/>
      <c r="S457" s="368"/>
      <c r="T457" s="368"/>
      <c r="U457" s="368"/>
      <c r="V457" s="368"/>
      <c r="W457" s="369"/>
      <c r="X457" s="367"/>
      <c r="Y457" s="367"/>
    </row>
    <row r="458" s="3" customFormat="true" ht="15.75" hidden="false" customHeight="true" outlineLevel="0" collapsed="false">
      <c r="A458" s="72"/>
      <c r="B458" s="95" t="s">
        <v>153</v>
      </c>
      <c r="C458" s="126"/>
      <c r="D458" s="231"/>
      <c r="E458" s="231"/>
      <c r="F458" s="231"/>
      <c r="G458" s="231"/>
      <c r="H458" s="231"/>
      <c r="I458" s="231"/>
      <c r="J458" s="231"/>
      <c r="K458" s="126"/>
      <c r="L458" s="119"/>
      <c r="M458" s="88"/>
      <c r="N458" s="88"/>
      <c r="O458" s="88"/>
      <c r="P458" s="117"/>
      <c r="Q458" s="88"/>
      <c r="R458" s="88"/>
      <c r="S458" s="88"/>
      <c r="T458" s="88"/>
      <c r="U458" s="88"/>
      <c r="V458" s="88"/>
      <c r="W458" s="119"/>
      <c r="X458" s="88"/>
      <c r="Y458" s="88"/>
    </row>
    <row r="459" s="3" customFormat="true" ht="15" hidden="false" customHeight="true" outlineLevel="0" collapsed="false">
      <c r="A459" s="56"/>
      <c r="B459" s="95" t="s">
        <v>154</v>
      </c>
      <c r="C459" s="126"/>
      <c r="D459" s="231"/>
      <c r="E459" s="231"/>
      <c r="F459" s="231"/>
      <c r="G459" s="231"/>
      <c r="H459" s="231"/>
      <c r="I459" s="231"/>
      <c r="J459" s="231"/>
      <c r="K459" s="126"/>
      <c r="L459" s="119"/>
      <c r="M459" s="88"/>
      <c r="N459" s="88"/>
      <c r="O459" s="88"/>
      <c r="P459" s="117"/>
      <c r="Q459" s="88"/>
      <c r="R459" s="88"/>
      <c r="S459" s="89"/>
      <c r="T459" s="89"/>
      <c r="U459" s="89"/>
      <c r="V459" s="89"/>
      <c r="W459" s="118"/>
      <c r="X459" s="88"/>
      <c r="Y459" s="88"/>
    </row>
    <row r="460" s="3" customFormat="true" ht="15" hidden="false" customHeight="true" outlineLevel="0" collapsed="false">
      <c r="A460" s="56"/>
      <c r="B460" s="95" t="s">
        <v>155</v>
      </c>
      <c r="C460" s="126"/>
      <c r="D460" s="231"/>
      <c r="E460" s="231"/>
      <c r="F460" s="231"/>
      <c r="G460" s="231"/>
      <c r="H460" s="231"/>
      <c r="I460" s="231"/>
      <c r="J460" s="231"/>
      <c r="K460" s="126"/>
      <c r="L460" s="119"/>
      <c r="M460" s="88"/>
      <c r="N460" s="88"/>
      <c r="O460" s="88"/>
      <c r="P460" s="117"/>
      <c r="Q460" s="88"/>
      <c r="R460" s="88"/>
      <c r="S460" s="89"/>
      <c r="T460" s="89"/>
      <c r="U460" s="89"/>
      <c r="V460" s="89"/>
      <c r="W460" s="118"/>
      <c r="X460" s="88"/>
      <c r="Y460" s="88"/>
    </row>
    <row r="461" s="3" customFormat="true" ht="15" hidden="false" customHeight="true" outlineLevel="0" collapsed="false">
      <c r="A461" s="56"/>
      <c r="B461" s="95" t="s">
        <v>156</v>
      </c>
      <c r="C461" s="126"/>
      <c r="D461" s="231"/>
      <c r="E461" s="231"/>
      <c r="F461" s="231"/>
      <c r="G461" s="231"/>
      <c r="H461" s="231"/>
      <c r="I461" s="231"/>
      <c r="J461" s="231"/>
      <c r="K461" s="126"/>
      <c r="L461" s="119"/>
      <c r="M461" s="88"/>
      <c r="N461" s="88"/>
      <c r="O461" s="88"/>
      <c r="P461" s="117"/>
      <c r="Q461" s="88"/>
      <c r="R461" s="88"/>
      <c r="S461" s="89"/>
      <c r="T461" s="89"/>
      <c r="U461" s="89"/>
      <c r="V461" s="89"/>
      <c r="W461" s="118"/>
      <c r="X461" s="88"/>
      <c r="Y461" s="88"/>
    </row>
    <row r="462" s="3" customFormat="true" ht="15" hidden="false" customHeight="true" outlineLevel="0" collapsed="false">
      <c r="A462" s="56"/>
      <c r="B462" s="95" t="s">
        <v>157</v>
      </c>
      <c r="C462" s="126"/>
      <c r="D462" s="231"/>
      <c r="E462" s="231"/>
      <c r="F462" s="231"/>
      <c r="G462" s="231"/>
      <c r="H462" s="231"/>
      <c r="I462" s="231"/>
      <c r="J462" s="231"/>
      <c r="K462" s="126"/>
      <c r="L462" s="119"/>
      <c r="M462" s="88"/>
      <c r="N462" s="88"/>
      <c r="O462" s="88"/>
      <c r="P462" s="117"/>
      <c r="Q462" s="88"/>
      <c r="R462" s="88"/>
      <c r="S462" s="89"/>
      <c r="T462" s="89"/>
      <c r="U462" s="89"/>
      <c r="V462" s="89"/>
      <c r="W462" s="118"/>
      <c r="X462" s="88"/>
      <c r="Y462" s="88"/>
    </row>
    <row r="463" s="3" customFormat="true" ht="15" hidden="false" customHeight="true" outlineLevel="0" collapsed="false">
      <c r="A463" s="56"/>
      <c r="B463" s="95" t="s">
        <v>158</v>
      </c>
      <c r="C463" s="126"/>
      <c r="D463" s="231"/>
      <c r="E463" s="231"/>
      <c r="F463" s="231"/>
      <c r="G463" s="231"/>
      <c r="H463" s="231"/>
      <c r="I463" s="231"/>
      <c r="J463" s="231"/>
      <c r="K463" s="126"/>
      <c r="L463" s="119"/>
      <c r="M463" s="88"/>
      <c r="N463" s="88"/>
      <c r="O463" s="88"/>
      <c r="P463" s="117"/>
      <c r="Q463" s="88"/>
      <c r="R463" s="88"/>
      <c r="S463" s="89"/>
      <c r="T463" s="89"/>
      <c r="U463" s="89"/>
      <c r="V463" s="89"/>
      <c r="W463" s="118"/>
      <c r="X463" s="88"/>
      <c r="Y463" s="88"/>
    </row>
    <row r="464" s="3" customFormat="true" ht="15" hidden="false" customHeight="true" outlineLevel="0" collapsed="false">
      <c r="A464" s="56"/>
      <c r="B464" s="95" t="s">
        <v>159</v>
      </c>
      <c r="C464" s="126"/>
      <c r="D464" s="231"/>
      <c r="E464" s="231"/>
      <c r="F464" s="231"/>
      <c r="G464" s="231"/>
      <c r="H464" s="231"/>
      <c r="I464" s="231"/>
      <c r="J464" s="231"/>
      <c r="K464" s="126"/>
      <c r="L464" s="119"/>
      <c r="M464" s="88"/>
      <c r="N464" s="88"/>
      <c r="O464" s="88"/>
      <c r="P464" s="117"/>
      <c r="Q464" s="88"/>
      <c r="R464" s="88"/>
      <c r="S464" s="89"/>
      <c r="T464" s="89"/>
      <c r="U464" s="89"/>
      <c r="V464" s="89"/>
      <c r="W464" s="118"/>
      <c r="X464" s="88"/>
      <c r="Y464" s="88"/>
    </row>
    <row r="465" s="3" customFormat="true" ht="15" hidden="false" customHeight="true" outlineLevel="0" collapsed="false">
      <c r="A465" s="56"/>
      <c r="B465" s="95" t="s">
        <v>160</v>
      </c>
      <c r="C465" s="126"/>
      <c r="D465" s="231"/>
      <c r="E465" s="231"/>
      <c r="F465" s="231"/>
      <c r="G465" s="231"/>
      <c r="H465" s="231"/>
      <c r="I465" s="231"/>
      <c r="J465" s="231"/>
      <c r="K465" s="126"/>
      <c r="L465" s="119"/>
      <c r="M465" s="88"/>
      <c r="N465" s="88"/>
      <c r="O465" s="88"/>
      <c r="P465" s="117"/>
      <c r="Q465" s="88"/>
      <c r="R465" s="88"/>
      <c r="S465" s="89"/>
      <c r="T465" s="89"/>
      <c r="U465" s="89"/>
      <c r="V465" s="89"/>
      <c r="W465" s="118"/>
      <c r="X465" s="88"/>
      <c r="Y465" s="88"/>
    </row>
    <row r="466" s="3" customFormat="true" ht="15" hidden="false" customHeight="true" outlineLevel="0" collapsed="false">
      <c r="A466" s="56"/>
      <c r="B466" s="95" t="s">
        <v>161</v>
      </c>
      <c r="C466" s="126"/>
      <c r="D466" s="231"/>
      <c r="E466" s="231"/>
      <c r="F466" s="231"/>
      <c r="G466" s="231"/>
      <c r="H466" s="231"/>
      <c r="I466" s="231"/>
      <c r="J466" s="231"/>
      <c r="K466" s="126"/>
      <c r="L466" s="119"/>
      <c r="M466" s="88"/>
      <c r="N466" s="88"/>
      <c r="O466" s="88"/>
      <c r="P466" s="117"/>
      <c r="Q466" s="88"/>
      <c r="R466" s="88"/>
      <c r="S466" s="89"/>
      <c r="T466" s="89"/>
      <c r="U466" s="89"/>
      <c r="V466" s="89"/>
      <c r="W466" s="118"/>
      <c r="X466" s="88"/>
      <c r="Y466" s="88"/>
    </row>
    <row r="467" s="3" customFormat="true" ht="15" hidden="false" customHeight="true" outlineLevel="0" collapsed="false">
      <c r="A467" s="56"/>
      <c r="B467" s="95" t="s">
        <v>162</v>
      </c>
      <c r="C467" s="126"/>
      <c r="D467" s="231"/>
      <c r="E467" s="231"/>
      <c r="F467" s="231"/>
      <c r="G467" s="231"/>
      <c r="H467" s="231"/>
      <c r="I467" s="231"/>
      <c r="J467" s="231"/>
      <c r="K467" s="126"/>
      <c r="L467" s="119"/>
      <c r="M467" s="88"/>
      <c r="N467" s="88"/>
      <c r="O467" s="88"/>
      <c r="P467" s="117"/>
      <c r="Q467" s="88"/>
      <c r="R467" s="88"/>
      <c r="S467" s="89"/>
      <c r="T467" s="89"/>
      <c r="U467" s="89"/>
      <c r="V467" s="89"/>
      <c r="W467" s="118"/>
      <c r="X467" s="88"/>
      <c r="Y467" s="88"/>
    </row>
    <row r="468" s="3" customFormat="true" ht="15" hidden="false" customHeight="true" outlineLevel="0" collapsed="false">
      <c r="A468" s="56"/>
      <c r="B468" s="95" t="s">
        <v>163</v>
      </c>
      <c r="C468" s="126"/>
      <c r="D468" s="231"/>
      <c r="E468" s="231"/>
      <c r="F468" s="231"/>
      <c r="G468" s="231"/>
      <c r="H468" s="231"/>
      <c r="I468" s="231"/>
      <c r="J468" s="231"/>
      <c r="K468" s="126"/>
      <c r="L468" s="119"/>
      <c r="M468" s="88"/>
      <c r="N468" s="88"/>
      <c r="O468" s="88"/>
      <c r="P468" s="117"/>
      <c r="Q468" s="88"/>
      <c r="R468" s="88"/>
      <c r="S468" s="89"/>
      <c r="T468" s="89"/>
      <c r="U468" s="89"/>
      <c r="V468" s="89"/>
      <c r="W468" s="118"/>
      <c r="X468" s="88"/>
      <c r="Y468" s="88"/>
    </row>
    <row r="469" s="3" customFormat="true" ht="15" hidden="false" customHeight="true" outlineLevel="0" collapsed="false">
      <c r="A469" s="56"/>
      <c r="B469" s="95" t="s">
        <v>164</v>
      </c>
      <c r="C469" s="126"/>
      <c r="D469" s="231"/>
      <c r="E469" s="231"/>
      <c r="F469" s="231"/>
      <c r="G469" s="231"/>
      <c r="H469" s="231"/>
      <c r="I469" s="231"/>
      <c r="J469" s="231"/>
      <c r="K469" s="126"/>
      <c r="L469" s="119"/>
      <c r="M469" s="88"/>
      <c r="N469" s="88"/>
      <c r="O469" s="88"/>
      <c r="P469" s="117"/>
      <c r="Q469" s="88"/>
      <c r="R469" s="88"/>
      <c r="S469" s="89"/>
      <c r="T469" s="89"/>
      <c r="U469" s="89"/>
      <c r="V469" s="89"/>
      <c r="W469" s="118"/>
      <c r="X469" s="88"/>
      <c r="Y469" s="88"/>
    </row>
    <row r="470" s="3" customFormat="true" ht="15.75" hidden="false" customHeight="true" outlineLevel="0" collapsed="false">
      <c r="A470" s="56"/>
      <c r="B470" s="370" t="s">
        <v>3</v>
      </c>
      <c r="C470" s="231"/>
      <c r="D470" s="231"/>
      <c r="E470" s="231"/>
      <c r="F470" s="231"/>
      <c r="G470" s="231"/>
      <c r="H470" s="231"/>
      <c r="I470" s="231"/>
      <c r="J470" s="231"/>
      <c r="K470" s="126"/>
      <c r="L470" s="167"/>
      <c r="M470" s="170"/>
      <c r="N470" s="170"/>
      <c r="O470" s="170"/>
      <c r="P470" s="251"/>
      <c r="Q470" s="170"/>
      <c r="R470" s="170"/>
      <c r="S470" s="197"/>
      <c r="T470" s="197"/>
      <c r="U470" s="197"/>
      <c r="V470" s="197"/>
      <c r="W470" s="252"/>
      <c r="X470" s="170"/>
      <c r="Y470" s="170"/>
    </row>
    <row r="471" s="3" customFormat="true" ht="15.75" hidden="false" customHeight="true" outlineLevel="0" collapsed="false">
      <c r="A471" s="38"/>
      <c r="B471" s="120" t="s">
        <v>281</v>
      </c>
      <c r="C471" s="212"/>
      <c r="D471" s="212"/>
      <c r="E471" s="212"/>
      <c r="F471" s="212"/>
      <c r="G471" s="212"/>
      <c r="H471" s="212"/>
      <c r="I471" s="212"/>
      <c r="J471" s="212"/>
      <c r="K471" s="68"/>
      <c r="L471" s="68"/>
      <c r="M471" s="69"/>
      <c r="N471" s="69"/>
      <c r="O471" s="69" t="n">
        <f aca="false">14800-3200</f>
        <v>11600</v>
      </c>
      <c r="P471" s="71" t="n">
        <v>14600</v>
      </c>
      <c r="Q471" s="68" t="n">
        <v>13200</v>
      </c>
      <c r="R471" s="68" t="n">
        <v>13800</v>
      </c>
      <c r="S471" s="68" t="n">
        <v>10800</v>
      </c>
      <c r="T471" s="68" t="n">
        <v>9400</v>
      </c>
      <c r="U471" s="68" t="n">
        <v>13600</v>
      </c>
      <c r="V471" s="69" t="n">
        <v>14000</v>
      </c>
      <c r="W471" s="68" t="n">
        <v>10200</v>
      </c>
      <c r="X471" s="69" t="n">
        <v>3000</v>
      </c>
      <c r="Y471" s="69" t="n">
        <v>3500</v>
      </c>
    </row>
    <row r="472" s="3" customFormat="true" ht="15.75" hidden="false" customHeight="true" outlineLevel="0" collapsed="false">
      <c r="A472" s="72"/>
      <c r="B472" s="73"/>
      <c r="C472" s="68"/>
      <c r="D472" s="119"/>
      <c r="E472" s="119"/>
      <c r="F472" s="360"/>
      <c r="G472" s="92"/>
      <c r="H472" s="209"/>
      <c r="I472" s="307"/>
      <c r="J472" s="355"/>
      <c r="K472" s="167"/>
      <c r="L472" s="371"/>
      <c r="M472" s="285"/>
      <c r="N472" s="285"/>
      <c r="O472" s="285"/>
      <c r="P472" s="287"/>
      <c r="Q472" s="285"/>
      <c r="R472" s="285"/>
      <c r="S472" s="286"/>
      <c r="T472" s="286"/>
      <c r="U472" s="286"/>
      <c r="V472" s="286"/>
      <c r="W472" s="288"/>
      <c r="X472" s="285"/>
      <c r="Y472" s="285"/>
    </row>
    <row r="473" s="278" customFormat="true" ht="15.75" hidden="false" customHeight="true" outlineLevel="0" collapsed="false">
      <c r="A473" s="364"/>
      <c r="B473" s="253" t="s">
        <v>167</v>
      </c>
      <c r="C473" s="224"/>
      <c r="D473" s="224"/>
      <c r="E473" s="224"/>
      <c r="F473" s="224"/>
      <c r="G473" s="224"/>
      <c r="H473" s="224"/>
      <c r="I473" s="224"/>
      <c r="J473" s="224"/>
      <c r="K473" s="119"/>
      <c r="L473" s="372"/>
      <c r="M473" s="367"/>
      <c r="N473" s="367"/>
      <c r="O473" s="367"/>
      <c r="P473" s="366"/>
      <c r="Q473" s="367"/>
      <c r="R473" s="367"/>
      <c r="S473" s="368"/>
      <c r="T473" s="368"/>
      <c r="U473" s="368"/>
      <c r="V473" s="368"/>
      <c r="W473" s="369"/>
      <c r="X473" s="367"/>
      <c r="Y473" s="367"/>
    </row>
    <row r="474" s="278" customFormat="true" ht="15.75" hidden="false" customHeight="true" outlineLevel="0" collapsed="false">
      <c r="A474" s="364"/>
      <c r="B474" s="253" t="s">
        <v>168</v>
      </c>
      <c r="C474" s="119"/>
      <c r="D474" s="224"/>
      <c r="E474" s="224"/>
      <c r="F474" s="224"/>
      <c r="G474" s="224"/>
      <c r="H474" s="224"/>
      <c r="I474" s="224"/>
      <c r="J474" s="224"/>
      <c r="K474" s="119"/>
      <c r="L474" s="119"/>
      <c r="M474" s="88"/>
      <c r="N474" s="88"/>
      <c r="O474" s="88"/>
      <c r="P474" s="117"/>
      <c r="Q474" s="88"/>
      <c r="R474" s="88"/>
      <c r="S474" s="88"/>
      <c r="T474" s="88"/>
      <c r="U474" s="88"/>
      <c r="V474" s="88"/>
      <c r="W474" s="119"/>
      <c r="X474" s="88"/>
      <c r="Y474" s="88"/>
    </row>
    <row r="475" s="3" customFormat="true" ht="15" hidden="false" customHeight="true" outlineLevel="0" collapsed="false">
      <c r="A475" s="56"/>
      <c r="B475" s="95" t="s">
        <v>169</v>
      </c>
      <c r="C475" s="231"/>
      <c r="D475" s="231"/>
      <c r="E475" s="231"/>
      <c r="F475" s="231"/>
      <c r="G475" s="231"/>
      <c r="H475" s="231"/>
      <c r="I475" s="231"/>
      <c r="J475" s="231"/>
      <c r="K475" s="126"/>
      <c r="L475" s="313"/>
      <c r="M475" s="314"/>
      <c r="N475" s="314"/>
      <c r="O475" s="314"/>
      <c r="P475" s="316"/>
      <c r="Q475" s="314"/>
      <c r="R475" s="314"/>
      <c r="S475" s="315"/>
      <c r="T475" s="315"/>
      <c r="U475" s="315"/>
      <c r="V475" s="315"/>
      <c r="W475" s="317"/>
      <c r="X475" s="314"/>
      <c r="Y475" s="314"/>
    </row>
    <row r="476" s="3" customFormat="true" ht="15" hidden="false" customHeight="true" outlineLevel="0" collapsed="false">
      <c r="A476" s="56"/>
      <c r="B476" s="95" t="s">
        <v>170</v>
      </c>
      <c r="C476" s="231"/>
      <c r="D476" s="231"/>
      <c r="E476" s="231"/>
      <c r="F476" s="231"/>
      <c r="G476" s="231"/>
      <c r="H476" s="231"/>
      <c r="I476" s="231"/>
      <c r="J476" s="231"/>
      <c r="K476" s="126"/>
      <c r="L476" s="313"/>
      <c r="M476" s="314"/>
      <c r="N476" s="314"/>
      <c r="O476" s="314"/>
      <c r="P476" s="316"/>
      <c r="Q476" s="314"/>
      <c r="R476" s="314"/>
      <c r="S476" s="315"/>
      <c r="T476" s="315"/>
      <c r="U476" s="315"/>
      <c r="V476" s="315"/>
      <c r="W476" s="317"/>
      <c r="X476" s="314"/>
      <c r="Y476" s="314"/>
    </row>
    <row r="477" s="3" customFormat="true" ht="15" hidden="false" customHeight="true" outlineLevel="0" collapsed="false">
      <c r="A477" s="56"/>
      <c r="B477" s="95" t="s">
        <v>171</v>
      </c>
      <c r="C477" s="231"/>
      <c r="D477" s="231"/>
      <c r="E477" s="231"/>
      <c r="F477" s="231"/>
      <c r="G477" s="231"/>
      <c r="H477" s="231"/>
      <c r="I477" s="231"/>
      <c r="J477" s="231"/>
      <c r="K477" s="126"/>
      <c r="L477" s="313"/>
      <c r="M477" s="314"/>
      <c r="N477" s="314"/>
      <c r="O477" s="314"/>
      <c r="P477" s="316"/>
      <c r="Q477" s="314"/>
      <c r="R477" s="314"/>
      <c r="S477" s="315"/>
      <c r="T477" s="315"/>
      <c r="U477" s="315"/>
      <c r="V477" s="315"/>
      <c r="W477" s="317"/>
      <c r="X477" s="314"/>
      <c r="Y477" s="314"/>
    </row>
    <row r="478" s="3" customFormat="true" ht="15" hidden="false" customHeight="true" outlineLevel="0" collapsed="false">
      <c r="A478" s="56"/>
      <c r="B478" s="95" t="s">
        <v>172</v>
      </c>
      <c r="C478" s="231"/>
      <c r="D478" s="231"/>
      <c r="E478" s="231"/>
      <c r="F478" s="231"/>
      <c r="G478" s="231"/>
      <c r="H478" s="231"/>
      <c r="I478" s="231"/>
      <c r="J478" s="231"/>
      <c r="K478" s="126"/>
      <c r="L478" s="313"/>
      <c r="M478" s="314"/>
      <c r="N478" s="314"/>
      <c r="O478" s="314"/>
      <c r="P478" s="316"/>
      <c r="Q478" s="314"/>
      <c r="R478" s="314"/>
      <c r="S478" s="315"/>
      <c r="T478" s="315"/>
      <c r="U478" s="315"/>
      <c r="V478" s="315"/>
      <c r="W478" s="317"/>
      <c r="X478" s="314"/>
      <c r="Y478" s="314"/>
    </row>
    <row r="479" s="3" customFormat="true" ht="15" hidden="false" customHeight="true" outlineLevel="0" collapsed="false">
      <c r="A479" s="56"/>
      <c r="B479" s="95" t="s">
        <v>173</v>
      </c>
      <c r="C479" s="231"/>
      <c r="D479" s="231"/>
      <c r="E479" s="231"/>
      <c r="F479" s="231"/>
      <c r="G479" s="231"/>
      <c r="H479" s="231"/>
      <c r="I479" s="231"/>
      <c r="J479" s="231"/>
      <c r="K479" s="126"/>
      <c r="L479" s="313"/>
      <c r="M479" s="314"/>
      <c r="N479" s="314"/>
      <c r="O479" s="314"/>
      <c r="P479" s="316"/>
      <c r="Q479" s="314"/>
      <c r="R479" s="314"/>
      <c r="S479" s="315"/>
      <c r="T479" s="315"/>
      <c r="U479" s="315"/>
      <c r="V479" s="315"/>
      <c r="W479" s="317"/>
      <c r="X479" s="314"/>
      <c r="Y479" s="314"/>
    </row>
    <row r="480" s="3" customFormat="true" ht="15" hidden="false" customHeight="true" outlineLevel="0" collapsed="false">
      <c r="A480" s="56"/>
      <c r="B480" s="95" t="s">
        <v>174</v>
      </c>
      <c r="C480" s="231"/>
      <c r="D480" s="231"/>
      <c r="E480" s="231"/>
      <c r="F480" s="231"/>
      <c r="G480" s="231"/>
      <c r="H480" s="231"/>
      <c r="I480" s="231"/>
      <c r="J480" s="231"/>
      <c r="K480" s="126"/>
      <c r="L480" s="313"/>
      <c r="M480" s="314"/>
      <c r="N480" s="314"/>
      <c r="O480" s="314"/>
      <c r="P480" s="316"/>
      <c r="Q480" s="314"/>
      <c r="R480" s="314"/>
      <c r="S480" s="315"/>
      <c r="T480" s="315"/>
      <c r="U480" s="315"/>
      <c r="V480" s="315"/>
      <c r="W480" s="317"/>
      <c r="X480" s="314"/>
      <c r="Y480" s="314"/>
    </row>
    <row r="481" s="3" customFormat="true" ht="15" hidden="false" customHeight="true" outlineLevel="0" collapsed="false">
      <c r="A481" s="56"/>
      <c r="B481" s="95" t="s">
        <v>175</v>
      </c>
      <c r="C481" s="231"/>
      <c r="D481" s="231"/>
      <c r="E481" s="231"/>
      <c r="F481" s="231"/>
      <c r="G481" s="231"/>
      <c r="H481" s="231"/>
      <c r="I481" s="231"/>
      <c r="J481" s="231"/>
      <c r="K481" s="126"/>
      <c r="L481" s="313"/>
      <c r="M481" s="314"/>
      <c r="N481" s="314"/>
      <c r="O481" s="314"/>
      <c r="P481" s="316"/>
      <c r="Q481" s="314"/>
      <c r="R481" s="314"/>
      <c r="S481" s="315"/>
      <c r="T481" s="315"/>
      <c r="U481" s="315"/>
      <c r="V481" s="315"/>
      <c r="W481" s="317"/>
      <c r="X481" s="314"/>
      <c r="Y481" s="314"/>
    </row>
    <row r="482" s="3" customFormat="true" ht="15" hidden="false" customHeight="true" outlineLevel="0" collapsed="false">
      <c r="A482" s="56"/>
      <c r="B482" s="95" t="s">
        <v>176</v>
      </c>
      <c r="C482" s="231"/>
      <c r="D482" s="231"/>
      <c r="E482" s="231"/>
      <c r="F482" s="231"/>
      <c r="G482" s="231"/>
      <c r="H482" s="231"/>
      <c r="I482" s="231"/>
      <c r="J482" s="231"/>
      <c r="K482" s="126"/>
      <c r="L482" s="313"/>
      <c r="M482" s="314"/>
      <c r="N482" s="314"/>
      <c r="O482" s="314"/>
      <c r="P482" s="316"/>
      <c r="Q482" s="314"/>
      <c r="R482" s="314"/>
      <c r="S482" s="315"/>
      <c r="T482" s="315"/>
      <c r="U482" s="315"/>
      <c r="V482" s="315"/>
      <c r="W482" s="317"/>
      <c r="X482" s="314"/>
      <c r="Y482" s="314"/>
    </row>
    <row r="483" s="3" customFormat="true" ht="15" hidden="false" customHeight="true" outlineLevel="0" collapsed="false">
      <c r="A483" s="56"/>
      <c r="B483" s="95" t="s">
        <v>177</v>
      </c>
      <c r="C483" s="231"/>
      <c r="D483" s="231"/>
      <c r="E483" s="231"/>
      <c r="F483" s="231"/>
      <c r="G483" s="231"/>
      <c r="H483" s="231"/>
      <c r="I483" s="231"/>
      <c r="J483" s="231"/>
      <c r="K483" s="126"/>
      <c r="L483" s="313"/>
      <c r="M483" s="314"/>
      <c r="N483" s="314"/>
      <c r="O483" s="314"/>
      <c r="P483" s="316"/>
      <c r="Q483" s="314"/>
      <c r="R483" s="314"/>
      <c r="S483" s="315"/>
      <c r="T483" s="315"/>
      <c r="U483" s="315"/>
      <c r="V483" s="315"/>
      <c r="W483" s="317"/>
      <c r="X483" s="314"/>
      <c r="Y483" s="314"/>
    </row>
    <row r="484" s="3" customFormat="true" ht="15" hidden="false" customHeight="true" outlineLevel="0" collapsed="false">
      <c r="A484" s="56"/>
      <c r="B484" s="95" t="s">
        <v>178</v>
      </c>
      <c r="C484" s="231"/>
      <c r="D484" s="231"/>
      <c r="E484" s="231"/>
      <c r="F484" s="231"/>
      <c r="G484" s="231"/>
      <c r="H484" s="231"/>
      <c r="I484" s="231"/>
      <c r="J484" s="231"/>
      <c r="K484" s="126"/>
      <c r="L484" s="313"/>
      <c r="M484" s="314"/>
      <c r="N484" s="314"/>
      <c r="O484" s="314"/>
      <c r="P484" s="316"/>
      <c r="Q484" s="314"/>
      <c r="R484" s="314"/>
      <c r="S484" s="315"/>
      <c r="T484" s="315"/>
      <c r="U484" s="315"/>
      <c r="V484" s="315"/>
      <c r="W484" s="317"/>
      <c r="X484" s="314"/>
      <c r="Y484" s="314"/>
    </row>
    <row r="485" s="3" customFormat="true" ht="15" hidden="false" customHeight="true" outlineLevel="0" collapsed="false">
      <c r="A485" s="56"/>
      <c r="B485" s="95" t="s">
        <v>179</v>
      </c>
      <c r="C485" s="231"/>
      <c r="D485" s="231"/>
      <c r="E485" s="231"/>
      <c r="F485" s="231"/>
      <c r="G485" s="231"/>
      <c r="H485" s="231"/>
      <c r="I485" s="231"/>
      <c r="J485" s="231"/>
      <c r="K485" s="126"/>
      <c r="L485" s="313"/>
      <c r="M485" s="314"/>
      <c r="N485" s="314"/>
      <c r="O485" s="314"/>
      <c r="P485" s="316"/>
      <c r="Q485" s="314"/>
      <c r="R485" s="314"/>
      <c r="S485" s="315"/>
      <c r="T485" s="315"/>
      <c r="U485" s="315"/>
      <c r="V485" s="315"/>
      <c r="W485" s="317"/>
      <c r="X485" s="314"/>
      <c r="Y485" s="314"/>
    </row>
    <row r="486" s="3" customFormat="true" ht="15" hidden="false" customHeight="true" outlineLevel="0" collapsed="false">
      <c r="A486" s="56"/>
      <c r="B486" s="95" t="s">
        <v>180</v>
      </c>
      <c r="C486" s="126"/>
      <c r="D486" s="231"/>
      <c r="E486" s="231"/>
      <c r="F486" s="231"/>
      <c r="G486" s="231"/>
      <c r="H486" s="231"/>
      <c r="I486" s="231"/>
      <c r="J486" s="231"/>
      <c r="K486" s="126"/>
      <c r="L486" s="313"/>
      <c r="M486" s="314"/>
      <c r="N486" s="314"/>
      <c r="O486" s="314"/>
      <c r="P486" s="316"/>
      <c r="Q486" s="314"/>
      <c r="R486" s="314"/>
      <c r="S486" s="315"/>
      <c r="T486" s="315"/>
      <c r="U486" s="315"/>
      <c r="V486" s="315"/>
      <c r="W486" s="317"/>
      <c r="X486" s="314"/>
      <c r="Y486" s="314"/>
    </row>
    <row r="487" s="3" customFormat="true" ht="15" hidden="false" customHeight="true" outlineLevel="0" collapsed="false">
      <c r="A487" s="56"/>
      <c r="B487" s="95" t="s">
        <v>181</v>
      </c>
      <c r="C487" s="126"/>
      <c r="D487" s="231"/>
      <c r="E487" s="231"/>
      <c r="F487" s="231"/>
      <c r="G487" s="231"/>
      <c r="H487" s="231"/>
      <c r="I487" s="231"/>
      <c r="J487" s="231"/>
      <c r="K487" s="126"/>
      <c r="L487" s="126"/>
      <c r="M487" s="129"/>
      <c r="N487" s="129"/>
      <c r="O487" s="129"/>
      <c r="P487" s="130"/>
      <c r="Q487" s="129"/>
      <c r="R487" s="129"/>
      <c r="S487" s="279"/>
      <c r="T487" s="279"/>
      <c r="U487" s="279"/>
      <c r="V487" s="279"/>
      <c r="W487" s="280"/>
      <c r="X487" s="129"/>
      <c r="Y487" s="129"/>
    </row>
    <row r="488" s="3" customFormat="true" ht="15" hidden="false" customHeight="true" outlineLevel="0" collapsed="false">
      <c r="A488" s="56"/>
      <c r="B488" s="95"/>
      <c r="C488" s="126"/>
      <c r="D488" s="231"/>
      <c r="E488" s="231"/>
      <c r="F488" s="231"/>
      <c r="G488" s="231"/>
      <c r="H488" s="231"/>
      <c r="I488" s="225"/>
      <c r="J488" s="226"/>
      <c r="K488" s="167"/>
      <c r="L488" s="373"/>
      <c r="M488" s="374"/>
      <c r="N488" s="374"/>
      <c r="O488" s="374"/>
      <c r="P488" s="376"/>
      <c r="Q488" s="374"/>
      <c r="R488" s="374"/>
      <c r="S488" s="375"/>
      <c r="T488" s="375"/>
      <c r="U488" s="375"/>
      <c r="V488" s="375"/>
      <c r="W488" s="377"/>
      <c r="X488" s="374"/>
      <c r="Y488" s="374"/>
    </row>
    <row r="489" s="3" customFormat="true" ht="15.75" hidden="false" customHeight="true" outlineLevel="0" collapsed="false">
      <c r="A489" s="38"/>
      <c r="B489" s="120" t="s">
        <v>282</v>
      </c>
      <c r="C489" s="212"/>
      <c r="D489" s="212"/>
      <c r="E489" s="212"/>
      <c r="F489" s="212"/>
      <c r="G489" s="212"/>
      <c r="H489" s="212"/>
      <c r="I489" s="212"/>
      <c r="J489" s="212"/>
      <c r="K489" s="68"/>
      <c r="L489" s="68"/>
      <c r="M489" s="69"/>
      <c r="N489" s="69"/>
      <c r="O489" s="69" t="n">
        <v>17600</v>
      </c>
      <c r="P489" s="71" t="n">
        <v>17500</v>
      </c>
      <c r="Q489" s="230" t="n">
        <v>7300</v>
      </c>
      <c r="R489" s="69" t="n">
        <v>9000</v>
      </c>
      <c r="S489" s="69" t="n">
        <v>11800</v>
      </c>
      <c r="T489" s="69" t="n">
        <v>15700</v>
      </c>
      <c r="U489" s="69" t="n">
        <v>11500</v>
      </c>
      <c r="V489" s="69" t="n">
        <v>19000</v>
      </c>
      <c r="W489" s="68" t="n">
        <v>13500</v>
      </c>
      <c r="X489" s="69" t="n">
        <v>4000</v>
      </c>
      <c r="Y489" s="69" t="n">
        <v>2000</v>
      </c>
    </row>
    <row r="490" s="3" customFormat="true" ht="15.75" hidden="false" customHeight="true" outlineLevel="0" collapsed="false">
      <c r="A490" s="72"/>
      <c r="B490" s="73"/>
      <c r="C490" s="68"/>
      <c r="D490" s="119"/>
      <c r="E490" s="119"/>
      <c r="F490" s="360"/>
      <c r="G490" s="92"/>
      <c r="H490" s="209"/>
      <c r="I490" s="307"/>
      <c r="J490" s="355"/>
      <c r="K490" s="167"/>
      <c r="L490" s="371"/>
      <c r="M490" s="285"/>
      <c r="N490" s="285"/>
      <c r="O490" s="285"/>
      <c r="P490" s="287"/>
      <c r="Q490" s="285"/>
      <c r="R490" s="285"/>
      <c r="S490" s="286"/>
      <c r="T490" s="286"/>
      <c r="U490" s="286"/>
      <c r="V490" s="286"/>
      <c r="W490" s="288"/>
      <c r="X490" s="285"/>
      <c r="Y490" s="285"/>
    </row>
    <row r="491" s="3" customFormat="true" ht="15.75" hidden="false" customHeight="true" outlineLevel="0" collapsed="false">
      <c r="A491" s="38"/>
      <c r="B491" s="253" t="s">
        <v>184</v>
      </c>
      <c r="C491" s="224"/>
      <c r="D491" s="224"/>
      <c r="E491" s="224"/>
      <c r="F491" s="224"/>
      <c r="G491" s="224"/>
      <c r="H491" s="224"/>
      <c r="I491" s="224"/>
      <c r="J491" s="224"/>
      <c r="K491" s="119"/>
      <c r="L491" s="119"/>
      <c r="M491" s="88"/>
      <c r="N491" s="88"/>
      <c r="O491" s="88"/>
      <c r="P491" s="130"/>
      <c r="Q491" s="129"/>
      <c r="R491" s="129"/>
      <c r="S491" s="129"/>
      <c r="T491" s="129"/>
      <c r="U491" s="129"/>
      <c r="V491" s="129"/>
      <c r="W491" s="126"/>
      <c r="X491" s="129"/>
      <c r="Y491" s="129"/>
    </row>
    <row r="492" s="3" customFormat="true" ht="15.75" hidden="false" customHeight="true" outlineLevel="0" collapsed="false">
      <c r="A492" s="38"/>
      <c r="B492" s="253" t="s">
        <v>185</v>
      </c>
      <c r="C492" s="224"/>
      <c r="D492" s="224"/>
      <c r="E492" s="224"/>
      <c r="F492" s="224"/>
      <c r="G492" s="224"/>
      <c r="H492" s="224"/>
      <c r="I492" s="224"/>
      <c r="J492" s="224"/>
      <c r="K492" s="119"/>
      <c r="L492" s="372"/>
      <c r="M492" s="367"/>
      <c r="N492" s="367"/>
      <c r="O492" s="367"/>
      <c r="P492" s="316"/>
      <c r="Q492" s="314"/>
      <c r="R492" s="314"/>
      <c r="S492" s="315"/>
      <c r="T492" s="315"/>
      <c r="U492" s="315"/>
      <c r="V492" s="315"/>
      <c r="W492" s="317"/>
      <c r="X492" s="314"/>
      <c r="Y492" s="314"/>
    </row>
    <row r="493" s="3" customFormat="true" ht="15.75" hidden="false" customHeight="true" outlineLevel="0" collapsed="false">
      <c r="A493" s="38"/>
      <c r="B493" s="378" t="s">
        <v>186</v>
      </c>
      <c r="C493" s="222"/>
      <c r="D493" s="222"/>
      <c r="E493" s="222"/>
      <c r="F493" s="222"/>
      <c r="G493" s="222"/>
      <c r="H493" s="222"/>
      <c r="I493" s="222"/>
      <c r="J493" s="379"/>
      <c r="K493" s="119"/>
      <c r="L493" s="372"/>
      <c r="M493" s="367"/>
      <c r="N493" s="367"/>
      <c r="O493" s="367"/>
      <c r="P493" s="316"/>
      <c r="Q493" s="314"/>
      <c r="R493" s="314"/>
      <c r="S493" s="315"/>
      <c r="T493" s="315"/>
      <c r="U493" s="315"/>
      <c r="V493" s="315"/>
      <c r="W493" s="317"/>
      <c r="X493" s="314"/>
      <c r="Y493" s="314"/>
    </row>
    <row r="494" s="3" customFormat="true" ht="15.75" hidden="false" customHeight="true" outlineLevel="0" collapsed="false">
      <c r="A494" s="38"/>
      <c r="B494" s="253" t="s">
        <v>187</v>
      </c>
      <c r="C494" s="119"/>
      <c r="D494" s="277"/>
      <c r="E494" s="276"/>
      <c r="F494" s="224"/>
      <c r="G494" s="224"/>
      <c r="H494" s="224"/>
      <c r="I494" s="224"/>
      <c r="J494" s="224"/>
      <c r="K494" s="119"/>
      <c r="L494" s="119"/>
      <c r="M494" s="88"/>
      <c r="N494" s="88"/>
      <c r="O494" s="88"/>
      <c r="P494" s="130"/>
      <c r="Q494" s="129"/>
      <c r="R494" s="129"/>
      <c r="S494" s="129"/>
      <c r="T494" s="129"/>
      <c r="U494" s="129"/>
      <c r="V494" s="129"/>
      <c r="W494" s="126"/>
      <c r="X494" s="129"/>
      <c r="Y494" s="129"/>
    </row>
    <row r="495" s="3" customFormat="true" ht="15.75" hidden="false" customHeight="true" outlineLevel="0" collapsed="false">
      <c r="A495" s="38"/>
      <c r="B495" s="253" t="s">
        <v>188</v>
      </c>
      <c r="C495" s="119"/>
      <c r="D495" s="224"/>
      <c r="E495" s="224"/>
      <c r="F495" s="224"/>
      <c r="G495" s="224"/>
      <c r="H495" s="224"/>
      <c r="I495" s="224"/>
      <c r="J495" s="224"/>
      <c r="K495" s="119"/>
      <c r="L495" s="372"/>
      <c r="M495" s="367"/>
      <c r="N495" s="367"/>
      <c r="O495" s="367"/>
      <c r="P495" s="316"/>
      <c r="Q495" s="314"/>
      <c r="R495" s="314"/>
      <c r="S495" s="315"/>
      <c r="T495" s="315"/>
      <c r="U495" s="315"/>
      <c r="V495" s="315"/>
      <c r="W495" s="317"/>
      <c r="X495" s="314"/>
      <c r="Y495" s="314"/>
    </row>
    <row r="496" s="3" customFormat="true" ht="15.75" hidden="false" customHeight="true" outlineLevel="0" collapsed="false">
      <c r="A496" s="38"/>
      <c r="B496" s="253" t="s">
        <v>189</v>
      </c>
      <c r="C496" s="119"/>
      <c r="D496" s="224"/>
      <c r="E496" s="224"/>
      <c r="F496" s="224"/>
      <c r="G496" s="224"/>
      <c r="H496" s="224"/>
      <c r="I496" s="224"/>
      <c r="J496" s="224"/>
      <c r="K496" s="119"/>
      <c r="L496" s="372"/>
      <c r="M496" s="367"/>
      <c r="N496" s="367"/>
      <c r="O496" s="367"/>
      <c r="P496" s="316"/>
      <c r="Q496" s="314"/>
      <c r="R496" s="314"/>
      <c r="S496" s="315"/>
      <c r="T496" s="315"/>
      <c r="U496" s="315"/>
      <c r="V496" s="315"/>
      <c r="W496" s="317"/>
      <c r="X496" s="314"/>
      <c r="Y496" s="314"/>
    </row>
    <row r="497" s="3" customFormat="true" ht="15.75" hidden="false" customHeight="true" outlineLevel="0" collapsed="false">
      <c r="A497" s="38"/>
      <c r="B497" s="253" t="s">
        <v>190</v>
      </c>
      <c r="C497" s="119"/>
      <c r="D497" s="224"/>
      <c r="E497" s="224"/>
      <c r="F497" s="224"/>
      <c r="G497" s="224"/>
      <c r="H497" s="224"/>
      <c r="I497" s="224"/>
      <c r="J497" s="224"/>
      <c r="K497" s="119"/>
      <c r="L497" s="372"/>
      <c r="M497" s="367"/>
      <c r="N497" s="367"/>
      <c r="O497" s="367"/>
      <c r="P497" s="316"/>
      <c r="Q497" s="314"/>
      <c r="R497" s="314"/>
      <c r="S497" s="315"/>
      <c r="T497" s="315"/>
      <c r="U497" s="315"/>
      <c r="V497" s="315"/>
      <c r="W497" s="317"/>
      <c r="X497" s="314"/>
      <c r="Y497" s="314"/>
    </row>
    <row r="498" s="3" customFormat="true" ht="15.75" hidden="false" customHeight="true" outlineLevel="0" collapsed="false">
      <c r="A498" s="38"/>
      <c r="B498" s="253" t="s">
        <v>191</v>
      </c>
      <c r="C498" s="119"/>
      <c r="D498" s="224"/>
      <c r="E498" s="224"/>
      <c r="F498" s="224"/>
      <c r="G498" s="224"/>
      <c r="H498" s="224"/>
      <c r="I498" s="224"/>
      <c r="J498" s="224"/>
      <c r="K498" s="119"/>
      <c r="L498" s="372"/>
      <c r="M498" s="367"/>
      <c r="N498" s="367"/>
      <c r="O498" s="367"/>
      <c r="P498" s="316"/>
      <c r="Q498" s="314"/>
      <c r="R498" s="314"/>
      <c r="S498" s="315"/>
      <c r="T498" s="315"/>
      <c r="U498" s="315"/>
      <c r="V498" s="315"/>
      <c r="W498" s="317"/>
      <c r="X498" s="314"/>
      <c r="Y498" s="314"/>
    </row>
    <row r="499" s="3" customFormat="true" ht="15.75" hidden="false" customHeight="true" outlineLevel="0" collapsed="false">
      <c r="A499" s="38"/>
      <c r="B499" s="253" t="s">
        <v>192</v>
      </c>
      <c r="C499" s="224"/>
      <c r="D499" s="224"/>
      <c r="E499" s="224"/>
      <c r="F499" s="224"/>
      <c r="G499" s="224"/>
      <c r="H499" s="224"/>
      <c r="I499" s="224"/>
      <c r="J499" s="224"/>
      <c r="K499" s="119"/>
      <c r="L499" s="372"/>
      <c r="M499" s="367"/>
      <c r="N499" s="367"/>
      <c r="O499" s="367"/>
      <c r="P499" s="316"/>
      <c r="Q499" s="314"/>
      <c r="R499" s="314"/>
      <c r="S499" s="315"/>
      <c r="T499" s="315"/>
      <c r="U499" s="315"/>
      <c r="V499" s="315"/>
      <c r="W499" s="317"/>
      <c r="X499" s="314"/>
      <c r="Y499" s="314"/>
    </row>
    <row r="500" s="3" customFormat="true" ht="15.75" hidden="false" customHeight="true" outlineLevel="0" collapsed="false">
      <c r="A500" s="38"/>
      <c r="B500" s="253" t="s">
        <v>193</v>
      </c>
      <c r="C500" s="224"/>
      <c r="D500" s="224"/>
      <c r="E500" s="224"/>
      <c r="F500" s="224"/>
      <c r="G500" s="224"/>
      <c r="H500" s="224"/>
      <c r="I500" s="224"/>
      <c r="J500" s="224"/>
      <c r="K500" s="119"/>
      <c r="L500" s="372"/>
      <c r="M500" s="367"/>
      <c r="N500" s="367"/>
      <c r="O500" s="367"/>
      <c r="P500" s="316"/>
      <c r="Q500" s="314"/>
      <c r="R500" s="314"/>
      <c r="S500" s="315"/>
      <c r="T500" s="315"/>
      <c r="U500" s="315"/>
      <c r="V500" s="315"/>
      <c r="W500" s="317"/>
      <c r="X500" s="314"/>
      <c r="Y500" s="314"/>
    </row>
    <row r="501" s="3" customFormat="true" ht="15.75" hidden="false" customHeight="true" outlineLevel="0" collapsed="false">
      <c r="A501" s="38"/>
      <c r="B501" s="378" t="s">
        <v>194</v>
      </c>
      <c r="C501" s="224"/>
      <c r="D501" s="224"/>
      <c r="E501" s="224"/>
      <c r="F501" s="224"/>
      <c r="G501" s="224"/>
      <c r="H501" s="224"/>
      <c r="I501" s="224"/>
      <c r="J501" s="224"/>
      <c r="K501" s="119"/>
      <c r="L501" s="372"/>
      <c r="M501" s="367"/>
      <c r="N501" s="367"/>
      <c r="O501" s="367"/>
      <c r="P501" s="316"/>
      <c r="Q501" s="314"/>
      <c r="R501" s="314"/>
      <c r="S501" s="315"/>
      <c r="T501" s="315"/>
      <c r="U501" s="315"/>
      <c r="V501" s="315"/>
      <c r="W501" s="317"/>
      <c r="X501" s="314"/>
      <c r="Y501" s="314"/>
    </row>
    <row r="502" s="3" customFormat="true" ht="15.75" hidden="false" customHeight="true" outlineLevel="0" collapsed="false">
      <c r="A502" s="38"/>
      <c r="B502" s="378" t="s">
        <v>195</v>
      </c>
      <c r="C502" s="224"/>
      <c r="D502" s="224"/>
      <c r="E502" s="224"/>
      <c r="F502" s="224"/>
      <c r="G502" s="224"/>
      <c r="H502" s="224"/>
      <c r="I502" s="224"/>
      <c r="J502" s="224"/>
      <c r="K502" s="119"/>
      <c r="L502" s="372"/>
      <c r="M502" s="367"/>
      <c r="N502" s="367"/>
      <c r="O502" s="367"/>
      <c r="P502" s="316"/>
      <c r="Q502" s="314"/>
      <c r="R502" s="314"/>
      <c r="S502" s="315"/>
      <c r="T502" s="315"/>
      <c r="U502" s="315"/>
      <c r="V502" s="315"/>
      <c r="W502" s="317"/>
      <c r="X502" s="314"/>
      <c r="Y502" s="314"/>
    </row>
    <row r="503" s="3" customFormat="true" ht="15.75" hidden="false" customHeight="true" outlineLevel="0" collapsed="false">
      <c r="A503" s="38"/>
      <c r="B503" s="253" t="s">
        <v>196</v>
      </c>
      <c r="C503" s="224"/>
      <c r="D503" s="224"/>
      <c r="E503" s="224"/>
      <c r="F503" s="224"/>
      <c r="G503" s="224"/>
      <c r="H503" s="224"/>
      <c r="I503" s="224"/>
      <c r="J503" s="224"/>
      <c r="K503" s="119"/>
      <c r="L503" s="372"/>
      <c r="M503" s="367"/>
      <c r="N503" s="367"/>
      <c r="O503" s="367"/>
      <c r="P503" s="316"/>
      <c r="Q503" s="314"/>
      <c r="R503" s="314"/>
      <c r="S503" s="314"/>
      <c r="T503" s="314"/>
      <c r="U503" s="314"/>
      <c r="V503" s="314"/>
      <c r="W503" s="313"/>
      <c r="X503" s="314"/>
      <c r="Y503" s="314"/>
    </row>
    <row r="504" s="3" customFormat="true" ht="15.75" hidden="false" customHeight="true" outlineLevel="0" collapsed="false">
      <c r="A504" s="38"/>
      <c r="B504" s="253" t="s">
        <v>197</v>
      </c>
      <c r="C504" s="224"/>
      <c r="D504" s="224"/>
      <c r="E504" s="224"/>
      <c r="F504" s="224"/>
      <c r="G504" s="224"/>
      <c r="H504" s="224"/>
      <c r="I504" s="224"/>
      <c r="J504" s="224"/>
      <c r="K504" s="119"/>
      <c r="L504" s="372"/>
      <c r="M504" s="367"/>
      <c r="N504" s="367"/>
      <c r="O504" s="367"/>
      <c r="P504" s="316"/>
      <c r="Q504" s="314"/>
      <c r="R504" s="314"/>
      <c r="S504" s="315"/>
      <c r="T504" s="315"/>
      <c r="U504" s="315"/>
      <c r="V504" s="315"/>
      <c r="W504" s="317"/>
      <c r="X504" s="314"/>
      <c r="Y504" s="314"/>
    </row>
    <row r="505" s="3" customFormat="true" ht="15.75" hidden="false" customHeight="true" outlineLevel="0" collapsed="false">
      <c r="A505" s="38"/>
      <c r="B505" s="73" t="s">
        <v>3</v>
      </c>
      <c r="C505" s="212"/>
      <c r="D505" s="212"/>
      <c r="E505" s="212"/>
      <c r="F505" s="212"/>
      <c r="G505" s="212"/>
      <c r="H505" s="212"/>
      <c r="I505" s="307"/>
      <c r="J505" s="248"/>
      <c r="K505" s="68"/>
      <c r="L505" s="380"/>
      <c r="M505" s="285"/>
      <c r="N505" s="285"/>
      <c r="O505" s="285"/>
      <c r="P505" s="287"/>
      <c r="Q505" s="285"/>
      <c r="R505" s="285"/>
      <c r="S505" s="286"/>
      <c r="T505" s="286"/>
      <c r="U505" s="286"/>
      <c r="V505" s="286"/>
      <c r="W505" s="288"/>
      <c r="X505" s="285"/>
      <c r="Y505" s="285"/>
    </row>
    <row r="506" s="3" customFormat="true" ht="15.75" hidden="false" customHeight="true" outlineLevel="0" collapsed="false">
      <c r="A506" s="38"/>
      <c r="B506" s="120" t="s">
        <v>283</v>
      </c>
      <c r="C506" s="212"/>
      <c r="D506" s="212"/>
      <c r="E506" s="212"/>
      <c r="F506" s="212"/>
      <c r="G506" s="212"/>
      <c r="H506" s="212"/>
      <c r="I506" s="212"/>
      <c r="J506" s="212"/>
      <c r="K506" s="68"/>
      <c r="L506" s="68"/>
      <c r="M506" s="69"/>
      <c r="N506" s="69"/>
      <c r="O506" s="69" t="n">
        <v>4000</v>
      </c>
      <c r="P506" s="71" t="n">
        <v>2100</v>
      </c>
      <c r="Q506" s="69" t="n">
        <v>4500</v>
      </c>
      <c r="R506" s="69" t="n">
        <v>3000</v>
      </c>
      <c r="S506" s="69" t="n">
        <v>3700</v>
      </c>
      <c r="T506" s="69" t="n">
        <v>1500</v>
      </c>
      <c r="U506" s="69" t="n">
        <v>100</v>
      </c>
      <c r="V506" s="69" t="n">
        <v>0</v>
      </c>
      <c r="W506" s="68" t="n">
        <v>0</v>
      </c>
      <c r="X506" s="69" t="n">
        <v>0</v>
      </c>
      <c r="Y506" s="69"/>
    </row>
    <row r="507" s="3" customFormat="true" ht="15" hidden="false" customHeight="true" outlineLevel="0" collapsed="false">
      <c r="A507" s="72"/>
      <c r="B507" s="73"/>
      <c r="C507" s="212"/>
      <c r="D507" s="212"/>
      <c r="E507" s="212"/>
      <c r="F507" s="212"/>
      <c r="G507" s="303"/>
      <c r="H507" s="381"/>
      <c r="I507" s="229"/>
      <c r="J507" s="248"/>
      <c r="K507" s="167"/>
      <c r="L507" s="102"/>
      <c r="M507" s="170"/>
      <c r="N507" s="170"/>
      <c r="O507" s="170"/>
      <c r="P507" s="251"/>
      <c r="Q507" s="170"/>
      <c r="R507" s="170"/>
      <c r="S507" s="170"/>
      <c r="T507" s="170"/>
      <c r="U507" s="170"/>
      <c r="V507" s="170"/>
      <c r="W507" s="167"/>
      <c r="X507" s="170"/>
      <c r="Y507" s="170"/>
    </row>
    <row r="508" s="278" customFormat="true" ht="15.75" hidden="false" customHeight="true" outlineLevel="0" collapsed="false">
      <c r="A508" s="361"/>
      <c r="B508" s="253" t="s">
        <v>200</v>
      </c>
      <c r="C508" s="224"/>
      <c r="D508" s="224"/>
      <c r="E508" s="224"/>
      <c r="F508" s="224"/>
      <c r="G508" s="224"/>
      <c r="H508" s="224"/>
      <c r="I508" s="224"/>
      <c r="J508" s="382"/>
      <c r="K508" s="119"/>
      <c r="L508" s="372"/>
      <c r="M508" s="367"/>
      <c r="N508" s="367"/>
      <c r="O508" s="367"/>
      <c r="P508" s="366"/>
      <c r="Q508" s="367"/>
      <c r="R508" s="367"/>
      <c r="S508" s="367"/>
      <c r="T508" s="367"/>
      <c r="U508" s="367"/>
      <c r="V508" s="367"/>
      <c r="W508" s="372"/>
      <c r="X508" s="367"/>
      <c r="Y508" s="367"/>
    </row>
    <row r="509" s="278" customFormat="true" ht="15.75" hidden="false" customHeight="true" outlineLevel="0" collapsed="false">
      <c r="A509" s="364"/>
      <c r="B509" s="253" t="s">
        <v>201</v>
      </c>
      <c r="C509" s="224"/>
      <c r="D509" s="224"/>
      <c r="E509" s="224"/>
      <c r="F509" s="224"/>
      <c r="G509" s="224"/>
      <c r="H509" s="224"/>
      <c r="I509" s="224"/>
      <c r="J509" s="382"/>
      <c r="K509" s="119"/>
      <c r="L509" s="372"/>
      <c r="M509" s="367"/>
      <c r="N509" s="367"/>
      <c r="O509" s="367"/>
      <c r="P509" s="366"/>
      <c r="Q509" s="367"/>
      <c r="R509" s="367"/>
      <c r="S509" s="367"/>
      <c r="T509" s="367"/>
      <c r="U509" s="367"/>
      <c r="V509" s="367"/>
      <c r="W509" s="372"/>
      <c r="X509" s="367"/>
      <c r="Y509" s="367"/>
    </row>
    <row r="510" s="3" customFormat="true" ht="15.75" hidden="false" customHeight="true" outlineLevel="0" collapsed="false">
      <c r="A510" s="38"/>
      <c r="B510" s="73" t="s">
        <v>3</v>
      </c>
      <c r="C510" s="212"/>
      <c r="D510" s="212"/>
      <c r="E510" s="212"/>
      <c r="F510" s="212"/>
      <c r="G510" s="212"/>
      <c r="H510" s="212"/>
      <c r="I510" s="212"/>
      <c r="J510" s="212"/>
      <c r="K510" s="68"/>
      <c r="L510" s="380"/>
      <c r="M510" s="285"/>
      <c r="N510" s="285"/>
      <c r="O510" s="285"/>
      <c r="P510" s="287"/>
      <c r="Q510" s="285"/>
      <c r="R510" s="285"/>
      <c r="S510" s="286"/>
      <c r="T510" s="286"/>
      <c r="U510" s="286"/>
      <c r="V510" s="286"/>
      <c r="W510" s="288"/>
      <c r="X510" s="285"/>
      <c r="Y510" s="285"/>
    </row>
    <row r="511" s="3" customFormat="true" ht="15.75" hidden="false" customHeight="true" outlineLevel="0" collapsed="false">
      <c r="A511" s="38"/>
      <c r="B511" s="73"/>
      <c r="C511" s="212"/>
      <c r="D511" s="212"/>
      <c r="E511" s="212"/>
      <c r="F511" s="212"/>
      <c r="G511" s="212"/>
      <c r="H511" s="212"/>
      <c r="I511" s="212"/>
      <c r="J511" s="248"/>
      <c r="K511" s="68"/>
      <c r="L511" s="371"/>
      <c r="M511" s="285"/>
      <c r="N511" s="285"/>
      <c r="O511" s="285"/>
      <c r="P511" s="287"/>
      <c r="Q511" s="285"/>
      <c r="R511" s="285"/>
      <c r="S511" s="286"/>
      <c r="T511" s="286"/>
      <c r="U511" s="286"/>
      <c r="V511" s="286"/>
      <c r="W511" s="288"/>
      <c r="X511" s="285"/>
      <c r="Y511" s="285"/>
    </row>
    <row r="512" s="3" customFormat="true" ht="15.75" hidden="false" customHeight="true" outlineLevel="0" collapsed="false">
      <c r="A512" s="384"/>
      <c r="B512" s="120" t="s">
        <v>40</v>
      </c>
      <c r="C512" s="212"/>
      <c r="D512" s="212"/>
      <c r="E512" s="212"/>
      <c r="F512" s="212"/>
      <c r="G512" s="212"/>
      <c r="H512" s="212"/>
      <c r="I512" s="212"/>
      <c r="J512" s="212"/>
      <c r="K512" s="68"/>
      <c r="L512" s="383"/>
      <c r="M512" s="281"/>
      <c r="N512" s="281"/>
      <c r="O512" s="281" t="n">
        <v>500</v>
      </c>
      <c r="P512" s="283" t="n">
        <v>1700</v>
      </c>
      <c r="Q512" s="281" t="n">
        <v>2800</v>
      </c>
      <c r="R512" s="281" t="n">
        <v>3000</v>
      </c>
      <c r="S512" s="282" t="n">
        <v>15500</v>
      </c>
      <c r="T512" s="282" t="n">
        <v>19000</v>
      </c>
      <c r="U512" s="282" t="n">
        <v>12000</v>
      </c>
      <c r="V512" s="282" t="n">
        <v>7600</v>
      </c>
      <c r="W512" s="284" t="n">
        <v>35800</v>
      </c>
      <c r="X512" s="281" t="n">
        <v>38000</v>
      </c>
      <c r="Y512" s="281" t="n">
        <v>40000</v>
      </c>
    </row>
    <row r="513" s="3" customFormat="true" ht="15.75" hidden="false" customHeight="true" outlineLevel="0" collapsed="false">
      <c r="A513" s="38"/>
      <c r="B513" s="563"/>
      <c r="C513" s="212"/>
      <c r="D513" s="212"/>
      <c r="E513" s="212"/>
      <c r="F513" s="212"/>
      <c r="G513" s="212"/>
      <c r="H513" s="212"/>
      <c r="I513" s="212"/>
      <c r="J513" s="226"/>
      <c r="K513" s="167"/>
      <c r="L513" s="371"/>
      <c r="M513" s="285"/>
      <c r="N513" s="285"/>
      <c r="O513" s="285"/>
      <c r="P513" s="287"/>
      <c r="Q513" s="285"/>
      <c r="R513" s="285"/>
      <c r="S513" s="286"/>
      <c r="T513" s="286"/>
      <c r="U513" s="286"/>
      <c r="V513" s="286"/>
      <c r="W513" s="288"/>
      <c r="X513" s="285"/>
      <c r="Y513" s="285"/>
    </row>
    <row r="514" s="3" customFormat="true" ht="15.75" hidden="false" customHeight="true" outlineLevel="0" collapsed="false">
      <c r="A514" s="36"/>
      <c r="B514" s="73"/>
      <c r="C514" s="212"/>
      <c r="D514" s="212"/>
      <c r="E514" s="212"/>
      <c r="F514" s="212"/>
      <c r="G514" s="212"/>
      <c r="H514" s="212"/>
      <c r="I514" s="212"/>
      <c r="J514" s="248"/>
      <c r="K514" s="68"/>
      <c r="L514" s="371"/>
      <c r="M514" s="281"/>
      <c r="N514" s="281"/>
      <c r="O514" s="281"/>
      <c r="P514" s="283"/>
      <c r="Q514" s="281"/>
      <c r="R514" s="281"/>
      <c r="S514" s="282"/>
      <c r="T514" s="282"/>
      <c r="U514" s="282"/>
      <c r="V514" s="282"/>
      <c r="W514" s="284"/>
      <c r="X514" s="281"/>
      <c r="Y514" s="281"/>
    </row>
    <row r="515" s="3" customFormat="true" ht="15.75" hidden="false" customHeight="true" outlineLevel="0" collapsed="false">
      <c r="A515" s="384"/>
      <c r="B515" s="480" t="s">
        <v>284</v>
      </c>
      <c r="C515" s="212"/>
      <c r="D515" s="212"/>
      <c r="E515" s="212"/>
      <c r="F515" s="212"/>
      <c r="G515" s="212"/>
      <c r="H515" s="212"/>
      <c r="I515" s="212"/>
      <c r="J515" s="248"/>
      <c r="K515" s="68"/>
      <c r="L515" s="371"/>
      <c r="M515" s="281"/>
      <c r="N515" s="281"/>
      <c r="O515" s="281" t="n">
        <v>1200</v>
      </c>
      <c r="P515" s="283" t="n">
        <v>2500</v>
      </c>
      <c r="Q515" s="281" t="n">
        <v>3000</v>
      </c>
      <c r="R515" s="281" t="n">
        <v>5300</v>
      </c>
      <c r="S515" s="282" t="n">
        <v>9000</v>
      </c>
      <c r="T515" s="282" t="n">
        <v>5800</v>
      </c>
      <c r="U515" s="282" t="n">
        <v>2500</v>
      </c>
      <c r="V515" s="282" t="n">
        <v>5000</v>
      </c>
      <c r="W515" s="284" t="n">
        <v>7000</v>
      </c>
      <c r="X515" s="281" t="n">
        <v>6000</v>
      </c>
      <c r="Y515" s="281" t="n">
        <v>7000</v>
      </c>
    </row>
    <row r="516" s="3" customFormat="true" ht="15.75" hidden="false" customHeight="true" outlineLevel="0" collapsed="false">
      <c r="A516" s="385"/>
      <c r="B516" s="107"/>
      <c r="C516" s="212"/>
      <c r="D516" s="212"/>
      <c r="E516" s="212"/>
      <c r="F516" s="249"/>
      <c r="G516" s="212"/>
      <c r="H516" s="212"/>
      <c r="I516" s="212"/>
      <c r="J516" s="248"/>
      <c r="K516" s="68"/>
      <c r="L516" s="371"/>
      <c r="M516" s="281"/>
      <c r="N516" s="281"/>
      <c r="O516" s="281"/>
      <c r="P516" s="283"/>
      <c r="Q516" s="383"/>
      <c r="R516" s="383"/>
      <c r="S516" s="383"/>
      <c r="T516" s="383"/>
      <c r="U516" s="383"/>
      <c r="V516" s="383"/>
      <c r="W516" s="383"/>
      <c r="X516" s="281"/>
      <c r="Y516" s="281"/>
    </row>
    <row r="517" s="3" customFormat="true" ht="15.75" hidden="false" customHeight="true" outlineLevel="0" collapsed="false">
      <c r="A517" s="385"/>
      <c r="B517" s="107"/>
      <c r="C517" s="212"/>
      <c r="D517" s="212"/>
      <c r="E517" s="212"/>
      <c r="F517" s="249"/>
      <c r="G517" s="212"/>
      <c r="H517" s="212"/>
      <c r="I517" s="212"/>
      <c r="J517" s="248"/>
      <c r="K517" s="68"/>
      <c r="L517" s="371"/>
      <c r="M517" s="281"/>
      <c r="N517" s="281"/>
      <c r="O517" s="281"/>
      <c r="P517" s="283"/>
      <c r="Q517" s="383"/>
      <c r="R517" s="383"/>
      <c r="S517" s="383"/>
      <c r="T517" s="383"/>
      <c r="U517" s="383"/>
      <c r="V517" s="383"/>
      <c r="W517" s="383"/>
      <c r="X517" s="281"/>
      <c r="Y517" s="281"/>
    </row>
    <row r="518" customFormat="false" ht="15.75" hidden="false" customHeight="false" outlineLevel="0" collapsed="false">
      <c r="A518" s="111"/>
      <c r="B518" s="564" t="s">
        <v>287</v>
      </c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9"/>
      <c r="N518" s="99"/>
      <c r="O518" s="99" t="n">
        <f aca="false">O528+O534+O537+O540+O543+O548+O552+O520</f>
        <v>7596</v>
      </c>
      <c r="P518" s="101" t="n">
        <f aca="false">P528+P534+P537+P540+P543+P548+P552</f>
        <v>7800</v>
      </c>
      <c r="Q518" s="98" t="n">
        <f aca="false">Q528+Q534+Q537+Q540+Q543+Q548+Q552</f>
        <v>10100</v>
      </c>
      <c r="R518" s="98" t="n">
        <f aca="false">R528+R534+R537+R540+R543+R548+R552</f>
        <v>10700</v>
      </c>
      <c r="S518" s="98" t="n">
        <f aca="false">S528+S534+S537+S540+S543+S548+S552</f>
        <v>11400</v>
      </c>
      <c r="T518" s="98" t="n">
        <f aca="false">T528+T534+T537+T540+T543+T548+T552</f>
        <v>11600</v>
      </c>
      <c r="U518" s="98" t="n">
        <f aca="false">U528+U534+U537+U540+U543+U548+U552</f>
        <v>11600</v>
      </c>
      <c r="V518" s="98" t="n">
        <f aca="false">V528+V534+V537+V540+V543+V548+V552</f>
        <v>11400</v>
      </c>
      <c r="W518" s="98" t="n">
        <f aca="false">W528+W534+W537+W540+W543+W548+W552</f>
        <v>11000</v>
      </c>
      <c r="X518" s="99" t="n">
        <f aca="false">X528+X534+X537+X540+X543+X548+X552</f>
        <v>11000</v>
      </c>
      <c r="Y518" s="99" t="n">
        <f aca="false">Y528+Y534+Y537+Y540+Y543+Y548+Y552</f>
        <v>12000</v>
      </c>
    </row>
    <row r="519" customFormat="false" ht="15.75" hidden="false" customHeight="false" outlineLevel="0" collapsed="false">
      <c r="A519" s="36"/>
      <c r="C519" s="68"/>
      <c r="D519" s="68"/>
      <c r="E519" s="68"/>
      <c r="F519" s="68"/>
      <c r="G519" s="510"/>
      <c r="H519" s="511"/>
      <c r="I519" s="512"/>
      <c r="J519" s="181"/>
      <c r="K519" s="182"/>
      <c r="L519" s="182"/>
      <c r="M519" s="183"/>
      <c r="N519" s="183"/>
      <c r="O519" s="183" t="e">
        <f aca="false">+(O518-N518)/N518</f>
        <v>#DIV/0!</v>
      </c>
      <c r="P519" s="185" t="n">
        <f aca="false">+(P518-O518)/O518</f>
        <v>0.0268562401263823</v>
      </c>
      <c r="Q519" s="183" t="n">
        <f aca="false">+(Q518-P518)/P518</f>
        <v>0.294871794871795</v>
      </c>
      <c r="R519" s="183" t="n">
        <f aca="false">+(R518-Q518)/Q518</f>
        <v>0.0594059405940594</v>
      </c>
      <c r="S519" s="183" t="n">
        <f aca="false">+(S518-R518)/R518</f>
        <v>0.0654205607476635</v>
      </c>
      <c r="T519" s="183" t="n">
        <f aca="false">+(T518-S518)/S518</f>
        <v>0.0175438596491228</v>
      </c>
      <c r="U519" s="183" t="n">
        <f aca="false">+(U518-T518)/T518</f>
        <v>0</v>
      </c>
      <c r="V519" s="183" t="n">
        <f aca="false">+(V518-U518)/U518</f>
        <v>-0.0172413793103448</v>
      </c>
      <c r="W519" s="182" t="n">
        <f aca="false">+(W518-V518)/V518</f>
        <v>-0.0350877192982456</v>
      </c>
      <c r="X519" s="183" t="n">
        <f aca="false">+(X518-W518)/W518</f>
        <v>0</v>
      </c>
      <c r="Y519" s="183" t="n">
        <f aca="false">+(Y518-X518)/X518</f>
        <v>0.0909090909090909</v>
      </c>
    </row>
    <row r="520" s="345" customFormat="true" ht="15" hidden="false" customHeight="true" outlineLevel="0" collapsed="false">
      <c r="A520" s="334"/>
      <c r="B520" s="73" t="s">
        <v>18</v>
      </c>
      <c r="C520" s="336"/>
      <c r="D520" s="336"/>
      <c r="E520" s="336"/>
      <c r="F520" s="336"/>
      <c r="G520" s="336"/>
      <c r="H520" s="337"/>
      <c r="I520" s="338"/>
      <c r="J520" s="337"/>
      <c r="K520" s="339"/>
      <c r="L520" s="339"/>
      <c r="M520" s="342"/>
      <c r="N520" s="342"/>
      <c r="O520" s="442" t="n">
        <v>1596</v>
      </c>
      <c r="P520" s="550"/>
      <c r="Q520" s="344"/>
      <c r="R520" s="344"/>
      <c r="S520" s="344"/>
      <c r="T520" s="344"/>
      <c r="U520" s="344"/>
      <c r="V520" s="344"/>
      <c r="W520" s="344"/>
      <c r="X520" s="344"/>
      <c r="Y520" s="344"/>
    </row>
    <row r="521" customFormat="false" ht="15.75" hidden="false" customHeight="false" outlineLevel="0" collapsed="false">
      <c r="A521" s="36"/>
      <c r="B521" s="86"/>
      <c r="C521" s="522"/>
      <c r="D521" s="522"/>
      <c r="E521" s="522"/>
      <c r="F521" s="507"/>
      <c r="G521" s="507"/>
      <c r="H521" s="204"/>
      <c r="I521" s="167"/>
      <c r="J521" s="355"/>
      <c r="K521" s="167"/>
      <c r="L521" s="102"/>
      <c r="M521" s="91"/>
      <c r="N521" s="91"/>
      <c r="O521" s="88" t="s">
        <v>3</v>
      </c>
      <c r="P521" s="117" t="s">
        <v>3</v>
      </c>
      <c r="Q521" s="88" t="s">
        <v>3</v>
      </c>
      <c r="R521" s="88" t="s">
        <v>3</v>
      </c>
      <c r="S521" s="89" t="s">
        <v>3</v>
      </c>
      <c r="T521" s="89" t="s">
        <v>3</v>
      </c>
      <c r="U521" s="89" t="s">
        <v>3</v>
      </c>
      <c r="V521" s="89" t="s">
        <v>3</v>
      </c>
      <c r="W521" s="118" t="s">
        <v>3</v>
      </c>
      <c r="X521" s="88" t="s">
        <v>3</v>
      </c>
      <c r="Y521" s="88"/>
    </row>
    <row r="522" customFormat="false" ht="15.75" hidden="false" customHeight="false" outlineLevel="0" collapsed="false">
      <c r="A522" s="36"/>
      <c r="B522" s="120" t="s">
        <v>278</v>
      </c>
      <c r="C522" s="182"/>
      <c r="D522" s="80"/>
      <c r="E522" s="80"/>
      <c r="F522" s="80"/>
      <c r="G522" s="68"/>
      <c r="H522" s="68"/>
      <c r="I522" s="68"/>
      <c r="J522" s="68"/>
      <c r="K522" s="68"/>
      <c r="L522" s="68"/>
      <c r="M522" s="69"/>
      <c r="N522" s="69"/>
      <c r="O522" s="69"/>
      <c r="P522" s="71"/>
      <c r="Q522" s="69"/>
      <c r="R522" s="69"/>
      <c r="S522" s="69"/>
      <c r="T522" s="69"/>
      <c r="U522" s="69"/>
      <c r="V522" s="69"/>
      <c r="W522" s="68"/>
      <c r="X522" s="69"/>
      <c r="Y522" s="69"/>
    </row>
    <row r="523" customFormat="false" ht="15.75" hidden="false" customHeight="false" outlineLevel="0" collapsed="false">
      <c r="A523" s="36"/>
      <c r="B523" s="73"/>
      <c r="C523" s="88"/>
      <c r="D523" s="118"/>
      <c r="E523" s="119"/>
      <c r="F523" s="224"/>
      <c r="G523" s="92"/>
      <c r="H523" s="209"/>
      <c r="I523" s="307"/>
      <c r="J523" s="355"/>
      <c r="K523" s="167"/>
      <c r="L523" s="380"/>
      <c r="M523" s="322"/>
      <c r="N523" s="322"/>
      <c r="O523" s="322"/>
      <c r="P523" s="323"/>
      <c r="Q523" s="322"/>
      <c r="R523" s="322"/>
      <c r="S523" s="324"/>
      <c r="T523" s="324"/>
      <c r="U523" s="324"/>
      <c r="V523" s="324"/>
      <c r="W523" s="325"/>
      <c r="X523" s="322"/>
      <c r="Y523" s="322"/>
    </row>
    <row r="524" customFormat="false" ht="15.75" hidden="false" customHeight="false" outlineLevel="0" collapsed="false">
      <c r="A524" s="36"/>
      <c r="B524" s="97" t="s">
        <v>253</v>
      </c>
      <c r="C524" s="119"/>
      <c r="D524" s="119"/>
      <c r="E524" s="119"/>
      <c r="F524" s="224"/>
      <c r="G524" s="126"/>
      <c r="H524" s="126"/>
      <c r="I524" s="126"/>
      <c r="J524" s="126"/>
      <c r="K524" s="126"/>
      <c r="L524" s="313"/>
      <c r="M524" s="314"/>
      <c r="N524" s="314"/>
      <c r="O524" s="314"/>
      <c r="P524" s="316"/>
      <c r="Q524" s="314"/>
      <c r="R524" s="314"/>
      <c r="S524" s="315"/>
      <c r="T524" s="315"/>
      <c r="U524" s="315"/>
      <c r="V524" s="315"/>
      <c r="W524" s="317"/>
      <c r="X524" s="314"/>
      <c r="Y524" s="314"/>
    </row>
    <row r="525" customFormat="false" ht="15.75" hidden="false" customHeight="false" outlineLevel="0" collapsed="false">
      <c r="A525" s="36"/>
      <c r="B525" s="97" t="s">
        <v>254</v>
      </c>
      <c r="C525" s="119"/>
      <c r="D525" s="119"/>
      <c r="E525" s="119"/>
      <c r="F525" s="224"/>
      <c r="G525" s="126"/>
      <c r="H525" s="126"/>
      <c r="I525" s="126"/>
      <c r="J525" s="126"/>
      <c r="K525" s="126"/>
      <c r="L525" s="313"/>
      <c r="M525" s="314"/>
      <c r="N525" s="314"/>
      <c r="O525" s="314"/>
      <c r="P525" s="316"/>
      <c r="Q525" s="314"/>
      <c r="R525" s="314"/>
      <c r="S525" s="315"/>
      <c r="T525" s="315"/>
      <c r="U525" s="315"/>
      <c r="V525" s="315"/>
      <c r="W525" s="317"/>
      <c r="X525" s="314"/>
      <c r="Y525" s="314"/>
    </row>
    <row r="526" customFormat="false" ht="15.75" hidden="false" customHeight="false" outlineLevel="0" collapsed="false">
      <c r="A526" s="36"/>
      <c r="B526" s="97" t="s">
        <v>255</v>
      </c>
      <c r="C526" s="119"/>
      <c r="D526" s="119"/>
      <c r="E526" s="119"/>
      <c r="F526" s="224"/>
      <c r="G526" s="126"/>
      <c r="H526" s="126"/>
      <c r="I526" s="126"/>
      <c r="J526" s="126"/>
      <c r="K526" s="126"/>
      <c r="L526" s="313"/>
      <c r="M526" s="314"/>
      <c r="N526" s="314"/>
      <c r="O526" s="314"/>
      <c r="P526" s="316"/>
      <c r="Q526" s="314"/>
      <c r="R526" s="314"/>
      <c r="S526" s="315"/>
      <c r="T526" s="315"/>
      <c r="U526" s="315"/>
      <c r="V526" s="315"/>
      <c r="W526" s="317"/>
      <c r="X526" s="314"/>
      <c r="Y526" s="314"/>
    </row>
    <row r="527" customFormat="false" ht="15.75" hidden="false" customHeight="false" outlineLevel="0" collapsed="false">
      <c r="A527" s="36"/>
      <c r="B527" s="452"/>
      <c r="C527" s="68"/>
      <c r="D527" s="68"/>
      <c r="E527" s="68"/>
      <c r="F527" s="68"/>
      <c r="G527" s="68"/>
      <c r="H527" s="68"/>
      <c r="I527" s="68"/>
      <c r="J527" s="68"/>
      <c r="K527" s="68"/>
      <c r="L527" s="380"/>
      <c r="M527" s="285"/>
      <c r="N527" s="285"/>
      <c r="O527" s="285"/>
      <c r="P527" s="287"/>
      <c r="Q527" s="285"/>
      <c r="R527" s="285"/>
      <c r="S527" s="286"/>
      <c r="T527" s="286"/>
      <c r="U527" s="286"/>
      <c r="V527" s="286"/>
      <c r="W527" s="288"/>
      <c r="X527" s="285"/>
      <c r="Y527" s="285"/>
    </row>
    <row r="528" s="525" customFormat="true" ht="15.75" hidden="false" customHeight="false" outlineLevel="0" collapsed="false">
      <c r="A528" s="36"/>
      <c r="B528" s="120" t="s">
        <v>279</v>
      </c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9"/>
      <c r="N528" s="69"/>
      <c r="O528" s="69" t="n">
        <v>1000</v>
      </c>
      <c r="P528" s="71" t="n">
        <v>1500</v>
      </c>
      <c r="Q528" s="69" t="n">
        <v>4600</v>
      </c>
      <c r="R528" s="69" t="n">
        <v>3700</v>
      </c>
      <c r="S528" s="69" t="n">
        <v>5200</v>
      </c>
      <c r="T528" s="69" t="n">
        <v>6100</v>
      </c>
      <c r="U528" s="69" t="n">
        <v>2100</v>
      </c>
      <c r="V528" s="69" t="n">
        <v>1500</v>
      </c>
      <c r="W528" s="68" t="n">
        <v>2800</v>
      </c>
      <c r="X528" s="69" t="n">
        <v>3100</v>
      </c>
      <c r="Y528" s="69" t="n">
        <v>3000</v>
      </c>
    </row>
    <row r="529" customFormat="false" ht="15.75" hidden="false" customHeight="false" outlineLevel="0" collapsed="false">
      <c r="A529" s="36"/>
      <c r="B529" s="73"/>
      <c r="C529" s="119"/>
      <c r="D529" s="119"/>
      <c r="E529" s="119"/>
      <c r="F529" s="224"/>
      <c r="G529" s="92"/>
      <c r="H529" s="209"/>
      <c r="I529" s="307"/>
      <c r="J529" s="119"/>
      <c r="K529" s="167"/>
      <c r="L529" s="380"/>
      <c r="M529" s="322"/>
      <c r="N529" s="322"/>
      <c r="O529" s="322"/>
      <c r="P529" s="323"/>
      <c r="Q529" s="322"/>
      <c r="R529" s="322"/>
      <c r="S529" s="324"/>
      <c r="T529" s="324"/>
      <c r="U529" s="324"/>
      <c r="V529" s="324"/>
      <c r="W529" s="325"/>
      <c r="X529" s="322"/>
      <c r="Y529" s="322"/>
    </row>
    <row r="530" customFormat="false" ht="15.75" hidden="false" customHeight="false" outlineLevel="0" collapsed="false">
      <c r="A530" s="36"/>
      <c r="B530" s="97" t="s">
        <v>258</v>
      </c>
      <c r="C530" s="126"/>
      <c r="D530" s="126"/>
      <c r="E530" s="126"/>
      <c r="F530" s="231"/>
      <c r="G530" s="126"/>
      <c r="H530" s="126"/>
      <c r="I530" s="126"/>
      <c r="J530" s="126"/>
      <c r="K530" s="126"/>
      <c r="L530" s="313"/>
      <c r="M530" s="314"/>
      <c r="N530" s="314"/>
      <c r="O530" s="314"/>
      <c r="P530" s="316"/>
      <c r="Q530" s="314"/>
      <c r="R530" s="314"/>
      <c r="S530" s="315"/>
      <c r="T530" s="315"/>
      <c r="U530" s="315"/>
      <c r="V530" s="315"/>
      <c r="W530" s="317"/>
      <c r="X530" s="314"/>
      <c r="Y530" s="314"/>
    </row>
    <row r="531" customFormat="false" ht="15.75" hidden="false" customHeight="false" outlineLevel="0" collapsed="false">
      <c r="A531" s="36"/>
      <c r="B531" s="97" t="s">
        <v>259</v>
      </c>
      <c r="C531" s="126"/>
      <c r="D531" s="126"/>
      <c r="E531" s="126"/>
      <c r="F531" s="231"/>
      <c r="G531" s="126"/>
      <c r="H531" s="126"/>
      <c r="I531" s="126"/>
      <c r="J531" s="126"/>
      <c r="K531" s="126"/>
      <c r="L531" s="313"/>
      <c r="M531" s="314"/>
      <c r="N531" s="314"/>
      <c r="O531" s="314"/>
      <c r="P531" s="316"/>
      <c r="Q531" s="314"/>
      <c r="R531" s="314"/>
      <c r="S531" s="315"/>
      <c r="T531" s="315"/>
      <c r="U531" s="315"/>
      <c r="V531" s="315"/>
      <c r="W531" s="317"/>
      <c r="X531" s="314"/>
      <c r="Y531" s="314"/>
    </row>
    <row r="532" customFormat="false" ht="15.75" hidden="false" customHeight="false" outlineLevel="0" collapsed="false">
      <c r="A532" s="36"/>
      <c r="B532" s="97" t="s">
        <v>260</v>
      </c>
      <c r="C532" s="126"/>
      <c r="D532" s="126"/>
      <c r="E532" s="126"/>
      <c r="F532" s="231"/>
      <c r="G532" s="126"/>
      <c r="H532" s="126"/>
      <c r="I532" s="126"/>
      <c r="J532" s="126"/>
      <c r="K532" s="126"/>
      <c r="L532" s="313"/>
      <c r="M532" s="314"/>
      <c r="N532" s="314"/>
      <c r="O532" s="314"/>
      <c r="P532" s="316"/>
      <c r="Q532" s="314"/>
      <c r="R532" s="314"/>
      <c r="S532" s="315"/>
      <c r="T532" s="315"/>
      <c r="U532" s="315"/>
      <c r="V532" s="315"/>
      <c r="W532" s="317"/>
      <c r="X532" s="314"/>
      <c r="Y532" s="314"/>
    </row>
    <row r="533" customFormat="false" ht="15.75" hidden="false" customHeight="false" outlineLevel="0" collapsed="false">
      <c r="A533" s="36"/>
      <c r="B533" s="452"/>
      <c r="C533" s="68"/>
      <c r="D533" s="68"/>
      <c r="E533" s="68"/>
      <c r="F533" s="68"/>
      <c r="G533" s="68"/>
      <c r="H533" s="68"/>
      <c r="I533" s="68"/>
      <c r="J533" s="68"/>
      <c r="K533" s="68"/>
      <c r="L533" s="380"/>
      <c r="M533" s="285"/>
      <c r="N533" s="285"/>
      <c r="O533" s="285"/>
      <c r="P533" s="287"/>
      <c r="Q533" s="285"/>
      <c r="R533" s="285"/>
      <c r="S533" s="286"/>
      <c r="T533" s="286"/>
      <c r="U533" s="286"/>
      <c r="V533" s="286"/>
      <c r="W533" s="288"/>
      <c r="X533" s="285"/>
      <c r="Y533" s="285"/>
    </row>
    <row r="534" s="525" customFormat="true" ht="15.75" hidden="false" customHeight="false" outlineLevel="0" collapsed="false">
      <c r="A534" s="36"/>
      <c r="B534" s="120" t="s">
        <v>280</v>
      </c>
      <c r="C534" s="68"/>
      <c r="D534" s="68"/>
      <c r="E534" s="68"/>
      <c r="F534" s="68"/>
      <c r="G534" s="68"/>
      <c r="H534" s="68"/>
      <c r="I534" s="68"/>
      <c r="J534" s="68"/>
      <c r="K534" s="68"/>
      <c r="L534" s="383"/>
      <c r="M534" s="281"/>
      <c r="N534" s="281"/>
      <c r="O534" s="281" t="n">
        <v>1100</v>
      </c>
      <c r="P534" s="565" t="n">
        <f aca="false">900+500</f>
        <v>1400</v>
      </c>
      <c r="Q534" s="281" t="n">
        <v>1800</v>
      </c>
      <c r="R534" s="281" t="n">
        <v>500</v>
      </c>
      <c r="S534" s="282" t="n">
        <v>1000</v>
      </c>
      <c r="T534" s="282" t="n">
        <v>1000</v>
      </c>
      <c r="U534" s="282" t="n">
        <v>2000</v>
      </c>
      <c r="V534" s="282" t="n">
        <v>2000</v>
      </c>
      <c r="W534" s="284" t="n">
        <v>1000</v>
      </c>
      <c r="X534" s="281" t="n">
        <v>1200</v>
      </c>
      <c r="Y534" s="281" t="n">
        <v>1500</v>
      </c>
    </row>
    <row r="535" customFormat="false" ht="15.75" hidden="false" customHeight="false" outlineLevel="0" collapsed="false">
      <c r="A535" s="36"/>
      <c r="B535" s="73"/>
      <c r="C535" s="119"/>
      <c r="D535" s="119"/>
      <c r="E535" s="119"/>
      <c r="F535" s="360"/>
      <c r="G535" s="92"/>
      <c r="H535" s="526"/>
      <c r="I535" s="307"/>
      <c r="J535" s="119"/>
      <c r="K535" s="167"/>
      <c r="L535" s="380"/>
      <c r="M535" s="314"/>
      <c r="N535" s="314"/>
      <c r="O535" s="314"/>
      <c r="P535" s="316"/>
      <c r="Q535" s="314"/>
      <c r="R535" s="314"/>
      <c r="S535" s="315"/>
      <c r="T535" s="315"/>
      <c r="U535" s="315"/>
      <c r="V535" s="315"/>
      <c r="W535" s="317"/>
      <c r="X535" s="314"/>
      <c r="Y535" s="314"/>
    </row>
    <row r="536" customFormat="false" ht="15.75" hidden="false" customHeight="false" outlineLevel="0" collapsed="false">
      <c r="A536" s="36"/>
      <c r="B536" s="452"/>
      <c r="C536" s="68"/>
      <c r="D536" s="68"/>
      <c r="E536" s="68"/>
      <c r="F536" s="68"/>
      <c r="G536" s="68"/>
      <c r="H536" s="68"/>
      <c r="I536" s="68"/>
      <c r="J536" s="68"/>
      <c r="K536" s="68"/>
      <c r="L536" s="380"/>
      <c r="M536" s="285"/>
      <c r="N536" s="285"/>
      <c r="O536" s="285"/>
      <c r="P536" s="287"/>
      <c r="Q536" s="314"/>
      <c r="R536" s="314"/>
      <c r="S536" s="315"/>
      <c r="T536" s="315"/>
      <c r="U536" s="315"/>
      <c r="V536" s="315"/>
      <c r="W536" s="317"/>
      <c r="X536" s="314"/>
      <c r="Y536" s="314"/>
    </row>
    <row r="537" customFormat="false" ht="15.75" hidden="false" customHeight="false" outlineLevel="0" collapsed="false">
      <c r="A537" s="36"/>
      <c r="B537" s="120" t="s">
        <v>281</v>
      </c>
      <c r="C537" s="68"/>
      <c r="D537" s="68"/>
      <c r="E537" s="68"/>
      <c r="F537" s="68"/>
      <c r="G537" s="68"/>
      <c r="H537" s="68"/>
      <c r="I537" s="68"/>
      <c r="J537" s="68"/>
      <c r="K537" s="68"/>
      <c r="L537" s="383"/>
      <c r="M537" s="281"/>
      <c r="N537" s="281"/>
      <c r="O537" s="281" t="n">
        <v>1800</v>
      </c>
      <c r="P537" s="565" t="n">
        <f aca="false">1700-100</f>
        <v>1600</v>
      </c>
      <c r="Q537" s="386" t="n">
        <f aca="false">700-600</f>
        <v>100</v>
      </c>
      <c r="R537" s="386" t="n">
        <f aca="false">1200-600</f>
        <v>600</v>
      </c>
      <c r="S537" s="387" t="n">
        <f aca="false">1000+100</f>
        <v>1100</v>
      </c>
      <c r="T537" s="387" t="n">
        <f aca="false">1050+600</f>
        <v>1650</v>
      </c>
      <c r="U537" s="387" t="n">
        <f aca="false">1800+600</f>
        <v>2400</v>
      </c>
      <c r="V537" s="282" t="n">
        <v>2800</v>
      </c>
      <c r="W537" s="284" t="n">
        <v>1300</v>
      </c>
      <c r="X537" s="281" t="n">
        <v>2200</v>
      </c>
      <c r="Y537" s="281" t="n">
        <v>500</v>
      </c>
    </row>
    <row r="538" customFormat="false" ht="15.75" hidden="false" customHeight="false" outlineLevel="0" collapsed="false">
      <c r="A538" s="36"/>
      <c r="B538" s="73"/>
      <c r="C538" s="119"/>
      <c r="D538" s="119"/>
      <c r="E538" s="119"/>
      <c r="F538" s="360"/>
      <c r="G538" s="92"/>
      <c r="H538" s="119"/>
      <c r="I538" s="307"/>
      <c r="J538" s="119"/>
      <c r="K538" s="119"/>
      <c r="L538" s="372"/>
      <c r="M538" s="314"/>
      <c r="N538" s="314"/>
      <c r="O538" s="314"/>
      <c r="P538" s="316"/>
      <c r="Q538" s="314"/>
      <c r="R538" s="314"/>
      <c r="S538" s="315"/>
      <c r="T538" s="315"/>
      <c r="U538" s="315"/>
      <c r="V538" s="315"/>
      <c r="W538" s="317"/>
      <c r="X538" s="314"/>
      <c r="Y538" s="314"/>
    </row>
    <row r="539" customFormat="false" ht="15.75" hidden="false" customHeight="false" outlineLevel="0" collapsed="false">
      <c r="A539" s="36"/>
      <c r="B539" s="452"/>
      <c r="C539" s="119"/>
      <c r="D539" s="119"/>
      <c r="E539" s="119"/>
      <c r="F539" s="224"/>
      <c r="G539" s="119"/>
      <c r="H539" s="119"/>
      <c r="I539" s="119"/>
      <c r="J539" s="119"/>
      <c r="K539" s="119"/>
      <c r="L539" s="380"/>
      <c r="M539" s="285"/>
      <c r="N539" s="285"/>
      <c r="O539" s="285"/>
      <c r="P539" s="287"/>
      <c r="Q539" s="314"/>
      <c r="R539" s="314"/>
      <c r="S539" s="315"/>
      <c r="T539" s="315"/>
      <c r="U539" s="315"/>
      <c r="V539" s="315"/>
      <c r="W539" s="317"/>
      <c r="X539" s="314"/>
      <c r="Y539" s="314"/>
    </row>
    <row r="540" customFormat="false" ht="15.75" hidden="false" customHeight="false" outlineLevel="0" collapsed="false">
      <c r="A540" s="36"/>
      <c r="B540" s="120" t="s">
        <v>282</v>
      </c>
      <c r="C540" s="119"/>
      <c r="D540" s="119"/>
      <c r="E540" s="68"/>
      <c r="F540" s="212"/>
      <c r="G540" s="68"/>
      <c r="H540" s="68"/>
      <c r="I540" s="68"/>
      <c r="J540" s="68"/>
      <c r="K540" s="68"/>
      <c r="L540" s="383"/>
      <c r="M540" s="281"/>
      <c r="N540" s="281"/>
      <c r="O540" s="281" t="n">
        <v>150</v>
      </c>
      <c r="P540" s="283" t="n">
        <v>100</v>
      </c>
      <c r="Q540" s="281" t="n">
        <v>500</v>
      </c>
      <c r="R540" s="281" t="n">
        <v>800</v>
      </c>
      <c r="S540" s="282" t="n">
        <v>250</v>
      </c>
      <c r="T540" s="282" t="n">
        <v>200</v>
      </c>
      <c r="U540" s="282" t="n">
        <v>1000</v>
      </c>
      <c r="V540" s="282" t="n">
        <v>1000</v>
      </c>
      <c r="W540" s="284" t="n">
        <v>1000</v>
      </c>
      <c r="X540" s="281" t="n">
        <v>200</v>
      </c>
      <c r="Y540" s="281" t="n">
        <v>500</v>
      </c>
    </row>
    <row r="541" customFormat="false" ht="15.75" hidden="false" customHeight="false" outlineLevel="0" collapsed="false">
      <c r="A541" s="93"/>
      <c r="B541" s="73"/>
      <c r="C541" s="119"/>
      <c r="D541" s="119"/>
      <c r="E541" s="98"/>
      <c r="F541" s="177"/>
      <c r="G541" s="92"/>
      <c r="H541" s="98"/>
      <c r="I541" s="527"/>
      <c r="J541" s="355"/>
      <c r="K541" s="98"/>
      <c r="L541" s="528"/>
      <c r="M541" s="529"/>
      <c r="N541" s="529"/>
      <c r="O541" s="529"/>
      <c r="P541" s="531"/>
      <c r="Q541" s="529"/>
      <c r="R541" s="529"/>
      <c r="S541" s="530"/>
      <c r="T541" s="530"/>
      <c r="U541" s="530"/>
      <c r="V541" s="530"/>
      <c r="W541" s="532"/>
      <c r="X541" s="529"/>
      <c r="Y541" s="529"/>
    </row>
    <row r="542" customFormat="false" ht="15.75" hidden="false" customHeight="false" outlineLevel="0" collapsed="false">
      <c r="A542" s="93"/>
      <c r="B542" s="533"/>
      <c r="C542" s="119"/>
      <c r="D542" s="119"/>
      <c r="E542" s="98"/>
      <c r="F542" s="177"/>
      <c r="G542" s="98"/>
      <c r="H542" s="98"/>
      <c r="I542" s="98"/>
      <c r="J542" s="98"/>
      <c r="K542" s="98"/>
      <c r="L542" s="380"/>
      <c r="M542" s="322"/>
      <c r="N542" s="322"/>
      <c r="O542" s="322"/>
      <c r="P542" s="323"/>
      <c r="Q542" s="314"/>
      <c r="R542" s="314"/>
      <c r="S542" s="315"/>
      <c r="T542" s="315"/>
      <c r="U542" s="315"/>
      <c r="V542" s="315"/>
      <c r="W542" s="317"/>
      <c r="X542" s="314"/>
      <c r="Y542" s="314"/>
    </row>
    <row r="543" customFormat="false" ht="15.75" hidden="false" customHeight="false" outlineLevel="0" collapsed="false">
      <c r="A543" s="36"/>
      <c r="B543" s="120" t="s">
        <v>283</v>
      </c>
      <c r="C543" s="119"/>
      <c r="D543" s="119"/>
      <c r="E543" s="68"/>
      <c r="F543" s="212"/>
      <c r="G543" s="68"/>
      <c r="H543" s="68"/>
      <c r="I543" s="68"/>
      <c r="J543" s="68"/>
      <c r="K543" s="68"/>
      <c r="L543" s="68"/>
      <c r="M543" s="281"/>
      <c r="N543" s="281"/>
      <c r="O543" s="281" t="n">
        <v>1300</v>
      </c>
      <c r="P543" s="565" t="n">
        <f aca="false">1500+1000</f>
        <v>2500</v>
      </c>
      <c r="Q543" s="281" t="n">
        <v>1600</v>
      </c>
      <c r="R543" s="281" t="n">
        <v>2000</v>
      </c>
      <c r="S543" s="281" t="n">
        <v>1350</v>
      </c>
      <c r="T543" s="282" t="n">
        <v>50</v>
      </c>
      <c r="U543" s="282" t="n">
        <v>100</v>
      </c>
      <c r="V543" s="282" t="n">
        <v>0</v>
      </c>
      <c r="W543" s="284" t="n">
        <v>0</v>
      </c>
      <c r="X543" s="281" t="n">
        <v>0</v>
      </c>
      <c r="Y543" s="281"/>
    </row>
    <row r="544" customFormat="false" ht="15.75" hidden="false" customHeight="false" outlineLevel="0" collapsed="false">
      <c r="A544" s="93"/>
      <c r="B544" s="73"/>
      <c r="C544" s="68"/>
      <c r="D544" s="68"/>
      <c r="E544" s="68"/>
      <c r="F544" s="306"/>
      <c r="G544" s="92"/>
      <c r="H544" s="119"/>
      <c r="I544" s="307"/>
      <c r="J544" s="204"/>
      <c r="K544" s="167"/>
      <c r="L544" s="380"/>
      <c r="M544" s="285"/>
      <c r="N544" s="285"/>
      <c r="O544" s="285"/>
      <c r="P544" s="287"/>
      <c r="Q544" s="285"/>
      <c r="R544" s="285"/>
      <c r="S544" s="285"/>
      <c r="T544" s="286"/>
      <c r="U544" s="286"/>
      <c r="V544" s="286"/>
      <c r="W544" s="288"/>
      <c r="X544" s="285"/>
      <c r="Y544" s="285"/>
    </row>
    <row r="545" customFormat="false" ht="15.75" hidden="false" customHeight="false" outlineLevel="0" collapsed="false">
      <c r="A545" s="93"/>
      <c r="B545" s="97" t="s">
        <v>269</v>
      </c>
      <c r="C545" s="126"/>
      <c r="D545" s="126"/>
      <c r="E545" s="98"/>
      <c r="F545" s="177"/>
      <c r="G545" s="126"/>
      <c r="H545" s="126"/>
      <c r="I545" s="126"/>
      <c r="J545" s="126"/>
      <c r="K545" s="126"/>
      <c r="L545" s="313"/>
      <c r="M545" s="314"/>
      <c r="N545" s="314"/>
      <c r="O545" s="314"/>
      <c r="P545" s="316"/>
      <c r="Q545" s="314"/>
      <c r="R545" s="314"/>
      <c r="S545" s="315"/>
      <c r="T545" s="315"/>
      <c r="U545" s="315"/>
      <c r="V545" s="315"/>
      <c r="W545" s="317"/>
      <c r="X545" s="314"/>
      <c r="Y545" s="314"/>
    </row>
    <row r="546" customFormat="false" ht="15.75" hidden="false" customHeight="false" outlineLevel="0" collapsed="false">
      <c r="A546" s="93"/>
      <c r="B546" s="73"/>
      <c r="C546" s="280"/>
      <c r="D546" s="126"/>
      <c r="E546" s="98"/>
      <c r="F546" s="177"/>
      <c r="G546" s="126"/>
      <c r="H546" s="126"/>
      <c r="I546" s="307"/>
      <c r="J546" s="126"/>
      <c r="K546" s="126"/>
      <c r="L546" s="380"/>
      <c r="M546" s="314"/>
      <c r="N546" s="314"/>
      <c r="O546" s="314"/>
      <c r="P546" s="316"/>
      <c r="Q546" s="314"/>
      <c r="R546" s="314"/>
      <c r="S546" s="315"/>
      <c r="T546" s="315"/>
      <c r="U546" s="315"/>
      <c r="V546" s="315"/>
      <c r="W546" s="317"/>
      <c r="X546" s="314"/>
      <c r="Y546" s="314"/>
    </row>
    <row r="547" customFormat="false" ht="15.75" hidden="false" customHeight="false" outlineLevel="0" collapsed="false">
      <c r="A547" s="36"/>
      <c r="B547" s="232" t="s">
        <v>270</v>
      </c>
      <c r="C547" s="230"/>
      <c r="D547" s="68"/>
      <c r="E547" s="68"/>
      <c r="F547" s="126"/>
      <c r="G547" s="126"/>
      <c r="H547" s="126"/>
      <c r="I547" s="126"/>
      <c r="J547" s="126"/>
      <c r="K547" s="126"/>
      <c r="L547" s="313"/>
      <c r="M547" s="314"/>
      <c r="N547" s="314"/>
      <c r="O547" s="314"/>
      <c r="P547" s="316"/>
      <c r="Q547" s="314"/>
      <c r="R547" s="314"/>
      <c r="S547" s="314"/>
      <c r="T547" s="315"/>
      <c r="U547" s="315"/>
      <c r="V547" s="315"/>
      <c r="W547" s="317"/>
      <c r="X547" s="314"/>
      <c r="Y547" s="314"/>
    </row>
    <row r="548" customFormat="false" ht="15.75" hidden="false" customHeight="false" outlineLevel="0" collapsed="false">
      <c r="A548" s="36"/>
      <c r="B548" s="120" t="s">
        <v>40</v>
      </c>
      <c r="C548" s="230"/>
      <c r="D548" s="68"/>
      <c r="E548" s="230"/>
      <c r="F548" s="126"/>
      <c r="G548" s="126"/>
      <c r="H548" s="126"/>
      <c r="I548" s="126"/>
      <c r="J548" s="126"/>
      <c r="K548" s="126"/>
      <c r="L548" s="313"/>
      <c r="M548" s="314"/>
      <c r="N548" s="314"/>
      <c r="O548" s="314" t="n">
        <v>0</v>
      </c>
      <c r="P548" s="316" t="n">
        <v>0</v>
      </c>
      <c r="Q548" s="314" t="n">
        <v>0</v>
      </c>
      <c r="R548" s="281" t="n">
        <v>0</v>
      </c>
      <c r="S548" s="281" t="n">
        <v>1000</v>
      </c>
      <c r="T548" s="282" t="n">
        <v>1200</v>
      </c>
      <c r="U548" s="282" t="n">
        <v>2000</v>
      </c>
      <c r="V548" s="282" t="n">
        <v>3000</v>
      </c>
      <c r="W548" s="284" t="n">
        <v>2500</v>
      </c>
      <c r="X548" s="281" t="n">
        <v>2700</v>
      </c>
      <c r="Y548" s="281" t="n">
        <v>3000</v>
      </c>
    </row>
    <row r="549" customFormat="false" ht="15.75" hidden="false" customHeight="false" outlineLevel="0" collapsed="false">
      <c r="A549" s="36"/>
      <c r="B549" s="563"/>
      <c r="C549" s="230"/>
      <c r="D549" s="68"/>
      <c r="E549" s="230"/>
      <c r="F549" s="126"/>
      <c r="G549" s="126"/>
      <c r="H549" s="126"/>
      <c r="I549" s="126"/>
      <c r="J549" s="126"/>
      <c r="K549" s="126"/>
      <c r="L549" s="313"/>
      <c r="M549" s="314"/>
      <c r="N549" s="314"/>
      <c r="O549" s="314"/>
      <c r="P549" s="316"/>
      <c r="Q549" s="314"/>
      <c r="R549" s="281"/>
      <c r="S549" s="281"/>
      <c r="T549" s="282"/>
      <c r="U549" s="282"/>
      <c r="V549" s="282"/>
      <c r="W549" s="284"/>
      <c r="X549" s="281"/>
      <c r="Y549" s="281"/>
    </row>
    <row r="550" customFormat="false" ht="15.75" hidden="false" customHeight="false" outlineLevel="0" collapsed="false">
      <c r="A550" s="36"/>
      <c r="B550" s="563"/>
      <c r="C550" s="230"/>
      <c r="D550" s="68"/>
      <c r="E550" s="230"/>
      <c r="F550" s="126"/>
      <c r="G550" s="126"/>
      <c r="H550" s="126"/>
      <c r="I550" s="126"/>
      <c r="J550" s="126"/>
      <c r="K550" s="126"/>
      <c r="L550" s="313"/>
      <c r="M550" s="314"/>
      <c r="N550" s="314"/>
      <c r="O550" s="314"/>
      <c r="P550" s="283"/>
      <c r="Q550" s="281"/>
      <c r="R550" s="281"/>
      <c r="S550" s="281"/>
      <c r="T550" s="282"/>
      <c r="U550" s="282"/>
      <c r="V550" s="282"/>
      <c r="W550" s="284"/>
      <c r="X550" s="281"/>
      <c r="Y550" s="281"/>
    </row>
    <row r="551" customFormat="false" ht="15.75" hidden="false" customHeight="false" outlineLevel="0" collapsed="false">
      <c r="A551" s="36"/>
      <c r="B551" s="566"/>
      <c r="C551" s="230"/>
      <c r="D551" s="68"/>
      <c r="E551" s="230"/>
      <c r="F551" s="126"/>
      <c r="G551" s="126"/>
      <c r="H551" s="126"/>
      <c r="I551" s="126"/>
      <c r="J551" s="126"/>
      <c r="K551" s="126"/>
      <c r="L551" s="313"/>
      <c r="M551" s="314"/>
      <c r="N551" s="314"/>
      <c r="O551" s="314"/>
      <c r="P551" s="316"/>
      <c r="Q551" s="314"/>
      <c r="R551" s="314"/>
      <c r="S551" s="314"/>
      <c r="T551" s="315"/>
      <c r="U551" s="315"/>
      <c r="V551" s="315"/>
      <c r="W551" s="317"/>
      <c r="X551" s="314"/>
      <c r="Y551" s="314"/>
    </row>
    <row r="552" customFormat="false" ht="15" hidden="false" customHeight="true" outlineLevel="0" collapsed="false">
      <c r="A552" s="36"/>
      <c r="B552" s="480" t="s">
        <v>284</v>
      </c>
      <c r="C552" s="230"/>
      <c r="D552" s="68"/>
      <c r="E552" s="230"/>
      <c r="F552" s="68"/>
      <c r="G552" s="68"/>
      <c r="H552" s="68"/>
      <c r="I552" s="68"/>
      <c r="J552" s="68"/>
      <c r="K552" s="68"/>
      <c r="L552" s="383"/>
      <c r="M552" s="281"/>
      <c r="N552" s="281"/>
      <c r="O552" s="281" t="n">
        <v>650</v>
      </c>
      <c r="P552" s="283" t="n">
        <v>700</v>
      </c>
      <c r="Q552" s="281" t="n">
        <v>1500</v>
      </c>
      <c r="R552" s="281" t="n">
        <v>3100</v>
      </c>
      <c r="S552" s="281" t="n">
        <v>1500</v>
      </c>
      <c r="T552" s="282" t="n">
        <v>1400</v>
      </c>
      <c r="U552" s="282" t="n">
        <v>2000</v>
      </c>
      <c r="V552" s="282" t="n">
        <v>1100</v>
      </c>
      <c r="W552" s="284" t="n">
        <v>2400</v>
      </c>
      <c r="X552" s="281" t="n">
        <v>1600</v>
      </c>
      <c r="Y552" s="281" t="n">
        <v>3500</v>
      </c>
    </row>
    <row r="553" customFormat="false" ht="15" hidden="false" customHeight="true" outlineLevel="0" collapsed="false">
      <c r="A553" s="78"/>
      <c r="B553" s="73"/>
      <c r="C553" s="77"/>
      <c r="D553" s="77"/>
      <c r="E553" s="3"/>
      <c r="F553" s="78"/>
      <c r="G553" s="78"/>
      <c r="H553" s="78"/>
      <c r="I553" s="78"/>
      <c r="J553" s="78"/>
      <c r="K553" s="79"/>
      <c r="L553" s="80"/>
      <c r="M553" s="81"/>
      <c r="N553" s="81"/>
      <c r="O553" s="567"/>
      <c r="P553" s="568"/>
      <c r="Q553" s="567"/>
      <c r="R553" s="567"/>
      <c r="S553" s="567"/>
      <c r="T553" s="567"/>
      <c r="U553" s="567"/>
      <c r="V553" s="567"/>
      <c r="W553" s="80"/>
      <c r="X553" s="567"/>
      <c r="Y553" s="567"/>
    </row>
    <row r="554" customFormat="false" ht="15" hidden="false" customHeight="true" outlineLevel="0" collapsed="false">
      <c r="A554" s="569"/>
      <c r="B554" s="150"/>
      <c r="C554" s="570"/>
      <c r="D554" s="570"/>
      <c r="E554" s="571"/>
      <c r="F554" s="569"/>
      <c r="G554" s="569"/>
      <c r="H554" s="569"/>
      <c r="I554" s="569"/>
      <c r="J554" s="569"/>
      <c r="K554" s="572"/>
      <c r="L554" s="573"/>
      <c r="M554" s="574"/>
      <c r="N554" s="574"/>
      <c r="O554" s="575"/>
      <c r="P554" s="576"/>
      <c r="Q554" s="575"/>
      <c r="R554" s="575"/>
      <c r="S554" s="575"/>
      <c r="T554" s="575"/>
      <c r="U554" s="575"/>
      <c r="V554" s="575"/>
      <c r="W554" s="573"/>
      <c r="X554" s="575"/>
      <c r="Y554" s="575"/>
    </row>
    <row r="555" customFormat="false" ht="15" hidden="false" customHeight="true" outlineLevel="0" collapsed="false">
      <c r="A555" s="545" t="s">
        <v>288</v>
      </c>
      <c r="B555" s="577" t="s">
        <v>289</v>
      </c>
      <c r="C555" s="77"/>
      <c r="D555" s="77"/>
      <c r="E555" s="3"/>
      <c r="F555" s="78"/>
      <c r="G555" s="78"/>
      <c r="H555" s="78"/>
      <c r="I555" s="78"/>
      <c r="J555" s="78"/>
      <c r="K555" s="79"/>
      <c r="L555" s="80"/>
      <c r="M555" s="81"/>
      <c r="N555" s="81"/>
      <c r="O555" s="567" t="e">
        <f aca="false">O560+O568+O576</f>
        <v>#REF!</v>
      </c>
      <c r="P555" s="568" t="e">
        <f aca="false">P560+P568+P576</f>
        <v>#REF!</v>
      </c>
      <c r="Q555" s="568" t="e">
        <f aca="false">Q560+Q568+Q576</f>
        <v>#REF!</v>
      </c>
      <c r="R555" s="568" t="e">
        <f aca="false">R560+R568+R576</f>
        <v>#REF!</v>
      </c>
      <c r="S555" s="568" t="e">
        <f aca="false">S560+S568+S576</f>
        <v>#REF!</v>
      </c>
      <c r="T555" s="568" t="e">
        <f aca="false">T560+T568+T576</f>
        <v>#REF!</v>
      </c>
      <c r="U555" s="568" t="e">
        <f aca="false">U560+U568+U576</f>
        <v>#REF!</v>
      </c>
      <c r="V555" s="568" t="e">
        <f aca="false">V560+V568+V576</f>
        <v>#REF!</v>
      </c>
      <c r="W555" s="568" t="e">
        <f aca="false">W560+W568+W576</f>
        <v>#REF!</v>
      </c>
      <c r="X555" s="568" t="e">
        <f aca="false">X560+X568+X576</f>
        <v>#REF!</v>
      </c>
      <c r="Y555" s="568" t="e">
        <f aca="false">Y560+Y568+Y576</f>
        <v>#REF!</v>
      </c>
    </row>
    <row r="556" customFormat="false" ht="15" hidden="false" customHeight="true" outlineLevel="0" collapsed="false">
      <c r="A556" s="36"/>
      <c r="B556" s="76" t="s">
        <v>290</v>
      </c>
      <c r="C556" s="77"/>
      <c r="D556" s="77"/>
      <c r="E556" s="3"/>
      <c r="F556" s="78"/>
      <c r="G556" s="78"/>
      <c r="H556" s="78"/>
      <c r="I556" s="78"/>
      <c r="J556" s="78"/>
      <c r="K556" s="79"/>
      <c r="L556" s="80"/>
      <c r="M556" s="81"/>
      <c r="N556" s="81"/>
      <c r="O556" s="567"/>
      <c r="P556" s="83"/>
      <c r="Q556" s="84"/>
      <c r="R556" s="84"/>
      <c r="S556" s="84"/>
      <c r="T556" s="84"/>
      <c r="U556" s="84"/>
      <c r="V556" s="84"/>
      <c r="W556" s="85"/>
      <c r="X556" s="84"/>
      <c r="Y556" s="84"/>
    </row>
    <row r="557" customFormat="false" ht="15" hidden="false" customHeight="true" outlineLevel="0" collapsed="false">
      <c r="A557" s="36"/>
      <c r="B557" s="76" t="s">
        <v>19</v>
      </c>
      <c r="C557" s="77"/>
      <c r="D557" s="77"/>
      <c r="E557" s="3"/>
      <c r="F557" s="78"/>
      <c r="G557" s="78"/>
      <c r="H557" s="78"/>
      <c r="I557" s="78"/>
      <c r="J557" s="78"/>
      <c r="K557" s="79"/>
      <c r="L557" s="80"/>
      <c r="M557" s="81"/>
      <c r="N557" s="81"/>
      <c r="O557" s="82"/>
      <c r="P557" s="83" t="n">
        <v>8100</v>
      </c>
      <c r="Q557" s="84" t="n">
        <v>12000</v>
      </c>
      <c r="R557" s="84" t="n">
        <v>12000</v>
      </c>
      <c r="S557" s="84" t="n">
        <v>8500</v>
      </c>
      <c r="T557" s="84" t="n">
        <v>9600</v>
      </c>
      <c r="U557" s="84" t="n">
        <v>13150</v>
      </c>
      <c r="V557" s="84" t="n">
        <v>10500</v>
      </c>
      <c r="W557" s="85" t="n">
        <v>11350</v>
      </c>
      <c r="X557" s="84" t="n">
        <v>11200</v>
      </c>
      <c r="Y557" s="84" t="n">
        <v>11000</v>
      </c>
    </row>
    <row r="558" customFormat="false" ht="15" hidden="false" customHeight="true" outlineLevel="0" collapsed="false">
      <c r="A558" s="36"/>
      <c r="B558" s="76" t="s">
        <v>20</v>
      </c>
      <c r="C558" s="77"/>
      <c r="D558" s="77"/>
      <c r="E558" s="3"/>
      <c r="F558" s="78"/>
      <c r="G558" s="78"/>
      <c r="H558" s="78"/>
      <c r="I558" s="78"/>
      <c r="J558" s="78"/>
      <c r="K558" s="79"/>
      <c r="L558" s="80"/>
      <c r="M558" s="81"/>
      <c r="N558" s="81"/>
      <c r="O558" s="82"/>
      <c r="P558" s="83" t="e">
        <f aca="false">P555-P557</f>
        <v>#REF!</v>
      </c>
      <c r="Q558" s="84" t="e">
        <f aca="false">Q555-Q557</f>
        <v>#REF!</v>
      </c>
      <c r="R558" s="84" t="e">
        <f aca="false">R555-R557</f>
        <v>#REF!</v>
      </c>
      <c r="S558" s="84" t="e">
        <f aca="false">S555-S557</f>
        <v>#REF!</v>
      </c>
      <c r="T558" s="84" t="e">
        <f aca="false">T555-T557</f>
        <v>#REF!</v>
      </c>
      <c r="U558" s="84" t="e">
        <f aca="false">U555-U557</f>
        <v>#REF!</v>
      </c>
      <c r="V558" s="84" t="e">
        <f aca="false">V555-V557</f>
        <v>#REF!</v>
      </c>
      <c r="W558" s="85" t="e">
        <f aca="false">W555-W557</f>
        <v>#REF!</v>
      </c>
      <c r="X558" s="84" t="e">
        <f aca="false">X555-X557</f>
        <v>#REF!</v>
      </c>
      <c r="Y558" s="84" t="e">
        <f aca="false">Y555-Y557</f>
        <v>#REF!</v>
      </c>
    </row>
    <row r="559" customFormat="false" ht="15" hidden="false" customHeight="true" outlineLevel="0" collapsed="false">
      <c r="A559" s="36"/>
      <c r="B559" s="578"/>
      <c r="C559" s="77"/>
      <c r="D559" s="77"/>
      <c r="E559" s="3"/>
      <c r="F559" s="78"/>
      <c r="G559" s="78"/>
      <c r="H559" s="78"/>
      <c r="I559" s="78"/>
      <c r="J559" s="78"/>
      <c r="K559" s="79"/>
      <c r="L559" s="80"/>
      <c r="M559" s="81"/>
      <c r="N559" s="81"/>
      <c r="O559" s="567"/>
      <c r="P559" s="187"/>
      <c r="Q559" s="188"/>
      <c r="R559" s="188"/>
      <c r="S559" s="188"/>
      <c r="T559" s="188"/>
      <c r="U559" s="188"/>
      <c r="V559" s="188"/>
      <c r="W559" s="189"/>
      <c r="X559" s="188"/>
      <c r="Y559" s="188"/>
    </row>
    <row r="560" customFormat="false" ht="15" hidden="false" customHeight="true" outlineLevel="0" collapsed="false">
      <c r="A560" s="579"/>
      <c r="B560" s="580" t="s">
        <v>291</v>
      </c>
      <c r="C560" s="77"/>
      <c r="D560" s="77"/>
      <c r="E560" s="3"/>
      <c r="F560" s="78"/>
      <c r="G560" s="78"/>
      <c r="H560" s="78"/>
      <c r="I560" s="78"/>
      <c r="J560" s="78"/>
      <c r="K560" s="79"/>
      <c r="L560" s="80"/>
      <c r="M560" s="81"/>
      <c r="N560" s="81"/>
      <c r="O560" s="567" t="e">
        <f aca="false">SUM(O561,#REF!,#REF!)</f>
        <v>#REF!</v>
      </c>
      <c r="P560" s="568" t="e">
        <f aca="false">SUM(P561,#REF!,#REF!)</f>
        <v>#REF!</v>
      </c>
      <c r="Q560" s="567" t="e">
        <f aca="false">SUM(Q561,#REF!,#REF!)</f>
        <v>#REF!</v>
      </c>
      <c r="R560" s="567" t="e">
        <f aca="false">SUM(R561,#REF!,#REF!)</f>
        <v>#REF!</v>
      </c>
      <c r="S560" s="567" t="e">
        <f aca="false">SUM(S561,#REF!,#REF!)</f>
        <v>#REF!</v>
      </c>
      <c r="T560" s="567" t="e">
        <f aca="false">SUM(T561,#REF!,#REF!)</f>
        <v>#REF!</v>
      </c>
      <c r="U560" s="567" t="e">
        <f aca="false">SUM(U561,#REF!,#REF!)</f>
        <v>#REF!</v>
      </c>
      <c r="V560" s="567" t="e">
        <f aca="false">SUM(V561,#REF!,#REF!)</f>
        <v>#REF!</v>
      </c>
      <c r="W560" s="80" t="e">
        <f aca="false">SUM(W561,#REF!,#REF!)</f>
        <v>#REF!</v>
      </c>
      <c r="X560" s="567" t="e">
        <f aca="false">SUM(X561,#REF!,#REF!)</f>
        <v>#REF!</v>
      </c>
      <c r="Y560" s="567" t="e">
        <f aca="false">SUM(Y561,#REF!,#REF!)</f>
        <v>#REF!</v>
      </c>
    </row>
    <row r="561" customFormat="false" ht="15" hidden="false" customHeight="true" outlineLevel="0" collapsed="false">
      <c r="A561" s="36"/>
      <c r="B561" s="480" t="s">
        <v>292</v>
      </c>
      <c r="C561" s="77"/>
      <c r="D561" s="77"/>
      <c r="E561" s="3"/>
      <c r="F561" s="78"/>
      <c r="G561" s="78"/>
      <c r="H561" s="78"/>
      <c r="I561" s="78"/>
      <c r="J561" s="78"/>
      <c r="K561" s="79"/>
      <c r="L561" s="80"/>
      <c r="M561" s="81"/>
      <c r="N561" s="81"/>
      <c r="O561" s="567" t="n">
        <v>500</v>
      </c>
      <c r="P561" s="568" t="n">
        <v>1200</v>
      </c>
      <c r="Q561" s="567" t="n">
        <v>3100</v>
      </c>
      <c r="R561" s="567" t="n">
        <v>600</v>
      </c>
      <c r="S561" s="567" t="n">
        <v>500</v>
      </c>
      <c r="T561" s="567" t="n">
        <v>500</v>
      </c>
      <c r="U561" s="567" t="n">
        <v>500</v>
      </c>
      <c r="V561" s="567" t="n">
        <v>500</v>
      </c>
      <c r="W561" s="80" t="n">
        <v>500</v>
      </c>
      <c r="X561" s="567" t="n">
        <v>500</v>
      </c>
      <c r="Y561" s="567" t="n">
        <v>500</v>
      </c>
    </row>
    <row r="562" s="3" customFormat="true" ht="15" hidden="false" customHeight="true" outlineLevel="0" collapsed="false">
      <c r="A562" s="54"/>
      <c r="B562" s="480" t="s">
        <v>293</v>
      </c>
      <c r="C562" s="77"/>
      <c r="D562" s="77"/>
      <c r="F562" s="78"/>
      <c r="G562" s="78"/>
      <c r="H562" s="78"/>
      <c r="I562" s="78"/>
      <c r="J562" s="78"/>
      <c r="K562" s="79"/>
      <c r="L562" s="291"/>
      <c r="M562" s="581"/>
      <c r="N562" s="581"/>
      <c r="O562" s="292" t="n">
        <v>200</v>
      </c>
      <c r="P562" s="483" t="n">
        <v>1000</v>
      </c>
      <c r="Q562" s="292" t="n">
        <v>850</v>
      </c>
      <c r="R562" s="292" t="n">
        <v>500</v>
      </c>
      <c r="S562" s="292" t="n">
        <v>200</v>
      </c>
      <c r="T562" s="292" t="n">
        <v>1600</v>
      </c>
      <c r="U562" s="292" t="n">
        <v>1700</v>
      </c>
      <c r="V562" s="292" t="n">
        <v>1800</v>
      </c>
      <c r="W562" s="291" t="n">
        <v>2000</v>
      </c>
      <c r="X562" s="292" t="n">
        <v>2000</v>
      </c>
      <c r="Y562" s="292" t="n">
        <v>1600</v>
      </c>
    </row>
    <row r="563" s="3" customFormat="true" ht="15" hidden="false" customHeight="true" outlineLevel="0" collapsed="false">
      <c r="A563" s="54"/>
      <c r="B563" s="480" t="s">
        <v>294</v>
      </c>
      <c r="C563" s="77"/>
      <c r="D563" s="77"/>
      <c r="F563" s="78"/>
      <c r="G563" s="78"/>
      <c r="H563" s="78"/>
      <c r="I563" s="78"/>
      <c r="J563" s="78"/>
      <c r="K563" s="79"/>
      <c r="L563" s="291"/>
      <c r="M563" s="581"/>
      <c r="N563" s="581"/>
      <c r="O563" s="292" t="n">
        <v>900</v>
      </c>
      <c r="P563" s="483" t="n">
        <v>600</v>
      </c>
      <c r="Q563" s="292" t="n">
        <v>450</v>
      </c>
      <c r="R563" s="292" t="n">
        <v>100</v>
      </c>
      <c r="S563" s="292" t="n">
        <v>0</v>
      </c>
      <c r="T563" s="292" t="n">
        <v>0</v>
      </c>
      <c r="U563" s="292" t="n">
        <v>0</v>
      </c>
      <c r="V563" s="292" t="n">
        <v>200</v>
      </c>
      <c r="W563" s="291" t="n">
        <v>1000</v>
      </c>
      <c r="X563" s="292" t="n">
        <v>700</v>
      </c>
      <c r="Y563" s="292"/>
    </row>
    <row r="564" customFormat="false" ht="15" hidden="false" customHeight="true" outlineLevel="0" collapsed="false">
      <c r="A564" s="36"/>
      <c r="B564" s="480" t="s">
        <v>295</v>
      </c>
      <c r="C564" s="77"/>
      <c r="D564" s="77"/>
      <c r="E564" s="3"/>
      <c r="F564" s="78"/>
      <c r="G564" s="78"/>
      <c r="H564" s="78"/>
      <c r="I564" s="78"/>
      <c r="J564" s="78"/>
      <c r="K564" s="79"/>
      <c r="L564" s="80"/>
      <c r="M564" s="81"/>
      <c r="N564" s="81"/>
      <c r="O564" s="567" t="n">
        <v>100</v>
      </c>
      <c r="P564" s="483" t="n">
        <v>0</v>
      </c>
      <c r="Q564" s="292" t="n">
        <v>400</v>
      </c>
      <c r="R564" s="292" t="n">
        <v>0</v>
      </c>
      <c r="S564" s="292" t="n">
        <v>0</v>
      </c>
      <c r="T564" s="292" t="n">
        <v>500</v>
      </c>
      <c r="U564" s="292" t="n">
        <v>0</v>
      </c>
      <c r="V564" s="292" t="n">
        <v>0</v>
      </c>
      <c r="W564" s="291" t="n">
        <v>0</v>
      </c>
      <c r="X564" s="292" t="n">
        <v>0</v>
      </c>
      <c r="Y564" s="292"/>
    </row>
    <row r="565" customFormat="false" ht="15" hidden="false" customHeight="true" outlineLevel="0" collapsed="false">
      <c r="A565" s="36"/>
      <c r="B565" s="480" t="s">
        <v>296</v>
      </c>
      <c r="C565" s="77"/>
      <c r="D565" s="77"/>
      <c r="E565" s="3"/>
      <c r="F565" s="78"/>
      <c r="G565" s="78"/>
      <c r="H565" s="78"/>
      <c r="I565" s="78"/>
      <c r="J565" s="78"/>
      <c r="K565" s="79"/>
      <c r="L565" s="80"/>
      <c r="M565" s="81"/>
      <c r="N565" s="81"/>
      <c r="O565" s="567" t="n">
        <v>700</v>
      </c>
      <c r="P565" s="483" t="n">
        <v>0</v>
      </c>
      <c r="Q565" s="292" t="n">
        <v>0</v>
      </c>
      <c r="R565" s="292" t="n">
        <v>0</v>
      </c>
      <c r="S565" s="292" t="n">
        <v>0</v>
      </c>
      <c r="T565" s="292" t="n">
        <v>0</v>
      </c>
      <c r="U565" s="292" t="n">
        <v>0</v>
      </c>
      <c r="V565" s="292" t="n">
        <v>100</v>
      </c>
      <c r="W565" s="291" t="n">
        <v>700</v>
      </c>
      <c r="X565" s="292" t="n">
        <v>700</v>
      </c>
      <c r="Y565" s="292" t="n">
        <v>200</v>
      </c>
    </row>
    <row r="566" customFormat="false" ht="15" hidden="false" customHeight="true" outlineLevel="0" collapsed="false">
      <c r="A566" s="36"/>
      <c r="B566" s="582" t="s">
        <v>297</v>
      </c>
      <c r="C566" s="77"/>
      <c r="D566" s="77"/>
      <c r="E566" s="3"/>
      <c r="F566" s="78"/>
      <c r="G566" s="78"/>
      <c r="H566" s="78"/>
      <c r="I566" s="78"/>
      <c r="J566" s="78"/>
      <c r="K566" s="79"/>
      <c r="L566" s="80"/>
      <c r="M566" s="81"/>
      <c r="N566" s="81"/>
      <c r="O566" s="567" t="n">
        <v>0</v>
      </c>
      <c r="P566" s="483" t="n">
        <v>0</v>
      </c>
      <c r="Q566" s="292" t="n">
        <v>0</v>
      </c>
      <c r="R566" s="292" t="n">
        <v>0</v>
      </c>
      <c r="S566" s="491" t="n">
        <v>1000</v>
      </c>
      <c r="T566" s="292" t="n">
        <v>0</v>
      </c>
      <c r="U566" s="292" t="n">
        <v>0</v>
      </c>
      <c r="V566" s="292" t="n">
        <v>0</v>
      </c>
      <c r="W566" s="291" t="n">
        <v>1000</v>
      </c>
      <c r="X566" s="292" t="n">
        <v>0</v>
      </c>
      <c r="Y566" s="292"/>
    </row>
    <row r="567" customFormat="false" ht="15" hidden="false" customHeight="true" outlineLevel="0" collapsed="false">
      <c r="A567" s="36"/>
      <c r="B567" s="566"/>
      <c r="C567" s="77"/>
      <c r="D567" s="77"/>
      <c r="E567" s="3"/>
      <c r="F567" s="78"/>
      <c r="G567" s="78"/>
      <c r="H567" s="78"/>
      <c r="I567" s="78"/>
      <c r="J567" s="78"/>
      <c r="K567" s="79"/>
      <c r="L567" s="80"/>
      <c r="M567" s="81"/>
      <c r="N567" s="81"/>
      <c r="O567" s="567"/>
      <c r="P567" s="568"/>
      <c r="Q567" s="567"/>
      <c r="R567" s="567"/>
      <c r="S567" s="567"/>
      <c r="T567" s="567"/>
      <c r="U567" s="567"/>
      <c r="V567" s="567"/>
      <c r="W567" s="80"/>
      <c r="X567" s="567"/>
      <c r="Y567" s="567"/>
    </row>
    <row r="568" customFormat="false" ht="15" hidden="false" customHeight="true" outlineLevel="0" collapsed="false">
      <c r="A568" s="579"/>
      <c r="B568" s="580" t="s">
        <v>284</v>
      </c>
      <c r="C568" s="77"/>
      <c r="D568" s="77"/>
      <c r="E568" s="3"/>
      <c r="F568" s="78"/>
      <c r="G568" s="78"/>
      <c r="H568" s="78"/>
      <c r="I568" s="78"/>
      <c r="J568" s="78"/>
      <c r="K568" s="79"/>
      <c r="L568" s="80"/>
      <c r="M568" s="81"/>
      <c r="N568" s="81"/>
      <c r="O568" s="567" t="e">
        <f aca="false">SUM(O569:O573)</f>
        <v>#REF!</v>
      </c>
      <c r="P568" s="568" t="e">
        <f aca="false">SUM(P569:P573)</f>
        <v>#REF!</v>
      </c>
      <c r="Q568" s="567" t="e">
        <f aca="false">SUM(Q569:Q573)</f>
        <v>#REF!</v>
      </c>
      <c r="R568" s="567" t="e">
        <f aca="false">SUM(R569:R573)</f>
        <v>#REF!</v>
      </c>
      <c r="S568" s="567" t="e">
        <f aca="false">SUM(S569:S573)</f>
        <v>#REF!</v>
      </c>
      <c r="T568" s="567" t="e">
        <f aca="false">SUM(T569:T573)</f>
        <v>#REF!</v>
      </c>
      <c r="U568" s="567" t="e">
        <f aca="false">SUM(U569:U573)</f>
        <v>#REF!</v>
      </c>
      <c r="V568" s="567" t="e">
        <f aca="false">SUM(V569:V573)</f>
        <v>#REF!</v>
      </c>
      <c r="W568" s="80" t="e">
        <f aca="false">SUM(W569:W573)</f>
        <v>#REF!</v>
      </c>
      <c r="X568" s="567" t="e">
        <f aca="false">SUM(X569:X573)</f>
        <v>#REF!</v>
      </c>
      <c r="Y568" s="567" t="e">
        <f aca="false">SUM(Y569:Y573)</f>
        <v>#REF!</v>
      </c>
    </row>
    <row r="569" customFormat="false" ht="15" hidden="false" customHeight="true" outlineLevel="0" collapsed="false">
      <c r="A569" s="36"/>
      <c r="B569" s="480" t="s">
        <v>292</v>
      </c>
      <c r="C569" s="77"/>
      <c r="D569" s="77"/>
      <c r="E569" s="3"/>
      <c r="F569" s="78"/>
      <c r="G569" s="78"/>
      <c r="H569" s="78"/>
      <c r="I569" s="78"/>
      <c r="J569" s="78"/>
      <c r="K569" s="79"/>
      <c r="L569" s="80"/>
      <c r="M569" s="81"/>
      <c r="N569" s="81"/>
      <c r="O569" s="567" t="n">
        <v>150</v>
      </c>
      <c r="P569" s="568" t="n">
        <v>400</v>
      </c>
      <c r="Q569" s="567" t="n">
        <v>500</v>
      </c>
      <c r="R569" s="567" t="n">
        <v>1000</v>
      </c>
      <c r="S569" s="583" t="n">
        <f aca="false">1600+1000</f>
        <v>2600</v>
      </c>
      <c r="T569" s="583" t="n">
        <f aca="false">500+1000</f>
        <v>1500</v>
      </c>
      <c r="U569" s="583" t="n">
        <f aca="false">500+1000</f>
        <v>1500</v>
      </c>
      <c r="V569" s="567" t="n">
        <v>500</v>
      </c>
      <c r="W569" s="80" t="n">
        <v>500</v>
      </c>
      <c r="X569" s="567" t="n">
        <v>500</v>
      </c>
      <c r="Y569" s="567" t="n">
        <v>2000</v>
      </c>
    </row>
    <row r="570" customFormat="false" ht="15" hidden="false" customHeight="true" outlineLevel="0" collapsed="false">
      <c r="A570" s="36"/>
      <c r="B570" s="480" t="s">
        <v>293</v>
      </c>
      <c r="C570" s="77"/>
      <c r="D570" s="77"/>
      <c r="E570" s="3"/>
      <c r="F570" s="78"/>
      <c r="G570" s="78"/>
      <c r="H570" s="78"/>
      <c r="I570" s="78"/>
      <c r="J570" s="78"/>
      <c r="K570" s="79"/>
      <c r="L570" s="80"/>
      <c r="M570" s="81"/>
      <c r="N570" s="81"/>
      <c r="O570" s="567" t="n">
        <v>1600</v>
      </c>
      <c r="P570" s="568" t="n">
        <v>1800</v>
      </c>
      <c r="Q570" s="567" t="n">
        <v>1600</v>
      </c>
      <c r="R570" s="567" t="n">
        <f aca="false">1500+700</f>
        <v>2200</v>
      </c>
      <c r="S570" s="567" t="n">
        <v>700</v>
      </c>
      <c r="T570" s="567" t="n">
        <v>400</v>
      </c>
      <c r="U570" s="567" t="n">
        <v>1050</v>
      </c>
      <c r="V570" s="583" t="n">
        <v>2500</v>
      </c>
      <c r="W570" s="523" t="n">
        <f aca="false">2050+500</f>
        <v>2550</v>
      </c>
      <c r="X570" s="583" t="n">
        <f aca="false">2000+1000</f>
        <v>3000</v>
      </c>
      <c r="Y570" s="583" t="n">
        <f aca="false">2000+1000</f>
        <v>3000</v>
      </c>
    </row>
    <row r="571" customFormat="false" ht="15" hidden="false" customHeight="true" outlineLevel="0" collapsed="false">
      <c r="A571" s="36"/>
      <c r="B571" s="480" t="s">
        <v>294</v>
      </c>
      <c r="C571" s="77"/>
      <c r="D571" s="77"/>
      <c r="E571" s="3"/>
      <c r="F571" s="78"/>
      <c r="G571" s="78"/>
      <c r="H571" s="78"/>
      <c r="I571" s="78"/>
      <c r="J571" s="78"/>
      <c r="K571" s="79"/>
      <c r="L571" s="80"/>
      <c r="M571" s="81"/>
      <c r="N571" s="81"/>
      <c r="O571" s="567"/>
      <c r="P571" s="568"/>
      <c r="Q571" s="567"/>
      <c r="R571" s="567"/>
      <c r="S571" s="567"/>
      <c r="T571" s="567"/>
      <c r="U571" s="567"/>
      <c r="V571" s="583"/>
      <c r="W571" s="523"/>
      <c r="X571" s="583"/>
      <c r="Y571" s="583"/>
    </row>
    <row r="572" customFormat="false" ht="15" hidden="false" customHeight="true" outlineLevel="0" collapsed="false">
      <c r="A572" s="36"/>
      <c r="B572" s="480" t="s">
        <v>295</v>
      </c>
      <c r="C572" s="77"/>
      <c r="D572" s="77"/>
      <c r="E572" s="3"/>
      <c r="F572" s="78"/>
      <c r="G572" s="78"/>
      <c r="H572" s="78"/>
      <c r="I572" s="78"/>
      <c r="J572" s="78"/>
      <c r="K572" s="79"/>
      <c r="L572" s="80"/>
      <c r="M572" s="81"/>
      <c r="N572" s="81"/>
      <c r="O572" s="567"/>
      <c r="P572" s="568"/>
      <c r="Q572" s="567"/>
      <c r="R572" s="567"/>
      <c r="S572" s="567"/>
      <c r="T572" s="567"/>
      <c r="U572" s="567"/>
      <c r="V572" s="583"/>
      <c r="W572" s="523"/>
      <c r="X572" s="583"/>
      <c r="Y572" s="583"/>
    </row>
    <row r="573" customFormat="false" ht="15" hidden="false" customHeight="true" outlineLevel="0" collapsed="false">
      <c r="A573" s="36"/>
      <c r="B573" s="480" t="s">
        <v>296</v>
      </c>
      <c r="C573" s="77"/>
      <c r="D573" s="77"/>
      <c r="E573" s="3"/>
      <c r="F573" s="78"/>
      <c r="G573" s="78"/>
      <c r="H573" s="78"/>
      <c r="I573" s="78"/>
      <c r="J573" s="78"/>
      <c r="K573" s="79"/>
      <c r="L573" s="80"/>
      <c r="M573" s="81"/>
      <c r="N573" s="81"/>
      <c r="O573" s="567" t="e">
        <f aca="false">SUM(O574,#REF!)</f>
        <v>#REF!</v>
      </c>
      <c r="P573" s="584" t="e">
        <f aca="false">P574+#REF!</f>
        <v>#REF!</v>
      </c>
      <c r="Q573" s="567" t="e">
        <f aca="false">Q574+#REF!</f>
        <v>#REF!</v>
      </c>
      <c r="R573" s="567" t="e">
        <f aca="false">R574+#REF!</f>
        <v>#REF!</v>
      </c>
      <c r="S573" s="567" t="e">
        <f aca="false">S574+#REF!</f>
        <v>#REF!</v>
      </c>
      <c r="T573" s="567" t="e">
        <f aca="false">T574+#REF!</f>
        <v>#REF!</v>
      </c>
      <c r="U573" s="567" t="e">
        <f aca="false">U574+#REF!</f>
        <v>#REF!</v>
      </c>
      <c r="V573" s="583" t="e">
        <f aca="false">V574+#REF!</f>
        <v>#REF!</v>
      </c>
      <c r="W573" s="523" t="e">
        <f aca="false">W574+#REF!</f>
        <v>#REF!</v>
      </c>
      <c r="X573" s="567" t="e">
        <f aca="false">X574+#REF!</f>
        <v>#REF!</v>
      </c>
      <c r="Y573" s="567" t="e">
        <f aca="false">Y574+#REF!</f>
        <v>#REF!</v>
      </c>
    </row>
    <row r="574" customFormat="false" ht="15" hidden="false" customHeight="true" outlineLevel="0" collapsed="false">
      <c r="A574" s="36"/>
      <c r="B574" s="582" t="s">
        <v>297</v>
      </c>
      <c r="C574" s="77"/>
      <c r="D574" s="77"/>
      <c r="E574" s="3"/>
      <c r="F574" s="78"/>
      <c r="G574" s="78"/>
      <c r="H574" s="78"/>
      <c r="I574" s="78"/>
      <c r="J574" s="78"/>
      <c r="K574" s="79"/>
      <c r="L574" s="80"/>
      <c r="M574" s="81"/>
      <c r="N574" s="81"/>
      <c r="O574" s="567" t="n">
        <v>750</v>
      </c>
      <c r="P574" s="483" t="e">
        <f aca="false">#REF!+#REF!</f>
        <v>#REF!</v>
      </c>
      <c r="Q574" s="292" t="e">
        <f aca="false">#REF!+#REF!</f>
        <v>#REF!</v>
      </c>
      <c r="R574" s="292" t="e">
        <f aca="false">#REF!+#REF!</f>
        <v>#REF!</v>
      </c>
      <c r="S574" s="292" t="e">
        <f aca="false">#REF!+#REF!</f>
        <v>#REF!</v>
      </c>
      <c r="T574" s="292" t="e">
        <f aca="false">#REF!+#REF!</f>
        <v>#REF!</v>
      </c>
      <c r="U574" s="292" t="e">
        <f aca="false">#REF!+#REF!</f>
        <v>#REF!</v>
      </c>
      <c r="V574" s="292" t="e">
        <f aca="false">#REF!+#REF!</f>
        <v>#REF!</v>
      </c>
      <c r="W574" s="292" t="e">
        <f aca="false">#REF!+#REF!</f>
        <v>#REF!</v>
      </c>
      <c r="X574" s="292" t="e">
        <f aca="false">#REF!+#REF!</f>
        <v>#REF!</v>
      </c>
      <c r="Y574" s="292" t="n">
        <v>1000</v>
      </c>
    </row>
    <row r="575" customFormat="false" ht="15" hidden="false" customHeight="true" outlineLevel="0" collapsed="false">
      <c r="A575" s="36"/>
      <c r="B575" s="566"/>
      <c r="C575" s="77"/>
      <c r="D575" s="77"/>
      <c r="E575" s="3"/>
      <c r="F575" s="78"/>
      <c r="G575" s="78"/>
      <c r="H575" s="78"/>
      <c r="I575" s="78"/>
      <c r="J575" s="78"/>
      <c r="K575" s="79"/>
      <c r="L575" s="80"/>
      <c r="M575" s="81"/>
      <c r="N575" s="81"/>
      <c r="O575" s="567"/>
      <c r="P575" s="568"/>
      <c r="Q575" s="567"/>
      <c r="R575" s="567"/>
      <c r="S575" s="567"/>
      <c r="T575" s="567"/>
      <c r="U575" s="567"/>
      <c r="V575" s="567"/>
      <c r="W575" s="80" t="s">
        <v>3</v>
      </c>
      <c r="X575" s="567"/>
      <c r="Y575" s="567"/>
    </row>
    <row r="576" customFormat="false" ht="15" hidden="false" customHeight="true" outlineLevel="0" collapsed="false">
      <c r="A576" s="579"/>
      <c r="B576" s="580" t="s">
        <v>298</v>
      </c>
      <c r="C576" s="77"/>
      <c r="D576" s="77"/>
      <c r="E576" s="3"/>
      <c r="F576" s="78"/>
      <c r="G576" s="78"/>
      <c r="H576" s="78"/>
      <c r="I576" s="78"/>
      <c r="J576" s="78"/>
      <c r="K576" s="79"/>
      <c r="L576" s="80"/>
      <c r="M576" s="81"/>
      <c r="N576" s="81"/>
      <c r="O576" s="567" t="e">
        <f aca="false">SUM(O577:O581)</f>
        <v>#REF!</v>
      </c>
      <c r="P576" s="568" t="e">
        <f aca="false">SUM(P577:P581)</f>
        <v>#REF!</v>
      </c>
      <c r="Q576" s="567" t="e">
        <f aca="false">SUM(Q577:Q581)</f>
        <v>#REF!</v>
      </c>
      <c r="R576" s="567" t="e">
        <f aca="false">SUM(R577:R581)</f>
        <v>#REF!</v>
      </c>
      <c r="S576" s="567" t="e">
        <f aca="false">SUM(S577:S581)</f>
        <v>#REF!</v>
      </c>
      <c r="T576" s="567" t="e">
        <f aca="false">SUM(T577:T581)</f>
        <v>#REF!</v>
      </c>
      <c r="U576" s="567" t="e">
        <f aca="false">SUM(U577:U581)</f>
        <v>#REF!</v>
      </c>
      <c r="V576" s="567" t="e">
        <f aca="false">SUM(V577:V581)</f>
        <v>#REF!</v>
      </c>
      <c r="W576" s="80" t="e">
        <f aca="false">SUM(W577:W581)</f>
        <v>#REF!</v>
      </c>
      <c r="X576" s="567" t="e">
        <f aca="false">SUM(X577:X581)</f>
        <v>#REF!</v>
      </c>
      <c r="Y576" s="567" t="e">
        <f aca="false">SUM(Y577:Y581)</f>
        <v>#REF!</v>
      </c>
    </row>
    <row r="577" customFormat="false" ht="15" hidden="false" customHeight="true" outlineLevel="0" collapsed="false">
      <c r="A577" s="36"/>
      <c r="B577" s="480" t="s">
        <v>292</v>
      </c>
      <c r="C577" s="77"/>
      <c r="D577" s="77"/>
      <c r="E577" s="3"/>
      <c r="F577" s="78"/>
      <c r="G577" s="78"/>
      <c r="H577" s="78"/>
      <c r="I577" s="78"/>
      <c r="J577" s="78"/>
      <c r="K577" s="79"/>
      <c r="L577" s="80"/>
      <c r="M577" s="81"/>
      <c r="N577" s="81"/>
      <c r="O577" s="567" t="n">
        <v>350</v>
      </c>
      <c r="P577" s="568" t="n">
        <v>400</v>
      </c>
      <c r="Q577" s="567" t="n">
        <v>1200</v>
      </c>
      <c r="R577" s="567" t="n">
        <v>2000</v>
      </c>
      <c r="S577" s="583" t="n">
        <v>3000</v>
      </c>
      <c r="T577" s="583" t="n">
        <v>2800</v>
      </c>
      <c r="U577" s="583" t="n">
        <v>2100</v>
      </c>
      <c r="V577" s="567" t="n">
        <v>500</v>
      </c>
      <c r="W577" s="523" t="n">
        <v>1000</v>
      </c>
      <c r="X577" s="583" t="n">
        <v>1000</v>
      </c>
      <c r="Y577" s="583" t="n">
        <v>1000</v>
      </c>
    </row>
    <row r="578" customFormat="false" ht="15" hidden="false" customHeight="true" outlineLevel="0" collapsed="false">
      <c r="A578" s="36"/>
      <c r="B578" s="480" t="s">
        <v>293</v>
      </c>
      <c r="C578" s="77"/>
      <c r="D578" s="77"/>
      <c r="E578" s="3"/>
      <c r="F578" s="78"/>
      <c r="G578" s="78"/>
      <c r="H578" s="78"/>
      <c r="I578" s="78"/>
      <c r="J578" s="78"/>
      <c r="K578" s="79"/>
      <c r="L578" s="80"/>
      <c r="M578" s="81"/>
      <c r="N578" s="81"/>
      <c r="O578" s="567" t="n">
        <v>1100</v>
      </c>
      <c r="P578" s="568" t="n">
        <v>600</v>
      </c>
      <c r="Q578" s="567" t="n">
        <v>2300</v>
      </c>
      <c r="R578" s="567" t="n">
        <v>4300</v>
      </c>
      <c r="S578" s="567" t="n">
        <v>2000</v>
      </c>
      <c r="T578" s="567" t="n">
        <v>3400</v>
      </c>
      <c r="U578" s="567" t="n">
        <v>3500</v>
      </c>
      <c r="V578" s="583" t="n">
        <v>1200</v>
      </c>
      <c r="W578" s="523" t="n">
        <v>2100</v>
      </c>
      <c r="X578" s="583" t="n">
        <v>2500</v>
      </c>
      <c r="Y578" s="583" t="n">
        <v>1900</v>
      </c>
    </row>
    <row r="579" customFormat="false" ht="15" hidden="false" customHeight="true" outlineLevel="0" collapsed="false">
      <c r="A579" s="36"/>
      <c r="B579" s="480" t="s">
        <v>294</v>
      </c>
      <c r="C579" s="77"/>
      <c r="D579" s="77"/>
      <c r="E579" s="3"/>
      <c r="F579" s="78"/>
      <c r="G579" s="78"/>
      <c r="H579" s="78"/>
      <c r="I579" s="78"/>
      <c r="J579" s="78"/>
      <c r="K579" s="79"/>
      <c r="L579" s="80"/>
      <c r="M579" s="81"/>
      <c r="N579" s="81"/>
      <c r="O579" s="567"/>
      <c r="P579" s="568"/>
      <c r="Q579" s="567"/>
      <c r="R579" s="567"/>
      <c r="S579" s="567"/>
      <c r="T579" s="567"/>
      <c r="U579" s="567"/>
      <c r="V579" s="583"/>
      <c r="W579" s="523"/>
      <c r="X579" s="583"/>
      <c r="Y579" s="583"/>
    </row>
    <row r="580" customFormat="false" ht="15" hidden="false" customHeight="true" outlineLevel="0" collapsed="false">
      <c r="A580" s="36"/>
      <c r="B580" s="480" t="s">
        <v>295</v>
      </c>
      <c r="C580" s="77"/>
      <c r="D580" s="77"/>
      <c r="E580" s="3"/>
      <c r="F580" s="78"/>
      <c r="G580" s="78"/>
      <c r="H580" s="78"/>
      <c r="I580" s="78"/>
      <c r="J580" s="78"/>
      <c r="K580" s="79"/>
      <c r="L580" s="80"/>
      <c r="M580" s="81"/>
      <c r="N580" s="81"/>
      <c r="O580" s="567"/>
      <c r="P580" s="568"/>
      <c r="Q580" s="567"/>
      <c r="R580" s="567"/>
      <c r="S580" s="567"/>
      <c r="T580" s="567"/>
      <c r="U580" s="567"/>
      <c r="V580" s="583"/>
      <c r="W580" s="523"/>
      <c r="X580" s="583"/>
      <c r="Y580" s="583"/>
    </row>
    <row r="581" customFormat="false" ht="15" hidden="false" customHeight="true" outlineLevel="0" collapsed="false">
      <c r="A581" s="36"/>
      <c r="B581" s="480" t="s">
        <v>296</v>
      </c>
      <c r="C581" s="77"/>
      <c r="D581" s="77"/>
      <c r="E581" s="3"/>
      <c r="F581" s="78"/>
      <c r="G581" s="78"/>
      <c r="H581" s="78"/>
      <c r="I581" s="78"/>
      <c r="J581" s="78"/>
      <c r="K581" s="79"/>
      <c r="L581" s="80"/>
      <c r="M581" s="81"/>
      <c r="N581" s="81"/>
      <c r="O581" s="567" t="e">
        <f aca="false">SUM(O582,#REF!)</f>
        <v>#REF!</v>
      </c>
      <c r="P581" s="568" t="e">
        <f aca="false">SUM(P582,#REF!)</f>
        <v>#REF!</v>
      </c>
      <c r="Q581" s="567" t="e">
        <f aca="false">SUM(Q582,#REF!)</f>
        <v>#REF!</v>
      </c>
      <c r="R581" s="567" t="e">
        <f aca="false">SUM(R582,#REF!)</f>
        <v>#REF!</v>
      </c>
      <c r="S581" s="567" t="e">
        <f aca="false">SUM(S582,#REF!)</f>
        <v>#REF!</v>
      </c>
      <c r="T581" s="567" t="e">
        <f aca="false">SUM(T582,#REF!)</f>
        <v>#REF!</v>
      </c>
      <c r="U581" s="567" t="e">
        <f aca="false">SUM(U582,#REF!)</f>
        <v>#REF!</v>
      </c>
      <c r="V581" s="567" t="e">
        <f aca="false">SUM(V582,#REF!)</f>
        <v>#REF!</v>
      </c>
      <c r="W581" s="80" t="e">
        <f aca="false">SUM(W582,#REF!)</f>
        <v>#REF!</v>
      </c>
      <c r="X581" s="567" t="e">
        <f aca="false">SUM(X582,#REF!)</f>
        <v>#REF!</v>
      </c>
      <c r="Y581" s="567" t="e">
        <f aca="false">SUM(Y582,#REF!)</f>
        <v>#REF!</v>
      </c>
    </row>
    <row r="582" customFormat="false" ht="15" hidden="false" customHeight="true" outlineLevel="0" collapsed="false">
      <c r="A582" s="36"/>
      <c r="B582" s="582" t="s">
        <v>297</v>
      </c>
      <c r="C582" s="77"/>
      <c r="D582" s="77"/>
      <c r="E582" s="3"/>
      <c r="F582" s="78"/>
      <c r="G582" s="78"/>
      <c r="H582" s="78"/>
      <c r="I582" s="78"/>
      <c r="J582" s="78"/>
      <c r="K582" s="79"/>
      <c r="L582" s="80"/>
      <c r="M582" s="81"/>
      <c r="N582" s="81"/>
      <c r="O582" s="567" t="e">
        <f aca="false">#REF!+#REF!</f>
        <v>#REF!</v>
      </c>
      <c r="P582" s="483" t="e">
        <f aca="false">#REF!+#REF!</f>
        <v>#REF!</v>
      </c>
      <c r="Q582" s="292" t="e">
        <f aca="false">#REF!+#REF!</f>
        <v>#REF!</v>
      </c>
      <c r="R582" s="292" t="e">
        <f aca="false">#REF!+#REF!</f>
        <v>#REF!</v>
      </c>
      <c r="S582" s="292" t="e">
        <f aca="false">#REF!+#REF!</f>
        <v>#REF!</v>
      </c>
      <c r="T582" s="292" t="e">
        <f aca="false">#REF!+#REF!</f>
        <v>#REF!</v>
      </c>
      <c r="U582" s="292" t="e">
        <f aca="false">#REF!+#REF!</f>
        <v>#REF!</v>
      </c>
      <c r="V582" s="292" t="e">
        <f aca="false">#REF!+#REF!</f>
        <v>#REF!</v>
      </c>
      <c r="W582" s="292" t="e">
        <f aca="false">#REF!+#REF!</f>
        <v>#REF!</v>
      </c>
      <c r="X582" s="292" t="e">
        <f aca="false">#REF!+#REF!</f>
        <v>#REF!</v>
      </c>
      <c r="Y582" s="292"/>
    </row>
    <row r="583" customFormat="false" ht="15" hidden="false" customHeight="true" outlineLevel="0" collapsed="false">
      <c r="A583" s="36"/>
      <c r="B583" s="107"/>
      <c r="C583" s="77"/>
      <c r="D583" s="77"/>
      <c r="E583" s="3"/>
      <c r="F583" s="78"/>
      <c r="G583" s="78"/>
      <c r="H583" s="78"/>
      <c r="I583" s="78"/>
      <c r="J583" s="78"/>
      <c r="K583" s="79"/>
      <c r="L583" s="80"/>
      <c r="M583" s="81"/>
      <c r="N583" s="81"/>
      <c r="O583" s="567"/>
      <c r="P583" s="568"/>
      <c r="Q583" s="567"/>
      <c r="R583" s="567"/>
      <c r="S583" s="567"/>
      <c r="T583" s="567"/>
      <c r="U583" s="567"/>
      <c r="V583" s="567"/>
      <c r="W583" s="80"/>
      <c r="X583" s="567"/>
      <c r="Y583" s="567"/>
    </row>
    <row r="584" customFormat="false" ht="15" hidden="false" customHeight="true" outlineLevel="0" collapsed="false">
      <c r="A584" s="545" t="s">
        <v>299</v>
      </c>
      <c r="B584" s="585" t="s">
        <v>300</v>
      </c>
      <c r="C584" s="77"/>
      <c r="D584" s="77"/>
      <c r="E584" s="3"/>
      <c r="F584" s="78"/>
      <c r="G584" s="78"/>
      <c r="H584" s="78"/>
      <c r="I584" s="78"/>
      <c r="J584" s="78"/>
      <c r="K584" s="79"/>
      <c r="L584" s="80"/>
      <c r="M584" s="81"/>
      <c r="N584" s="81"/>
      <c r="O584" s="567" t="n">
        <f aca="false">O590+O595+O599</f>
        <v>163500</v>
      </c>
      <c r="P584" s="568" t="e">
        <f aca="false">P590+P595+P599</f>
        <v>#REF!</v>
      </c>
      <c r="Q584" s="567" t="e">
        <f aca="false">Q590+Q595+Q599</f>
        <v>#REF!</v>
      </c>
      <c r="R584" s="567" t="e">
        <f aca="false">R590+R595+R599</f>
        <v>#REF!</v>
      </c>
      <c r="S584" s="567" t="e">
        <f aca="false">S590+S595+S599</f>
        <v>#REF!</v>
      </c>
      <c r="T584" s="567" t="e">
        <f aca="false">T590+T595+T599</f>
        <v>#REF!</v>
      </c>
      <c r="U584" s="567" t="e">
        <f aca="false">U590+U595+U599</f>
        <v>#REF!</v>
      </c>
      <c r="V584" s="567" t="e">
        <f aca="false">V590+V595+V599</f>
        <v>#REF!</v>
      </c>
      <c r="W584" s="80" t="e">
        <f aca="false">W590+W595+W599</f>
        <v>#REF!</v>
      </c>
      <c r="X584" s="567" t="e">
        <f aca="false">X590+X595+X599</f>
        <v>#REF!</v>
      </c>
      <c r="Y584" s="567" t="n">
        <f aca="false">Y590+Y595+Y599</f>
        <v>20000</v>
      </c>
    </row>
    <row r="585" customFormat="false" ht="15" hidden="false" customHeight="true" outlineLevel="0" collapsed="false">
      <c r="A585" s="36"/>
      <c r="B585" s="76" t="s">
        <v>19</v>
      </c>
      <c r="C585" s="77"/>
      <c r="D585" s="77"/>
      <c r="E585" s="3"/>
      <c r="F585" s="78"/>
      <c r="G585" s="78"/>
      <c r="H585" s="78"/>
      <c r="I585" s="78"/>
      <c r="J585" s="78"/>
      <c r="K585" s="79"/>
      <c r="L585" s="80"/>
      <c r="M585" s="81"/>
      <c r="N585" s="81"/>
      <c r="O585" s="82"/>
      <c r="P585" s="83" t="n">
        <v>139600</v>
      </c>
      <c r="Q585" s="84" t="n">
        <v>91800</v>
      </c>
      <c r="R585" s="84" t="n">
        <f aca="false">48600</f>
        <v>48600</v>
      </c>
      <c r="S585" s="84" t="n">
        <f aca="false">13200</f>
        <v>13200</v>
      </c>
      <c r="T585" s="84" t="n">
        <v>3200</v>
      </c>
      <c r="U585" s="84" t="n">
        <v>9100</v>
      </c>
      <c r="V585" s="84" t="n">
        <v>12800</v>
      </c>
      <c r="W585" s="85" t="n">
        <v>8500</v>
      </c>
      <c r="X585" s="84" t="n">
        <v>20100</v>
      </c>
      <c r="Y585" s="84" t="n">
        <v>20000</v>
      </c>
    </row>
    <row r="586" customFormat="false" ht="15" hidden="false" customHeight="true" outlineLevel="0" collapsed="false">
      <c r="A586" s="36"/>
      <c r="B586" s="76" t="s">
        <v>20</v>
      </c>
      <c r="C586" s="77"/>
      <c r="D586" s="77"/>
      <c r="E586" s="3"/>
      <c r="F586" s="78"/>
      <c r="G586" s="78"/>
      <c r="H586" s="78"/>
      <c r="I586" s="78"/>
      <c r="J586" s="78"/>
      <c r="K586" s="79"/>
      <c r="L586" s="80"/>
      <c r="M586" s="81"/>
      <c r="N586" s="81"/>
      <c r="O586" s="82"/>
      <c r="P586" s="83" t="e">
        <f aca="false">P584-P585</f>
        <v>#REF!</v>
      </c>
      <c r="Q586" s="84" t="e">
        <f aca="false">Q584-Q585</f>
        <v>#REF!</v>
      </c>
      <c r="R586" s="84" t="e">
        <f aca="false">R584-R585</f>
        <v>#REF!</v>
      </c>
      <c r="S586" s="84" t="e">
        <f aca="false">S584-S585</f>
        <v>#REF!</v>
      </c>
      <c r="T586" s="84" t="e">
        <f aca="false">T584-T585</f>
        <v>#REF!</v>
      </c>
      <c r="U586" s="84" t="e">
        <f aca="false">U584-U585</f>
        <v>#REF!</v>
      </c>
      <c r="V586" s="84" t="e">
        <f aca="false">V584-V585</f>
        <v>#REF!</v>
      </c>
      <c r="W586" s="85" t="e">
        <f aca="false">W584-W585</f>
        <v>#REF!</v>
      </c>
      <c r="X586" s="84" t="e">
        <f aca="false">X584-X585</f>
        <v>#REF!</v>
      </c>
      <c r="Y586" s="84" t="n">
        <f aca="false">Y584-Y585</f>
        <v>0</v>
      </c>
    </row>
    <row r="587" customFormat="false" ht="15" hidden="false" customHeight="true" outlineLevel="0" collapsed="false">
      <c r="A587" s="36"/>
      <c r="B587" s="186" t="s">
        <v>59</v>
      </c>
      <c r="C587" s="77"/>
      <c r="D587" s="77"/>
      <c r="E587" s="3"/>
      <c r="F587" s="78"/>
      <c r="G587" s="78"/>
      <c r="H587" s="78"/>
      <c r="I587" s="78"/>
      <c r="J587" s="78"/>
      <c r="K587" s="79"/>
      <c r="L587" s="80"/>
      <c r="M587" s="81"/>
      <c r="N587" s="81"/>
      <c r="O587" s="82"/>
      <c r="P587" s="187" t="n">
        <v>133300</v>
      </c>
      <c r="Q587" s="188" t="n">
        <v>78600</v>
      </c>
      <c r="R587" s="188" t="n">
        <v>41200</v>
      </c>
      <c r="S587" s="188" t="n">
        <v>11500</v>
      </c>
      <c r="T587" s="188" t="n">
        <v>4100</v>
      </c>
      <c r="U587" s="188" t="n">
        <v>10900</v>
      </c>
      <c r="V587" s="188" t="n">
        <v>30300</v>
      </c>
      <c r="W587" s="189" t="n">
        <v>30200</v>
      </c>
      <c r="X587" s="188" t="n">
        <v>30500</v>
      </c>
      <c r="Y587" s="188"/>
    </row>
    <row r="588" customFormat="false" ht="15" hidden="false" customHeight="true" outlineLevel="0" collapsed="false">
      <c r="A588" s="36"/>
      <c r="B588" s="76" t="s">
        <v>20</v>
      </c>
      <c r="C588" s="77"/>
      <c r="D588" s="77"/>
      <c r="E588" s="3"/>
      <c r="F588" s="78"/>
      <c r="G588" s="78"/>
      <c r="H588" s="78"/>
      <c r="I588" s="78"/>
      <c r="J588" s="78"/>
      <c r="K588" s="79"/>
      <c r="L588" s="80"/>
      <c r="M588" s="81"/>
      <c r="N588" s="81"/>
      <c r="O588" s="82"/>
      <c r="P588" s="83" t="e">
        <f aca="false">P584-P587</f>
        <v>#REF!</v>
      </c>
      <c r="Q588" s="84" t="e">
        <f aca="false">Q584-Q587</f>
        <v>#REF!</v>
      </c>
      <c r="R588" s="84" t="e">
        <f aca="false">R584-R587</f>
        <v>#REF!</v>
      </c>
      <c r="S588" s="84" t="e">
        <f aca="false">S584-S587</f>
        <v>#REF!</v>
      </c>
      <c r="T588" s="84" t="e">
        <f aca="false">T584-T587</f>
        <v>#REF!</v>
      </c>
      <c r="U588" s="84" t="e">
        <f aca="false">U584-U587</f>
        <v>#REF!</v>
      </c>
      <c r="V588" s="84" t="e">
        <f aca="false">V584-V587</f>
        <v>#REF!</v>
      </c>
      <c r="W588" s="85" t="e">
        <f aca="false">W584-W587</f>
        <v>#REF!</v>
      </c>
      <c r="X588" s="84" t="e">
        <f aca="false">X584-X587</f>
        <v>#REF!</v>
      </c>
      <c r="Y588" s="84" t="n">
        <f aca="false">Y584-Y587</f>
        <v>20000</v>
      </c>
    </row>
    <row r="589" customFormat="false" ht="15" hidden="false" customHeight="true" outlineLevel="0" collapsed="false">
      <c r="A589" s="36"/>
      <c r="B589" s="107"/>
      <c r="C589" s="77"/>
      <c r="D589" s="77"/>
      <c r="E589" s="3"/>
      <c r="F589" s="78"/>
      <c r="G589" s="78"/>
      <c r="H589" s="78"/>
      <c r="I589" s="78"/>
      <c r="J589" s="78"/>
      <c r="K589" s="79"/>
      <c r="L589" s="80"/>
      <c r="M589" s="81"/>
      <c r="N589" s="81"/>
      <c r="O589" s="82"/>
      <c r="P589" s="187"/>
      <c r="Q589" s="188"/>
      <c r="R589" s="188"/>
      <c r="S589" s="188"/>
      <c r="T589" s="188"/>
      <c r="U589" s="188"/>
      <c r="V589" s="188"/>
      <c r="W589" s="189"/>
      <c r="X589" s="188"/>
      <c r="Y589" s="188"/>
    </row>
    <row r="590" customFormat="false" ht="15" hidden="false" customHeight="true" outlineLevel="0" collapsed="false">
      <c r="A590" s="579"/>
      <c r="B590" s="496" t="s">
        <v>301</v>
      </c>
      <c r="C590" s="77"/>
      <c r="D590" s="77"/>
      <c r="E590" s="3"/>
      <c r="F590" s="78"/>
      <c r="G590" s="78"/>
      <c r="H590" s="78"/>
      <c r="I590" s="78"/>
      <c r="J590" s="78"/>
      <c r="K590" s="79"/>
      <c r="L590" s="80"/>
      <c r="M590" s="81"/>
      <c r="N590" s="281"/>
      <c r="O590" s="567" t="n">
        <f aca="false">SUM(O591:O593)</f>
        <v>99400</v>
      </c>
      <c r="P590" s="568" t="e">
        <f aca="false">SUM(P591:P593)</f>
        <v>#REF!</v>
      </c>
      <c r="Q590" s="567" t="e">
        <f aca="false">SUM(Q591:Q593)</f>
        <v>#REF!</v>
      </c>
      <c r="R590" s="567" t="e">
        <f aca="false">SUM(R591:R593)</f>
        <v>#REF!</v>
      </c>
      <c r="S590" s="567" t="e">
        <f aca="false">SUM(S591:S593)</f>
        <v>#REF!</v>
      </c>
      <c r="T590" s="567" t="e">
        <f aca="false">SUM(T591:T593)</f>
        <v>#REF!</v>
      </c>
      <c r="U590" s="567" t="e">
        <f aca="false">SUM(U591:U593)</f>
        <v>#REF!</v>
      </c>
      <c r="V590" s="567" t="e">
        <f aca="false">SUM(V591:V593)</f>
        <v>#REF!</v>
      </c>
      <c r="W590" s="80" t="e">
        <f aca="false">SUM(W591:W593)</f>
        <v>#REF!</v>
      </c>
      <c r="X590" s="567" t="e">
        <f aca="false">SUM(X591:X593)</f>
        <v>#REF!</v>
      </c>
      <c r="Y590" s="567"/>
    </row>
    <row r="591" customFormat="false" ht="15" hidden="false" customHeight="true" outlineLevel="0" collapsed="false">
      <c r="A591" s="36"/>
      <c r="B591" s="480" t="s">
        <v>302</v>
      </c>
      <c r="C591" s="77"/>
      <c r="D591" s="77"/>
      <c r="E591" s="3"/>
      <c r="F591" s="78"/>
      <c r="G591" s="78"/>
      <c r="H591" s="78"/>
      <c r="I591" s="78"/>
      <c r="J591" s="78"/>
      <c r="K591" s="79"/>
      <c r="L591" s="80"/>
      <c r="M591" s="81"/>
      <c r="N591" s="281"/>
      <c r="O591" s="567" t="n">
        <v>33300</v>
      </c>
      <c r="P591" s="568" t="n">
        <v>28000</v>
      </c>
      <c r="Q591" s="586" t="n">
        <v>15600</v>
      </c>
      <c r="R591" s="586" t="n">
        <v>9600</v>
      </c>
      <c r="S591" s="567" t="n">
        <v>1500</v>
      </c>
      <c r="T591" s="567" t="n">
        <v>300</v>
      </c>
      <c r="U591" s="567" t="n">
        <v>200</v>
      </c>
      <c r="V591" s="567" t="n">
        <v>200</v>
      </c>
      <c r="W591" s="80" t="n">
        <v>200</v>
      </c>
      <c r="X591" s="567" t="n">
        <v>200</v>
      </c>
      <c r="Y591" s="567"/>
    </row>
    <row r="592" customFormat="false" ht="15" hidden="false" customHeight="true" outlineLevel="0" collapsed="false">
      <c r="A592" s="36"/>
      <c r="B592" s="480" t="s">
        <v>303</v>
      </c>
      <c r="C592" s="77"/>
      <c r="D592" s="77"/>
      <c r="E592" s="3"/>
      <c r="F592" s="78"/>
      <c r="G592" s="78"/>
      <c r="H592" s="78"/>
      <c r="I592" s="78"/>
      <c r="J592" s="78"/>
      <c r="K592" s="79"/>
      <c r="L592" s="80"/>
      <c r="M592" s="81"/>
      <c r="N592" s="281"/>
      <c r="O592" s="567" t="n">
        <v>28300</v>
      </c>
      <c r="P592" s="568" t="n">
        <f aca="false">15400+1400-200</f>
        <v>16600</v>
      </c>
      <c r="Q592" s="586" t="n">
        <f aca="false">25600+0</f>
        <v>25600</v>
      </c>
      <c r="R592" s="586" t="n">
        <f aca="false">12100+1600</f>
        <v>13700</v>
      </c>
      <c r="S592" s="567" t="n">
        <f aca="false">3100+100</f>
        <v>3200</v>
      </c>
      <c r="T592" s="567" t="n">
        <v>600</v>
      </c>
      <c r="U592" s="567" t="n">
        <v>300</v>
      </c>
      <c r="V592" s="567" t="n">
        <v>300</v>
      </c>
      <c r="W592" s="80" t="n">
        <v>200</v>
      </c>
      <c r="X592" s="567" t="n">
        <v>600</v>
      </c>
      <c r="Y592" s="567"/>
    </row>
    <row r="593" customFormat="false" ht="15" hidden="false" customHeight="true" outlineLevel="0" collapsed="false">
      <c r="A593" s="36"/>
      <c r="B593" s="480" t="s">
        <v>304</v>
      </c>
      <c r="C593" s="77"/>
      <c r="D593" s="77"/>
      <c r="E593" s="3"/>
      <c r="F593" s="78"/>
      <c r="G593" s="78"/>
      <c r="H593" s="78"/>
      <c r="I593" s="78"/>
      <c r="J593" s="78"/>
      <c r="K593" s="79"/>
      <c r="L593" s="80"/>
      <c r="M593" s="81"/>
      <c r="N593" s="281"/>
      <c r="O593" s="567" t="n">
        <v>37800</v>
      </c>
      <c r="P593" s="568" t="e">
        <f aca="false">P594+#REF!</f>
        <v>#REF!</v>
      </c>
      <c r="Q593" s="586" t="e">
        <f aca="false">Q594+#REF!</f>
        <v>#REF!</v>
      </c>
      <c r="R593" s="586" t="e">
        <f aca="false">R594+#REF!</f>
        <v>#REF!</v>
      </c>
      <c r="S593" s="586" t="e">
        <f aca="false">S594+#REF!+#REF!</f>
        <v>#REF!</v>
      </c>
      <c r="T593" s="586" t="e">
        <f aca="false">T594+#REF!+#REF!</f>
        <v>#REF!</v>
      </c>
      <c r="U593" s="586" t="e">
        <f aca="false">U594+#REF!+#REF!</f>
        <v>#REF!</v>
      </c>
      <c r="V593" s="586" t="e">
        <f aca="false">V594+#REF!+#REF!</f>
        <v>#REF!</v>
      </c>
      <c r="W593" s="587" t="e">
        <f aca="false">W594+#REF!+#REF!</f>
        <v>#REF!</v>
      </c>
      <c r="X593" s="586" t="e">
        <f aca="false">X594+#REF!+#REF!</f>
        <v>#REF!</v>
      </c>
      <c r="Y593" s="567" t="e">
        <f aca="false">Y594+#REF!+#REF!</f>
        <v>#REF!</v>
      </c>
    </row>
    <row r="594" customFormat="false" ht="15" hidden="false" customHeight="true" outlineLevel="0" collapsed="false">
      <c r="A594" s="36"/>
      <c r="B594" s="95"/>
      <c r="C594" s="77"/>
      <c r="D594" s="77"/>
      <c r="E594" s="3"/>
      <c r="F594" s="78"/>
      <c r="G594" s="78"/>
      <c r="H594" s="78"/>
      <c r="I594" s="78"/>
      <c r="J594" s="78"/>
      <c r="K594" s="79"/>
      <c r="L594" s="80"/>
      <c r="M594" s="81"/>
      <c r="N594" s="281"/>
      <c r="O594" s="567"/>
      <c r="P594" s="483" t="n">
        <v>31000</v>
      </c>
      <c r="Q594" s="292" t="n">
        <v>33300</v>
      </c>
      <c r="R594" s="292" t="n">
        <v>19200</v>
      </c>
      <c r="S594" s="292" t="n">
        <v>4700</v>
      </c>
      <c r="T594" s="292" t="n">
        <v>500</v>
      </c>
      <c r="U594" s="292" t="n">
        <v>400</v>
      </c>
      <c r="V594" s="292" t="n">
        <v>400</v>
      </c>
      <c r="W594" s="291" t="n">
        <v>300</v>
      </c>
      <c r="X594" s="292" t="n">
        <v>800</v>
      </c>
      <c r="Y594" s="567"/>
    </row>
    <row r="595" customFormat="false" ht="15" hidden="false" customHeight="true" outlineLevel="0" collapsed="false">
      <c r="A595" s="579"/>
      <c r="B595" s="496" t="s">
        <v>305</v>
      </c>
      <c r="C595" s="77"/>
      <c r="D595" s="77"/>
      <c r="E595" s="3"/>
      <c r="F595" s="78"/>
      <c r="G595" s="78"/>
      <c r="H595" s="78"/>
      <c r="I595" s="78"/>
      <c r="J595" s="78"/>
      <c r="K595" s="79"/>
      <c r="L595" s="80"/>
      <c r="M595" s="81"/>
      <c r="N595" s="281"/>
      <c r="O595" s="567" t="n">
        <f aca="false">SUM(O596:O597)</f>
        <v>50900</v>
      </c>
      <c r="P595" s="568" t="n">
        <f aca="false">SUM(P596:P597)</f>
        <v>43500</v>
      </c>
      <c r="Q595" s="567" t="n">
        <f aca="false">SUM(Q596:Q597)</f>
        <v>8600</v>
      </c>
      <c r="R595" s="567" t="n">
        <f aca="false">SUM(R596:R597)</f>
        <v>1500</v>
      </c>
      <c r="S595" s="567" t="n">
        <v>0</v>
      </c>
      <c r="T595" s="567" t="n">
        <v>0</v>
      </c>
      <c r="U595" s="567" t="n">
        <v>0</v>
      </c>
      <c r="V595" s="567" t="n">
        <v>0</v>
      </c>
      <c r="W595" s="567" t="n">
        <v>0</v>
      </c>
      <c r="X595" s="567" t="n">
        <v>0</v>
      </c>
      <c r="Y595" s="567"/>
    </row>
    <row r="596" customFormat="false" ht="15" hidden="false" customHeight="true" outlineLevel="0" collapsed="false">
      <c r="A596" s="36"/>
      <c r="B596" s="480" t="s">
        <v>303</v>
      </c>
      <c r="C596" s="77"/>
      <c r="D596" s="77"/>
      <c r="E596" s="3"/>
      <c r="F596" s="78"/>
      <c r="G596" s="78"/>
      <c r="H596" s="78"/>
      <c r="I596" s="78"/>
      <c r="J596" s="78"/>
      <c r="K596" s="79"/>
      <c r="L596" s="80"/>
      <c r="M596" s="81"/>
      <c r="N596" s="281"/>
      <c r="O596" s="567" t="n">
        <v>10500</v>
      </c>
      <c r="P596" s="568" t="n">
        <v>2900</v>
      </c>
      <c r="Q596" s="567" t="n">
        <v>400</v>
      </c>
      <c r="R596" s="567" t="n">
        <v>0</v>
      </c>
      <c r="S596" s="567" t="n">
        <v>0</v>
      </c>
      <c r="T596" s="567" t="n">
        <v>0</v>
      </c>
      <c r="U596" s="567" t="n">
        <v>0</v>
      </c>
      <c r="V596" s="567" t="n">
        <v>0</v>
      </c>
      <c r="W596" s="567" t="n">
        <v>0</v>
      </c>
      <c r="X596" s="567" t="n">
        <v>0</v>
      </c>
      <c r="Y596" s="567"/>
    </row>
    <row r="597" customFormat="false" ht="15" hidden="false" customHeight="true" outlineLevel="0" collapsed="false">
      <c r="A597" s="36"/>
      <c r="B597" s="480" t="s">
        <v>304</v>
      </c>
      <c r="C597" s="77"/>
      <c r="D597" s="77"/>
      <c r="E597" s="3"/>
      <c r="F597" s="78"/>
      <c r="G597" s="78"/>
      <c r="H597" s="78"/>
      <c r="I597" s="78"/>
      <c r="J597" s="78"/>
      <c r="K597" s="79"/>
      <c r="L597" s="80"/>
      <c r="M597" s="81"/>
      <c r="N597" s="281"/>
      <c r="O597" s="567" t="n">
        <v>40400</v>
      </c>
      <c r="P597" s="568" t="n">
        <v>40600</v>
      </c>
      <c r="Q597" s="567" t="n">
        <v>8200</v>
      </c>
      <c r="R597" s="567" t="n">
        <v>1500</v>
      </c>
      <c r="S597" s="567" t="n">
        <v>0</v>
      </c>
      <c r="T597" s="567" t="n">
        <v>0</v>
      </c>
      <c r="U597" s="567" t="n">
        <v>0</v>
      </c>
      <c r="V597" s="567" t="n">
        <v>0</v>
      </c>
      <c r="W597" s="567" t="n">
        <v>0</v>
      </c>
      <c r="X597" s="567" t="n">
        <v>0</v>
      </c>
      <c r="Y597" s="567"/>
    </row>
    <row r="598" customFormat="false" ht="15" hidden="false" customHeight="true" outlineLevel="0" collapsed="false">
      <c r="A598" s="36"/>
      <c r="B598" s="107"/>
      <c r="C598" s="77"/>
      <c r="D598" s="77"/>
      <c r="E598" s="3"/>
      <c r="F598" s="78"/>
      <c r="G598" s="78"/>
      <c r="H598" s="78"/>
      <c r="I598" s="78"/>
      <c r="J598" s="78"/>
      <c r="K598" s="79"/>
      <c r="L598" s="80"/>
      <c r="M598" s="81"/>
      <c r="N598" s="281"/>
      <c r="O598" s="567"/>
      <c r="P598" s="568"/>
      <c r="Q598" s="567"/>
      <c r="R598" s="567"/>
      <c r="S598" s="567"/>
      <c r="T598" s="567"/>
      <c r="U598" s="567"/>
      <c r="V598" s="567"/>
      <c r="W598" s="80"/>
      <c r="X598" s="567"/>
      <c r="Y598" s="567"/>
    </row>
    <row r="599" customFormat="false" ht="15" hidden="false" customHeight="true" outlineLevel="0" collapsed="false">
      <c r="A599" s="579"/>
      <c r="B599" s="496" t="s">
        <v>306</v>
      </c>
      <c r="C599" s="77"/>
      <c r="D599" s="77"/>
      <c r="E599" s="3"/>
      <c r="F599" s="78"/>
      <c r="G599" s="78"/>
      <c r="H599" s="78"/>
      <c r="I599" s="78"/>
      <c r="J599" s="78"/>
      <c r="K599" s="79"/>
      <c r="L599" s="80"/>
      <c r="M599" s="81"/>
      <c r="N599" s="281"/>
      <c r="O599" s="567" t="n">
        <v>13200</v>
      </c>
      <c r="P599" s="568" t="n">
        <f aca="false">20500</f>
        <v>20500</v>
      </c>
      <c r="Q599" s="567" t="n">
        <v>8700</v>
      </c>
      <c r="R599" s="567" t="n">
        <v>800</v>
      </c>
      <c r="S599" s="567" t="n">
        <v>0</v>
      </c>
      <c r="T599" s="567" t="n">
        <v>0</v>
      </c>
      <c r="U599" s="567" t="n">
        <v>0</v>
      </c>
      <c r="V599" s="567" t="n">
        <v>0</v>
      </c>
      <c r="W599" s="80" t="n">
        <v>1000</v>
      </c>
      <c r="X599" s="567" t="n">
        <v>15000</v>
      </c>
      <c r="Y599" s="567" t="n">
        <v>20000</v>
      </c>
    </row>
    <row r="600" customFormat="false" ht="15" hidden="false" customHeight="true" outlineLevel="0" collapsed="false">
      <c r="A600" s="78"/>
      <c r="B600" s="95"/>
      <c r="C600" s="77"/>
      <c r="D600" s="77"/>
      <c r="E600" s="3"/>
      <c r="F600" s="78"/>
      <c r="G600" s="78"/>
      <c r="H600" s="78"/>
      <c r="I600" s="78"/>
      <c r="J600" s="78"/>
      <c r="K600" s="79"/>
      <c r="L600" s="80"/>
      <c r="M600" s="81"/>
      <c r="N600" s="81"/>
      <c r="O600" s="567"/>
      <c r="P600" s="568"/>
      <c r="Q600" s="567"/>
      <c r="R600" s="567"/>
      <c r="S600" s="567"/>
      <c r="T600" s="567"/>
      <c r="U600" s="567"/>
      <c r="V600" s="567"/>
      <c r="W600" s="80"/>
      <c r="X600" s="567"/>
      <c r="Y600" s="567"/>
    </row>
    <row r="601" customFormat="false" ht="15" hidden="false" customHeight="true" outlineLevel="0" collapsed="false">
      <c r="A601" s="78"/>
      <c r="B601" s="144"/>
      <c r="C601" s="77"/>
      <c r="D601" s="77"/>
      <c r="E601" s="3"/>
      <c r="F601" s="78"/>
      <c r="G601" s="78"/>
      <c r="H601" s="78"/>
      <c r="I601" s="78"/>
      <c r="J601" s="78"/>
      <c r="K601" s="79"/>
      <c r="L601" s="80"/>
      <c r="M601" s="81"/>
      <c r="N601" s="81"/>
      <c r="O601" s="567"/>
      <c r="P601" s="568"/>
      <c r="Q601" s="567"/>
      <c r="R601" s="567"/>
      <c r="S601" s="567"/>
      <c r="T601" s="567"/>
      <c r="U601" s="567"/>
      <c r="V601" s="567"/>
      <c r="W601" s="80"/>
      <c r="X601" s="567"/>
      <c r="Y601" s="567"/>
    </row>
    <row r="602" customFormat="false" ht="15" hidden="false" customHeight="true" outlineLevel="0" collapsed="false">
      <c r="A602" s="78"/>
      <c r="B602" s="144"/>
      <c r="C602" s="77"/>
      <c r="D602" s="77"/>
      <c r="E602" s="3"/>
      <c r="F602" s="78"/>
      <c r="G602" s="78"/>
      <c r="H602" s="78"/>
      <c r="I602" s="78"/>
      <c r="J602" s="78"/>
      <c r="K602" s="79"/>
      <c r="L602" s="80"/>
      <c r="M602" s="81"/>
      <c r="N602" s="81"/>
      <c r="O602" s="567"/>
      <c r="P602" s="568"/>
      <c r="Q602" s="567"/>
      <c r="R602" s="567"/>
      <c r="S602" s="567"/>
      <c r="T602" s="567"/>
      <c r="U602" s="567"/>
      <c r="V602" s="567"/>
      <c r="W602" s="80"/>
      <c r="X602" s="567"/>
      <c r="Y602" s="567"/>
    </row>
    <row r="603" customFormat="false" ht="15" hidden="false" customHeight="true" outlineLevel="0" collapsed="false">
      <c r="A603" s="78"/>
      <c r="B603" s="144"/>
      <c r="C603" s="77"/>
      <c r="D603" s="77"/>
      <c r="E603" s="3"/>
      <c r="F603" s="78"/>
      <c r="G603" s="78"/>
      <c r="H603" s="78"/>
      <c r="I603" s="78"/>
      <c r="J603" s="78"/>
      <c r="K603" s="79"/>
      <c r="L603" s="80"/>
      <c r="M603" s="81"/>
      <c r="N603" s="81"/>
      <c r="O603" s="567"/>
      <c r="P603" s="568"/>
      <c r="Q603" s="567"/>
      <c r="R603" s="567"/>
      <c r="S603" s="567"/>
      <c r="T603" s="567"/>
      <c r="U603" s="567"/>
      <c r="V603" s="567"/>
      <c r="W603" s="80"/>
      <c r="X603" s="567"/>
      <c r="Y603" s="567"/>
    </row>
    <row r="604" customFormat="false" ht="15" hidden="false" customHeight="true" outlineLevel="0" collapsed="false">
      <c r="A604" s="78"/>
      <c r="B604" s="144"/>
      <c r="C604" s="77"/>
      <c r="D604" s="77"/>
      <c r="E604" s="3"/>
      <c r="F604" s="78"/>
      <c r="G604" s="78"/>
      <c r="H604" s="78"/>
      <c r="I604" s="78"/>
      <c r="J604" s="78"/>
      <c r="K604" s="79"/>
      <c r="L604" s="80"/>
      <c r="M604" s="81"/>
      <c r="N604" s="81"/>
      <c r="O604" s="567"/>
      <c r="P604" s="568"/>
      <c r="Q604" s="567"/>
      <c r="R604" s="567"/>
      <c r="S604" s="567"/>
      <c r="T604" s="567"/>
      <c r="U604" s="567"/>
      <c r="V604" s="567"/>
      <c r="W604" s="80"/>
      <c r="X604" s="567"/>
      <c r="Y604" s="567"/>
    </row>
    <row r="605" customFormat="false" ht="15" hidden="false" customHeight="true" outlineLevel="0" collapsed="false">
      <c r="A605" s="78"/>
      <c r="B605" s="144"/>
      <c r="C605" s="77"/>
      <c r="D605" s="77"/>
      <c r="E605" s="3"/>
      <c r="F605" s="78"/>
      <c r="G605" s="78"/>
      <c r="H605" s="78"/>
      <c r="I605" s="78"/>
      <c r="J605" s="78"/>
      <c r="K605" s="79"/>
      <c r="L605" s="80"/>
      <c r="M605" s="81"/>
      <c r="N605" s="81"/>
      <c r="O605" s="567"/>
      <c r="P605" s="568"/>
      <c r="Q605" s="567"/>
      <c r="R605" s="567"/>
      <c r="S605" s="567"/>
      <c r="T605" s="567"/>
      <c r="U605" s="567"/>
      <c r="V605" s="567"/>
      <c r="W605" s="80"/>
      <c r="X605" s="567"/>
      <c r="Y605" s="567"/>
    </row>
    <row r="606" customFormat="false" ht="15" hidden="false" customHeight="true" outlineLevel="0" collapsed="false">
      <c r="A606" s="78"/>
      <c r="B606" s="144"/>
      <c r="C606" s="77"/>
      <c r="D606" s="77"/>
      <c r="E606" s="3"/>
      <c r="F606" s="78"/>
      <c r="G606" s="78"/>
      <c r="H606" s="78"/>
      <c r="I606" s="78"/>
      <c r="J606" s="78"/>
      <c r="K606" s="79"/>
      <c r="L606" s="80"/>
      <c r="M606" s="81"/>
      <c r="N606" s="81"/>
      <c r="O606" s="567"/>
      <c r="P606" s="568"/>
      <c r="Q606" s="567"/>
      <c r="R606" s="567"/>
      <c r="S606" s="567"/>
      <c r="T606" s="567"/>
      <c r="U606" s="567"/>
      <c r="V606" s="567"/>
      <c r="W606" s="80"/>
      <c r="X606" s="567"/>
      <c r="Y606" s="567"/>
    </row>
    <row r="607" customFormat="false" ht="15" hidden="false" customHeight="true" outlineLevel="0" collapsed="false">
      <c r="A607" s="588" t="s">
        <v>307</v>
      </c>
      <c r="B607" s="589"/>
      <c r="C607" s="590" t="n">
        <f aca="false">SUM(C186+C351)</f>
        <v>211.26702</v>
      </c>
      <c r="D607" s="590" t="n">
        <f aca="false">SUM(D186+D351)</f>
        <v>156.83828</v>
      </c>
      <c r="E607" s="419" t="n">
        <f aca="false">E12+E56+E313+E401+E555+E584</f>
        <v>130361</v>
      </c>
      <c r="F607" s="591" t="n">
        <f aca="false">F12+F56+F313+F401+F555+F584</f>
        <v>123869</v>
      </c>
      <c r="G607" s="591" t="e">
        <f aca="false">G12+G56+G313+G401+G555+G584</f>
        <v>#REF!</v>
      </c>
      <c r="H607" s="591" t="n">
        <f aca="false">H12+H56+H313+H401+H555+H584</f>
        <v>157724</v>
      </c>
      <c r="I607" s="591" t="n">
        <f aca="false">I12+I56+I313+I401+I555+I584</f>
        <v>199216</v>
      </c>
      <c r="J607" s="591" t="n">
        <f aca="false">J12+J56+J313+J401+J555+J584</f>
        <v>219285</v>
      </c>
      <c r="K607" s="592" t="e">
        <f aca="false">K12+K56+K313+K401+K555+K584</f>
        <v>#REF!</v>
      </c>
      <c r="L607" s="592" t="n">
        <f aca="false">L12+L56+L313+L401+L555+L584</f>
        <v>287546</v>
      </c>
      <c r="M607" s="593" t="n">
        <f aca="false">M12+M56+M313+M401+M555+M584</f>
        <v>345796.79724</v>
      </c>
      <c r="N607" s="593" t="n">
        <f aca="false">N12+N56+N313+N401+N555+N584</f>
        <v>294624.75667</v>
      </c>
      <c r="O607" s="593" t="e">
        <f aca="false">O12+O56+O313+O401+O555+O584</f>
        <v>#REF!</v>
      </c>
      <c r="P607" s="594" t="e">
        <f aca="false">P12+P56+P313+P401+P555+P584</f>
        <v>#REF!</v>
      </c>
      <c r="Q607" s="593" t="e">
        <f aca="false">Q12+Q56+Q313+Q401+Q555+Q584</f>
        <v>#REF!</v>
      </c>
      <c r="R607" s="593" t="e">
        <f aca="false">R12+R56+R313+R401+R555+R584</f>
        <v>#REF!</v>
      </c>
      <c r="S607" s="593" t="e">
        <f aca="false">S12+S56+S313+S401+S555+S584</f>
        <v>#REF!</v>
      </c>
      <c r="T607" s="593" t="e">
        <f aca="false">T12+T56+T313+T401+T555+T584</f>
        <v>#REF!</v>
      </c>
      <c r="U607" s="593" t="e">
        <f aca="false">U12+U56+U313+U401+U555+U584</f>
        <v>#REF!</v>
      </c>
      <c r="V607" s="593" t="e">
        <f aca="false">V12+V56+V313+V401+V555+V584</f>
        <v>#REF!</v>
      </c>
      <c r="W607" s="592" t="e">
        <f aca="false">W12+W56+W313+W401+W555+W584</f>
        <v>#REF!</v>
      </c>
      <c r="X607" s="593" t="e">
        <f aca="false">X12+X56+X313+X401+X555+X584</f>
        <v>#REF!</v>
      </c>
      <c r="Y607" s="593" t="e">
        <f aca="false">Y12+Y56+Y313+Y401+Y555+Y584</f>
        <v>#REF!</v>
      </c>
    </row>
    <row r="608" customFormat="false" ht="15" hidden="false" customHeight="true" outlineLevel="0" collapsed="false">
      <c r="A608" s="595" t="s">
        <v>308</v>
      </c>
      <c r="B608" s="596"/>
      <c r="C608" s="597" t="s">
        <v>3</v>
      </c>
      <c r="D608" s="597" t="n">
        <f aca="false">(D607-C607)/C607*100</f>
        <v>-25.7630083483925</v>
      </c>
      <c r="E608" s="598" t="s">
        <v>3</v>
      </c>
      <c r="F608" s="599" t="s">
        <v>3</v>
      </c>
      <c r="G608" s="599" t="e">
        <f aca="false">(G607-F607)/F607*100</f>
        <v>#REF!</v>
      </c>
      <c r="H608" s="599" t="e">
        <f aca="false">(H607-G607)/G607*100</f>
        <v>#REF!</v>
      </c>
      <c r="I608" s="599" t="n">
        <f aca="false">(I607-H607)/H607*100</f>
        <v>26.3067129923157</v>
      </c>
      <c r="J608" s="599" t="n">
        <f aca="false">(J607-I607)/I607*100</f>
        <v>10.0739900409606</v>
      </c>
      <c r="K608" s="600" t="e">
        <f aca="false">(K607-J607)/J607*100</f>
        <v>#REF!</v>
      </c>
      <c r="L608" s="600" t="e">
        <f aca="false">(L607-K607)/K607*100</f>
        <v>#REF!</v>
      </c>
      <c r="M608" s="601" t="n">
        <f aca="false">(M607-L607)/L607*100</f>
        <v>20.2579056011908</v>
      </c>
      <c r="N608" s="601" t="n">
        <f aca="false">(N607-M607)/M607*100</f>
        <v>-14.7982980115585</v>
      </c>
      <c r="O608" s="601" t="e">
        <f aca="false">(O607-N607)/N607*100</f>
        <v>#REF!</v>
      </c>
      <c r="P608" s="602" t="e">
        <f aca="false">(P607-O607)/O607*100</f>
        <v>#REF!</v>
      </c>
      <c r="Q608" s="603" t="e">
        <f aca="false">(Q607-P607)/P607*100</f>
        <v>#REF!</v>
      </c>
      <c r="R608" s="603" t="e">
        <f aca="false">(R607-Q607)/Q607*100</f>
        <v>#REF!</v>
      </c>
      <c r="S608" s="603" t="e">
        <f aca="false">(S607-R607)/R607*100</f>
        <v>#REF!</v>
      </c>
      <c r="T608" s="603" t="e">
        <f aca="false">(T607-S607)/S607*100</f>
        <v>#REF!</v>
      </c>
      <c r="U608" s="603" t="e">
        <f aca="false">(U607-T607)/T607*100</f>
        <v>#REF!</v>
      </c>
      <c r="V608" s="603" t="e">
        <f aca="false">(V607-U607)/U607*100</f>
        <v>#REF!</v>
      </c>
      <c r="W608" s="604" t="e">
        <f aca="false">(W607-V607)/V607*100</f>
        <v>#REF!</v>
      </c>
      <c r="X608" s="601" t="e">
        <f aca="false">(X607-W607)/W607*100</f>
        <v>#REF!</v>
      </c>
      <c r="Y608" s="601" t="e">
        <f aca="false">(Y607-X607)/X607*100</f>
        <v>#REF!</v>
      </c>
    </row>
    <row r="609" customFormat="false" ht="13.5" hidden="false" customHeight="false" outlineLevel="0" collapsed="false">
      <c r="O609" s="4" t="n">
        <v>416700</v>
      </c>
      <c r="P609" s="6" t="n">
        <v>397900</v>
      </c>
      <c r="Q609" s="6" t="n">
        <v>375200</v>
      </c>
      <c r="R609" s="6" t="n">
        <v>374900</v>
      </c>
      <c r="S609" s="6" t="n">
        <v>385550</v>
      </c>
      <c r="T609" s="6" t="n">
        <v>386050</v>
      </c>
      <c r="U609" s="6" t="n">
        <v>353100</v>
      </c>
      <c r="V609" s="6" t="n">
        <v>373700</v>
      </c>
      <c r="W609" s="6" t="n">
        <v>375100</v>
      </c>
      <c r="X609" s="6" t="n">
        <v>372000</v>
      </c>
    </row>
    <row r="610" customFormat="false" ht="12.75" hidden="false" customHeight="false" outlineLevel="0" collapsed="false">
      <c r="P610" s="605" t="e">
        <f aca="false">P609-P607</f>
        <v>#REF!</v>
      </c>
      <c r="Q610" s="605" t="e">
        <f aca="false">Q609-Q607</f>
        <v>#REF!</v>
      </c>
      <c r="R610" s="605" t="e">
        <f aca="false">R609-R607</f>
        <v>#REF!</v>
      </c>
      <c r="S610" s="605" t="e">
        <f aca="false">S609-S607</f>
        <v>#REF!</v>
      </c>
      <c r="T610" s="605" t="e">
        <f aca="false">T609-T607</f>
        <v>#REF!</v>
      </c>
      <c r="U610" s="605" t="e">
        <f aca="false">U609-U607</f>
        <v>#REF!</v>
      </c>
      <c r="V610" s="605" t="e">
        <f aca="false">V609-V607</f>
        <v>#REF!</v>
      </c>
      <c r="W610" s="605" t="e">
        <f aca="false">W609-W607</f>
        <v>#REF!</v>
      </c>
      <c r="X610" s="605" t="e">
        <f aca="false">X609-X607</f>
        <v>#REF!</v>
      </c>
    </row>
    <row r="611" customFormat="false" ht="12.75" hidden="false" customHeight="false" outlineLevel="0" collapsed="false">
      <c r="B611" s="1" t="s">
        <v>309</v>
      </c>
      <c r="P611" s="605" t="n">
        <f aca="false">P609-P401</f>
        <v>274900</v>
      </c>
      <c r="Q611" s="605" t="n">
        <f aca="false">Q609-Q401</f>
        <v>247650</v>
      </c>
      <c r="R611" s="605" t="n">
        <f aca="false">R609-R401</f>
        <v>233600</v>
      </c>
      <c r="S611" s="605" t="n">
        <f aca="false">S609-S401</f>
        <v>163150</v>
      </c>
      <c r="T611" s="605" t="n">
        <f aca="false">T609-T401</f>
        <v>164850</v>
      </c>
      <c r="U611" s="605" t="n">
        <f aca="false">U609-U401</f>
        <v>183150</v>
      </c>
      <c r="V611" s="605" t="n">
        <f aca="false">V609-V401</f>
        <v>204700</v>
      </c>
      <c r="W611" s="605" t="n">
        <f aca="false">W609-W401</f>
        <v>204250</v>
      </c>
      <c r="X611" s="605" t="n">
        <f aca="false">X609-X401</f>
        <v>212700</v>
      </c>
      <c r="Y611" s="605"/>
    </row>
    <row r="612" customFormat="false" ht="12.75" hidden="false" customHeight="false" outlineLevel="0" collapsed="false">
      <c r="B612" s="1" t="s">
        <v>310</v>
      </c>
      <c r="O612" s="295"/>
      <c r="P612" s="605" t="n">
        <v>271700</v>
      </c>
      <c r="Q612" s="605" t="n">
        <v>245700</v>
      </c>
      <c r="R612" s="605" t="n">
        <v>232300</v>
      </c>
      <c r="S612" s="605" t="n">
        <v>185700</v>
      </c>
      <c r="T612" s="605" t="n">
        <v>179100</v>
      </c>
      <c r="U612" s="605" t="n">
        <v>190650</v>
      </c>
      <c r="V612" s="605" t="n">
        <v>211700</v>
      </c>
      <c r="W612" s="605" t="n">
        <v>211150</v>
      </c>
      <c r="X612" s="605" t="n">
        <v>219700</v>
      </c>
      <c r="Y612" s="605" t="n">
        <v>217700</v>
      </c>
    </row>
    <row r="613" customFormat="false" ht="12.75" hidden="false" customHeight="false" outlineLevel="0" collapsed="false">
      <c r="B613" s="1" t="s">
        <v>311</v>
      </c>
      <c r="P613" s="605" t="n">
        <v>127200</v>
      </c>
      <c r="Q613" s="605" t="n">
        <v>131450</v>
      </c>
      <c r="R613" s="605" t="n">
        <v>144600</v>
      </c>
      <c r="S613" s="605" t="n">
        <v>201800</v>
      </c>
      <c r="T613" s="605" t="n">
        <v>208900</v>
      </c>
      <c r="U613" s="605" t="n">
        <v>164350</v>
      </c>
      <c r="V613" s="605" t="n">
        <v>164000</v>
      </c>
      <c r="W613" s="605" t="n">
        <v>165850</v>
      </c>
      <c r="X613" s="605" t="n">
        <v>154300</v>
      </c>
      <c r="Y613" s="605" t="n">
        <v>160300</v>
      </c>
    </row>
    <row r="614" customFormat="false" ht="12.75" hidden="false" customHeight="false" outlineLevel="0" collapsed="false">
      <c r="B614" s="201" t="s">
        <v>312</v>
      </c>
      <c r="P614" s="606" t="n">
        <f aca="false">SUM(P612:P613)</f>
        <v>398900</v>
      </c>
      <c r="Q614" s="606" t="n">
        <f aca="false">SUM(Q612:Q613)</f>
        <v>377150</v>
      </c>
      <c r="R614" s="606" t="n">
        <f aca="false">SUM(R612:R613)</f>
        <v>376900</v>
      </c>
      <c r="S614" s="606" t="n">
        <f aca="false">SUM(S612:S613)</f>
        <v>387500</v>
      </c>
      <c r="T614" s="606" t="n">
        <f aca="false">SUM(T612:T613)</f>
        <v>388000</v>
      </c>
      <c r="U614" s="606" t="n">
        <f aca="false">SUM(U612:U613)</f>
        <v>355000</v>
      </c>
      <c r="V614" s="606" t="n">
        <f aca="false">SUM(V612:V613)</f>
        <v>375700</v>
      </c>
      <c r="W614" s="606" t="n">
        <f aca="false">SUM(W612:W613)</f>
        <v>377000</v>
      </c>
      <c r="X614" s="606" t="n">
        <f aca="false">SUM(X612:X613)</f>
        <v>374000</v>
      </c>
      <c r="Y614" s="606" t="n">
        <f aca="false">SUM(Y612:Y613)</f>
        <v>378000</v>
      </c>
    </row>
    <row r="615" customFormat="false" ht="12.75" hidden="false" customHeight="false" outlineLevel="0" collapsed="false">
      <c r="B615" s="3" t="s">
        <v>313</v>
      </c>
      <c r="P615" s="295" t="e">
        <f aca="false">P607-P614</f>
        <v>#REF!</v>
      </c>
      <c r="Q615" s="295" t="e">
        <f aca="false">Q607-Q614</f>
        <v>#REF!</v>
      </c>
      <c r="R615" s="295" t="e">
        <f aca="false">R607-R614</f>
        <v>#REF!</v>
      </c>
      <c r="S615" s="295" t="e">
        <f aca="false">S607-S614</f>
        <v>#REF!</v>
      </c>
      <c r="T615" s="295" t="e">
        <f aca="false">T607-T614</f>
        <v>#REF!</v>
      </c>
      <c r="U615" s="295" t="e">
        <f aca="false">U607-U614</f>
        <v>#REF!</v>
      </c>
      <c r="V615" s="295" t="e">
        <f aca="false">V607-V614</f>
        <v>#REF!</v>
      </c>
      <c r="W615" s="295" t="e">
        <f aca="false">W607-W614</f>
        <v>#REF!</v>
      </c>
      <c r="X615" s="295" t="e">
        <f aca="false">X607-X614</f>
        <v>#REF!</v>
      </c>
      <c r="Y615" s="295" t="e">
        <f aca="false">Y607-Y614</f>
        <v>#REF!</v>
      </c>
    </row>
    <row r="616" customFormat="false" ht="12.75" hidden="false" customHeight="false" outlineLevel="0" collapsed="false">
      <c r="B616" s="3"/>
      <c r="P616" s="295"/>
      <c r="Q616" s="295"/>
      <c r="R616" s="295"/>
      <c r="S616" s="295"/>
      <c r="T616" s="295"/>
      <c r="U616" s="295"/>
      <c r="V616" s="295"/>
      <c r="W616" s="295"/>
      <c r="X616" s="295"/>
      <c r="Y616" s="295"/>
    </row>
    <row r="617" customFormat="false" ht="12.75" hidden="false" customHeight="false" outlineLevel="0" collapsed="false">
      <c r="M617" s="17"/>
      <c r="N617" s="17"/>
      <c r="O617" s="17"/>
      <c r="P617" s="606"/>
      <c r="Q617" s="606"/>
      <c r="R617" s="606"/>
      <c r="S617" s="606"/>
      <c r="T617" s="606"/>
      <c r="U617" s="606"/>
      <c r="V617" s="606"/>
      <c r="W617" s="606"/>
      <c r="X617" s="606"/>
      <c r="Y617" s="606"/>
    </row>
    <row r="618" customFormat="false" ht="12.75" hidden="false" customHeight="false" outlineLevel="0" collapsed="false">
      <c r="B618" s="201" t="s">
        <v>314</v>
      </c>
      <c r="E618" s="607" t="n">
        <v>2012</v>
      </c>
      <c r="F618" s="607" t="n">
        <v>2013</v>
      </c>
      <c r="G618" s="607" t="n">
        <v>2014</v>
      </c>
      <c r="H618" s="607" t="n">
        <v>2015</v>
      </c>
      <c r="I618" s="607" t="n">
        <v>2016</v>
      </c>
      <c r="J618" s="607" t="n">
        <v>2017</v>
      </c>
      <c r="K618" s="607" t="n">
        <v>2018</v>
      </c>
      <c r="L618" s="607" t="n">
        <v>2019</v>
      </c>
      <c r="M618" s="607" t="n">
        <v>2020</v>
      </c>
      <c r="N618" s="607" t="n">
        <v>2021</v>
      </c>
      <c r="O618" s="607" t="n">
        <v>2022</v>
      </c>
      <c r="P618" s="607" t="n">
        <v>2023</v>
      </c>
      <c r="Q618" s="607" t="n">
        <v>2024</v>
      </c>
      <c r="R618" s="607" t="n">
        <v>2025</v>
      </c>
      <c r="S618" s="607" t="n">
        <v>2026</v>
      </c>
      <c r="T618" s="607" t="n">
        <v>2027</v>
      </c>
      <c r="U618" s="607" t="n">
        <v>2028</v>
      </c>
      <c r="V618" s="607" t="n">
        <v>2029</v>
      </c>
      <c r="W618" s="607" t="n">
        <v>2030</v>
      </c>
      <c r="X618" s="607" t="n">
        <v>2031</v>
      </c>
      <c r="Y618" s="607" t="n">
        <v>2032</v>
      </c>
    </row>
    <row r="619" customFormat="false" ht="12.75" hidden="false" customHeight="false" outlineLevel="0" collapsed="false">
      <c r="B619" s="1" t="s">
        <v>315</v>
      </c>
      <c r="E619" s="295" t="n">
        <f aca="false">E321</f>
        <v>2438</v>
      </c>
      <c r="F619" s="295" t="n">
        <f aca="false">F321</f>
        <v>4863</v>
      </c>
      <c r="G619" s="295" t="n">
        <f aca="false">G321</f>
        <v>7925</v>
      </c>
      <c r="H619" s="295" t="n">
        <f aca="false">H321</f>
        <v>3304</v>
      </c>
      <c r="I619" s="295" t="n">
        <f aca="false">I321</f>
        <v>4340</v>
      </c>
      <c r="J619" s="295" t="n">
        <f aca="false">J321</f>
        <v>4949</v>
      </c>
      <c r="K619" s="295" t="n">
        <f aca="false">K321</f>
        <v>6517</v>
      </c>
      <c r="L619" s="295" t="n">
        <f aca="false">L321</f>
        <v>192</v>
      </c>
      <c r="M619" s="295" t="n">
        <f aca="false">M321</f>
        <v>18888.017</v>
      </c>
      <c r="N619" s="295" t="n">
        <f aca="false">N321</f>
        <v>11167.32429</v>
      </c>
      <c r="O619" s="295" t="n">
        <f aca="false">O321</f>
        <v>14400</v>
      </c>
      <c r="P619" s="295" t="n">
        <f aca="false">P321</f>
        <v>6200</v>
      </c>
      <c r="Q619" s="295" t="n">
        <f aca="false">Q321</f>
        <v>13000</v>
      </c>
      <c r="R619" s="295" t="n">
        <f aca="false">R321</f>
        <v>13000</v>
      </c>
      <c r="S619" s="295" t="n">
        <f aca="false">S321</f>
        <v>12400</v>
      </c>
      <c r="T619" s="295" t="n">
        <f aca="false">T321</f>
        <v>9800</v>
      </c>
      <c r="U619" s="295" t="n">
        <f aca="false">U321</f>
        <v>16800</v>
      </c>
      <c r="V619" s="295" t="n">
        <f aca="false">V321</f>
        <v>39600</v>
      </c>
      <c r="W619" s="295" t="n">
        <f aca="false">W321</f>
        <v>41200</v>
      </c>
      <c r="X619" s="295" t="n">
        <f aca="false">X321</f>
        <v>15200</v>
      </c>
      <c r="Y619" s="295" t="n">
        <f aca="false">Y321</f>
        <v>1000</v>
      </c>
    </row>
    <row r="620" customFormat="false" ht="12.75" hidden="false" customHeight="false" outlineLevel="0" collapsed="false">
      <c r="B620" s="1" t="s">
        <v>316</v>
      </c>
      <c r="E620" s="295" t="n">
        <f aca="false">E349</f>
        <v>14020</v>
      </c>
      <c r="F620" s="295" t="n">
        <f aca="false">F349</f>
        <v>14182</v>
      </c>
      <c r="G620" s="295" t="n">
        <f aca="false">G349</f>
        <v>10841</v>
      </c>
      <c r="H620" s="295" t="n">
        <f aca="false">H349</f>
        <v>10473</v>
      </c>
      <c r="I620" s="295" t="n">
        <f aca="false">I349</f>
        <v>8498</v>
      </c>
      <c r="J620" s="295" t="n">
        <f aca="false">J349</f>
        <v>7128</v>
      </c>
      <c r="K620" s="295" t="n">
        <f aca="false">K349</f>
        <v>7024</v>
      </c>
      <c r="L620" s="295" t="n">
        <f aca="false">L349</f>
        <v>11428</v>
      </c>
      <c r="M620" s="295" t="n">
        <f aca="false">M349</f>
        <v>9659.27</v>
      </c>
      <c r="N620" s="295" t="n">
        <f aca="false">N349</f>
        <v>8070.64352</v>
      </c>
      <c r="O620" s="295" t="n">
        <f aca="false">O349</f>
        <v>17500</v>
      </c>
      <c r="P620" s="295" t="n">
        <f aca="false">P349</f>
        <v>14600</v>
      </c>
      <c r="Q620" s="295" t="n">
        <f aca="false">Q349</f>
        <v>9800</v>
      </c>
      <c r="R620" s="295" t="n">
        <f aca="false">R349</f>
        <v>8800</v>
      </c>
      <c r="S620" s="295" t="n">
        <f aca="false">S349</f>
        <v>9000</v>
      </c>
      <c r="T620" s="295" t="n">
        <f aca="false">T349</f>
        <v>9300</v>
      </c>
      <c r="U620" s="295" t="n">
        <f aca="false">U349</f>
        <v>7600</v>
      </c>
      <c r="V620" s="295" t="n">
        <f aca="false">V349</f>
        <v>5000</v>
      </c>
      <c r="W620" s="295" t="n">
        <f aca="false">W349</f>
        <v>8100</v>
      </c>
      <c r="X620" s="295" t="n">
        <f aca="false">X349</f>
        <v>9300</v>
      </c>
      <c r="Y620" s="295" t="n">
        <f aca="false">Y349</f>
        <v>10000</v>
      </c>
    </row>
    <row r="621" customFormat="false" ht="12.75" hidden="false" customHeight="false" outlineLevel="0" collapsed="false">
      <c r="B621" s="3" t="s">
        <v>317</v>
      </c>
      <c r="E621" s="295" t="n">
        <f aca="false">E518+E364</f>
        <v>2511</v>
      </c>
      <c r="F621" s="295" t="n">
        <f aca="false">F518+F364</f>
        <v>1529</v>
      </c>
      <c r="G621" s="295" t="n">
        <f aca="false">G518+G364</f>
        <v>1797</v>
      </c>
      <c r="H621" s="295" t="n">
        <f aca="false">H518+H364</f>
        <v>6224</v>
      </c>
      <c r="I621" s="295" t="n">
        <f aca="false">I518+I364</f>
        <v>3830</v>
      </c>
      <c r="J621" s="295" t="n">
        <f aca="false">J518+J364</f>
        <v>3750</v>
      </c>
      <c r="K621" s="295" t="n">
        <f aca="false">K518+K364</f>
        <v>9695</v>
      </c>
      <c r="L621" s="295" t="n">
        <f aca="false">L518+L364</f>
        <v>11458</v>
      </c>
      <c r="M621" s="295" t="n">
        <f aca="false">M518+M364</f>
        <v>8856.689</v>
      </c>
      <c r="N621" s="295" t="n">
        <f aca="false">N518+N364</f>
        <v>4355.49087</v>
      </c>
      <c r="O621" s="295" t="n">
        <f aca="false">O518</f>
        <v>7596</v>
      </c>
      <c r="P621" s="295" t="n">
        <f aca="false">P518</f>
        <v>7800</v>
      </c>
      <c r="Q621" s="295" t="n">
        <f aca="false">Q518</f>
        <v>10100</v>
      </c>
      <c r="R621" s="295" t="n">
        <f aca="false">R518</f>
        <v>10700</v>
      </c>
      <c r="S621" s="295" t="n">
        <f aca="false">S518</f>
        <v>11400</v>
      </c>
      <c r="T621" s="295" t="n">
        <f aca="false">T518</f>
        <v>11600</v>
      </c>
      <c r="U621" s="295" t="n">
        <f aca="false">U518</f>
        <v>11600</v>
      </c>
      <c r="V621" s="295" t="n">
        <f aca="false">V518</f>
        <v>11400</v>
      </c>
      <c r="W621" s="295" t="n">
        <f aca="false">W518</f>
        <v>11000</v>
      </c>
      <c r="X621" s="295" t="n">
        <f aca="false">X518</f>
        <v>11000</v>
      </c>
      <c r="Y621" s="295" t="n">
        <f aca="false">Y518</f>
        <v>12000</v>
      </c>
    </row>
    <row r="622" customFormat="false" ht="12.75" hidden="false" customHeight="false" outlineLevel="0" collapsed="false">
      <c r="B622" s="3" t="s">
        <v>318</v>
      </c>
      <c r="E622" s="295" t="e">
        <f aca="false">#REF!+E573+E581</f>
        <v>#REF!</v>
      </c>
      <c r="F622" s="295" t="e">
        <f aca="false">#REF!+F573+F581</f>
        <v>#REF!</v>
      </c>
      <c r="G622" s="295" t="e">
        <f aca="false">#REF!+G573+G581</f>
        <v>#REF!</v>
      </c>
      <c r="H622" s="295" t="e">
        <f aca="false">#REF!+H573+H581</f>
        <v>#REF!</v>
      </c>
      <c r="I622" s="295" t="e">
        <f aca="false">#REF!+I573+I581</f>
        <v>#REF!</v>
      </c>
      <c r="J622" s="295" t="e">
        <f aca="false">#REF!+J573+J581</f>
        <v>#REF!</v>
      </c>
      <c r="K622" s="295" t="e">
        <f aca="false">#REF!+K573+K581</f>
        <v>#REF!</v>
      </c>
      <c r="L622" s="295" t="e">
        <f aca="false">#REF!+L573+L581</f>
        <v>#REF!</v>
      </c>
      <c r="M622" s="295" t="e">
        <f aca="false">#REF!+M573+M581</f>
        <v>#REF!</v>
      </c>
      <c r="N622" s="295" t="e">
        <f aca="false">#REF!+N573+N581</f>
        <v>#REF!</v>
      </c>
      <c r="O622" s="295" t="e">
        <f aca="false">#REF!+O573+O581</f>
        <v>#REF!</v>
      </c>
      <c r="P622" s="295" t="e">
        <f aca="false">#REF!+P573+P581</f>
        <v>#REF!</v>
      </c>
      <c r="Q622" s="295" t="e">
        <f aca="false">#REF!+Q573+Q581</f>
        <v>#REF!</v>
      </c>
      <c r="R622" s="295" t="e">
        <f aca="false">#REF!+R573+R581</f>
        <v>#REF!</v>
      </c>
      <c r="S622" s="295" t="e">
        <f aca="false">#REF!+S573+S581</f>
        <v>#REF!</v>
      </c>
      <c r="T622" s="295" t="e">
        <f aca="false">#REF!+T573+T581</f>
        <v>#REF!</v>
      </c>
      <c r="U622" s="295" t="e">
        <f aca="false">#REF!+U573+U581</f>
        <v>#REF!</v>
      </c>
      <c r="V622" s="295" t="e">
        <f aca="false">#REF!+V573+V581</f>
        <v>#REF!</v>
      </c>
      <c r="W622" s="295" t="e">
        <f aca="false">#REF!+W573+W581</f>
        <v>#REF!</v>
      </c>
      <c r="X622" s="295" t="e">
        <f aca="false">#REF!+X573+X581</f>
        <v>#REF!</v>
      </c>
      <c r="Y622" s="295" t="e">
        <f aca="false">#REF!+Y573+Y581</f>
        <v>#REF!</v>
      </c>
    </row>
    <row r="623" s="201" customFormat="true" ht="12.75" hidden="false" customHeight="false" outlineLevel="0" collapsed="false">
      <c r="B623" s="201" t="s">
        <v>319</v>
      </c>
      <c r="E623" s="606" t="e">
        <f aca="false">E321+E349+E364+E518+#REF!+E573+E581</f>
        <v>#REF!</v>
      </c>
      <c r="F623" s="606" t="e">
        <f aca="false">F321+F349+F364+F518+#REF!+F573+F581</f>
        <v>#REF!</v>
      </c>
      <c r="G623" s="606" t="e">
        <f aca="false">G321+G349+G364+G518+#REF!+G573+G581</f>
        <v>#REF!</v>
      </c>
      <c r="H623" s="606" t="e">
        <f aca="false">H321+H349+H364+H518+#REF!+H573+H581</f>
        <v>#REF!</v>
      </c>
      <c r="I623" s="606" t="e">
        <f aca="false">I321+I349+I364+I518+#REF!+I573+I581</f>
        <v>#REF!</v>
      </c>
      <c r="J623" s="606" t="e">
        <f aca="false">J321+J349+J364+J518+#REF!+J573+J581</f>
        <v>#REF!</v>
      </c>
      <c r="K623" s="606" t="e">
        <f aca="false">K321+K349+K364+K518+#REF!+K573+K581</f>
        <v>#REF!</v>
      </c>
      <c r="L623" s="606" t="e">
        <f aca="false">L321+L349+L364+L518+#REF!+L573+L581</f>
        <v>#REF!</v>
      </c>
      <c r="M623" s="606" t="e">
        <f aca="false">M321+M349+M364+M518+#REF!+M573+M581</f>
        <v>#REF!</v>
      </c>
      <c r="N623" s="606" t="e">
        <f aca="false">N321+N349+N364+N518+#REF!+N573+N581</f>
        <v>#REF!</v>
      </c>
      <c r="O623" s="606" t="e">
        <f aca="false">O321+O349+O364+O518+#REF!+O573+O581</f>
        <v>#REF!</v>
      </c>
      <c r="P623" s="606" t="e">
        <f aca="false">P321+P349+P364+P518+#REF!+P573+P581</f>
        <v>#REF!</v>
      </c>
      <c r="Q623" s="606" t="e">
        <f aca="false">Q321+Q349+Q364+Q518+#REF!+Q573+Q581</f>
        <v>#REF!</v>
      </c>
      <c r="R623" s="606" t="e">
        <f aca="false">R321+R349+R364+R518+#REF!+R573+R581</f>
        <v>#REF!</v>
      </c>
      <c r="S623" s="606" t="e">
        <f aca="false">S321+S349+S364+S518+#REF!+S573+S581</f>
        <v>#REF!</v>
      </c>
      <c r="T623" s="606" t="e">
        <f aca="false">T321+T349+T364+T518+#REF!+T573+T581</f>
        <v>#REF!</v>
      </c>
      <c r="U623" s="606" t="e">
        <f aca="false">U321+U349+U364+U518+#REF!+U573+U581</f>
        <v>#REF!</v>
      </c>
      <c r="V623" s="606" t="e">
        <f aca="false">V321+V349+V364+V518+#REF!+V573+V581</f>
        <v>#REF!</v>
      </c>
      <c r="W623" s="606" t="e">
        <f aca="false">W321+W349+W364+W518+#REF!+W573+W581</f>
        <v>#REF!</v>
      </c>
      <c r="X623" s="606" t="e">
        <f aca="false">X321+X349+X364+X518+#REF!+X573+X581</f>
        <v>#REF!</v>
      </c>
      <c r="Y623" s="606" t="e">
        <f aca="false">Y321+Y349+Y364+Y518+#REF!+Y573+Y581</f>
        <v>#REF!</v>
      </c>
    </row>
    <row r="624" customFormat="false" ht="12.75" hidden="false" customHeight="false" outlineLevel="0" collapsed="false">
      <c r="B624" s="3" t="s">
        <v>320</v>
      </c>
      <c r="M624" s="484" t="e">
        <f aca="false">SUM(M619:M622)</f>
        <v>#REF!</v>
      </c>
      <c r="N624" s="484" t="e">
        <f aca="false">SUM(N619:N622)</f>
        <v>#REF!</v>
      </c>
      <c r="O624" s="484" t="n">
        <v>40600</v>
      </c>
      <c r="P624" s="484" t="n">
        <v>25200</v>
      </c>
      <c r="Q624" s="484" t="n">
        <v>30000</v>
      </c>
      <c r="R624" s="484" t="n">
        <v>28900</v>
      </c>
      <c r="S624" s="484" t="n">
        <v>29800</v>
      </c>
      <c r="T624" s="484" t="n">
        <v>32650</v>
      </c>
      <c r="U624" s="484" t="n">
        <v>32600</v>
      </c>
      <c r="V624" s="484" t="n">
        <v>33400</v>
      </c>
      <c r="W624" s="484" t="n">
        <v>33000</v>
      </c>
      <c r="X624" s="484" t="n">
        <v>33000</v>
      </c>
      <c r="Y624" s="484"/>
    </row>
    <row r="625" customFormat="false" ht="12.75" hidden="false" customHeight="false" outlineLevel="0" collapsed="false">
      <c r="B625" s="3"/>
      <c r="M625" s="484"/>
      <c r="N625" s="484"/>
      <c r="O625" s="484"/>
      <c r="P625" s="484" t="e">
        <f aca="false">P623-P624</f>
        <v>#REF!</v>
      </c>
      <c r="Q625" s="484" t="e">
        <f aca="false">Q623-Q624</f>
        <v>#REF!</v>
      </c>
      <c r="R625" s="484" t="e">
        <f aca="false">R623-R624</f>
        <v>#REF!</v>
      </c>
      <c r="S625" s="484" t="e">
        <f aca="false">S623-S624</f>
        <v>#REF!</v>
      </c>
      <c r="T625" s="484" t="e">
        <f aca="false">T623-T624</f>
        <v>#REF!</v>
      </c>
      <c r="U625" s="484" t="e">
        <f aca="false">U623-U624</f>
        <v>#REF!</v>
      </c>
      <c r="V625" s="484" t="e">
        <f aca="false">V623-V624</f>
        <v>#REF!</v>
      </c>
      <c r="W625" s="484" t="e">
        <f aca="false">W623-W624</f>
        <v>#REF!</v>
      </c>
      <c r="X625" s="484" t="e">
        <f aca="false">X623-X624</f>
        <v>#REF!</v>
      </c>
      <c r="Y625" s="484"/>
    </row>
    <row r="626" customFormat="false" ht="12.75" hidden="false" customHeight="false" outlineLevel="0" collapsed="false">
      <c r="B626" s="3"/>
      <c r="M626" s="484"/>
      <c r="N626" s="484"/>
      <c r="O626" s="484"/>
      <c r="P626" s="484"/>
      <c r="Q626" s="484"/>
      <c r="R626" s="484"/>
      <c r="S626" s="484"/>
      <c r="T626" s="484"/>
      <c r="U626" s="484"/>
      <c r="V626" s="484"/>
      <c r="W626" s="484"/>
      <c r="X626" s="484"/>
      <c r="Y626" s="484"/>
    </row>
    <row r="627" customFormat="false" ht="12.75" hidden="false" customHeight="false" outlineLevel="0" collapsed="false">
      <c r="B627" s="3"/>
    </row>
    <row r="628" customFormat="false" ht="12.75" hidden="false" customHeight="false" outlineLevel="0" collapsed="false">
      <c r="B628" s="201" t="s">
        <v>321</v>
      </c>
      <c r="P628" s="607" t="n">
        <v>2023</v>
      </c>
      <c r="Q628" s="607" t="n">
        <v>2024</v>
      </c>
      <c r="R628" s="607" t="n">
        <v>2025</v>
      </c>
      <c r="S628" s="607" t="n">
        <v>2026</v>
      </c>
      <c r="T628" s="607" t="n">
        <v>2027</v>
      </c>
      <c r="U628" s="607" t="n">
        <v>2028</v>
      </c>
      <c r="V628" s="607" t="n">
        <v>2029</v>
      </c>
      <c r="W628" s="607" t="n">
        <v>2030</v>
      </c>
      <c r="X628" s="607" t="n">
        <v>2031</v>
      </c>
      <c r="Y628" s="607" t="n">
        <v>2032</v>
      </c>
    </row>
    <row r="629" customFormat="false" ht="12.75" hidden="false" customHeight="false" outlineLevel="0" collapsed="false">
      <c r="B629" s="3" t="s">
        <v>322</v>
      </c>
      <c r="P629" s="605" t="e">
        <f aca="false">P12+P56+P313+P555+P584</f>
        <v>#REF!</v>
      </c>
      <c r="Q629" s="605" t="e">
        <f aca="false">Q12+Q56+Q313+Q555+Q584</f>
        <v>#REF!</v>
      </c>
      <c r="R629" s="605" t="e">
        <f aca="false">R12+R56+R313+R555+R584</f>
        <v>#REF!</v>
      </c>
      <c r="S629" s="605" t="e">
        <f aca="false">S12+S56+S313+S555+S584</f>
        <v>#REF!</v>
      </c>
      <c r="T629" s="605" t="e">
        <f aca="false">T12+T56+T313+T555+T584</f>
        <v>#REF!</v>
      </c>
      <c r="U629" s="605" t="e">
        <f aca="false">U12+U56+U313+U555+U584</f>
        <v>#REF!</v>
      </c>
      <c r="V629" s="605" t="e">
        <f aca="false">V12+V56+V313+V555+V584</f>
        <v>#REF!</v>
      </c>
      <c r="W629" s="605" t="e">
        <f aca="false">W12+W56+W313+W555+W584</f>
        <v>#REF!</v>
      </c>
      <c r="X629" s="605" t="e">
        <f aca="false">X12+X56+X313+X555+X584</f>
        <v>#REF!</v>
      </c>
      <c r="Y629" s="605" t="e">
        <f aca="false">Y12+Y56+Y313+Y555+Y584</f>
        <v>#REF!</v>
      </c>
    </row>
    <row r="630" customFormat="false" ht="12.75" hidden="false" customHeight="false" outlineLevel="0" collapsed="false">
      <c r="B630" s="3" t="s">
        <v>323</v>
      </c>
      <c r="P630" s="605" t="n">
        <f aca="false">P401</f>
        <v>123000</v>
      </c>
      <c r="Q630" s="605" t="n">
        <f aca="false">Q401</f>
        <v>127550</v>
      </c>
      <c r="R630" s="605" t="n">
        <f aca="false">R401</f>
        <v>141300</v>
      </c>
      <c r="S630" s="605" t="n">
        <f aca="false">S401</f>
        <v>222400</v>
      </c>
      <c r="T630" s="605" t="n">
        <f aca="false">T401</f>
        <v>221200</v>
      </c>
      <c r="U630" s="605" t="n">
        <f aca="false">U401</f>
        <v>169950</v>
      </c>
      <c r="V630" s="605" t="n">
        <f aca="false">V401</f>
        <v>169000</v>
      </c>
      <c r="W630" s="605" t="n">
        <f aca="false">W401</f>
        <v>170850</v>
      </c>
      <c r="X630" s="605" t="n">
        <f aca="false">X401</f>
        <v>159300</v>
      </c>
      <c r="Y630" s="605" t="n">
        <f aca="false">Y401</f>
        <v>165300</v>
      </c>
    </row>
    <row r="631" s="201" customFormat="true" ht="12.75" hidden="false" customHeight="false" outlineLevel="0" collapsed="false">
      <c r="B631" s="201" t="s">
        <v>324</v>
      </c>
      <c r="E631" s="403"/>
      <c r="K631" s="17"/>
      <c r="L631" s="17"/>
      <c r="M631" s="12"/>
      <c r="N631" s="12"/>
      <c r="O631" s="17"/>
      <c r="P631" s="606" t="e">
        <f aca="false">SUM(P629:P630)</f>
        <v>#REF!</v>
      </c>
      <c r="Q631" s="606" t="e">
        <f aca="false">SUM(Q629:Q630)</f>
        <v>#REF!</v>
      </c>
      <c r="R631" s="606" t="e">
        <f aca="false">SUM(R629:R630)</f>
        <v>#REF!</v>
      </c>
      <c r="S631" s="606" t="e">
        <f aca="false">SUM(S629:S630)</f>
        <v>#REF!</v>
      </c>
      <c r="T631" s="606" t="e">
        <f aca="false">SUM(T629:T630)</f>
        <v>#REF!</v>
      </c>
      <c r="U631" s="606" t="e">
        <f aca="false">SUM(U629:U630)</f>
        <v>#REF!</v>
      </c>
      <c r="V631" s="606" t="e">
        <f aca="false">SUM(V629:V630)</f>
        <v>#REF!</v>
      </c>
      <c r="W631" s="606" t="e">
        <f aca="false">SUM(W629:W630)</f>
        <v>#REF!</v>
      </c>
      <c r="X631" s="606" t="e">
        <f aca="false">SUM(X629:X630)</f>
        <v>#REF!</v>
      </c>
      <c r="Y631" s="606" t="e">
        <f aca="false">SUM(Y629:Y630)</f>
        <v>#REF!</v>
      </c>
    </row>
    <row r="633" customFormat="false" ht="15" hidden="false" customHeight="false" outlineLevel="0" collapsed="false">
      <c r="B633" s="608" t="s">
        <v>325</v>
      </c>
      <c r="P633" s="607" t="n">
        <v>2023</v>
      </c>
      <c r="Q633" s="607" t="n">
        <v>2024</v>
      </c>
      <c r="R633" s="607" t="n">
        <v>2025</v>
      </c>
      <c r="S633" s="607" t="n">
        <v>2026</v>
      </c>
      <c r="T633" s="607" t="n">
        <v>2027</v>
      </c>
      <c r="U633" s="607" t="n">
        <v>2028</v>
      </c>
      <c r="V633" s="607" t="n">
        <v>2029</v>
      </c>
      <c r="W633" s="607" t="n">
        <v>2030</v>
      </c>
      <c r="X633" s="607" t="n">
        <v>2031</v>
      </c>
      <c r="Y633" s="607" t="n">
        <v>2032</v>
      </c>
    </row>
    <row r="634" customFormat="false" ht="12.75" hidden="false" customHeight="false" outlineLevel="0" collapsed="false">
      <c r="P634" s="605" t="e">
        <f aca="false">P56+P429+#REF!+P570+P578+P584</f>
        <v>#REF!</v>
      </c>
      <c r="Q634" s="605" t="e">
        <f aca="false">Q56+Q429+#REF!+Q570+Q578+Q584</f>
        <v>#REF!</v>
      </c>
      <c r="R634" s="605" t="e">
        <f aca="false">R56+R429+#REF!+R570+R578+R584</f>
        <v>#REF!</v>
      </c>
      <c r="S634" s="605" t="e">
        <f aca="false">S56+S429+#REF!+S570+S578+S584</f>
        <v>#REF!</v>
      </c>
      <c r="T634" s="605" t="e">
        <f aca="false">T56+T429+#REF!+T570+T578+T584</f>
        <v>#REF!</v>
      </c>
      <c r="U634" s="605" t="e">
        <f aca="false">U56+U429+#REF!+U570+U578+U584</f>
        <v>#REF!</v>
      </c>
      <c r="V634" s="605" t="e">
        <f aca="false">V56+V429+#REF!+V570+V578+V584</f>
        <v>#REF!</v>
      </c>
      <c r="W634" s="605" t="e">
        <f aca="false">W56+W429+#REF!+W570+W578+W584</f>
        <v>#REF!</v>
      </c>
      <c r="X634" s="605" t="e">
        <f aca="false">X56+X429+#REF!+X570+X578+X584</f>
        <v>#REF!</v>
      </c>
      <c r="Y634" s="605" t="e">
        <f aca="false">Y56+Y429+#REF!+Y570+Y578+Y584</f>
        <v>#REF!</v>
      </c>
    </row>
    <row r="635" customFormat="false" ht="12.75" hidden="false" customHeight="false" outlineLevel="0" collapsed="false">
      <c r="P635" s="605"/>
      <c r="Q635" s="605"/>
      <c r="R635" s="605"/>
      <c r="S635" s="605"/>
      <c r="T635" s="605"/>
      <c r="U635" s="605"/>
      <c r="V635" s="605"/>
      <c r="W635" s="605"/>
      <c r="X635" s="605"/>
      <c r="Y635" s="605"/>
    </row>
    <row r="636" customFormat="false" ht="12.75" hidden="false" customHeight="false" outlineLevel="0" collapsed="false">
      <c r="B636" s="1" t="s">
        <v>326</v>
      </c>
      <c r="P636" s="605" t="e">
        <f aca="false">P12+P65+P286+P325+P401+P562+P564+#REF!+#REF!+P570+P584</f>
        <v>#REF!</v>
      </c>
      <c r="Q636" s="605" t="e">
        <f aca="false">Q12+Q65+Q286+Q325+Q401+Q562+Q564+#REF!+#REF!+Q570+Q584</f>
        <v>#REF!</v>
      </c>
      <c r="R636" s="605" t="e">
        <f aca="false">R12+R65+R286+R325+R401+R562+R564+#REF!+#REF!+R570+R584</f>
        <v>#REF!</v>
      </c>
      <c r="S636" s="605" t="e">
        <f aca="false">S12+S65+S286+S325+S401+S562+S564+#REF!+#REF!+S570+S584</f>
        <v>#REF!</v>
      </c>
      <c r="T636" s="605" t="e">
        <f aca="false">T12+T65+T286+T325+T401+T562+T564+#REF!+#REF!+T570+T584</f>
        <v>#REF!</v>
      </c>
      <c r="U636" s="605" t="e">
        <f aca="false">U12+U65+U286+U325+U401+U562+U564+#REF!+#REF!+U570+U584</f>
        <v>#REF!</v>
      </c>
      <c r="V636" s="605" t="e">
        <f aca="false">V12+V65+V286+V325+V401+V562+V564+#REF!+#REF!+V570+V584</f>
        <v>#REF!</v>
      </c>
      <c r="W636" s="605" t="e">
        <f aca="false">W12+W65+W286+W325+W401+W562+W564+#REF!+#REF!+W570+W584</f>
        <v>#REF!</v>
      </c>
      <c r="X636" s="605" t="e">
        <f aca="false">X12+X65+X286+X325+X401+X562+X564+#REF!+#REF!+X570+X584</f>
        <v>#REF!</v>
      </c>
      <c r="Y636" s="605" t="e">
        <f aca="false">Y12+Y65+Y286+Y325+Y401+Y562+Y564+#REF!+#REF!+Y570+Y584</f>
        <v>#REF!</v>
      </c>
    </row>
    <row r="637" customFormat="false" ht="12.75" hidden="false" customHeight="false" outlineLevel="0" collapsed="false">
      <c r="P637" s="609" t="e">
        <f aca="false">P636/P607</f>
        <v>#REF!</v>
      </c>
      <c r="Q637" s="609" t="e">
        <f aca="false">Q636/Q607</f>
        <v>#REF!</v>
      </c>
      <c r="R637" s="609" t="e">
        <f aca="false">R636/R607</f>
        <v>#REF!</v>
      </c>
      <c r="S637" s="609" t="e">
        <f aca="false">S636/S607</f>
        <v>#REF!</v>
      </c>
      <c r="T637" s="609" t="e">
        <f aca="false">T636/T607</f>
        <v>#REF!</v>
      </c>
      <c r="U637" s="609" t="e">
        <f aca="false">U636/U607</f>
        <v>#REF!</v>
      </c>
      <c r="V637" s="609" t="e">
        <f aca="false">V636/V607</f>
        <v>#REF!</v>
      </c>
      <c r="W637" s="609" t="e">
        <f aca="false">W636/W607</f>
        <v>#REF!</v>
      </c>
      <c r="X637" s="609" t="e">
        <f aca="false">X636/X607</f>
        <v>#REF!</v>
      </c>
      <c r="Y637" s="609" t="e">
        <f aca="false">Y636/Y607</f>
        <v>#REF!</v>
      </c>
    </row>
    <row r="639" customFormat="false" ht="12.75" hidden="false" customHeight="false" outlineLevel="0" collapsed="false">
      <c r="B639" s="201" t="s">
        <v>327</v>
      </c>
      <c r="P639" s="607" t="n">
        <v>2023</v>
      </c>
      <c r="Q639" s="607" t="n">
        <v>2024</v>
      </c>
      <c r="R639" s="607" t="n">
        <v>2025</v>
      </c>
      <c r="S639" s="607" t="n">
        <v>2026</v>
      </c>
      <c r="T639" s="607" t="n">
        <v>2027</v>
      </c>
      <c r="U639" s="607" t="n">
        <v>2028</v>
      </c>
      <c r="V639" s="607" t="n">
        <v>2029</v>
      </c>
      <c r="W639" s="607" t="n">
        <v>2030</v>
      </c>
      <c r="X639" s="607" t="n">
        <v>2031</v>
      </c>
      <c r="Y639" s="607" t="n">
        <v>2032</v>
      </c>
    </row>
    <row r="640" customFormat="false" ht="12.75" hidden="false" customHeight="false" outlineLevel="0" collapsed="false">
      <c r="B640" s="3" t="s">
        <v>292</v>
      </c>
      <c r="U640" s="6" t="n">
        <v>2000</v>
      </c>
      <c r="V640" s="6" t="n">
        <v>2000</v>
      </c>
      <c r="W640" s="6" t="n">
        <v>1000</v>
      </c>
    </row>
    <row r="641" customFormat="false" ht="12.75" hidden="false" customHeight="false" outlineLevel="0" collapsed="false">
      <c r="B641" s="3" t="s">
        <v>328</v>
      </c>
      <c r="S641" s="6" t="n">
        <v>2000</v>
      </c>
      <c r="T641" s="6" t="n">
        <v>3000</v>
      </c>
      <c r="U641" s="6" t="n">
        <v>5000</v>
      </c>
      <c r="V641" s="6" t="n">
        <v>5000</v>
      </c>
      <c r="W641" s="6" t="n">
        <v>5000</v>
      </c>
      <c r="X641" s="6" t="n">
        <v>5000</v>
      </c>
    </row>
    <row r="642" customFormat="false" ht="12.75" hidden="false" customHeight="false" outlineLevel="0" collapsed="false">
      <c r="B642" s="3" t="s">
        <v>329</v>
      </c>
      <c r="U642" s="6" t="n">
        <v>3000</v>
      </c>
      <c r="V642" s="6" t="n">
        <v>13000</v>
      </c>
      <c r="W642" s="6" t="n">
        <v>14000</v>
      </c>
    </row>
    <row r="643" customFormat="false" ht="12.75" hidden="false" customHeight="false" outlineLevel="0" collapsed="false">
      <c r="B643" s="3" t="s">
        <v>324</v>
      </c>
      <c r="S643" s="6" t="n">
        <f aca="false">SUM(S640:S642)</f>
        <v>2000</v>
      </c>
      <c r="T643" s="6" t="n">
        <f aca="false">SUM(T640:T642)</f>
        <v>3000</v>
      </c>
      <c r="U643" s="6" t="n">
        <f aca="false">SUM(U640:U642)</f>
        <v>10000</v>
      </c>
      <c r="V643" s="6" t="n">
        <f aca="false">SUM(V640:V642)</f>
        <v>20000</v>
      </c>
      <c r="W643" s="6" t="n">
        <f aca="false">SUM(W640:W642)</f>
        <v>20000</v>
      </c>
      <c r="X643" s="6" t="n">
        <f aca="false">SUM(X640:X642)</f>
        <v>5000</v>
      </c>
      <c r="Y643" s="6" t="n">
        <f aca="false">SUM(Y640:Y642)</f>
        <v>0</v>
      </c>
    </row>
  </sheetData>
  <mergeCells count="2">
    <mergeCell ref="Q6:R6"/>
    <mergeCell ref="S6:Y6"/>
  </mergeCells>
  <printOptions headings="false" gridLines="false" gridLinesSet="true" horizontalCentered="false" verticalCentered="false"/>
  <pageMargins left="0.236111111111111" right="0.236111111111111" top="0.157638888888889" bottom="0.551388888888889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&amp;C&amp;P(&amp;N)&amp;R&amp;F</oddFooter>
  </headerFooter>
  <rowBreaks count="4" manualBreakCount="4">
    <brk id="54" man="true" max="16383" min="0"/>
    <brk id="285" man="true" max="16383" min="0"/>
    <brk id="312" man="true" max="16383" min="0"/>
    <brk id="348" man="true" max="16383" min="0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27" activeCellId="0" sqref="B27"/>
    </sheetView>
  </sheetViews>
  <sheetFormatPr defaultColWidth="8.4453125" defaultRowHeight="12.75" zeroHeight="false" outlineLevelRow="0" outlineLevelCol="0"/>
  <cols>
    <col collapsed="false" customWidth="true" hidden="false" outlineLevel="0" max="2" min="2" style="1" width="37.71"/>
    <col collapsed="false" customWidth="true" hidden="true" outlineLevel="0" max="6" min="3" style="1" width="15.57"/>
    <col collapsed="false" customWidth="true" hidden="true" outlineLevel="0" max="7" min="7" style="1" width="11.53"/>
  </cols>
  <sheetData>
    <row r="1" customFormat="false" ht="15.75" hidden="false" customHeight="false" outlineLevel="0" collapsed="false">
      <c r="A1" s="7" t="s">
        <v>0</v>
      </c>
      <c r="B1" s="7"/>
      <c r="C1" s="7" t="n">
        <f aca="false">OHJELMOINTINÄKYMÄ!C1</f>
        <v>0</v>
      </c>
      <c r="D1" s="7"/>
      <c r="E1" s="7"/>
      <c r="F1" s="7"/>
      <c r="G1" s="3"/>
      <c r="H1" s="9"/>
      <c r="I1" s="9"/>
    </row>
    <row r="2" customFormat="false" ht="15.75" hidden="false" customHeight="false" outlineLevel="0" collapsed="false">
      <c r="A2" s="7" t="s">
        <v>451</v>
      </c>
      <c r="B2" s="7"/>
      <c r="C2" s="7"/>
      <c r="D2" s="7"/>
      <c r="E2" s="7"/>
      <c r="F2" s="7"/>
      <c r="G2" s="7"/>
      <c r="H2" s="7"/>
      <c r="I2" s="7"/>
    </row>
    <row r="3" customFormat="false" ht="15.75" hidden="false" customHeight="false" outlineLevel="0" collapsed="false">
      <c r="A3" s="7" t="s">
        <v>452</v>
      </c>
      <c r="B3" s="7"/>
      <c r="C3" s="15" t="str">
        <f aca="false">OHJELMOINTINÄKYMÄ!C3</f>
        <v> </v>
      </c>
      <c r="D3" s="15"/>
      <c r="E3" s="7"/>
      <c r="F3" s="7"/>
      <c r="G3" s="3"/>
      <c r="H3" s="17"/>
      <c r="I3" s="16"/>
    </row>
    <row r="4" customFormat="false" ht="15.75" hidden="false" customHeight="false" outlineLevel="0" collapsed="false">
      <c r="A4" s="23"/>
      <c r="B4" s="23"/>
      <c r="C4" s="23"/>
      <c r="D4" s="23"/>
      <c r="E4" s="23"/>
      <c r="F4" s="23"/>
      <c r="G4" s="681"/>
      <c r="H4" s="682"/>
      <c r="I4" s="682"/>
    </row>
    <row r="5" customFormat="false" ht="18" hidden="false" customHeight="false" outlineLevel="0" collapsed="false">
      <c r="A5" s="683" t="s">
        <v>484</v>
      </c>
      <c r="B5" s="23"/>
      <c r="C5" s="23"/>
      <c r="D5" s="23"/>
      <c r="E5" s="23"/>
      <c r="F5" s="23"/>
      <c r="G5" s="23"/>
      <c r="H5" s="682"/>
      <c r="I5" s="682"/>
    </row>
    <row r="6" customFormat="false" ht="15.75" hidden="false" customHeight="false" outlineLevel="0" collapsed="false">
      <c r="A6" s="566" t="s">
        <v>435</v>
      </c>
      <c r="B6" s="686"/>
      <c r="C6" s="23"/>
      <c r="D6" s="23"/>
      <c r="E6" s="23"/>
      <c r="F6" s="23"/>
      <c r="G6" s="23"/>
      <c r="H6" s="682"/>
      <c r="I6" s="682"/>
    </row>
    <row r="7" customFormat="false" ht="15.75" hidden="false" customHeight="false" outlineLevel="0" collapsed="false">
      <c r="A7" s="566"/>
      <c r="B7" s="7"/>
      <c r="C7" s="23"/>
      <c r="D7" s="23"/>
      <c r="E7" s="23"/>
      <c r="F7" s="23"/>
      <c r="G7" s="23"/>
      <c r="H7" s="682"/>
      <c r="I7" s="682"/>
    </row>
    <row r="8" customFormat="false" ht="15.75" hidden="false" customHeight="false" outlineLevel="0" collapsed="false">
      <c r="A8" s="25" t="s">
        <v>6</v>
      </c>
      <c r="B8" s="26"/>
      <c r="C8" s="689" t="s">
        <v>7</v>
      </c>
      <c r="D8" s="29" t="s">
        <v>7</v>
      </c>
      <c r="E8" s="689" t="s">
        <v>7</v>
      </c>
      <c r="F8" s="690" t="s">
        <v>7</v>
      </c>
      <c r="G8" s="689" t="s">
        <v>7</v>
      </c>
      <c r="H8" s="689" t="s">
        <v>7</v>
      </c>
      <c r="I8" s="689" t="s">
        <v>8</v>
      </c>
      <c r="J8" s="689" t="s">
        <v>9</v>
      </c>
      <c r="K8" s="689" t="s">
        <v>10</v>
      </c>
      <c r="L8" s="689" t="s">
        <v>10</v>
      </c>
      <c r="M8" s="689" t="s">
        <v>424</v>
      </c>
      <c r="N8" s="689" t="s">
        <v>424</v>
      </c>
      <c r="O8" s="689" t="s">
        <v>424</v>
      </c>
      <c r="P8" s="689" t="s">
        <v>424</v>
      </c>
      <c r="Q8" s="689" t="s">
        <v>424</v>
      </c>
      <c r="R8" s="689" t="s">
        <v>424</v>
      </c>
      <c r="S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n">
        <f aca="false">OHJELMOINTINÄKYMÄ!C7</f>
        <v>2010</v>
      </c>
      <c r="D9" s="693" t="n">
        <f aca="false">OHJELMOINTINÄKYMÄ!D7</f>
        <v>2011</v>
      </c>
      <c r="E9" s="693" t="n">
        <f aca="false">OHJELMOINTINÄKYMÄ!E7</f>
        <v>2012</v>
      </c>
      <c r="F9" s="693" t="n">
        <f aca="false">OHJELMOINTINÄKYMÄ!F7</f>
        <v>2013</v>
      </c>
      <c r="G9" s="693" t="n">
        <f aca="false">OHJELMOINTINÄKYMÄ!G7</f>
        <v>2014</v>
      </c>
      <c r="H9" s="693" t="n">
        <f aca="false">OHJELMOINTINÄKYMÄ!H7</f>
        <v>2015</v>
      </c>
      <c r="I9" s="693" t="n">
        <f aca="false">OHJELMOINTINÄKYMÄ!I7</f>
        <v>2016</v>
      </c>
      <c r="J9" s="693" t="n">
        <f aca="false">OHJELMOINTINÄKYMÄ!J7</f>
        <v>2017</v>
      </c>
      <c r="K9" s="693" t="n">
        <f aca="false">OHJELMOINTINÄKYMÄ!K7</f>
        <v>2018</v>
      </c>
      <c r="L9" s="693" t="n">
        <f aca="false">OHJELMOINTINÄKYMÄ!L7</f>
        <v>2019</v>
      </c>
      <c r="M9" s="693" t="n">
        <f aca="false">OHJELMOINTINÄKYMÄ!M7</f>
        <v>2020</v>
      </c>
      <c r="N9" s="693" t="n">
        <f aca="false">OHJELMOINTINÄKYMÄ!O7</f>
        <v>2022</v>
      </c>
      <c r="O9" s="693" t="n">
        <f aca="false">OHJELMOINTINÄKYMÄ!P7</f>
        <v>2023</v>
      </c>
      <c r="P9" s="693" t="n">
        <f aca="false">OHJELMOINTINÄKYMÄ!Q7</f>
        <v>2024</v>
      </c>
      <c r="Q9" s="693" t="n">
        <f aca="false">OHJELMOINTINÄKYMÄ!R7</f>
        <v>2025</v>
      </c>
      <c r="R9" s="693" t="n">
        <f aca="false">OHJELMOINTINÄKYMÄ!S7</f>
        <v>2026</v>
      </c>
      <c r="S9" s="693" t="n">
        <f aca="false">OHJELMOINTINÄKYMÄ!T7</f>
        <v>2027</v>
      </c>
    </row>
    <row r="10" customFormat="false" ht="15" hidden="false" customHeight="false" outlineLevel="0" collapsed="false">
      <c r="A10" s="45"/>
      <c r="B10" s="46"/>
      <c r="C10" s="698" t="s">
        <v>427</v>
      </c>
      <c r="D10" s="698" t="s">
        <v>427</v>
      </c>
      <c r="E10" s="698" t="s">
        <v>427</v>
      </c>
      <c r="F10" s="698" t="s">
        <v>427</v>
      </c>
      <c r="G10" s="698" t="s">
        <v>427</v>
      </c>
      <c r="H10" s="698" t="s">
        <v>427</v>
      </c>
      <c r="I10" s="698" t="s">
        <v>427</v>
      </c>
      <c r="J10" s="698" t="s">
        <v>427</v>
      </c>
      <c r="K10" s="698" t="s">
        <v>427</v>
      </c>
      <c r="L10" s="698" t="s">
        <v>427</v>
      </c>
      <c r="M10" s="698" t="s">
        <v>427</v>
      </c>
      <c r="N10" s="698" t="s">
        <v>427</v>
      </c>
      <c r="O10" s="698" t="s">
        <v>427</v>
      </c>
      <c r="P10" s="698" t="s">
        <v>427</v>
      </c>
      <c r="Q10" s="698" t="s">
        <v>427</v>
      </c>
      <c r="R10" s="698" t="s">
        <v>427</v>
      </c>
      <c r="S10" s="698" t="s">
        <v>427</v>
      </c>
    </row>
    <row r="11" customFormat="false" ht="15" hidden="false" customHeight="false" outlineLevel="0" collapsed="false">
      <c r="A11" s="54"/>
      <c r="B11" s="703"/>
      <c r="C11" s="704"/>
      <c r="D11" s="705"/>
      <c r="E11" s="704"/>
      <c r="F11" s="704"/>
      <c r="G11" s="704"/>
      <c r="H11" s="704"/>
      <c r="I11" s="704"/>
      <c r="J11" s="704"/>
      <c r="K11" s="704"/>
      <c r="L11" s="704"/>
      <c r="M11" s="704"/>
      <c r="N11" s="704"/>
      <c r="O11" s="704"/>
      <c r="P11" s="704"/>
      <c r="Q11" s="704"/>
      <c r="R11" s="704"/>
      <c r="S11" s="704"/>
    </row>
    <row r="12" customFormat="false" ht="15.75" hidden="false" customHeight="false" outlineLevel="0" collapsed="false">
      <c r="A12" s="711" t="s">
        <v>485</v>
      </c>
      <c r="B12" s="712" t="s">
        <v>486</v>
      </c>
      <c r="C12" s="713" t="n">
        <f aca="false">OHJELMOINTINÄKYMÄ!C65/1000</f>
        <v>25.45059122</v>
      </c>
      <c r="D12" s="713" t="n">
        <f aca="false">OHJELMOINTINÄKYMÄ!D65/1000</f>
        <v>27.704363</v>
      </c>
      <c r="E12" s="713" t="n">
        <f aca="false">OHJELMOINTINÄKYMÄ!E65/1000</f>
        <v>21.496</v>
      </c>
      <c r="F12" s="713" t="n">
        <f aca="false">OHJELMOINTINÄKYMÄ!F65/1000</f>
        <v>21.895</v>
      </c>
      <c r="G12" s="713" t="n">
        <f aca="false">OHJELMOINTINÄKYMÄ!G65/1000</f>
        <v>16.563</v>
      </c>
      <c r="H12" s="713" t="n">
        <f aca="false">OHJELMOINTINÄKYMÄ!H65/1000+H24</f>
        <v>48.319</v>
      </c>
      <c r="I12" s="713" t="n">
        <f aca="false">OHJELMOINTINÄKYMÄ!I65/1000+I24</f>
        <v>64.752</v>
      </c>
      <c r="J12" s="713" t="e">
        <f aca="false">OHJELMOINTINÄKYMÄ!J65/1000+J24</f>
        <v>#VALUE!</v>
      </c>
      <c r="K12" s="713" t="e">
        <f aca="false">OHJELMOINTINÄKYMÄ!K65/1000+K24</f>
        <v>#VALUE!</v>
      </c>
      <c r="L12" s="713" t="e">
        <f aca="false">OHJELMOINTINÄKYMÄ!L65/1000+L24</f>
        <v>#VALUE!</v>
      </c>
      <c r="M12" s="713" t="e">
        <f aca="false">OHJELMOINTINÄKYMÄ!M65/1000+M24</f>
        <v>#VALUE!</v>
      </c>
      <c r="N12" s="713" t="e">
        <f aca="false">OHJELMOINTINÄKYMÄ!O65/1000+N24</f>
        <v>#VALUE!</v>
      </c>
      <c r="O12" s="713" t="e">
        <f aca="false">OHJELMOINTINÄKYMÄ!P65/1000+O24</f>
        <v>#VALUE!</v>
      </c>
      <c r="P12" s="713" t="e">
        <f aca="false">OHJELMOINTINÄKYMÄ!Q65/1000+P24</f>
        <v>#VALUE!</v>
      </c>
      <c r="Q12" s="713" t="e">
        <f aca="false">OHJELMOINTINÄKYMÄ!R65/1000+Q24</f>
        <v>#VALUE!</v>
      </c>
      <c r="R12" s="713" t="e">
        <f aca="false">OHJELMOINTINÄKYMÄ!S65/1000+R24</f>
        <v>#VALUE!</v>
      </c>
      <c r="S12" s="713" t="e">
        <f aca="false">OHJELMOINTINÄKYMÄ!T65/1000+S24</f>
        <v>#VALUE!</v>
      </c>
    </row>
    <row r="13" customFormat="false" ht="15.75" hidden="false" customHeight="false" outlineLevel="0" collapsed="false">
      <c r="A13" s="72" t="s">
        <v>487</v>
      </c>
      <c r="B13" s="712" t="s">
        <v>488</v>
      </c>
      <c r="C13" s="713" t="e">
        <f aca="false">OHJELMOINTINÄKYMÄ!C93/1000</f>
        <v>#REF!</v>
      </c>
      <c r="D13" s="713" t="e">
        <f aca="false">OHJELMOINTINÄKYMÄ!D93/1000</f>
        <v>#REF!</v>
      </c>
      <c r="E13" s="713" t="n">
        <f aca="false">OHJELMOINTINÄKYMÄ!E93/1000</f>
        <v>16.488</v>
      </c>
      <c r="F13" s="713" t="n">
        <f aca="false">OHJELMOINTINÄKYMÄ!F93/1000</f>
        <v>22.586</v>
      </c>
      <c r="G13" s="713" t="e">
        <f aca="false">OHJELMOINTINÄKYMÄ!G93/1000</f>
        <v>#REF!</v>
      </c>
      <c r="H13" s="713" t="n">
        <f aca="false">OHJELMOINTINÄKYMÄ!H93/1000</f>
        <v>28.099</v>
      </c>
      <c r="I13" s="713" t="n">
        <f aca="false">OHJELMOINTINÄKYMÄ!I93/1000</f>
        <v>30.012</v>
      </c>
      <c r="J13" s="713" t="n">
        <f aca="false">OHJELMOINTINÄKYMÄ!J93/1000</f>
        <v>36.481</v>
      </c>
      <c r="K13" s="713" t="e">
        <f aca="false">OHJELMOINTINÄKYMÄ!K93/1000</f>
        <v>#REF!</v>
      </c>
      <c r="L13" s="713" t="n">
        <f aca="false">OHJELMOINTINÄKYMÄ!L93/1000</f>
        <v>49.956</v>
      </c>
      <c r="M13" s="713" t="n">
        <f aca="false">OHJELMOINTINÄKYMÄ!M93/1000</f>
        <v>66.202769</v>
      </c>
      <c r="N13" s="713" t="e">
        <f aca="false">OHJELMOINTINÄKYMÄ!O93/1000</f>
        <v>#REF!</v>
      </c>
      <c r="O13" s="713" t="e">
        <f aca="false">OHJELMOINTINÄKYMÄ!P93/1000</f>
        <v>#REF!</v>
      </c>
      <c r="P13" s="713" t="e">
        <f aca="false">OHJELMOINTINÄKYMÄ!Q93/1000</f>
        <v>#REF!</v>
      </c>
      <c r="Q13" s="713" t="e">
        <f aca="false">OHJELMOINTINÄKYMÄ!R93/1000</f>
        <v>#REF!</v>
      </c>
      <c r="R13" s="713" t="e">
        <f aca="false">OHJELMOINTINÄKYMÄ!S93/1000</f>
        <v>#REF!</v>
      </c>
      <c r="S13" s="713" t="e">
        <f aca="false">OHJELMOINTINÄKYMÄ!T93/1000</f>
        <v>#REF!</v>
      </c>
    </row>
    <row r="14" customFormat="false" ht="15.75" hidden="false" customHeight="false" outlineLevel="0" collapsed="false">
      <c r="A14" s="72"/>
      <c r="B14" s="740" t="s">
        <v>489</v>
      </c>
      <c r="C14" s="713"/>
      <c r="D14" s="713"/>
      <c r="E14" s="713"/>
      <c r="F14" s="713"/>
      <c r="G14" s="750" t="n">
        <f aca="false">OHJELMOINTINÄKYMÄ!G97/1000</f>
        <v>4.011</v>
      </c>
      <c r="H14" s="750" t="n">
        <f aca="false">OHJELMOINTINÄKYMÄ!H97/1000</f>
        <v>1.794</v>
      </c>
      <c r="I14" s="750" t="n">
        <f aca="false">OHJELMOINTINÄKYMÄ!I97/1000</f>
        <v>2.58</v>
      </c>
      <c r="J14" s="750" t="n">
        <f aca="false">OHJELMOINTINÄKYMÄ!J97/1000</f>
        <v>7.72</v>
      </c>
      <c r="K14" s="750" t="e">
        <f aca="false">OHJELMOINTINÄKYMÄ!K97/1000</f>
        <v>#REF!</v>
      </c>
      <c r="L14" s="750" t="n">
        <f aca="false">OHJELMOINTINÄKYMÄ!L97/1000</f>
        <v>10.542</v>
      </c>
      <c r="M14" s="750" t="n">
        <f aca="false">OHJELMOINTINÄKYMÄ!M97/1000</f>
        <v>9.639109</v>
      </c>
      <c r="N14" s="750" t="e">
        <f aca="false">OHJELMOINTINÄKYMÄ!O97/1000</f>
        <v>#REF!</v>
      </c>
      <c r="O14" s="750" t="e">
        <f aca="false">OHJELMOINTINÄKYMÄ!P97/1000</f>
        <v>#REF!</v>
      </c>
      <c r="P14" s="750" t="e">
        <f aca="false">OHJELMOINTINÄKYMÄ!Q97/1000</f>
        <v>#REF!</v>
      </c>
      <c r="Q14" s="750" t="e">
        <f aca="false">OHJELMOINTINÄKYMÄ!R97/1000</f>
        <v>#REF!</v>
      </c>
      <c r="R14" s="750" t="e">
        <f aca="false">OHJELMOINTINÄKYMÄ!S97/1000</f>
        <v>#REF!</v>
      </c>
      <c r="S14" s="750" t="e">
        <f aca="false">OHJELMOINTINÄKYMÄ!T97/1000</f>
        <v>#REF!</v>
      </c>
    </row>
    <row r="15" customFormat="false" ht="15.75" hidden="false" customHeight="false" outlineLevel="0" collapsed="false">
      <c r="A15" s="72"/>
      <c r="B15" s="740" t="s">
        <v>94</v>
      </c>
      <c r="C15" s="713"/>
      <c r="D15" s="713"/>
      <c r="E15" s="713"/>
      <c r="F15" s="713"/>
      <c r="G15" s="750" t="n">
        <f aca="false">OHJELMOINTINÄKYMÄ!G110/1000</f>
        <v>5.239</v>
      </c>
      <c r="H15" s="750" t="n">
        <f aca="false">OHJELMOINTINÄKYMÄ!H110/1000</f>
        <v>5.27</v>
      </c>
      <c r="I15" s="750" t="n">
        <f aca="false">OHJELMOINTINÄKYMÄ!I110/1000</f>
        <v>7.623</v>
      </c>
      <c r="J15" s="750" t="n">
        <f aca="false">OHJELMOINTINÄKYMÄ!J110/1000</f>
        <v>3.331</v>
      </c>
      <c r="K15" s="750" t="n">
        <f aca="false">OHJELMOINTINÄKYMÄ!K110/1000</f>
        <v>8.885</v>
      </c>
      <c r="L15" s="750" t="n">
        <f aca="false">OHJELMOINTINÄKYMÄ!L110/1000</f>
        <v>10.623</v>
      </c>
      <c r="M15" s="750" t="n">
        <f aca="false">OHJELMOINTINÄKYMÄ!M110/1000</f>
        <v>15.914662</v>
      </c>
      <c r="N15" s="750" t="n">
        <f aca="false">OHJELMOINTINÄKYMÄ!O110/1000</f>
        <v>4.9</v>
      </c>
      <c r="O15" s="750" t="n">
        <f aca="false">OHJELMOINTINÄKYMÄ!P110/1000</f>
        <v>8.1</v>
      </c>
      <c r="P15" s="750" t="n">
        <f aca="false">OHJELMOINTINÄKYMÄ!Q110/1000</f>
        <v>15.3</v>
      </c>
      <c r="Q15" s="750" t="n">
        <f aca="false">OHJELMOINTINÄKYMÄ!R110/1000</f>
        <v>32</v>
      </c>
      <c r="R15" s="750" t="n">
        <f aca="false">OHJELMOINTINÄKYMÄ!S110/1000</f>
        <v>27.65</v>
      </c>
      <c r="S15" s="750" t="n">
        <f aca="false">OHJELMOINTINÄKYMÄ!T110/1000</f>
        <v>17.9</v>
      </c>
    </row>
    <row r="16" customFormat="false" ht="15.75" hidden="false" customHeight="false" outlineLevel="0" collapsed="false">
      <c r="A16" s="72"/>
      <c r="B16" s="740" t="s">
        <v>490</v>
      </c>
      <c r="C16" s="713"/>
      <c r="D16" s="713"/>
      <c r="E16" s="713"/>
      <c r="F16" s="713"/>
      <c r="G16" s="750" t="e">
        <f aca="false">ohjelmointinäkymä!#REF!/1000</f>
        <v>#VALUE!</v>
      </c>
      <c r="H16" s="750" t="n">
        <v>0</v>
      </c>
      <c r="I16" s="750" t="n">
        <v>0</v>
      </c>
      <c r="J16" s="750" t="e">
        <f aca="false">ohjelmointinäkymä!#REF!/1000</f>
        <v>#VALUE!</v>
      </c>
      <c r="K16" s="750" t="e">
        <f aca="false">ohjelmointinäkymä!#REF!/1000</f>
        <v>#VALUE!</v>
      </c>
      <c r="L16" s="750" t="e">
        <f aca="false">ohjelmointinäkymä!#REF!/1000</f>
        <v>#VALUE!</v>
      </c>
      <c r="M16" s="750" t="e">
        <f aca="false">ohjelmointinäkymä!#REF!/1000</f>
        <v>#VALUE!</v>
      </c>
      <c r="N16" s="750" t="e">
        <f aca="false">ohjelmointinäkymä!#REF!/1000</f>
        <v>#VALUE!</v>
      </c>
      <c r="O16" s="750" t="e">
        <f aca="false">ohjelmointinäkymä!#REF!/1000</f>
        <v>#VALUE!</v>
      </c>
      <c r="P16" s="750" t="e">
        <f aca="false">ohjelmointinäkymä!#REF!/1000</f>
        <v>#VALUE!</v>
      </c>
      <c r="Q16" s="750" t="e">
        <f aca="false">ohjelmointinäkymä!#REF!/1000</f>
        <v>#VALUE!</v>
      </c>
      <c r="R16" s="750" t="e">
        <f aca="false">ohjelmointinäkymä!#REF!/1000</f>
        <v>#VALUE!</v>
      </c>
      <c r="S16" s="750" t="e">
        <f aca="false">ohjelmointinäkymä!#REF!/1000</f>
        <v>#VALUE!</v>
      </c>
    </row>
    <row r="17" customFormat="false" ht="15.75" hidden="false" customHeight="false" outlineLevel="0" collapsed="false">
      <c r="A17" s="72"/>
      <c r="B17" s="740" t="s">
        <v>108</v>
      </c>
      <c r="C17" s="713"/>
      <c r="D17" s="713"/>
      <c r="E17" s="713"/>
      <c r="F17" s="713"/>
      <c r="G17" s="750" t="n">
        <f aca="false">OHJELMOINTINÄKYMÄ!G136/1000</f>
        <v>5.123</v>
      </c>
      <c r="H17" s="750" t="n">
        <f aca="false">OHJELMOINTINÄKYMÄ!H136/1000</f>
        <v>5.006</v>
      </c>
      <c r="I17" s="750" t="n">
        <f aca="false">OHJELMOINTINÄKYMÄ!I136/1000</f>
        <v>4.875</v>
      </c>
      <c r="J17" s="750" t="n">
        <f aca="false">OHJELMOINTINÄKYMÄ!J136/1000</f>
        <v>4.185</v>
      </c>
      <c r="K17" s="750" t="n">
        <f aca="false">OHJELMOINTINÄKYMÄ!K136/1000</f>
        <v>4.218</v>
      </c>
      <c r="L17" s="750" t="n">
        <f aca="false">OHJELMOINTINÄKYMÄ!L136/1000</f>
        <v>4.226</v>
      </c>
      <c r="M17" s="750" t="n">
        <f aca="false">OHJELMOINTINÄKYMÄ!M136/1000</f>
        <v>4.361582</v>
      </c>
      <c r="N17" s="750" t="n">
        <f aca="false">OHJELMOINTINÄKYMÄ!O136/1000</f>
        <v>4.5</v>
      </c>
      <c r="O17" s="750" t="n">
        <f aca="false">OHJELMOINTINÄKYMÄ!P136/1000</f>
        <v>5</v>
      </c>
      <c r="P17" s="750" t="n">
        <f aca="false">OHJELMOINTINÄKYMÄ!Q136/1000</f>
        <v>5</v>
      </c>
      <c r="Q17" s="750" t="n">
        <f aca="false">OHJELMOINTINÄKYMÄ!R136/1000</f>
        <v>5</v>
      </c>
      <c r="R17" s="750" t="n">
        <f aca="false">OHJELMOINTINÄKYMÄ!S136/1000</f>
        <v>5</v>
      </c>
      <c r="S17" s="750" t="n">
        <f aca="false">OHJELMOINTINÄKYMÄ!T136/1000</f>
        <v>5</v>
      </c>
    </row>
    <row r="18" customFormat="false" ht="15.75" hidden="false" customHeight="false" outlineLevel="0" collapsed="false">
      <c r="A18" s="72"/>
      <c r="B18" s="740" t="s">
        <v>112</v>
      </c>
      <c r="C18" s="713"/>
      <c r="D18" s="713"/>
      <c r="E18" s="713"/>
      <c r="F18" s="713"/>
      <c r="G18" s="750" t="n">
        <f aca="false">OHJELMOINTINÄKYMÄ!G150/1000</f>
        <v>3.914</v>
      </c>
      <c r="H18" s="750" t="n">
        <f aca="false">OHJELMOINTINÄKYMÄ!H150/1000</f>
        <v>2.354</v>
      </c>
      <c r="I18" s="750" t="n">
        <f aca="false">OHJELMOINTINÄKYMÄ!I150/1000</f>
        <v>2.324</v>
      </c>
      <c r="J18" s="750" t="n">
        <f aca="false">OHJELMOINTINÄKYMÄ!J150/1000</f>
        <v>3.311</v>
      </c>
      <c r="K18" s="750" t="n">
        <f aca="false">OHJELMOINTINÄKYMÄ!K150/1000</f>
        <v>3.188</v>
      </c>
      <c r="L18" s="750" t="n">
        <f aca="false">OHJELMOINTINÄKYMÄ!L150/1000</f>
        <v>8.139</v>
      </c>
      <c r="M18" s="750" t="n">
        <f aca="false">OHJELMOINTINÄKYMÄ!M150/1000</f>
        <v>10.718579</v>
      </c>
      <c r="N18" s="750" t="n">
        <f aca="false">OHJELMOINTINÄKYMÄ!O150/1000</f>
        <v>4.7</v>
      </c>
      <c r="O18" s="750" t="n">
        <f aca="false">OHJELMOINTINÄKYMÄ!P150/1000</f>
        <v>9</v>
      </c>
      <c r="P18" s="750" t="n">
        <f aca="false">OHJELMOINTINÄKYMÄ!Q150/1000</f>
        <v>6</v>
      </c>
      <c r="Q18" s="750" t="n">
        <f aca="false">OHJELMOINTINÄKYMÄ!R150/1000</f>
        <v>6.5</v>
      </c>
      <c r="R18" s="750" t="n">
        <f aca="false">OHJELMOINTINÄKYMÄ!S150/1000</f>
        <v>5.6</v>
      </c>
      <c r="S18" s="750" t="n">
        <f aca="false">OHJELMOINTINÄKYMÄ!T150/1000</f>
        <v>4.5</v>
      </c>
    </row>
    <row r="19" customFormat="false" ht="15.75" hidden="false" customHeight="false" outlineLevel="0" collapsed="false">
      <c r="A19" s="72"/>
      <c r="B19" s="740" t="s">
        <v>114</v>
      </c>
      <c r="C19" s="713"/>
      <c r="D19" s="713"/>
      <c r="E19" s="713"/>
      <c r="F19" s="713"/>
      <c r="G19" s="750" t="e">
        <f aca="false">OHJELMOINTINÄKYMÄ!G160/1000</f>
        <v>#REF!</v>
      </c>
      <c r="H19" s="750" t="n">
        <f aca="false">OHJELMOINTINÄKYMÄ!H160/1000</f>
        <v>7.532</v>
      </c>
      <c r="I19" s="750" t="n">
        <f aca="false">OHJELMOINTINÄKYMÄ!I160/1000</f>
        <v>10.992</v>
      </c>
      <c r="J19" s="750" t="n">
        <f aca="false">OHJELMOINTINÄKYMÄ!J160/1000</f>
        <v>14.205</v>
      </c>
      <c r="K19" s="750" t="n">
        <f aca="false">OHJELMOINTINÄKYMÄ!K160/1000</f>
        <v>12.592</v>
      </c>
      <c r="L19" s="750" t="n">
        <f aca="false">OHJELMOINTINÄKYMÄ!L160/1000</f>
        <v>13.9</v>
      </c>
      <c r="M19" s="750" t="n">
        <f aca="false">OHJELMOINTINÄKYMÄ!M160/1000</f>
        <v>24.42473</v>
      </c>
      <c r="N19" s="750" t="n">
        <f aca="false">OHJELMOINTINÄKYMÄ!O160/1000</f>
        <v>25.5</v>
      </c>
      <c r="O19" s="750" t="n">
        <f aca="false">OHJELMOINTINÄKYMÄ!P160/1000</f>
        <v>23.5</v>
      </c>
      <c r="P19" s="750" t="n">
        <f aca="false">OHJELMOINTINÄKYMÄ!Q160/1000</f>
        <v>19</v>
      </c>
      <c r="Q19" s="750" t="n">
        <f aca="false">OHJELMOINTINÄKYMÄ!R160/1000</f>
        <v>19</v>
      </c>
      <c r="R19" s="750" t="n">
        <f aca="false">OHJELMOINTINÄKYMÄ!S160/1000</f>
        <v>19.5</v>
      </c>
      <c r="S19" s="750" t="n">
        <f aca="false">OHJELMOINTINÄKYMÄ!T160/1000</f>
        <v>19.5</v>
      </c>
    </row>
    <row r="20" customFormat="false" ht="15.75" hidden="false" customHeight="false" outlineLevel="0" collapsed="false">
      <c r="A20" s="72"/>
      <c r="B20" s="740" t="s">
        <v>491</v>
      </c>
      <c r="C20" s="713"/>
      <c r="D20" s="713"/>
      <c r="E20" s="713"/>
      <c r="F20" s="713"/>
      <c r="G20" s="750"/>
      <c r="H20" s="750"/>
      <c r="I20" s="750"/>
      <c r="J20" s="750"/>
      <c r="K20" s="750"/>
      <c r="L20" s="750" t="e">
        <f aca="false">ohjelmointinäkymä!#REF!/1000</f>
        <v>#VALUE!</v>
      </c>
      <c r="M20" s="750" t="e">
        <f aca="false">ohjelmointinäkymä!#REF!/1000</f>
        <v>#VALUE!</v>
      </c>
      <c r="N20" s="750" t="e">
        <f aca="false">ohjelmointinäkymä!#REF!/1000</f>
        <v>#VALUE!</v>
      </c>
      <c r="O20" s="750" t="e">
        <f aca="false">ohjelmointinäkymä!#REF!/1000</f>
        <v>#VALUE!</v>
      </c>
      <c r="P20" s="750"/>
      <c r="Q20" s="750"/>
      <c r="R20" s="750"/>
      <c r="S20" s="750"/>
    </row>
    <row r="21" customFormat="false" ht="15.75" hidden="false" customHeight="false" outlineLevel="0" collapsed="false">
      <c r="A21" s="72" t="s">
        <v>492</v>
      </c>
      <c r="B21" s="712" t="s">
        <v>493</v>
      </c>
      <c r="C21" s="713" t="n">
        <f aca="false">OHJELMOINTINÄKYMÄ!C286/1000</f>
        <v>4.01</v>
      </c>
      <c r="D21" s="713" t="n">
        <f aca="false">OHJELMOINTINÄKYMÄ!D286/1000</f>
        <v>2.489</v>
      </c>
      <c r="E21" s="713" t="n">
        <f aca="false">OHJELMOINTINÄKYMÄ!E286/1000</f>
        <v>0.564</v>
      </c>
      <c r="F21" s="713" t="n">
        <f aca="false">OHJELMOINTINÄKYMÄ!F286/1000</f>
        <v>1.9</v>
      </c>
      <c r="G21" s="713" t="n">
        <f aca="false">OHJELMOINTINÄKYMÄ!G286/1000</f>
        <v>2.746</v>
      </c>
      <c r="H21" s="713" t="n">
        <f aca="false">OHJELMOINTINÄKYMÄ!H286/1000</f>
        <v>8.784</v>
      </c>
      <c r="I21" s="713" t="n">
        <f aca="false">OHJELMOINTINÄKYMÄ!I286/1000</f>
        <v>8.775</v>
      </c>
      <c r="J21" s="713" t="n">
        <f aca="false">OHJELMOINTINÄKYMÄ!J286/1000</f>
        <v>1.121</v>
      </c>
      <c r="K21" s="713" t="n">
        <f aca="false">OHJELMOINTINÄKYMÄ!K286/1000</f>
        <v>1.65</v>
      </c>
      <c r="L21" s="713" t="n">
        <f aca="false">OHJELMOINTINÄKYMÄ!L286/1000</f>
        <v>0.919</v>
      </c>
      <c r="M21" s="713" t="n">
        <f aca="false">OHJELMOINTINÄKYMÄ!M286/1000</f>
        <v>0.872624</v>
      </c>
      <c r="N21" s="713" t="n">
        <f aca="false">OHJELMOINTINÄKYMÄ!O286/1000</f>
        <v>2.09</v>
      </c>
      <c r="O21" s="713" t="n">
        <f aca="false">OHJELMOINTINÄKYMÄ!P286/1000</f>
        <v>0.9</v>
      </c>
      <c r="P21" s="713" t="n">
        <f aca="false">OHJELMOINTINÄKYMÄ!Q286/1000</f>
        <v>0.6</v>
      </c>
      <c r="Q21" s="713" t="n">
        <f aca="false">OHJELMOINTINÄKYMÄ!R286/1000</f>
        <v>1.1</v>
      </c>
      <c r="R21" s="713" t="n">
        <f aca="false">OHJELMOINTINÄKYMÄ!S286/1000</f>
        <v>7.8</v>
      </c>
      <c r="S21" s="713" t="n">
        <f aca="false">OHJELMOINTINÄKYMÄ!T286/1000</f>
        <v>21.7</v>
      </c>
    </row>
    <row r="22" customFormat="false" ht="15.75" hidden="false" customHeight="false" outlineLevel="0" collapsed="false">
      <c r="A22" s="72" t="s">
        <v>494</v>
      </c>
      <c r="B22" s="712" t="s">
        <v>495</v>
      </c>
      <c r="C22" s="713" t="e">
        <f aca="false">ohjelmointinäkymä!#REF!/1000</f>
        <v>#VALUE!</v>
      </c>
      <c r="D22" s="713" t="e">
        <f aca="false">ohjelmointinäkymä!#REF!/1000</f>
        <v>#VALUE!</v>
      </c>
      <c r="E22" s="713" t="e">
        <f aca="false">ohjelmointinäkymä!#REF!/1000</f>
        <v>#VALUE!</v>
      </c>
      <c r="F22" s="713" t="e">
        <f aca="false">ohjelmointinäkymä!#REF!/1000</f>
        <v>#VALUE!</v>
      </c>
      <c r="G22" s="713" t="e">
        <f aca="false">ohjelmointinäkymä!#REF!/1000</f>
        <v>#VALUE!</v>
      </c>
      <c r="H22" s="713" t="e">
        <f aca="false">ohjelmointinäkymä!#REF!/1000</f>
        <v>#VALUE!</v>
      </c>
      <c r="I22" s="713" t="e">
        <f aca="false">ohjelmointinäkymä!#REF!/1000</f>
        <v>#VALUE!</v>
      </c>
      <c r="J22" s="713" t="e">
        <f aca="false">ohjelmointinäkymä!#REF!/1000</f>
        <v>#VALUE!</v>
      </c>
      <c r="K22" s="713" t="e">
        <f aca="false">ohjelmointinäkymä!#REF!/1000</f>
        <v>#VALUE!</v>
      </c>
      <c r="L22" s="713" t="e">
        <f aca="false">ohjelmointinäkymä!#REF!/1000</f>
        <v>#VALUE!</v>
      </c>
      <c r="M22" s="713" t="e">
        <f aca="false">ohjelmointinäkymä!#REF!/1000</f>
        <v>#VALUE!</v>
      </c>
      <c r="N22" s="713" t="e">
        <f aca="false">ohjelmointinäkymä!#REF!/1000</f>
        <v>#VALUE!</v>
      </c>
      <c r="O22" s="713" t="e">
        <f aca="false">ohjelmointinäkymä!#REF!/1000</f>
        <v>#VALUE!</v>
      </c>
      <c r="P22" s="713" t="e">
        <f aca="false">ohjelmointinäkymä!#REF!/1000</f>
        <v>#VALUE!</v>
      </c>
      <c r="Q22" s="713" t="e">
        <f aca="false">ohjelmointinäkymä!#REF!/1000</f>
        <v>#VALUE!</v>
      </c>
      <c r="R22" s="713" t="e">
        <f aca="false">ohjelmointinäkymä!#REF!/1000</f>
        <v>#VALUE!</v>
      </c>
      <c r="S22" s="713" t="e">
        <f aca="false">ohjelmointinäkymä!#REF!/1000</f>
        <v>#VALUE!</v>
      </c>
    </row>
    <row r="23" customFormat="false" ht="15.75" hidden="false" customHeight="false" outlineLevel="0" collapsed="false">
      <c r="A23" s="93" t="s">
        <v>496</v>
      </c>
      <c r="B23" s="37" t="s">
        <v>497</v>
      </c>
      <c r="C23" s="713" t="n">
        <f aca="false">OHJELMOINTINÄKYMÄ!C271/1000</f>
        <v>0</v>
      </c>
      <c r="D23" s="713" t="n">
        <f aca="false">OHJELMOINTINÄKYMÄ!D271/1000</f>
        <v>0</v>
      </c>
      <c r="E23" s="713" t="n">
        <f aca="false">OHJELMOINTINÄKYMÄ!E271/1000</f>
        <v>0.353</v>
      </c>
      <c r="F23" s="713" t="e">
        <f aca="false">ohjelmointinäkymä!#REF!/1000</f>
        <v>#VALUE!</v>
      </c>
      <c r="G23" s="713" t="e">
        <f aca="false">ohjelmointinäkymä!#REF!/1000</f>
        <v>#VALUE!</v>
      </c>
      <c r="H23" s="713" t="e">
        <f aca="false">ohjelmointinäkymä!#REF!/1000</f>
        <v>#VALUE!</v>
      </c>
      <c r="I23" s="713" t="e">
        <f aca="false">ohjelmointinäkymä!#REF!/1000</f>
        <v>#VALUE!</v>
      </c>
      <c r="J23" s="713" t="e">
        <f aca="false">ohjelmointinäkymä!#REF!/1000</f>
        <v>#VALUE!</v>
      </c>
      <c r="K23" s="713" t="e">
        <f aca="false">ohjelmointinäkymä!#REF!/1000</f>
        <v>#VALUE!</v>
      </c>
      <c r="L23" s="713" t="e">
        <f aca="false">ohjelmointinäkymä!#REF!/1000</f>
        <v>#VALUE!</v>
      </c>
      <c r="M23" s="713" t="e">
        <f aca="false">ohjelmointinäkymä!#REF!/1000</f>
        <v>#VALUE!</v>
      </c>
      <c r="N23" s="713" t="e">
        <f aca="false">ohjelmointinäkymä!#REF!/1000</f>
        <v>#VALUE!</v>
      </c>
      <c r="O23" s="713" t="e">
        <f aca="false">ohjelmointinäkymä!#REF!/1000</f>
        <v>#VALUE!</v>
      </c>
      <c r="P23" s="713" t="e">
        <f aca="false">ohjelmointinäkymä!#REF!/1000</f>
        <v>#VALUE!</v>
      </c>
      <c r="Q23" s="713" t="e">
        <f aca="false">ohjelmointinäkymä!#REF!/1000</f>
        <v>#VALUE!</v>
      </c>
      <c r="R23" s="713" t="e">
        <f aca="false">ohjelmointinäkymä!#REF!/1000</f>
        <v>#VALUE!</v>
      </c>
      <c r="S23" s="713" t="e">
        <f aca="false">ohjelmointinäkymä!#REF!/1000</f>
        <v>#VALUE!</v>
      </c>
      <c r="T23" s="713" t="s">
        <v>3</v>
      </c>
    </row>
    <row r="24" customFormat="false" ht="15.75" hidden="false" customHeight="false" outlineLevel="0" collapsed="false">
      <c r="A24" s="72" t="s">
        <v>498</v>
      </c>
      <c r="B24" s="37" t="s">
        <v>430</v>
      </c>
      <c r="C24" s="713"/>
      <c r="D24" s="713"/>
      <c r="E24" s="713"/>
      <c r="F24" s="713" t="n">
        <f aca="false">SUM(F25:F30)</f>
        <v>22.094</v>
      </c>
      <c r="G24" s="713" t="n">
        <f aca="false">SUM(G25:G31)</f>
        <v>26.29877</v>
      </c>
      <c r="H24" s="713" t="n">
        <f aca="false">SUM(H25:H31)</f>
        <v>33.561</v>
      </c>
      <c r="I24" s="713" t="n">
        <f aca="false">SUM(I25:I31)</f>
        <v>50.173</v>
      </c>
      <c r="J24" s="713" t="e">
        <f aca="false">SUM(J25:J33)</f>
        <v>#VALUE!</v>
      </c>
      <c r="K24" s="713" t="e">
        <f aca="false">SUM(K25:K33)</f>
        <v>#VALUE!</v>
      </c>
      <c r="L24" s="713" t="e">
        <f aca="false">SUM(L25:L33)</f>
        <v>#VALUE!</v>
      </c>
      <c r="M24" s="713" t="e">
        <f aca="false">SUM(M25:M33)</f>
        <v>#VALUE!</v>
      </c>
      <c r="N24" s="713" t="e">
        <f aca="false">SUM(N25:N33)</f>
        <v>#VALUE!</v>
      </c>
      <c r="O24" s="713" t="e">
        <f aca="false">SUM(O25:O33)</f>
        <v>#VALUE!</v>
      </c>
      <c r="P24" s="713" t="e">
        <f aca="false">SUM(P25:P33)</f>
        <v>#VALUE!</v>
      </c>
      <c r="Q24" s="713" t="e">
        <f aca="false">SUM(Q25:Q33)</f>
        <v>#VALUE!</v>
      </c>
      <c r="R24" s="713" t="e">
        <f aca="false">SUM(R25:R33)</f>
        <v>#VALUE!</v>
      </c>
      <c r="S24" s="713" t="e">
        <f aca="false">SUM(S25:S33)</f>
        <v>#VALUE!</v>
      </c>
    </row>
    <row r="25" customFormat="false" ht="15.75" hidden="false" customHeight="false" outlineLevel="0" collapsed="false">
      <c r="A25" s="72"/>
      <c r="B25" s="740" t="s">
        <v>431</v>
      </c>
      <c r="C25" s="750" t="n">
        <f aca="false">OHJELMOINTINÄKYMÄ!C206/1000</f>
        <v>0.66496892</v>
      </c>
      <c r="D25" s="750" t="n">
        <f aca="false">OHJELMOINTINÄKYMÄ!D206/1000</f>
        <v>0</v>
      </c>
      <c r="E25" s="750" t="n">
        <f aca="false">OHJELMOINTINÄKYMÄ!E206/1000</f>
        <v>0.331</v>
      </c>
      <c r="F25" s="750" t="n">
        <f aca="false">OHJELMOINTINÄKYMÄ!F206/1000+OHJELMOINTINÄKYMÄ!F207/1000</f>
        <v>0.33</v>
      </c>
      <c r="G25" s="750" t="n">
        <f aca="false">OHJELMOINTINÄKYMÄ!G206/1000+OHJELMOINTINÄKYMÄ!G207/1000</f>
        <v>3.054</v>
      </c>
      <c r="H25" s="713" t="n">
        <f aca="false">OHJELMOINTINÄKYMÄ!H203/1000</f>
        <v>0.141</v>
      </c>
      <c r="I25" s="750" t="n">
        <f aca="false">OHJELMOINTINÄKYMÄ!I203/1000</f>
        <v>0.282</v>
      </c>
      <c r="J25" s="750" t="n">
        <f aca="false">OHJELMOINTINÄKYMÄ!J203/1000</f>
        <v>0.235</v>
      </c>
      <c r="K25" s="750" t="n">
        <f aca="false">OHJELMOINTINÄKYMÄ!K203/1000</f>
        <v>4.83</v>
      </c>
      <c r="L25" s="750" t="n">
        <f aca="false">OHJELMOINTINÄKYMÄ!L203/1000</f>
        <v>2.617</v>
      </c>
      <c r="M25" s="750" t="n">
        <f aca="false">OHJELMOINTINÄKYMÄ!M203/1000</f>
        <v>0.188606</v>
      </c>
      <c r="N25" s="750" t="n">
        <f aca="false">OHJELMOINTINÄKYMÄ!O203/1000</f>
        <v>0</v>
      </c>
      <c r="O25" s="750" t="n">
        <f aca="false">OHJELMOINTINÄKYMÄ!P203/1000</f>
        <v>0</v>
      </c>
      <c r="P25" s="750" t="n">
        <f aca="false">OHJELMOINTINÄKYMÄ!Q203/1000</f>
        <v>0</v>
      </c>
      <c r="Q25" s="750" t="n">
        <f aca="false">OHJELMOINTINÄKYMÄ!R203/1000</f>
        <v>0</v>
      </c>
      <c r="R25" s="750" t="n">
        <f aca="false">OHJELMOINTINÄKYMÄ!S203/1000</f>
        <v>0</v>
      </c>
      <c r="S25" s="750" t="n">
        <f aca="false">OHJELMOINTINÄKYMÄ!T203/1000</f>
        <v>0</v>
      </c>
    </row>
    <row r="26" customFormat="false" ht="15.75" hidden="false" customHeight="false" outlineLevel="0" collapsed="false">
      <c r="A26" s="93"/>
      <c r="B26" s="55" t="s">
        <v>367</v>
      </c>
      <c r="C26" s="750" t="n">
        <f aca="false">OHJELMOINTINÄKYMÄ!C210/1000</f>
        <v>17.9938776</v>
      </c>
      <c r="D26" s="750" t="n">
        <f aca="false">OHJELMOINTINÄKYMÄ!D210/1000</f>
        <v>13.062</v>
      </c>
      <c r="E26" s="750" t="n">
        <f aca="false">OHJELMOINTINÄKYMÄ!E210/1000</f>
        <v>5.273</v>
      </c>
      <c r="F26" s="750" t="n">
        <f aca="false">OHJELMOINTINÄKYMÄ!F210/1000</f>
        <v>4.739</v>
      </c>
      <c r="G26" s="750" t="n">
        <f aca="false">OHJELMOINTINÄKYMÄ!G210/1000</f>
        <v>3.845</v>
      </c>
      <c r="H26" s="713" t="n">
        <f aca="false">OHJELMOINTINÄKYMÄ!H210/1000</f>
        <v>2.795</v>
      </c>
      <c r="I26" s="750" t="n">
        <f aca="false">OHJELMOINTINÄKYMÄ!I210/1000</f>
        <v>6.024</v>
      </c>
      <c r="J26" s="750" t="n">
        <f aca="false">OHJELMOINTINÄKYMÄ!J210/1000</f>
        <v>22.12</v>
      </c>
      <c r="K26" s="750" t="n">
        <f aca="false">OHJELMOINTINÄKYMÄ!K210/1000</f>
        <v>13.27</v>
      </c>
      <c r="L26" s="750" t="n">
        <f aca="false">OHJELMOINTINÄKYMÄ!L210/1000</f>
        <v>16.92</v>
      </c>
      <c r="M26" s="750" t="n">
        <f aca="false">OHJELMOINTINÄKYMÄ!M210/1000</f>
        <v>22.806918</v>
      </c>
      <c r="N26" s="750" t="n">
        <f aca="false">OHJELMOINTINÄKYMÄ!O210/1000</f>
        <v>0</v>
      </c>
      <c r="O26" s="750" t="n">
        <f aca="false">OHJELMOINTINÄKYMÄ!P210/1000</f>
        <v>0</v>
      </c>
      <c r="P26" s="750" t="n">
        <f aca="false">OHJELMOINTINÄKYMÄ!Q210/1000</f>
        <v>0</v>
      </c>
      <c r="Q26" s="750" t="n">
        <f aca="false">OHJELMOINTINÄKYMÄ!R210/1000</f>
        <v>0</v>
      </c>
      <c r="R26" s="750" t="n">
        <f aca="false">OHJELMOINTINÄKYMÄ!S210/1000</f>
        <v>0</v>
      </c>
      <c r="S26" s="750" t="n">
        <f aca="false">OHJELMOINTINÄKYMÄ!T210/1000</f>
        <v>0</v>
      </c>
    </row>
    <row r="27" customFormat="false" ht="15.75" hidden="false" customHeight="false" outlineLevel="0" collapsed="false">
      <c r="A27" s="93"/>
      <c r="B27" s="55" t="s">
        <v>151</v>
      </c>
      <c r="C27" s="750" t="n">
        <f aca="false">OHJELMOINTINÄKYMÄ!C222/1000</f>
        <v>4.01028762</v>
      </c>
      <c r="D27" s="750" t="n">
        <f aca="false">OHJELMOINTINÄKYMÄ!D222/1000</f>
        <v>8.67249608</v>
      </c>
      <c r="E27" s="750" t="n">
        <f aca="false">OHJELMOINTINÄKYMÄ!E222/1000</f>
        <v>10.507</v>
      </c>
      <c r="F27" s="750" t="n">
        <f aca="false">OHJELMOINTINÄKYMÄ!F222/1000</f>
        <v>9.264</v>
      </c>
      <c r="G27" s="750" t="n">
        <f aca="false">OHJELMOINTINÄKYMÄ!G222/1000</f>
        <v>4.137</v>
      </c>
      <c r="H27" s="713" t="n">
        <f aca="false">OHJELMOINTINÄKYMÄ!H222/1000</f>
        <v>9.1</v>
      </c>
      <c r="I27" s="750" t="n">
        <f aca="false">OHJELMOINTINÄKYMÄ!I222/1000</f>
        <v>13.21</v>
      </c>
      <c r="J27" s="750" t="n">
        <f aca="false">OHJELMOINTINÄKYMÄ!J222/1000</f>
        <v>18.262</v>
      </c>
      <c r="K27" s="750" t="n">
        <f aca="false">OHJELMOINTINÄKYMÄ!K222/1000</f>
        <v>14.964</v>
      </c>
      <c r="L27" s="750" t="n">
        <f aca="false">OHJELMOINTINÄKYMÄ!L222/1000</f>
        <v>15.704</v>
      </c>
      <c r="M27" s="750" t="n">
        <f aca="false">OHJELMOINTINÄKYMÄ!M222/1000</f>
        <v>14.397551</v>
      </c>
      <c r="N27" s="750" t="n">
        <f aca="false">OHJELMOINTINÄKYMÄ!O222/1000</f>
        <v>0</v>
      </c>
      <c r="O27" s="750" t="n">
        <f aca="false">OHJELMOINTINÄKYMÄ!P222/1000</f>
        <v>0</v>
      </c>
      <c r="P27" s="750" t="n">
        <f aca="false">OHJELMOINTINÄKYMÄ!Q222/1000</f>
        <v>0</v>
      </c>
      <c r="Q27" s="750" t="n">
        <f aca="false">OHJELMOINTINÄKYMÄ!R222/1000</f>
        <v>0</v>
      </c>
      <c r="R27" s="750" t="n">
        <f aca="false">OHJELMOINTINÄKYMÄ!S222/1000</f>
        <v>0</v>
      </c>
      <c r="S27" s="750" t="n">
        <f aca="false">OHJELMOINTINÄKYMÄ!T222/1000</f>
        <v>0</v>
      </c>
    </row>
    <row r="28" customFormat="false" ht="15.75" hidden="false" customHeight="false" outlineLevel="0" collapsed="false">
      <c r="A28" s="93"/>
      <c r="B28" s="55" t="s">
        <v>166</v>
      </c>
      <c r="C28" s="750" t="n">
        <f aca="false">OHJELMOINTINÄKYMÄ!C238/1000</f>
        <v>1.20206205</v>
      </c>
      <c r="D28" s="750" t="n">
        <f aca="false">OHJELMOINTINÄKYMÄ!D238/1000</f>
        <v>0.88986322</v>
      </c>
      <c r="E28" s="750" t="n">
        <f aca="false">OHJELMOINTINÄKYMÄ!E238/1000</f>
        <v>1.126</v>
      </c>
      <c r="F28" s="750" t="n">
        <f aca="false">OHJELMOINTINÄKYMÄ!F238/1000</f>
        <v>4.344</v>
      </c>
      <c r="G28" s="750" t="n">
        <f aca="false">OHJELMOINTINÄKYMÄ!G238/1000</f>
        <v>5.343</v>
      </c>
      <c r="H28" s="713" t="n">
        <f aca="false">OHJELMOINTINÄKYMÄ!H238/1000</f>
        <v>5.524</v>
      </c>
      <c r="I28" s="750" t="n">
        <f aca="false">OHJELMOINTINÄKYMÄ!I238/1000</f>
        <v>7.246</v>
      </c>
      <c r="J28" s="750" t="n">
        <f aca="false">OHJELMOINTINÄKYMÄ!J238/1000</f>
        <v>6.588</v>
      </c>
      <c r="K28" s="750" t="n">
        <f aca="false">OHJELMOINTINÄKYMÄ!K238/1000</f>
        <v>6.162</v>
      </c>
      <c r="L28" s="750" t="n">
        <f aca="false">OHJELMOINTINÄKYMÄ!L238/1000</f>
        <v>2.91</v>
      </c>
      <c r="M28" s="750" t="n">
        <f aca="false">OHJELMOINTINÄKYMÄ!M238/1000</f>
        <v>7.898551</v>
      </c>
      <c r="N28" s="750" t="n">
        <f aca="false">OHJELMOINTINÄKYMÄ!O238/1000</f>
        <v>0</v>
      </c>
      <c r="O28" s="750" t="n">
        <f aca="false">OHJELMOINTINÄKYMÄ!P238/1000</f>
        <v>0</v>
      </c>
      <c r="P28" s="750" t="n">
        <f aca="false">OHJELMOINTINÄKYMÄ!Q238/1000</f>
        <v>0</v>
      </c>
      <c r="Q28" s="750" t="n">
        <f aca="false">OHJELMOINTINÄKYMÄ!R238/1000</f>
        <v>0</v>
      </c>
      <c r="R28" s="750" t="n">
        <f aca="false">OHJELMOINTINÄKYMÄ!S238/1000</f>
        <v>0</v>
      </c>
      <c r="S28" s="750" t="n">
        <f aca="false">OHJELMOINTINÄKYMÄ!T238/1000</f>
        <v>0</v>
      </c>
    </row>
    <row r="29" customFormat="false" ht="15.75" hidden="false" customHeight="false" outlineLevel="0" collapsed="false">
      <c r="A29" s="93"/>
      <c r="B29" s="55" t="s">
        <v>183</v>
      </c>
      <c r="C29" s="750" t="n">
        <f aca="false">OHJELMOINTINÄKYMÄ!C256/1000</f>
        <v>0.386</v>
      </c>
      <c r="D29" s="750" t="n">
        <f aca="false">OHJELMOINTINÄKYMÄ!D256/1000</f>
        <v>1.87257324</v>
      </c>
      <c r="E29" s="750" t="n">
        <f aca="false">OHJELMOINTINÄKYMÄ!E256/1000</f>
        <v>1.615</v>
      </c>
      <c r="F29" s="750" t="n">
        <f aca="false">OHJELMOINTINÄKYMÄ!F256/1000</f>
        <v>3.417</v>
      </c>
      <c r="G29" s="750" t="n">
        <f aca="false">OHJELMOINTINÄKYMÄ!G256/1000</f>
        <v>9.902</v>
      </c>
      <c r="H29" s="713" t="n">
        <f aca="false">OHJELMOINTINÄKYMÄ!H256/1000</f>
        <v>13.35</v>
      </c>
      <c r="I29" s="750" t="n">
        <f aca="false">OHJELMOINTINÄKYMÄ!I256/1000</f>
        <v>18.609</v>
      </c>
      <c r="J29" s="750" t="n">
        <f aca="false">OHJELMOINTINÄKYMÄ!J256/1000</f>
        <v>26.158</v>
      </c>
      <c r="K29" s="750" t="n">
        <f aca="false">OHJELMOINTINÄKYMÄ!K256/1000</f>
        <v>33.096</v>
      </c>
      <c r="L29" s="750" t="n">
        <f aca="false">OHJELMOINTINÄKYMÄ!L256/1000</f>
        <v>34.897</v>
      </c>
      <c r="M29" s="750" t="n">
        <f aca="false">OHJELMOINTINÄKYMÄ!M256/1000</f>
        <v>18.964599</v>
      </c>
      <c r="N29" s="750" t="n">
        <f aca="false">OHJELMOINTINÄKYMÄ!O256/1000</f>
        <v>0</v>
      </c>
      <c r="O29" s="750" t="n">
        <f aca="false">OHJELMOINTINÄKYMÄ!P256/1000</f>
        <v>0</v>
      </c>
      <c r="P29" s="750" t="n">
        <f aca="false">OHJELMOINTINÄKYMÄ!Q256/1000</f>
        <v>0</v>
      </c>
      <c r="Q29" s="750" t="n">
        <f aca="false">OHJELMOINTINÄKYMÄ!R256/1000</f>
        <v>0</v>
      </c>
      <c r="R29" s="750" t="n">
        <f aca="false">OHJELMOINTINÄKYMÄ!S256/1000</f>
        <v>0</v>
      </c>
      <c r="S29" s="750" t="n">
        <f aca="false">OHJELMOINTINÄKYMÄ!T256/1000</f>
        <v>0</v>
      </c>
    </row>
    <row r="30" customFormat="false" ht="15.75" hidden="false" customHeight="false" outlineLevel="0" collapsed="false">
      <c r="A30" s="93"/>
      <c r="B30" s="55" t="s">
        <v>199</v>
      </c>
      <c r="C30" s="750" t="n">
        <f aca="false">OHJELMOINTINÄKYMÄ!C257/1000</f>
        <v>0</v>
      </c>
      <c r="D30" s="750" t="n">
        <f aca="false">OHJELMOINTINÄKYMÄ!D257/1000</f>
        <v>0</v>
      </c>
      <c r="E30" s="750" t="n">
        <f aca="false">OHJELMOINTINÄKYMÄ!E273/1000</f>
        <v>0</v>
      </c>
      <c r="F30" s="750" t="n">
        <v>0</v>
      </c>
      <c r="G30" s="750" t="n">
        <f aca="false">OHJELMOINTINÄKYMÄ!G273/100000</f>
        <v>0.01777</v>
      </c>
      <c r="H30" s="713" t="n">
        <f aca="false">OHJELMOINTINÄKYMÄ!H273/1000</f>
        <v>2.651</v>
      </c>
      <c r="I30" s="750" t="n">
        <f aca="false">OHJELMOINTINÄKYMÄ!I273/1000</f>
        <v>4.113</v>
      </c>
      <c r="J30" s="750" t="n">
        <f aca="false">OHJELMOINTINÄKYMÄ!J273/1000</f>
        <v>3.101</v>
      </c>
      <c r="K30" s="750" t="n">
        <f aca="false">OHJELMOINTINÄKYMÄ!K273/1000</f>
        <v>2.227</v>
      </c>
      <c r="L30" s="750" t="n">
        <f aca="false">OHJELMOINTINÄKYMÄ!L273/1000</f>
        <v>5.913</v>
      </c>
      <c r="M30" s="750" t="n">
        <f aca="false">OHJELMOINTINÄKYMÄ!M273/1000</f>
        <v>3.835464</v>
      </c>
      <c r="N30" s="750" t="n">
        <f aca="false">OHJELMOINTINÄKYMÄ!O273/1000</f>
        <v>0</v>
      </c>
      <c r="O30" s="750" t="n">
        <f aca="false">OHJELMOINTINÄKYMÄ!P273/1000</f>
        <v>0</v>
      </c>
      <c r="P30" s="750" t="n">
        <f aca="false">OHJELMOINTINÄKYMÄ!Q273/1000</f>
        <v>0</v>
      </c>
      <c r="Q30" s="750" t="n">
        <f aca="false">OHJELMOINTINÄKYMÄ!R273/1000</f>
        <v>0</v>
      </c>
      <c r="R30" s="750" t="n">
        <f aca="false">OHJELMOINTINÄKYMÄ!S273/1000</f>
        <v>0</v>
      </c>
      <c r="S30" s="750" t="n">
        <f aca="false">OHJELMOINTINÄKYMÄ!T273/1000</f>
        <v>0</v>
      </c>
    </row>
    <row r="31" customFormat="false" ht="15" hidden="false" customHeight="false" outlineLevel="0" collapsed="false">
      <c r="B31" s="55" t="s">
        <v>205</v>
      </c>
      <c r="I31" s="750" t="n">
        <f aca="false">OHJELMOINTINÄKYMÄ!I280/1000</f>
        <v>0.689</v>
      </c>
      <c r="J31" s="750" t="n">
        <f aca="false">OHJELMOINTINÄKYMÄ!J280/1000</f>
        <v>2.038</v>
      </c>
      <c r="K31" s="750" t="n">
        <f aca="false">OHJELMOINTINÄKYMÄ!K280/1000</f>
        <v>3.093</v>
      </c>
      <c r="L31" s="750" t="e">
        <f aca="false">OHJELMOINTINÄKYMÄ!L274/1000</f>
        <v>#VALUE!</v>
      </c>
      <c r="M31" s="750" t="n">
        <f aca="false">OHJELMOINTINÄKYMÄ!M280/1000</f>
        <v>0.356282</v>
      </c>
      <c r="N31" s="750" t="n">
        <f aca="false">OHJELMOINTINÄKYMÄ!O280/1000</f>
        <v>0</v>
      </c>
      <c r="O31" s="750" t="n">
        <f aca="false">OHJELMOINTINÄKYMÄ!P280/1000</f>
        <v>0</v>
      </c>
      <c r="P31" s="750" t="n">
        <f aca="false">OHJELMOINTINÄKYMÄ!Q280/1000</f>
        <v>0</v>
      </c>
      <c r="Q31" s="750" t="n">
        <f aca="false">OHJELMOINTINÄKYMÄ!R280/1000</f>
        <v>0</v>
      </c>
      <c r="R31" s="750" t="n">
        <f aca="false">OHJELMOINTINÄKYMÄ!S280/1000</f>
        <v>0</v>
      </c>
      <c r="S31" s="750" t="n">
        <f aca="false">OHJELMOINTINÄKYMÄ!T280/1000</f>
        <v>0</v>
      </c>
    </row>
    <row r="32" customFormat="false" ht="15" hidden="false" customHeight="false" outlineLevel="0" collapsed="false">
      <c r="B32" s="55" t="s">
        <v>206</v>
      </c>
    </row>
    <row r="33" customFormat="false" ht="15" hidden="false" customHeight="false" outlineLevel="0" collapsed="false">
      <c r="B33" s="55" t="s">
        <v>301</v>
      </c>
      <c r="J33" s="750" t="e">
        <f aca="false">ohjelmointinäkymä!#REF!/1000</f>
        <v>#VALUE!</v>
      </c>
      <c r="K33" s="750" t="e">
        <f aca="false">ohjelmointinäkymä!#REF!/1000</f>
        <v>#VALUE!</v>
      </c>
      <c r="L33" s="750" t="e">
        <f aca="false">ohjelmointinäkymä!#REF!/1000</f>
        <v>#VALUE!</v>
      </c>
      <c r="M33" s="750" t="e">
        <f aca="false">ohjelmointinäkymä!#REF!/1000</f>
        <v>#VALUE!</v>
      </c>
      <c r="N33" s="750" t="e">
        <f aca="false">ohjelmointinäkymä!#REF!/1000</f>
        <v>#VALUE!</v>
      </c>
      <c r="O33" s="750" t="e">
        <f aca="false">ohjelmointinäkymä!#REF!/1000</f>
        <v>#VALUE!</v>
      </c>
      <c r="P33" s="750" t="e">
        <f aca="false">ohjelmointinäkymä!#REF!/1000</f>
        <v>#VALUE!</v>
      </c>
      <c r="Q33" s="750" t="e">
        <f aca="false">ohjelmointinäkymä!#REF!/1000</f>
        <v>#VALUE!</v>
      </c>
      <c r="R33" s="750" t="e">
        <f aca="false">ohjelmointinäkymä!#REF!/1000</f>
        <v>#VALUE!</v>
      </c>
      <c r="S33" s="750" t="e">
        <f aca="false">ohjelmointinäkymä!#REF!/1000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6" activeCellId="0" sqref="K6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48.71"/>
    <col collapsed="false" customWidth="true" hidden="true" outlineLevel="0" max="6" min="3" style="1" width="9.71"/>
    <col collapsed="false" customWidth="true" hidden="false" outlineLevel="0" max="9" min="7" style="1" width="9.71"/>
  </cols>
  <sheetData>
    <row r="1" customFormat="false" ht="15.75" hidden="false" customHeight="false" outlineLevel="0" collapsed="false">
      <c r="A1" s="7" t="s">
        <v>0</v>
      </c>
      <c r="B1" s="7"/>
      <c r="C1" s="7" t="n">
        <f aca="false">OHJELMOINTINÄKYMÄ!C1</f>
        <v>0</v>
      </c>
      <c r="D1" s="7"/>
      <c r="E1" s="7"/>
      <c r="F1" s="7"/>
      <c r="G1" s="3"/>
      <c r="H1" s="9"/>
      <c r="I1" s="9"/>
    </row>
    <row r="2" customFormat="false" ht="15.75" hidden="false" customHeight="false" outlineLevel="0" collapsed="false">
      <c r="A2" s="7" t="s">
        <v>451</v>
      </c>
      <c r="B2" s="7"/>
      <c r="C2" s="7"/>
      <c r="D2" s="7"/>
      <c r="E2" s="7"/>
      <c r="F2" s="7"/>
      <c r="G2" s="7"/>
      <c r="H2" s="7"/>
      <c r="I2" s="7"/>
    </row>
    <row r="3" customFormat="false" ht="15.75" hidden="false" customHeight="false" outlineLevel="0" collapsed="false">
      <c r="A3" s="7" t="s">
        <v>452</v>
      </c>
      <c r="B3" s="7"/>
      <c r="C3" s="15" t="str">
        <f aca="false">OHJELMOINTINÄKYMÄ!C3</f>
        <v> </v>
      </c>
      <c r="D3" s="15"/>
      <c r="E3" s="7"/>
      <c r="F3" s="7"/>
      <c r="G3" s="3"/>
      <c r="H3" s="17"/>
      <c r="I3" s="16"/>
    </row>
    <row r="4" customFormat="false" ht="15.75" hidden="false" customHeight="false" outlineLevel="0" collapsed="false">
      <c r="A4" s="23"/>
      <c r="B4" s="23"/>
      <c r="C4" s="23"/>
      <c r="D4" s="23"/>
      <c r="E4" s="23"/>
      <c r="F4" s="23"/>
      <c r="G4" s="681"/>
      <c r="H4" s="682"/>
      <c r="I4" s="682"/>
    </row>
    <row r="5" customFormat="false" ht="33.75" hidden="false" customHeight="false" outlineLevel="0" collapsed="false">
      <c r="A5" s="683" t="s">
        <v>499</v>
      </c>
      <c r="B5" s="23"/>
      <c r="C5" s="23"/>
      <c r="D5" s="23"/>
      <c r="E5" s="23"/>
      <c r="F5" s="23"/>
      <c r="G5" s="23"/>
      <c r="H5" s="682"/>
      <c r="I5" s="8"/>
      <c r="J5" s="899" t="s">
        <v>500</v>
      </c>
      <c r="K5" s="899"/>
      <c r="L5" s="899"/>
    </row>
    <row r="6" customFormat="false" ht="15.75" hidden="false" customHeight="false" outlineLevel="0" collapsed="false">
      <c r="A6" s="566" t="s">
        <v>501</v>
      </c>
      <c r="B6" s="686"/>
      <c r="C6" s="23"/>
      <c r="D6" s="23"/>
      <c r="E6" s="23"/>
      <c r="F6" s="23"/>
      <c r="G6" s="23"/>
      <c r="H6" s="23"/>
      <c r="I6" s="682"/>
    </row>
    <row r="7" customFormat="false" ht="15.75" hidden="false" customHeight="false" outlineLevel="0" collapsed="false">
      <c r="A7" s="566"/>
      <c r="B7" s="7"/>
      <c r="C7" s="23"/>
      <c r="D7" s="23"/>
      <c r="E7" s="23"/>
      <c r="F7" s="23"/>
      <c r="G7" s="23"/>
      <c r="H7" s="23"/>
      <c r="I7" s="682"/>
    </row>
    <row r="8" customFormat="false" ht="15.75" hidden="false" customHeight="false" outlineLevel="0" collapsed="false">
      <c r="A8" s="25" t="s">
        <v>6</v>
      </c>
      <c r="B8" s="26"/>
      <c r="C8" s="689" t="s">
        <v>7</v>
      </c>
      <c r="D8" s="29" t="s">
        <v>7</v>
      </c>
      <c r="E8" s="689" t="s">
        <v>7</v>
      </c>
      <c r="F8" s="690" t="s">
        <v>423</v>
      </c>
      <c r="G8" s="689" t="s">
        <v>7</v>
      </c>
      <c r="H8" s="689" t="s">
        <v>7</v>
      </c>
      <c r="I8" s="689" t="s">
        <v>8</v>
      </c>
      <c r="J8" s="689" t="s">
        <v>10</v>
      </c>
      <c r="K8" s="689" t="s">
        <v>10</v>
      </c>
      <c r="L8" s="689" t="s">
        <v>10</v>
      </c>
      <c r="M8" s="689" t="s">
        <v>424</v>
      </c>
      <c r="N8" s="689" t="s">
        <v>424</v>
      </c>
      <c r="O8" s="689" t="s">
        <v>424</v>
      </c>
      <c r="P8" s="689" t="s">
        <v>424</v>
      </c>
      <c r="Q8" s="689" t="s">
        <v>424</v>
      </c>
      <c r="R8" s="689" t="s">
        <v>424</v>
      </c>
      <c r="S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n">
        <f aca="false">OHJELMOINTINÄKYMÄ!C7</f>
        <v>2010</v>
      </c>
      <c r="D9" s="693" t="n">
        <f aca="false">OHJELMOINTINÄKYMÄ!D7</f>
        <v>2011</v>
      </c>
      <c r="E9" s="693" t="n">
        <f aca="false">OHJELMOINTINÄKYMÄ!E7</f>
        <v>2012</v>
      </c>
      <c r="F9" s="693" t="n">
        <f aca="false">OHJELMOINTINÄKYMÄ!F7</f>
        <v>2013</v>
      </c>
      <c r="G9" s="693" t="n">
        <f aca="false">OHJELMOINTINÄKYMÄ!G7</f>
        <v>2014</v>
      </c>
      <c r="H9" s="693" t="n">
        <f aca="false">OHJELMOINTINÄKYMÄ!H7</f>
        <v>2015</v>
      </c>
      <c r="I9" s="693" t="n">
        <f aca="false">OHJELMOINTINÄKYMÄ!I7</f>
        <v>2016</v>
      </c>
      <c r="J9" s="693" t="n">
        <f aca="false">OHJELMOINTINÄKYMÄ!J7</f>
        <v>2017</v>
      </c>
      <c r="K9" s="693" t="n">
        <f aca="false">OHJELMOINTINÄKYMÄ!K7</f>
        <v>2018</v>
      </c>
      <c r="L9" s="693" t="n">
        <f aca="false">OHJELMOINTINÄKYMÄ!L7</f>
        <v>2019</v>
      </c>
      <c r="M9" s="693" t="n">
        <f aca="false">OHJELMOINTINÄKYMÄ!M7</f>
        <v>2020</v>
      </c>
      <c r="N9" s="693" t="n">
        <f aca="false">OHJELMOINTINÄKYMÄ!O7</f>
        <v>2022</v>
      </c>
      <c r="O9" s="693" t="n">
        <f aca="false">OHJELMOINTINÄKYMÄ!P7</f>
        <v>2023</v>
      </c>
      <c r="P9" s="693" t="n">
        <f aca="false">OHJELMOINTINÄKYMÄ!Q7</f>
        <v>2024</v>
      </c>
      <c r="Q9" s="693" t="n">
        <f aca="false">OHJELMOINTINÄKYMÄ!R7</f>
        <v>2025</v>
      </c>
      <c r="R9" s="693" t="n">
        <f aca="false">OHJELMOINTINÄKYMÄ!S7</f>
        <v>2026</v>
      </c>
      <c r="S9" s="693" t="n">
        <f aca="false">OHJELMOINTINÄKYMÄ!T7</f>
        <v>2027</v>
      </c>
    </row>
    <row r="10" customFormat="false" ht="15" hidden="false" customHeight="false" outlineLevel="0" collapsed="false">
      <c r="A10" s="45"/>
      <c r="B10" s="46"/>
      <c r="C10" s="47" t="s">
        <v>427</v>
      </c>
      <c r="D10" s="47" t="s">
        <v>427</v>
      </c>
      <c r="E10" s="47" t="s">
        <v>427</v>
      </c>
      <c r="F10" s="47" t="s">
        <v>427</v>
      </c>
      <c r="G10" s="47" t="s">
        <v>427</v>
      </c>
      <c r="H10" s="47" t="s">
        <v>427</v>
      </c>
      <c r="I10" s="698" t="s">
        <v>427</v>
      </c>
      <c r="J10" s="698" t="s">
        <v>427</v>
      </c>
      <c r="K10" s="698" t="s">
        <v>427</v>
      </c>
      <c r="L10" s="698" t="s">
        <v>427</v>
      </c>
      <c r="M10" s="698" t="s">
        <v>427</v>
      </c>
      <c r="N10" s="698" t="s">
        <v>427</v>
      </c>
      <c r="O10" s="698" t="s">
        <v>427</v>
      </c>
      <c r="P10" s="698" t="s">
        <v>427</v>
      </c>
      <c r="Q10" s="698" t="s">
        <v>427</v>
      </c>
      <c r="R10" s="698" t="s">
        <v>427</v>
      </c>
      <c r="S10" s="698" t="s">
        <v>427</v>
      </c>
    </row>
    <row r="11" customFormat="false" ht="15" hidden="false" customHeight="false" outlineLevel="0" collapsed="false">
      <c r="A11" s="54"/>
      <c r="B11" s="55"/>
      <c r="C11" s="706"/>
      <c r="D11" s="705"/>
      <c r="E11" s="707"/>
      <c r="F11" s="704"/>
      <c r="G11" s="704"/>
      <c r="H11" s="704"/>
      <c r="I11" s="704"/>
      <c r="J11" s="704"/>
      <c r="K11" s="704"/>
      <c r="L11" s="704"/>
      <c r="M11" s="704"/>
      <c r="N11" s="704"/>
      <c r="O11" s="704"/>
      <c r="P11" s="704"/>
      <c r="Q11" s="704"/>
      <c r="R11" s="704"/>
      <c r="S11" s="704"/>
    </row>
    <row r="12" customFormat="false" ht="15.75" hidden="false" customHeight="false" outlineLevel="0" collapsed="false">
      <c r="A12" s="739" t="s">
        <v>502</v>
      </c>
      <c r="B12" s="37" t="s">
        <v>64</v>
      </c>
      <c r="C12" s="713" t="n">
        <f aca="false">OHJELMOINTINÄKYMÄ!C325/1000</f>
        <v>8.443313</v>
      </c>
      <c r="D12" s="713" t="n">
        <f aca="false">OHJELMOINTINÄKYMÄ!D325/1000</f>
        <v>4.549549</v>
      </c>
      <c r="E12" s="713" t="n">
        <f aca="false">OHJELMOINTINÄKYMÄ!E325/1000</f>
        <v>1.546</v>
      </c>
      <c r="F12" s="713" t="e">
        <f aca="false">OHJELMOINTINÄKYMÄ!F325/1000+0.5*ohjelmointinäkymä!#REF!/1000</f>
        <v>#VALUE!</v>
      </c>
      <c r="G12" s="713" t="n">
        <f aca="false">OHJELMOINTINÄKYMÄ!G325/1000+OHJELMOINTINÄKYMÄ!G326/1000</f>
        <v>6.572</v>
      </c>
      <c r="H12" s="713" t="n">
        <f aca="false">OHJELMOINTINÄKYMÄ!H325/1000</f>
        <v>1.51</v>
      </c>
      <c r="I12" s="713" t="n">
        <f aca="false">OHJELMOINTINÄKYMÄ!I325/1000</f>
        <v>2.324</v>
      </c>
      <c r="J12" s="713" t="n">
        <f aca="false">OHJELMOINTINÄKYMÄ!J325/1000</f>
        <v>2.59381838</v>
      </c>
      <c r="K12" s="713" t="n">
        <f aca="false">OHJELMOINTINÄKYMÄ!K325/1000</f>
        <v>3.12372997</v>
      </c>
      <c r="L12" s="713" t="n">
        <f aca="false">OHJELMOINTINÄKYMÄ!L325/1000</f>
        <v>0</v>
      </c>
      <c r="M12" s="713" t="n">
        <f aca="false">OHJELMOINTINÄKYMÄ!M325/1000</f>
        <v>8.07609164</v>
      </c>
      <c r="N12" s="713" t="n">
        <f aca="false">OHJELMOINTINÄKYMÄ!O325/1000</f>
        <v>0</v>
      </c>
      <c r="O12" s="713" t="n">
        <f aca="false">OHJELMOINTINÄKYMÄ!P325/1000</f>
        <v>2.5</v>
      </c>
      <c r="P12" s="713" t="n">
        <f aca="false">OHJELMOINTINÄKYMÄ!Q325/1000</f>
        <v>5.9</v>
      </c>
      <c r="Q12" s="713" t="n">
        <f aca="false">OHJELMOINTINÄKYMÄ!R325/1000</f>
        <v>4.9</v>
      </c>
      <c r="R12" s="713" t="n">
        <f aca="false">OHJELMOINTINÄKYMÄ!S325/1000</f>
        <v>4.9</v>
      </c>
      <c r="S12" s="713" t="n">
        <f aca="false">OHJELMOINTINÄKYMÄ!T325/1000</f>
        <v>4.1</v>
      </c>
    </row>
    <row r="13" customFormat="false" ht="15.75" hidden="false" customHeight="false" outlineLevel="0" collapsed="false">
      <c r="A13" s="739"/>
      <c r="B13" s="37" t="s">
        <v>503</v>
      </c>
      <c r="C13" s="713" t="n">
        <f aca="false">OHJELMOINTINÄKYMÄ!C337/1000</f>
        <v>3.345612</v>
      </c>
      <c r="D13" s="713" t="n">
        <f aca="false">OHJELMOINTINÄKYMÄ!D337/1000</f>
        <v>0.640684</v>
      </c>
      <c r="E13" s="713" t="n">
        <f aca="false">OHJELMOINTINÄKYMÄ!E337/1000</f>
        <v>0.892</v>
      </c>
      <c r="F13" s="713" t="e">
        <f aca="false">OHJELMOINTINÄKYMÄ!F337/1000+0.5*ohjelmointinäkymä!#REF!/1000</f>
        <v>#VALUE!</v>
      </c>
      <c r="G13" s="713" t="n">
        <f aca="false">OHJELMOINTINÄKYMÄ!G337/1000+OHJELMOINTINÄKYMÄ!G338/1000</f>
        <v>6.669</v>
      </c>
      <c r="H13" s="713" t="n">
        <f aca="false">OHJELMOINTINÄKYMÄ!H337/1000</f>
        <v>1.794</v>
      </c>
      <c r="I13" s="713" t="n">
        <f aca="false">OHJELMOINTINÄKYMÄ!I337/1000</f>
        <v>2.016</v>
      </c>
      <c r="J13" s="713" t="n">
        <f aca="false">OHJELMOINTINÄKYMÄ!J337/1000</f>
        <v>2.35518162</v>
      </c>
      <c r="K13" s="713" t="n">
        <f aca="false">OHJELMOINTINÄKYMÄ!K337/1000</f>
        <v>3.39286154</v>
      </c>
      <c r="L13" s="713" t="n">
        <f aca="false">OHJELMOINTINÄKYMÄ!L337/1000</f>
        <v>0.192</v>
      </c>
      <c r="M13" s="713" t="n">
        <f aca="false">OHJELMOINTINÄKYMÄ!M337/1000</f>
        <v>10.8114646</v>
      </c>
      <c r="N13" s="713" t="n">
        <f aca="false">OHJELMOINTINÄKYMÄ!O337/1000</f>
        <v>0</v>
      </c>
      <c r="O13" s="713" t="n">
        <f aca="false">OHJELMOINTINÄKYMÄ!P337/1000</f>
        <v>3.7</v>
      </c>
      <c r="P13" s="713" t="n">
        <f aca="false">OHJELMOINTINÄKYMÄ!Q337/1000</f>
        <v>7.1</v>
      </c>
      <c r="Q13" s="713" t="n">
        <f aca="false">OHJELMOINTINÄKYMÄ!R337/1000</f>
        <v>8.1</v>
      </c>
      <c r="R13" s="713" t="n">
        <f aca="false">OHJELMOINTINÄKYMÄ!S337/1000</f>
        <v>7.5</v>
      </c>
      <c r="S13" s="713" t="n">
        <f aca="false">OHJELMOINTINÄKYMÄ!T337/1000</f>
        <v>5.7</v>
      </c>
    </row>
    <row r="14" customFormat="false" ht="15.75" hidden="false" customHeight="false" outlineLevel="0" collapsed="false">
      <c r="A14" s="38" t="s">
        <v>504</v>
      </c>
      <c r="B14" s="37" t="s">
        <v>365</v>
      </c>
      <c r="C14" s="713" t="n">
        <f aca="false">OHJELMOINTINÄKYMÄ!C369/1000</f>
        <v>0.451</v>
      </c>
      <c r="D14" s="713" t="n">
        <f aca="false">OHJELMOINTINÄKYMÄ!D369/1000</f>
        <v>1.521</v>
      </c>
      <c r="E14" s="713" t="n">
        <f aca="false">OHJELMOINTINÄKYMÄ!E369/1000</f>
        <v>1.502</v>
      </c>
      <c r="F14" s="713" t="e">
        <f aca="false">OHJELMOINTINÄKYMÄ!F369/1000+OHJELMOINTINÄKYMÄ!F370/1000</f>
        <v>#VALUE!</v>
      </c>
      <c r="G14" s="713" t="n">
        <f aca="false">OHJELMOINTINÄKYMÄ!G369/1000</f>
        <v>0.567</v>
      </c>
      <c r="H14" s="713" t="n">
        <f aca="false">OHJELMOINTINÄKYMÄ!H369/1000</f>
        <v>5.398</v>
      </c>
      <c r="I14" s="713" t="n">
        <f aca="false">OHJELMOINTINÄKYMÄ!I369/1000</f>
        <v>0.457</v>
      </c>
      <c r="J14" s="713" t="n">
        <f aca="false">OHJELMOINTINÄKYMÄ!J369/1000</f>
        <v>0.25</v>
      </c>
      <c r="K14" s="713" t="n">
        <f aca="false">OHJELMOINTINÄKYMÄ!K369/1000</f>
        <v>5</v>
      </c>
      <c r="L14" s="713" t="n">
        <f aca="false">OHJELMOINTINÄKYMÄ!L369/1000</f>
        <v>2.496</v>
      </c>
      <c r="M14" s="713" t="n">
        <f aca="false">OHJELMOINTINÄKYMÄ!M369/1000</f>
        <v>0.19915</v>
      </c>
      <c r="N14" s="713" t="n">
        <f aca="false">OHJELMOINTINÄKYMÄ!O369/1000</f>
        <v>0</v>
      </c>
      <c r="O14" s="713" t="n">
        <f aca="false">OHJELMOINTINÄKYMÄ!P369/1000</f>
        <v>0</v>
      </c>
      <c r="P14" s="713" t="n">
        <f aca="false">OHJELMOINTINÄKYMÄ!Q369/1000</f>
        <v>0</v>
      </c>
      <c r="Q14" s="713" t="n">
        <f aca="false">OHJELMOINTINÄKYMÄ!R369/1000</f>
        <v>0</v>
      </c>
      <c r="R14" s="713" t="n">
        <f aca="false">OHJELMOINTINÄKYMÄ!S369/1000</f>
        <v>0</v>
      </c>
      <c r="S14" s="713" t="n">
        <f aca="false">OHJELMOINTINÄKYMÄ!T369/1000</f>
        <v>0</v>
      </c>
    </row>
    <row r="15" customFormat="false" ht="15.75" hidden="false" customHeight="false" outlineLevel="0" collapsed="false">
      <c r="A15" s="38" t="s">
        <v>505</v>
      </c>
      <c r="B15" s="37" t="s">
        <v>367</v>
      </c>
      <c r="C15" s="713" t="n">
        <f aca="false">OHJELMOINTINÄKYMÄ!C375/1000</f>
        <v>0.04999993</v>
      </c>
      <c r="D15" s="713" t="n">
        <f aca="false">OHJELMOINTINÄKYMÄ!D375/1000</f>
        <v>0.70016676</v>
      </c>
      <c r="E15" s="713" t="n">
        <f aca="false">OHJELMOINTINÄKYMÄ!E375/1000</f>
        <v>1.009</v>
      </c>
      <c r="F15" s="713" t="e">
        <f aca="false">OHJELMOINTINÄKYMÄ!F375/1000+OHJELMOINTINÄKYMÄ!F376/1000</f>
        <v>#VALUE!</v>
      </c>
      <c r="G15" s="713" t="n">
        <f aca="false">OHJELMOINTINÄKYMÄ!G375/1000</f>
        <v>1.126</v>
      </c>
      <c r="H15" s="713" t="n">
        <f aca="false">OHJELMOINTINÄKYMÄ!H375/1000</f>
        <v>0.349</v>
      </c>
      <c r="I15" s="713" t="n">
        <f aca="false">OHJELMOINTINÄKYMÄ!I375/1000</f>
        <v>1.582</v>
      </c>
      <c r="J15" s="713" t="n">
        <f aca="false">OHJELMOINTINÄKYMÄ!J375/1000</f>
        <v>1.355</v>
      </c>
      <c r="K15" s="713" t="n">
        <f aca="false">OHJELMOINTINÄKYMÄ!K375/1000</f>
        <v>2.879</v>
      </c>
      <c r="L15" s="713" t="n">
        <f aca="false">OHJELMOINTINÄKYMÄ!L375/1000</f>
        <v>6.441</v>
      </c>
      <c r="M15" s="713" t="n">
        <f aca="false">OHJELMOINTINÄKYMÄ!M375/1000</f>
        <v>4.14605</v>
      </c>
      <c r="N15" s="713" t="n">
        <f aca="false">OHJELMOINTINÄKYMÄ!O375/1000</f>
        <v>0</v>
      </c>
      <c r="O15" s="713" t="n">
        <f aca="false">OHJELMOINTINÄKYMÄ!P375/1000</f>
        <v>0</v>
      </c>
      <c r="P15" s="713" t="n">
        <f aca="false">OHJELMOINTINÄKYMÄ!Q375/1000</f>
        <v>0</v>
      </c>
      <c r="Q15" s="713" t="n">
        <f aca="false">OHJELMOINTINÄKYMÄ!R375/1000</f>
        <v>0</v>
      </c>
      <c r="R15" s="713" t="n">
        <f aca="false">OHJELMOINTINÄKYMÄ!S375/1000</f>
        <v>0</v>
      </c>
      <c r="S15" s="713" t="n">
        <f aca="false">OHJELMOINTINÄKYMÄ!T375/1000</f>
        <v>0</v>
      </c>
    </row>
    <row r="16" customFormat="false" ht="15.75" hidden="false" customHeight="false" outlineLevel="0" collapsed="false">
      <c r="A16" s="38" t="s">
        <v>506</v>
      </c>
      <c r="B16" s="37" t="s">
        <v>507</v>
      </c>
      <c r="C16" s="713" t="n">
        <f aca="false">OHJELMOINTINÄKYMÄ!C381/1000</f>
        <v>0</v>
      </c>
      <c r="D16" s="713" t="n">
        <f aca="false">OHJELMOINTINÄKYMÄ!D381/1000</f>
        <v>0</v>
      </c>
      <c r="E16" s="713" t="n">
        <f aca="false">OHJELMOINTINÄKYMÄ!E381/1000</f>
        <v>0</v>
      </c>
      <c r="F16" s="713" t="e">
        <f aca="false">OHJELMOINTINÄKYMÄ!F381/1000+OHJELMOINTINÄKYMÄ!F382/1000</f>
        <v>#VALUE!</v>
      </c>
      <c r="G16" s="713" t="n">
        <f aca="false">OHJELMOINTINÄKYMÄ!G381/1000</f>
        <v>0.104</v>
      </c>
      <c r="H16" s="713" t="n">
        <f aca="false">OHJELMOINTINÄKYMÄ!H381/1000</f>
        <v>0.418</v>
      </c>
      <c r="I16" s="713" t="n">
        <f aca="false">OHJELMOINTINÄKYMÄ!I381/1000</f>
        <v>1.368</v>
      </c>
      <c r="J16" s="713" t="n">
        <f aca="false">OHJELMOINTINÄKYMÄ!J381/1000</f>
        <v>1.088</v>
      </c>
      <c r="K16" s="713" t="n">
        <f aca="false">OHJELMOINTINÄKYMÄ!K381/1000</f>
        <v>0.422</v>
      </c>
      <c r="L16" s="713" t="n">
        <f aca="false">OHJELMOINTINÄKYMÄ!L381/1000</f>
        <v>1.293</v>
      </c>
      <c r="M16" s="713" t="n">
        <f aca="false">OHJELMOINTINÄKYMÄ!M381/1000</f>
        <v>1.58283</v>
      </c>
      <c r="N16" s="713" t="n">
        <f aca="false">OHJELMOINTINÄKYMÄ!O381/1000</f>
        <v>0</v>
      </c>
      <c r="O16" s="713" t="n">
        <f aca="false">OHJELMOINTINÄKYMÄ!P381/1000</f>
        <v>0</v>
      </c>
      <c r="P16" s="713" t="n">
        <f aca="false">OHJELMOINTINÄKYMÄ!Q381/1000</f>
        <v>0</v>
      </c>
      <c r="Q16" s="713" t="n">
        <f aca="false">OHJELMOINTINÄKYMÄ!R381/1000</f>
        <v>0</v>
      </c>
      <c r="R16" s="713" t="n">
        <f aca="false">OHJELMOINTINÄKYMÄ!S381/1000</f>
        <v>0</v>
      </c>
      <c r="S16" s="713" t="n">
        <f aca="false">OHJELMOINTINÄKYMÄ!T381/1000</f>
        <v>0</v>
      </c>
    </row>
    <row r="17" customFormat="false" ht="15.75" hidden="false" customHeight="false" outlineLevel="0" collapsed="false">
      <c r="A17" s="38" t="s">
        <v>508</v>
      </c>
      <c r="B17" s="37" t="s">
        <v>166</v>
      </c>
      <c r="C17" s="713" t="n">
        <f aca="false">OHJELMOINTINÄKYMÄ!C384/1000</f>
        <v>0</v>
      </c>
      <c r="D17" s="713" t="n">
        <f aca="false">OHJELMOINTINÄKYMÄ!D384/1000</f>
        <v>0</v>
      </c>
      <c r="E17" s="713" t="n">
        <f aca="false">OHJELMOINTINÄKYMÄ!E384/1000</f>
        <v>0</v>
      </c>
      <c r="F17" s="713" t="e">
        <f aca="false">OHJELMOINTINÄKYMÄ!F384/1000+OHJELMOINTINÄKYMÄ!F385/1000</f>
        <v>#VALUE!</v>
      </c>
      <c r="G17" s="713" t="n">
        <f aca="false">OHJELMOINTINÄKYMÄ!G384/1000</f>
        <v>0</v>
      </c>
      <c r="H17" s="713" t="n">
        <f aca="false">OHJELMOINTINÄKYMÄ!H384/1000</f>
        <v>0</v>
      </c>
      <c r="I17" s="713" t="n">
        <f aca="false">OHJELMOINTINÄKYMÄ!I384/1000</f>
        <v>0</v>
      </c>
      <c r="J17" s="713" t="n">
        <f aca="false">OHJELMOINTINÄKYMÄ!J384/1000</f>
        <v>0.12</v>
      </c>
      <c r="K17" s="713" t="n">
        <f aca="false">OHJELMOINTINÄKYMÄ!K384/1000</f>
        <v>0.268</v>
      </c>
      <c r="L17" s="713" t="n">
        <f aca="false">OHJELMOINTINÄKYMÄ!L384/1000</f>
        <v>0.471</v>
      </c>
      <c r="M17" s="713" t="n">
        <f aca="false">OHJELMOINTINÄKYMÄ!M384/1000</f>
        <v>1.036373</v>
      </c>
      <c r="N17" s="713" t="n">
        <f aca="false">OHJELMOINTINÄKYMÄ!O384/1000</f>
        <v>0</v>
      </c>
      <c r="O17" s="713" t="n">
        <f aca="false">OHJELMOINTINÄKYMÄ!P384/1000</f>
        <v>0</v>
      </c>
      <c r="P17" s="713" t="n">
        <f aca="false">OHJELMOINTINÄKYMÄ!Q384/1000</f>
        <v>0</v>
      </c>
      <c r="Q17" s="713" t="n">
        <f aca="false">OHJELMOINTINÄKYMÄ!R384/1000</f>
        <v>0</v>
      </c>
      <c r="R17" s="713" t="n">
        <f aca="false">OHJELMOINTINÄKYMÄ!S384/1000</f>
        <v>0</v>
      </c>
      <c r="S17" s="713" t="n">
        <f aca="false">OHJELMOINTINÄKYMÄ!T384/1000</f>
        <v>0</v>
      </c>
    </row>
    <row r="18" customFormat="false" ht="15.75" hidden="false" customHeight="false" outlineLevel="0" collapsed="false">
      <c r="A18" s="38" t="s">
        <v>509</v>
      </c>
      <c r="B18" s="37" t="s">
        <v>183</v>
      </c>
      <c r="C18" s="713" t="n">
        <f aca="false">OHJELMOINTINÄKYMÄ!C385/1000</f>
        <v>0</v>
      </c>
      <c r="D18" s="713" t="n">
        <f aca="false">OHJELMOINTINÄKYMÄ!D385/1000</f>
        <v>0</v>
      </c>
      <c r="E18" s="713" t="n">
        <f aca="false">OHJELMOINTINÄKYMÄ!E385/1000</f>
        <v>0</v>
      </c>
      <c r="F18" s="713" t="e">
        <f aca="false">OHJELMOINTINÄKYMÄ!F385/1000+OHJELMOINTINÄKYMÄ!F387/1000</f>
        <v>#VALUE!</v>
      </c>
      <c r="G18" s="713" t="n">
        <f aca="false">OHJELMOINTINÄKYMÄ!G387/1000</f>
        <v>0</v>
      </c>
      <c r="H18" s="713" t="n">
        <f aca="false">OHJELMOINTINÄKYMÄ!H387/1000</f>
        <v>0</v>
      </c>
      <c r="I18" s="713" t="n">
        <f aca="false">OHJELMOINTINÄKYMÄ!I387/1000</f>
        <v>0.095</v>
      </c>
      <c r="J18" s="713" t="n">
        <f aca="false">OHJELMOINTINÄKYMÄ!J387/1000</f>
        <v>0.195</v>
      </c>
      <c r="K18" s="713" t="n">
        <f aca="false">OHJELMOINTINÄKYMÄ!K387/1000</f>
        <v>0.896</v>
      </c>
      <c r="L18" s="713" t="n">
        <f aca="false">OHJELMOINTINÄKYMÄ!L387/1000</f>
        <v>0.051</v>
      </c>
      <c r="M18" s="713" t="n">
        <f aca="false">OHJELMOINTINÄKYMÄ!M387/1000</f>
        <v>0.114308</v>
      </c>
      <c r="N18" s="713" t="n">
        <f aca="false">OHJELMOINTINÄKYMÄ!O387/1000</f>
        <v>0</v>
      </c>
      <c r="O18" s="713" t="n">
        <f aca="false">OHJELMOINTINÄKYMÄ!P387/1000</f>
        <v>0</v>
      </c>
      <c r="P18" s="713" t="n">
        <f aca="false">OHJELMOINTINÄKYMÄ!Q387/1000</f>
        <v>0</v>
      </c>
      <c r="Q18" s="713" t="n">
        <f aca="false">OHJELMOINTINÄKYMÄ!R387/1000</f>
        <v>0</v>
      </c>
      <c r="R18" s="713" t="n">
        <f aca="false">OHJELMOINTINÄKYMÄ!S387/1000</f>
        <v>0</v>
      </c>
      <c r="S18" s="713" t="n">
        <f aca="false">OHJELMOINTINÄKYMÄ!T387/1000</f>
        <v>0</v>
      </c>
    </row>
    <row r="19" customFormat="false" ht="15.75" hidden="false" customHeight="false" outlineLevel="0" collapsed="false">
      <c r="A19" s="38" t="s">
        <v>510</v>
      </c>
      <c r="B19" s="37" t="s">
        <v>511</v>
      </c>
      <c r="C19" s="713" t="n">
        <f aca="false">OHJELMOINTINÄKYMÄ!C386/1000</f>
        <v>0</v>
      </c>
      <c r="D19" s="713" t="n">
        <f aca="false">OHJELMOINTINÄKYMÄ!D386/1000</f>
        <v>0</v>
      </c>
      <c r="E19" s="713" t="n">
        <f aca="false">OHJELMOINTINÄKYMÄ!E386/1000</f>
        <v>0</v>
      </c>
      <c r="F19" s="713" t="n">
        <f aca="false">OHJELMOINTINÄKYMÄ!F386/1000+OHJELMOINTINÄKYMÄ!F389/1000</f>
        <v>0</v>
      </c>
      <c r="G19" s="713" t="n">
        <f aca="false">OHJELMOINTINÄKYMÄ!G390/1000</f>
        <v>0</v>
      </c>
      <c r="H19" s="713" t="n">
        <f aca="false">OHJELMOINTINÄKYMÄ!H390/1000</f>
        <v>0.059</v>
      </c>
      <c r="I19" s="713" t="n">
        <f aca="false">OHJELMOINTINÄKYMÄ!I390/1000</f>
        <v>0.328</v>
      </c>
      <c r="J19" s="713" t="n">
        <f aca="false">OHJELMOINTINÄKYMÄ!J390/1000</f>
        <v>0.742</v>
      </c>
      <c r="K19" s="713" t="n">
        <f aca="false">OHJELMOINTINÄKYMÄ!K390/1000</f>
        <v>0.23</v>
      </c>
      <c r="L19" s="713" t="n">
        <f aca="false">OHJELMOINTINÄKYMÄ!L390/1000</f>
        <v>0.706</v>
      </c>
      <c r="M19" s="713" t="n">
        <f aca="false">OHJELMOINTINÄKYMÄ!M390/1000</f>
        <v>1.688293</v>
      </c>
      <c r="N19" s="713" t="n">
        <f aca="false">OHJELMOINTINÄKYMÄ!O390/1000</f>
        <v>0</v>
      </c>
      <c r="O19" s="713" t="n">
        <f aca="false">OHJELMOINTINÄKYMÄ!P390/1000</f>
        <v>0</v>
      </c>
      <c r="P19" s="713" t="n">
        <f aca="false">OHJELMOINTINÄKYMÄ!Q390/1000</f>
        <v>0</v>
      </c>
      <c r="Q19" s="713" t="n">
        <f aca="false">OHJELMOINTINÄKYMÄ!R390/1000</f>
        <v>0</v>
      </c>
      <c r="R19" s="713" t="n">
        <f aca="false">OHJELMOINTINÄKYMÄ!S390/1000</f>
        <v>0</v>
      </c>
      <c r="S19" s="713" t="n">
        <f aca="false">OHJELMOINTINÄKYMÄ!T390/1000</f>
        <v>0</v>
      </c>
    </row>
    <row r="86" customFormat="false" ht="18" hidden="false" customHeight="false" outlineLevel="0" collapsed="false">
      <c r="A86" s="683" t="s">
        <v>512</v>
      </c>
      <c r="B86" s="23"/>
      <c r="C86" s="23"/>
      <c r="D86" s="23"/>
      <c r="E86" s="23"/>
      <c r="F86" s="23"/>
      <c r="G86" s="23"/>
      <c r="H86" s="682"/>
      <c r="I86" s="682"/>
    </row>
    <row r="87" customFormat="false" ht="15.75" hidden="false" customHeight="false" outlineLevel="0" collapsed="false">
      <c r="A87" s="566" t="s">
        <v>501</v>
      </c>
      <c r="B87" s="686"/>
      <c r="C87" s="23"/>
      <c r="D87" s="23"/>
      <c r="E87" s="23"/>
      <c r="F87" s="23"/>
      <c r="G87" s="23"/>
      <c r="H87" s="682"/>
      <c r="I87" s="682"/>
    </row>
    <row r="88" customFormat="false" ht="15.75" hidden="false" customHeight="false" outlineLevel="0" collapsed="false">
      <c r="A88" s="566" t="s">
        <v>513</v>
      </c>
      <c r="B88" s="7"/>
      <c r="C88" s="23"/>
      <c r="D88" s="23"/>
      <c r="E88" s="23"/>
      <c r="F88" s="23"/>
      <c r="G88" s="23"/>
      <c r="H88" s="682"/>
      <c r="I88" s="682"/>
    </row>
    <row r="89" customFormat="false" ht="15.75" hidden="false" customHeight="false" outlineLevel="0" collapsed="false">
      <c r="A89" s="25" t="s">
        <v>6</v>
      </c>
      <c r="B89" s="26"/>
      <c r="C89" s="690"/>
      <c r="D89" s="689"/>
      <c r="E89" s="689"/>
      <c r="F89" s="726"/>
      <c r="G89" s="726"/>
    </row>
    <row r="90" customFormat="false" ht="15.75" hidden="false" customHeight="false" outlineLevel="0" collapsed="false">
      <c r="A90" s="36" t="s">
        <v>12</v>
      </c>
      <c r="B90" s="37" t="s">
        <v>425</v>
      </c>
      <c r="C90" s="727" t="n">
        <f aca="false">OHJELMOINTINÄKYMÄ!E7</f>
        <v>2012</v>
      </c>
      <c r="D90" s="727" t="n">
        <f aca="false">OHJELMOINTINÄKYMÄ!F7</f>
        <v>2013</v>
      </c>
      <c r="E90" s="727" t="n">
        <f aca="false">OHJELMOINTINÄKYMÄ!G7</f>
        <v>2014</v>
      </c>
      <c r="F90" s="727" t="n">
        <f aca="false">OHJELMOINTINÄKYMÄ!H7</f>
        <v>2015</v>
      </c>
      <c r="G90" s="727" t="n">
        <f aca="false">OHJELMOINTINÄKYMÄ!I7</f>
        <v>2016</v>
      </c>
    </row>
    <row r="91" customFormat="false" ht="15" hidden="false" customHeight="false" outlineLevel="0" collapsed="false">
      <c r="A91" s="45"/>
      <c r="B91" s="46"/>
      <c r="C91" s="728" t="s">
        <v>427</v>
      </c>
      <c r="D91" s="728" t="s">
        <v>427</v>
      </c>
      <c r="E91" s="728" t="s">
        <v>427</v>
      </c>
      <c r="F91" s="728" t="s">
        <v>427</v>
      </c>
      <c r="G91" s="728" t="s">
        <v>427</v>
      </c>
    </row>
    <row r="92" customFormat="false" ht="15" hidden="false" customHeight="false" outlineLevel="0" collapsed="false">
      <c r="A92" s="54"/>
      <c r="B92" s="703"/>
      <c r="C92" s="707"/>
      <c r="D92" s="704"/>
      <c r="E92" s="704"/>
      <c r="F92" s="704"/>
      <c r="G92" s="704"/>
    </row>
    <row r="93" customFormat="false" ht="15.75" hidden="false" customHeight="false" outlineLevel="0" collapsed="false">
      <c r="A93" s="711" t="s">
        <v>514</v>
      </c>
      <c r="B93" s="712" t="s">
        <v>437</v>
      </c>
      <c r="C93" s="713" t="n">
        <f aca="false">OHJELMOINTINÄKYMÄ!E313/1000</f>
        <v>18.969</v>
      </c>
      <c r="D93" s="713" t="n">
        <f aca="false">OHJELMOINTINÄKYMÄ!F313/1000</f>
        <v>20.574</v>
      </c>
      <c r="E93" s="713" t="n">
        <f aca="false">OHJELMOINTINÄKYMÄ!G313/1000</f>
        <v>20.563</v>
      </c>
      <c r="F93" s="713" t="n">
        <f aca="false">OHJELMOINTINÄKYMÄ!H313/1000</f>
        <v>20.001</v>
      </c>
      <c r="G93" s="713" t="n">
        <f aca="false">OHJELMOINTINÄKYMÄ!I313/1000</f>
        <v>16.668</v>
      </c>
    </row>
    <row r="94" customFormat="false" ht="15.75" hidden="false" customHeight="false" outlineLevel="0" collapsed="false">
      <c r="A94" s="72" t="s">
        <v>514</v>
      </c>
      <c r="B94" s="712" t="s">
        <v>438</v>
      </c>
      <c r="C94" s="714" t="n">
        <v>20</v>
      </c>
      <c r="D94" s="714" t="n">
        <v>27.2</v>
      </c>
      <c r="E94" s="714" t="n">
        <v>23.1</v>
      </c>
      <c r="F94" s="714" t="n">
        <v>28.3</v>
      </c>
      <c r="G94" s="71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B50" activeCellId="0" sqref="B50"/>
    </sheetView>
  </sheetViews>
  <sheetFormatPr defaultColWidth="9.2890625" defaultRowHeight="12.75" zeroHeight="false" outlineLevelRow="0" outlineLevelCol="0"/>
  <cols>
    <col collapsed="false" customWidth="true" hidden="false" outlineLevel="0" max="1" min="1" style="3" width="32.29"/>
    <col collapsed="false" customWidth="true" hidden="false" outlineLevel="0" max="2" min="2" style="3" width="12.71"/>
    <col collapsed="false" customWidth="true" hidden="false" outlineLevel="0" max="3" min="3" style="3" width="11"/>
    <col collapsed="false" customWidth="true" hidden="false" outlineLevel="0" max="4" min="4" style="3" width="12.71"/>
    <col collapsed="false" customWidth="false" hidden="false" outlineLevel="0" max="16384" min="5" style="3" width="9.29"/>
  </cols>
  <sheetData>
    <row r="1" customFormat="false" ht="12.75" hidden="false" customHeight="false" outlineLevel="0" collapsed="false">
      <c r="A1" s="201" t="s">
        <v>515</v>
      </c>
      <c r="B1" s="201" t="s">
        <v>516</v>
      </c>
      <c r="C1" s="201"/>
      <c r="E1" s="201"/>
      <c r="F1" s="201"/>
    </row>
    <row r="2" customFormat="false" ht="12.75" hidden="false" customHeight="false" outlineLevel="0" collapsed="false">
      <c r="A2" s="201"/>
      <c r="B2" s="201"/>
      <c r="C2" s="201"/>
      <c r="E2" s="201"/>
      <c r="F2" s="201"/>
    </row>
    <row r="3" customFormat="false" ht="12.75" hidden="false" customHeight="false" outlineLevel="0" collapsed="false">
      <c r="A3" s="201" t="s">
        <v>517</v>
      </c>
      <c r="B3" s="900" t="str">
        <f aca="false">OHJELMOINTINÄKYMÄ!C3</f>
        <v> </v>
      </c>
      <c r="C3" s="201"/>
      <c r="E3" s="201"/>
      <c r="F3" s="201"/>
    </row>
    <row r="4" customFormat="false" ht="12.75" hidden="false" customHeight="false" outlineLevel="0" collapsed="false">
      <c r="A4" s="201"/>
      <c r="B4" s="201"/>
      <c r="C4" s="201"/>
      <c r="D4" s="201"/>
      <c r="E4" s="201"/>
      <c r="F4" s="201"/>
    </row>
    <row r="5" customFormat="false" ht="12.75" hidden="false" customHeight="false" outlineLevel="0" collapsed="false">
      <c r="A5" s="201"/>
      <c r="B5" s="201"/>
      <c r="C5" s="201"/>
      <c r="D5" s="201"/>
      <c r="E5" s="201"/>
      <c r="F5" s="201"/>
    </row>
    <row r="6" customFormat="false" ht="12.75" hidden="false" customHeight="false" outlineLevel="0" collapsed="false">
      <c r="A6" s="201"/>
      <c r="B6" s="201"/>
      <c r="C6" s="201"/>
      <c r="D6" s="201"/>
      <c r="E6" s="201"/>
      <c r="F6" s="201"/>
    </row>
    <row r="7" customFormat="false" ht="12.75" hidden="false" customHeight="false" outlineLevel="0" collapsed="false">
      <c r="A7" s="201" t="s">
        <v>518</v>
      </c>
      <c r="B7" s="201"/>
      <c r="C7" s="201"/>
      <c r="D7" s="201"/>
      <c r="E7" s="201"/>
      <c r="F7" s="201"/>
    </row>
    <row r="10" customFormat="false" ht="12.75" hidden="false" customHeight="false" outlineLevel="0" collapsed="false">
      <c r="A10" s="201" t="s">
        <v>6</v>
      </c>
      <c r="B10" s="654" t="s">
        <v>519</v>
      </c>
      <c r="C10" s="201" t="s">
        <v>520</v>
      </c>
      <c r="D10" s="201"/>
    </row>
    <row r="11" customFormat="false" ht="12.75" hidden="false" customHeight="false" outlineLevel="0" collapsed="false">
      <c r="A11" s="901"/>
      <c r="B11" s="902" t="n">
        <v>1000</v>
      </c>
      <c r="C11" s="903" t="s">
        <v>521</v>
      </c>
      <c r="D11" s="902" t="n">
        <v>1000</v>
      </c>
    </row>
    <row r="13" customFormat="false" ht="12.75" hidden="false" customHeight="false" outlineLevel="0" collapsed="false">
      <c r="A13" s="201" t="s">
        <v>522</v>
      </c>
      <c r="B13" s="904" t="n">
        <f aca="false">OHJELMOINTINÄKYMÄ!F65</f>
        <v>21895</v>
      </c>
      <c r="C13" s="905" t="n">
        <v>0.1</v>
      </c>
      <c r="D13" s="904" t="n">
        <f aca="false">C13*B13</f>
        <v>2189.5</v>
      </c>
    </row>
    <row r="14" customFormat="false" ht="12.75" hidden="false" customHeight="false" outlineLevel="0" collapsed="false">
      <c r="A14" s="201" t="s">
        <v>489</v>
      </c>
      <c r="B14" s="904" t="n">
        <f aca="false">OHJELMOINTINÄKYMÄ!F97</f>
        <v>2587</v>
      </c>
      <c r="C14" s="905" t="n">
        <v>1</v>
      </c>
      <c r="D14" s="904" t="n">
        <f aca="false">C14*B14</f>
        <v>2587</v>
      </c>
    </row>
    <row r="15" customFormat="false" ht="12.75" hidden="false" customHeight="false" outlineLevel="0" collapsed="false">
      <c r="A15" s="201" t="s">
        <v>94</v>
      </c>
      <c r="B15" s="904" t="n">
        <f aca="false">OHJELMOINTINÄKYMÄ!F110</f>
        <v>9850</v>
      </c>
      <c r="C15" s="905" t="n">
        <v>1</v>
      </c>
      <c r="D15" s="904" t="n">
        <f aca="false">C15*B15</f>
        <v>9850</v>
      </c>
    </row>
    <row r="16" customFormat="false" ht="12.75" hidden="false" customHeight="false" outlineLevel="0" collapsed="false">
      <c r="A16" s="201" t="s">
        <v>523</v>
      </c>
      <c r="B16" s="904" t="n">
        <f aca="false">OHJELMOINTINÄKYMÄ!F136</f>
        <v>5158</v>
      </c>
      <c r="C16" s="905" t="n">
        <v>1</v>
      </c>
      <c r="D16" s="904" t="n">
        <f aca="false">C16*B16</f>
        <v>5158</v>
      </c>
    </row>
    <row r="17" customFormat="false" ht="12.75" hidden="false" customHeight="false" outlineLevel="0" collapsed="false">
      <c r="A17" s="201" t="s">
        <v>112</v>
      </c>
      <c r="B17" s="904" t="n">
        <f aca="false">OHJELMOINTINÄKYMÄ!F150</f>
        <v>2276</v>
      </c>
      <c r="C17" s="905" t="n">
        <v>0.65</v>
      </c>
      <c r="D17" s="904" t="n">
        <f aca="false">C17*B17</f>
        <v>1479.4</v>
      </c>
    </row>
    <row r="18" customFormat="false" ht="12.75" hidden="false" customHeight="false" outlineLevel="0" collapsed="false">
      <c r="A18" s="201" t="s">
        <v>524</v>
      </c>
      <c r="B18" s="904" t="n">
        <f aca="false">OHJELMOINTINÄKYMÄ!F160</f>
        <v>2715</v>
      </c>
      <c r="C18" s="905" t="n">
        <v>0.5</v>
      </c>
      <c r="D18" s="904" t="n">
        <f aca="false">C18*B18</f>
        <v>1357.5</v>
      </c>
    </row>
    <row r="19" customFormat="false" ht="12.75" hidden="false" customHeight="false" outlineLevel="0" collapsed="false">
      <c r="A19" s="201" t="s">
        <v>525</v>
      </c>
      <c r="B19" s="904" t="e">
        <f aca="false">ohjelmointinäkymä!#REF!</f>
        <v>#VALUE!</v>
      </c>
      <c r="C19" s="905" t="n">
        <v>0.1</v>
      </c>
      <c r="D19" s="904" t="e">
        <f aca="false">C19*B19</f>
        <v>#VALUE!</v>
      </c>
    </row>
    <row r="20" customFormat="false" ht="12.75" hidden="false" customHeight="false" outlineLevel="0" collapsed="false">
      <c r="A20" s="201" t="s">
        <v>526</v>
      </c>
      <c r="B20" s="904" t="e">
        <f aca="false">ohjelmointinäkymä!#REF!</f>
        <v>#VALUE!</v>
      </c>
      <c r="C20" s="905" t="n">
        <v>0.75</v>
      </c>
      <c r="D20" s="904" t="e">
        <f aca="false">C20*B20</f>
        <v>#VALUE!</v>
      </c>
    </row>
    <row r="21" customFormat="false" ht="12.75" hidden="false" customHeight="false" outlineLevel="0" collapsed="false">
      <c r="A21" s="201" t="s">
        <v>527</v>
      </c>
      <c r="B21" s="904" t="e">
        <f aca="false">ohjelmointinäkymä!#REF!</f>
        <v>#VALUE!</v>
      </c>
      <c r="C21" s="905" t="n">
        <v>0.25</v>
      </c>
      <c r="D21" s="904" t="e">
        <f aca="false">C21*B21</f>
        <v>#VALUE!</v>
      </c>
    </row>
    <row r="22" customFormat="false" ht="12.75" hidden="false" customHeight="false" outlineLevel="0" collapsed="false">
      <c r="A22" s="201" t="s">
        <v>528</v>
      </c>
      <c r="B22" s="904" t="e">
        <f aca="false">ohjelmointinäkymä!#REF!</f>
        <v>#VALUE!</v>
      </c>
      <c r="C22" s="905" t="n">
        <v>0.75</v>
      </c>
      <c r="D22" s="904" t="e">
        <f aca="false">C22*B22</f>
        <v>#VALUE!</v>
      </c>
    </row>
    <row r="23" customFormat="false" ht="12.75" hidden="false" customHeight="false" outlineLevel="0" collapsed="false">
      <c r="A23" s="201" t="s">
        <v>529</v>
      </c>
      <c r="B23" s="904" t="n">
        <f aca="false">OHJELMOINTINÄKYMÄ!F286</f>
        <v>1900</v>
      </c>
      <c r="C23" s="905" t="n">
        <v>0.5</v>
      </c>
      <c r="D23" s="904" t="n">
        <f aca="false">C23*B23</f>
        <v>950</v>
      </c>
    </row>
    <row r="24" customFormat="false" ht="12.75" hidden="false" customHeight="false" outlineLevel="0" collapsed="false">
      <c r="A24" s="201" t="s">
        <v>530</v>
      </c>
      <c r="B24" s="904" t="n">
        <f aca="false">OHJELMOINTINÄKYMÄ!F203</f>
        <v>330</v>
      </c>
      <c r="C24" s="905" t="n">
        <v>0.5</v>
      </c>
      <c r="D24" s="904" t="n">
        <f aca="false">C24*B24</f>
        <v>165</v>
      </c>
    </row>
    <row r="25" customFormat="false" ht="12.75" hidden="false" customHeight="false" outlineLevel="0" collapsed="false">
      <c r="A25" s="201" t="s">
        <v>478</v>
      </c>
      <c r="B25" s="904" t="e">
        <f aca="false">ohjelmointinäkymä!#REF!</f>
        <v>#VALUE!</v>
      </c>
      <c r="C25" s="905" t="n">
        <v>0</v>
      </c>
      <c r="D25" s="904" t="e">
        <f aca="false">C25*B25</f>
        <v>#VALUE!</v>
      </c>
    </row>
    <row r="26" customFormat="false" ht="12.75" hidden="false" customHeight="false" outlineLevel="0" collapsed="false">
      <c r="A26" s="201" t="s">
        <v>531</v>
      </c>
      <c r="B26" s="904" t="n">
        <f aca="false">OHJELMOINTINÄKYMÄ!F210</f>
        <v>4739</v>
      </c>
      <c r="C26" s="905" t="n">
        <v>0.1</v>
      </c>
      <c r="D26" s="904" t="n">
        <f aca="false">C26*B26</f>
        <v>473.9</v>
      </c>
    </row>
    <row r="27" customFormat="false" ht="12.75" hidden="false" customHeight="false" outlineLevel="0" collapsed="false">
      <c r="A27" s="201" t="s">
        <v>280</v>
      </c>
      <c r="B27" s="904" t="n">
        <f aca="false">OHJELMOINTINÄKYMÄ!F222</f>
        <v>9264</v>
      </c>
      <c r="C27" s="905" t="n">
        <v>0.1</v>
      </c>
      <c r="D27" s="904" t="n">
        <f aca="false">C27*B27</f>
        <v>926.4</v>
      </c>
    </row>
    <row r="28" customFormat="false" ht="12.75" hidden="false" customHeight="false" outlineLevel="0" collapsed="false">
      <c r="A28" s="201" t="s">
        <v>281</v>
      </c>
      <c r="B28" s="904" t="n">
        <f aca="false">OHJELMOINTINÄKYMÄ!F238</f>
        <v>4344</v>
      </c>
      <c r="C28" s="905" t="n">
        <v>0.1</v>
      </c>
      <c r="D28" s="904" t="n">
        <f aca="false">C28*B28</f>
        <v>434.4</v>
      </c>
    </row>
    <row r="29" customFormat="false" ht="12.75" hidden="false" customHeight="false" outlineLevel="0" collapsed="false">
      <c r="A29" s="201" t="s">
        <v>282</v>
      </c>
      <c r="B29" s="904" t="n">
        <f aca="false">OHJELMOINTINÄKYMÄ!F256</f>
        <v>3417</v>
      </c>
      <c r="C29" s="905" t="n">
        <v>0.1</v>
      </c>
      <c r="D29" s="904" t="n">
        <f aca="false">C29*B29</f>
        <v>341.7</v>
      </c>
    </row>
    <row r="30" customFormat="false" ht="12.75" hidden="false" customHeight="false" outlineLevel="0" collapsed="false">
      <c r="A30" s="901" t="s">
        <v>532</v>
      </c>
      <c r="B30" s="906" t="e">
        <f aca="false">ohjelmointinäkymä!#REF!</f>
        <v>#VALUE!</v>
      </c>
      <c r="C30" s="907" t="n">
        <v>0.1</v>
      </c>
      <c r="D30" s="906" t="e">
        <f aca="false">C30*B30</f>
        <v>#VALUE!</v>
      </c>
    </row>
    <row r="31" customFormat="false" ht="12.75" hidden="false" customHeight="false" outlineLevel="0" collapsed="false">
      <c r="A31" s="17" t="s">
        <v>324</v>
      </c>
      <c r="B31" s="904" t="e">
        <f aca="false">SUM(B13:B30)</f>
        <v>#VALUE!</v>
      </c>
      <c r="C31" s="905"/>
      <c r="D31" s="908" t="e">
        <f aca="false">SUM(D13:D30)</f>
        <v>#VALUE!</v>
      </c>
    </row>
    <row r="32" customFormat="false" ht="12.75" hidden="false" customHeight="false" outlineLevel="0" collapsed="false">
      <c r="A32" s="201"/>
      <c r="B32" s="904"/>
      <c r="C32" s="905"/>
      <c r="D32" s="904"/>
    </row>
    <row r="33" customFormat="false" ht="12.75" hidden="false" customHeight="false" outlineLevel="0" collapsed="false">
      <c r="A33" s="201" t="s">
        <v>533</v>
      </c>
      <c r="B33" s="908" t="n">
        <v>40000</v>
      </c>
      <c r="C33" s="905" t="s">
        <v>534</v>
      </c>
      <c r="D33" s="909" t="s">
        <v>535</v>
      </c>
    </row>
    <row r="34" customFormat="false" ht="12.75" hidden="false" customHeight="false" outlineLevel="0" collapsed="false">
      <c r="A34" s="201"/>
      <c r="B34" s="904"/>
      <c r="C34" s="905"/>
      <c r="D34" s="904"/>
    </row>
    <row r="35" customFormat="false" ht="12.75" hidden="false" customHeight="false" outlineLevel="0" collapsed="false">
      <c r="A35" s="201" t="s">
        <v>536</v>
      </c>
      <c r="B35" s="904"/>
      <c r="C35" s="910" t="e">
        <f aca="false">D31/B33</f>
        <v>#VALUE!</v>
      </c>
      <c r="D35" s="904"/>
    </row>
    <row r="36" customFormat="false" ht="12.75" hidden="false" customHeight="false" outlineLevel="0" collapsed="false">
      <c r="A36" s="201"/>
      <c r="B36" s="904"/>
      <c r="C36" s="905"/>
      <c r="D36" s="904"/>
    </row>
    <row r="37" customFormat="false" ht="13.5" hidden="false" customHeight="false" outlineLevel="0" collapsed="false">
      <c r="A37" s="911"/>
      <c r="B37" s="904"/>
      <c r="C37" s="912"/>
      <c r="D37" s="904"/>
    </row>
    <row r="38" customFormat="false" ht="13.5" hidden="false" customHeight="false" outlineLevel="0" collapsed="false">
      <c r="A38" s="201"/>
      <c r="B38" s="904"/>
      <c r="C38" s="905"/>
      <c r="D38" s="904"/>
    </row>
    <row r="39" customFormat="false" ht="12.75" hidden="false" customHeight="false" outlineLevel="0" collapsed="false">
      <c r="A39" s="201"/>
      <c r="B39" s="904"/>
      <c r="C39" s="905"/>
      <c r="D39" s="904"/>
    </row>
    <row r="40" customFormat="false" ht="12.75" hidden="false" customHeight="false" outlineLevel="0" collapsed="false">
      <c r="A40" s="201"/>
      <c r="B40" s="904"/>
      <c r="C40" s="201"/>
      <c r="D40" s="904"/>
    </row>
    <row r="41" customFormat="false" ht="12.75" hidden="false" customHeight="false" outlineLevel="0" collapsed="false">
      <c r="A41" s="201"/>
      <c r="B41" s="904"/>
      <c r="C41" s="201"/>
      <c r="D41" s="904"/>
    </row>
    <row r="42" customFormat="false" ht="12.75" hidden="false" customHeight="false" outlineLevel="0" collapsed="false">
      <c r="D42" s="913"/>
    </row>
    <row r="43" customFormat="false" ht="12.75" hidden="false" customHeight="false" outlineLevel="0" collapsed="false">
      <c r="D43" s="91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5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H8" activeCellId="0" sqref="AH8"/>
    </sheetView>
  </sheetViews>
  <sheetFormatPr defaultColWidth="8.4453125" defaultRowHeight="12.75" zeroHeight="false" outlineLevelRow="0" outlineLevelCol="0"/>
  <cols>
    <col collapsed="false" customWidth="true" hidden="false" outlineLevel="0" max="1" min="1" style="116" width="15.29"/>
    <col collapsed="false" customWidth="true" hidden="false" outlineLevel="0" max="2" min="2" style="1" width="94.15"/>
    <col collapsed="false" customWidth="true" hidden="true" outlineLevel="0" max="3" min="3" style="1" width="13.29"/>
    <col collapsed="false" customWidth="true" hidden="true" outlineLevel="0" max="4" min="4" style="1" width="11.29"/>
    <col collapsed="false" customWidth="true" hidden="true" outlineLevel="0" max="5" min="5" style="2" width="9.71"/>
    <col collapsed="false" customWidth="true" hidden="true" outlineLevel="0" max="6" min="6" style="1" width="9.71"/>
    <col collapsed="false" customWidth="true" hidden="true" outlineLevel="0" max="8" min="7" style="1" width="12.29"/>
    <col collapsed="false" customWidth="true" hidden="true" outlineLevel="0" max="9" min="9" style="3" width="12.29"/>
    <col collapsed="false" customWidth="true" hidden="true" outlineLevel="0" max="10" min="10" style="1" width="9.71"/>
    <col collapsed="false" customWidth="true" hidden="true" outlineLevel="0" max="11" min="11" style="4" width="11"/>
    <col collapsed="false" customWidth="true" hidden="true" outlineLevel="0" max="12" min="12" style="4" width="10.29"/>
    <col collapsed="false" customWidth="true" hidden="true" outlineLevel="0" max="14" min="13" style="5" width="9.71"/>
    <col collapsed="false" customWidth="true" hidden="true" outlineLevel="0" max="15" min="15" style="4" width="9.71"/>
    <col collapsed="false" customWidth="true" hidden="true" outlineLevel="0" max="16" min="16" style="6" width="12.71"/>
    <col collapsed="false" customWidth="true" hidden="true" outlineLevel="0" max="17" min="17" style="6" width="9.71"/>
    <col collapsed="false" customWidth="true" hidden="true" outlineLevel="0" max="18" min="18" style="6" width="10"/>
    <col collapsed="false" customWidth="true" hidden="true" outlineLevel="0" max="22" min="19" style="6" width="10.42"/>
    <col collapsed="false" customWidth="true" hidden="true" outlineLevel="0" max="23" min="23" style="6" width="11.85"/>
    <col collapsed="false" customWidth="true" hidden="true" outlineLevel="0" max="25" min="24" style="6" width="10.42"/>
    <col collapsed="false" customWidth="true" hidden="true" outlineLevel="0" max="32" min="26" style="1" width="8.71"/>
    <col collapsed="false" customWidth="true" hidden="false" outlineLevel="0" max="33" min="33" style="1" width="18"/>
    <col collapsed="false" customWidth="true" hidden="false" outlineLevel="0" max="43" min="34" style="1" width="8.71"/>
  </cols>
  <sheetData>
    <row r="1" customFormat="false" ht="15.75" hidden="false" customHeight="false" outlineLevel="0" collapsed="false">
      <c r="A1" s="106" t="s">
        <v>3</v>
      </c>
      <c r="B1" s="55"/>
      <c r="C1" s="56"/>
      <c r="D1" s="57"/>
      <c r="E1" s="56"/>
      <c r="F1" s="56"/>
      <c r="G1" s="56"/>
      <c r="H1" s="56"/>
      <c r="I1" s="56"/>
      <c r="J1" s="56"/>
      <c r="K1" s="58"/>
      <c r="L1" s="58"/>
      <c r="M1" s="59"/>
      <c r="N1" s="60"/>
      <c r="O1" s="61"/>
      <c r="P1" s="62"/>
      <c r="Q1" s="61"/>
      <c r="R1" s="61"/>
      <c r="S1" s="63"/>
      <c r="T1" s="63"/>
      <c r="U1" s="63"/>
      <c r="V1" s="63"/>
      <c r="W1" s="64"/>
      <c r="X1" s="63"/>
      <c r="Y1" s="63"/>
    </row>
    <row r="2" customFormat="false" ht="15.75" hidden="false" customHeight="false" outlineLevel="0" collapsed="false">
      <c r="A2" s="610" t="s">
        <v>16</v>
      </c>
      <c r="B2" s="67" t="s">
        <v>17</v>
      </c>
      <c r="C2" s="56" t="n">
        <f aca="false">C6+C24</f>
        <v>42460</v>
      </c>
      <c r="D2" s="57" t="n">
        <f aca="false">D6+D24</f>
        <v>53901</v>
      </c>
      <c r="E2" s="56" t="n">
        <f aca="false">E6+E24</f>
        <v>50899</v>
      </c>
      <c r="F2" s="56" t="n">
        <f aca="false">F6+F24</f>
        <v>33043</v>
      </c>
      <c r="G2" s="56" t="n">
        <f aca="false">G6+G24</f>
        <v>28308</v>
      </c>
      <c r="H2" s="56" t="n">
        <f aca="false">H6+H24</f>
        <v>46281</v>
      </c>
      <c r="I2" s="56" t="n">
        <f aca="false">I6+I24</f>
        <v>73343</v>
      </c>
      <c r="J2" s="56" t="n">
        <f aca="false">J6+J24</f>
        <v>66704</v>
      </c>
      <c r="K2" s="68" t="n">
        <f aca="false">K6+K24</f>
        <v>64458</v>
      </c>
      <c r="L2" s="68" t="n">
        <f aca="false">L6+L24+L4</f>
        <v>105749</v>
      </c>
      <c r="M2" s="69" t="n">
        <f aca="false">M6+M24+M4</f>
        <v>135180.415</v>
      </c>
      <c r="N2" s="70" t="n">
        <f aca="false">N6+N24+N4</f>
        <v>112026.40974</v>
      </c>
      <c r="O2" s="69" t="e">
        <f aca="false">O6+O24+O4</f>
        <v>#REF!</v>
      </c>
      <c r="P2" s="71" t="n">
        <f aca="false">P4+P24</f>
        <v>32200</v>
      </c>
      <c r="Q2" s="69" t="n">
        <f aca="false">Q4+Q24</f>
        <v>28900</v>
      </c>
      <c r="R2" s="69" t="n">
        <f aca="false">R4+R24</f>
        <v>35400</v>
      </c>
      <c r="S2" s="69" t="n">
        <f aca="false">S4+S24</f>
        <v>42600</v>
      </c>
      <c r="T2" s="69" t="n">
        <f aca="false">T4+T24</f>
        <v>45300</v>
      </c>
      <c r="U2" s="69" t="n">
        <f aca="false">U4+U24</f>
        <v>43900</v>
      </c>
      <c r="V2" s="69" t="n">
        <f aca="false">V4+V24</f>
        <v>52400</v>
      </c>
      <c r="W2" s="68" t="n">
        <f aca="false">W4+W24</f>
        <v>51500</v>
      </c>
      <c r="X2" s="69" t="n">
        <f aca="false">X4+X24</f>
        <v>46900</v>
      </c>
      <c r="Y2" s="69" t="n">
        <f aca="false">Y4+Y24</f>
        <v>46800</v>
      </c>
      <c r="AH2" s="115"/>
      <c r="AI2" s="116" t="s">
        <v>44</v>
      </c>
      <c r="AJ2" s="3" t="s">
        <v>45</v>
      </c>
    </row>
    <row r="3" customFormat="false" ht="15.75" hidden="false" customHeight="false" outlineLevel="0" collapsed="false">
      <c r="A3" s="611"/>
      <c r="B3" s="326"/>
      <c r="C3" s="56"/>
      <c r="D3" s="57"/>
      <c r="E3" s="56"/>
      <c r="F3" s="56"/>
      <c r="G3" s="56"/>
      <c r="H3" s="56"/>
      <c r="I3" s="56"/>
      <c r="J3" s="56"/>
      <c r="K3" s="68"/>
      <c r="L3" s="68"/>
      <c r="M3" s="69"/>
      <c r="N3" s="70"/>
      <c r="O3" s="69"/>
      <c r="P3" s="71"/>
      <c r="Q3" s="69"/>
      <c r="R3" s="69"/>
      <c r="S3" s="69"/>
      <c r="T3" s="69"/>
      <c r="U3" s="69"/>
      <c r="V3" s="69"/>
      <c r="W3" s="68"/>
      <c r="X3" s="69"/>
      <c r="Y3" s="69"/>
    </row>
    <row r="4" customFormat="false" ht="15.75" hidden="false" customHeight="false" outlineLevel="0" collapsed="false">
      <c r="A4" s="612" t="s">
        <v>21</v>
      </c>
      <c r="B4" s="112" t="s">
        <v>22</v>
      </c>
      <c r="C4" s="56"/>
      <c r="D4" s="57"/>
      <c r="E4" s="56"/>
      <c r="F4" s="56"/>
      <c r="G4" s="56"/>
      <c r="H4" s="56"/>
      <c r="I4" s="56"/>
      <c r="J4" s="56"/>
      <c r="K4" s="58"/>
      <c r="L4" s="68" t="n">
        <v>20109</v>
      </c>
      <c r="M4" s="69" t="n">
        <v>10215</v>
      </c>
      <c r="N4" s="70" t="n">
        <f aca="false">7989745.77/1000</f>
        <v>7989.74577</v>
      </c>
      <c r="O4" s="69" t="e">
        <f aca="false">13500+#REF!</f>
        <v>#REF!</v>
      </c>
      <c r="P4" s="71" t="n">
        <v>13500</v>
      </c>
      <c r="Q4" s="69" t="n">
        <v>13500</v>
      </c>
      <c r="R4" s="69" t="n">
        <v>17500</v>
      </c>
      <c r="S4" s="69" t="n">
        <v>15500</v>
      </c>
      <c r="T4" s="69" t="n">
        <v>15500</v>
      </c>
      <c r="U4" s="69" t="n">
        <v>15500</v>
      </c>
      <c r="V4" s="69" t="n">
        <v>16500</v>
      </c>
      <c r="W4" s="68" t="n">
        <v>16500</v>
      </c>
      <c r="X4" s="69" t="n">
        <v>16500</v>
      </c>
      <c r="Y4" s="69" t="n">
        <v>16500</v>
      </c>
      <c r="AH4" s="123"/>
      <c r="AI4" s="116" t="s">
        <v>44</v>
      </c>
      <c r="AJ4" s="3" t="s">
        <v>47</v>
      </c>
    </row>
    <row r="5" customFormat="false" ht="15" hidden="false" customHeight="false" outlineLevel="0" collapsed="false">
      <c r="A5" s="56"/>
      <c r="B5" s="95"/>
      <c r="C5" s="56"/>
      <c r="D5" s="57"/>
      <c r="E5" s="56"/>
      <c r="F5" s="96"/>
      <c r="G5" s="56"/>
      <c r="H5" s="56"/>
      <c r="I5" s="56"/>
      <c r="J5" s="56"/>
      <c r="K5" s="58"/>
      <c r="L5" s="58"/>
      <c r="M5" s="61"/>
      <c r="N5" s="97"/>
      <c r="O5" s="61"/>
      <c r="P5" s="62"/>
      <c r="Q5" s="97"/>
      <c r="R5" s="97"/>
      <c r="S5" s="97"/>
      <c r="T5" s="63"/>
      <c r="U5" s="63"/>
      <c r="V5" s="63"/>
      <c r="W5" s="64"/>
      <c r="X5" s="63"/>
      <c r="Y5" s="63"/>
      <c r="AH5" s="3"/>
      <c r="AI5" s="3"/>
      <c r="AJ5" s="3"/>
    </row>
    <row r="6" customFormat="false" ht="15.75" hidden="false" customHeight="false" outlineLevel="0" collapsed="false">
      <c r="A6" s="612" t="s">
        <v>24</v>
      </c>
      <c r="B6" s="112" t="s">
        <v>25</v>
      </c>
      <c r="C6" s="98" t="n">
        <f aca="false">SUM(C8+C10+C12+C14+C16+C18+C20)</f>
        <v>27097</v>
      </c>
      <c r="D6" s="98" t="n">
        <f aca="false">SUM(D8+D10+D12+D14+D16+D18+D20)</f>
        <v>38476</v>
      </c>
      <c r="E6" s="98" t="n">
        <f aca="false">SUM(E8+E10+E12+E14+E16+E18+E20)</f>
        <v>36243</v>
      </c>
      <c r="F6" s="98" t="n">
        <f aca="false">SUM(F8+F10+F12+F14+F16+F18+F20)</f>
        <v>21087</v>
      </c>
      <c r="G6" s="98" t="n">
        <f aca="false">SUM(G8+G10+G12+G14+G16+G18+G20)</f>
        <v>16210</v>
      </c>
      <c r="H6" s="98" t="n">
        <f aca="false">SUM(H8+H10+H12+H14+H16+H18+H20)</f>
        <v>33797</v>
      </c>
      <c r="I6" s="98" t="n">
        <f aca="false">SUM(I8+I10+I12+I14+I16+I18+I20)</f>
        <v>54107</v>
      </c>
      <c r="J6" s="98" t="n">
        <f aca="false">SUM(J8+J10+J12+J14+J16+J18+J20)</f>
        <v>52707</v>
      </c>
      <c r="K6" s="98" t="n">
        <f aca="false">SUM(K8+K10+K12+K14+K16+K18+K20)</f>
        <v>44021</v>
      </c>
      <c r="L6" s="98" t="n">
        <f aca="false">SUM(L8+L10+L12+L14+L16+L18+L20)</f>
        <v>55557</v>
      </c>
      <c r="M6" s="99" t="n">
        <f aca="false">SUM(M8+M10+M12+M14+M16+M18+M20+M22)</f>
        <v>96405.286</v>
      </c>
      <c r="N6" s="100" t="n">
        <f aca="false">SUM(N8+N10+N12+N14+N16+N18+N20+N22)</f>
        <v>68244.74654</v>
      </c>
      <c r="O6" s="99" t="n">
        <f aca="false">SUM(O10:O22)</f>
        <v>0</v>
      </c>
      <c r="P6" s="101" t="n">
        <f aca="false">SUM(P10:P22)</f>
        <v>0</v>
      </c>
      <c r="Q6" s="99" t="n">
        <f aca="false">SUM(Q10:Q22)</f>
        <v>0</v>
      </c>
      <c r="R6" s="99" t="n">
        <f aca="false">SUM(R10:R22)</f>
        <v>0</v>
      </c>
      <c r="S6" s="99" t="n">
        <f aca="false">SUM(S10:S22)</f>
        <v>0</v>
      </c>
      <c r="T6" s="99" t="n">
        <f aca="false">SUM(T10:T22)</f>
        <v>0</v>
      </c>
      <c r="U6" s="99" t="n">
        <f aca="false">SUM(U10:U22)</f>
        <v>0</v>
      </c>
      <c r="V6" s="99" t="n">
        <f aca="false">SUM(V10:V22)</f>
        <v>0</v>
      </c>
      <c r="W6" s="98" t="n">
        <f aca="false">SUM(W10:W22)</f>
        <v>0</v>
      </c>
      <c r="X6" s="99" t="n">
        <f aca="false">SUM(X10:X22)</f>
        <v>0</v>
      </c>
      <c r="Y6" s="99"/>
      <c r="AH6" s="131"/>
      <c r="AI6" s="116" t="s">
        <v>44</v>
      </c>
      <c r="AJ6" s="3" t="s">
        <v>49</v>
      </c>
    </row>
    <row r="7" customFormat="false" ht="15.75" hidden="false" customHeight="false" outlineLevel="0" collapsed="false">
      <c r="A7" s="38"/>
      <c r="B7" s="73"/>
      <c r="C7" s="56"/>
      <c r="D7" s="57"/>
      <c r="E7" s="56"/>
      <c r="F7" s="56"/>
      <c r="G7" s="56"/>
      <c r="H7" s="56"/>
      <c r="I7" s="56"/>
      <c r="J7" s="56"/>
      <c r="K7" s="68"/>
      <c r="L7" s="102"/>
      <c r="M7" s="88"/>
      <c r="N7" s="89"/>
      <c r="O7" s="88"/>
      <c r="P7" s="90"/>
      <c r="Q7" s="91"/>
      <c r="R7" s="91"/>
      <c r="S7" s="91"/>
      <c r="T7" s="91"/>
      <c r="U7" s="91"/>
      <c r="V7" s="91"/>
      <c r="W7" s="91"/>
      <c r="X7" s="91"/>
      <c r="Y7" s="91"/>
    </row>
    <row r="8" customFormat="false" ht="15.75" hidden="false" customHeight="false" outlineLevel="0" collapsed="false">
      <c r="A8" s="613" t="s">
        <v>27</v>
      </c>
      <c r="B8" s="614" t="s">
        <v>28</v>
      </c>
      <c r="C8" s="105" t="n">
        <v>12</v>
      </c>
      <c r="D8" s="105" t="n">
        <v>2987</v>
      </c>
      <c r="E8" s="105" t="n">
        <v>3900</v>
      </c>
      <c r="F8" s="105" t="n">
        <v>2632</v>
      </c>
      <c r="G8" s="38" t="n">
        <v>950</v>
      </c>
      <c r="H8" s="38" t="n">
        <v>676</v>
      </c>
      <c r="I8" s="38" t="n">
        <v>2058</v>
      </c>
      <c r="J8" s="38" t="n">
        <v>119</v>
      </c>
      <c r="K8" s="68" t="n">
        <v>424</v>
      </c>
      <c r="L8" s="68" t="n">
        <v>153</v>
      </c>
      <c r="M8" s="69" t="n">
        <f aca="false">4209/1000</f>
        <v>4.209</v>
      </c>
      <c r="N8" s="70"/>
      <c r="O8" s="69"/>
      <c r="P8" s="71"/>
      <c r="Q8" s="69"/>
      <c r="R8" s="69"/>
      <c r="S8" s="69"/>
      <c r="T8" s="69"/>
      <c r="U8" s="69"/>
      <c r="V8" s="69"/>
      <c r="W8" s="68"/>
      <c r="X8" s="69"/>
      <c r="Y8" s="69"/>
      <c r="AH8" s="615"/>
      <c r="AI8" s="116" t="s">
        <v>54</v>
      </c>
      <c r="AJ8" s="3" t="s">
        <v>330</v>
      </c>
    </row>
    <row r="9" customFormat="false" ht="15.75" hidden="false" customHeight="false" outlineLevel="0" collapsed="false">
      <c r="A9" s="38"/>
      <c r="B9" s="73"/>
      <c r="C9" s="105"/>
      <c r="D9" s="105"/>
      <c r="E9" s="105"/>
      <c r="F9" s="105"/>
      <c r="G9" s="106"/>
      <c r="H9" s="106"/>
      <c r="I9" s="106"/>
      <c r="J9" s="106"/>
      <c r="K9" s="68"/>
      <c r="L9" s="102" t="s">
        <v>3</v>
      </c>
      <c r="M9" s="69"/>
      <c r="N9" s="70"/>
      <c r="O9" s="69"/>
      <c r="P9" s="71"/>
      <c r="Q9" s="69"/>
      <c r="R9" s="69"/>
      <c r="S9" s="69"/>
      <c r="T9" s="69"/>
      <c r="U9" s="69"/>
      <c r="V9" s="69"/>
      <c r="W9" s="68"/>
      <c r="X9" s="69"/>
      <c r="Y9" s="69"/>
    </row>
    <row r="10" customFormat="false" ht="15" hidden="false" customHeight="false" outlineLevel="0" collapsed="false">
      <c r="A10" s="613" t="s">
        <v>29</v>
      </c>
      <c r="B10" s="614" t="s">
        <v>30</v>
      </c>
      <c r="C10" s="105" t="n">
        <v>13160</v>
      </c>
      <c r="D10" s="105" t="n">
        <v>18215</v>
      </c>
      <c r="E10" s="105" t="n">
        <v>12921</v>
      </c>
      <c r="F10" s="105" t="n">
        <v>10948</v>
      </c>
      <c r="G10" s="106" t="n">
        <v>5876</v>
      </c>
      <c r="H10" s="106" t="n">
        <v>9018</v>
      </c>
      <c r="I10" s="106" t="n">
        <v>22120</v>
      </c>
      <c r="J10" s="106" t="n">
        <v>18499</v>
      </c>
      <c r="K10" s="68" t="n">
        <v>17759</v>
      </c>
      <c r="L10" s="68" t="n">
        <v>16234</v>
      </c>
      <c r="M10" s="69" t="n">
        <f aca="false">24567518/1000</f>
        <v>24567.518</v>
      </c>
      <c r="N10" s="70" t="n">
        <f aca="false">11518131.75/1000</f>
        <v>11518.13175</v>
      </c>
      <c r="O10" s="69"/>
      <c r="P10" s="71"/>
      <c r="Q10" s="69"/>
      <c r="R10" s="69"/>
      <c r="S10" s="69"/>
      <c r="T10" s="69"/>
      <c r="U10" s="69"/>
      <c r="V10" s="69"/>
      <c r="W10" s="68"/>
      <c r="X10" s="69"/>
      <c r="Y10" s="69"/>
      <c r="AH10" s="616"/>
      <c r="AI10" s="116" t="s">
        <v>54</v>
      </c>
      <c r="AJ10" s="3" t="s">
        <v>331</v>
      </c>
    </row>
    <row r="11" customFormat="false" ht="15.75" hidden="false" customHeight="false" outlineLevel="0" collapsed="false">
      <c r="A11" s="38"/>
      <c r="B11" s="73"/>
      <c r="C11" s="105"/>
      <c r="D11" s="105"/>
      <c r="E11" s="105"/>
      <c r="F11" s="105"/>
      <c r="G11" s="106"/>
      <c r="H11" s="106"/>
      <c r="I11" s="106"/>
      <c r="J11" s="106"/>
      <c r="K11" s="68"/>
      <c r="L11" s="102" t="s">
        <v>3</v>
      </c>
      <c r="M11" s="69"/>
      <c r="N11" s="70"/>
      <c r="O11" s="69"/>
      <c r="P11" s="71"/>
      <c r="Q11" s="69"/>
      <c r="R11" s="69"/>
      <c r="S11" s="69"/>
      <c r="T11" s="69"/>
      <c r="U11" s="69"/>
      <c r="V11" s="69"/>
      <c r="W11" s="68"/>
      <c r="X11" s="69"/>
      <c r="Y11" s="69"/>
    </row>
    <row r="12" customFormat="false" ht="15.75" hidden="false" customHeight="false" outlineLevel="0" collapsed="false">
      <c r="A12" s="613" t="s">
        <v>31</v>
      </c>
      <c r="B12" s="614" t="s">
        <v>32</v>
      </c>
      <c r="C12" s="105" t="n">
        <v>12398</v>
      </c>
      <c r="D12" s="105" t="n">
        <v>15795</v>
      </c>
      <c r="E12" s="105" t="n">
        <v>16748</v>
      </c>
      <c r="F12" s="105" t="n">
        <v>5271</v>
      </c>
      <c r="G12" s="106" t="n">
        <v>3840</v>
      </c>
      <c r="H12" s="106" t="n">
        <v>13910</v>
      </c>
      <c r="I12" s="106" t="n">
        <v>14037</v>
      </c>
      <c r="J12" s="106" t="n">
        <v>30439</v>
      </c>
      <c r="K12" s="68" t="n">
        <v>20282</v>
      </c>
      <c r="L12" s="68" t="n">
        <v>26404</v>
      </c>
      <c r="M12" s="69" t="n">
        <f aca="false">63084921/1000</f>
        <v>63084.921</v>
      </c>
      <c r="N12" s="70" t="n">
        <f aca="false">44869587.07/1000</f>
        <v>44869.58707</v>
      </c>
      <c r="O12" s="69"/>
      <c r="P12" s="71"/>
      <c r="Q12" s="69"/>
      <c r="R12" s="69"/>
      <c r="S12" s="69"/>
      <c r="T12" s="69"/>
      <c r="U12" s="69"/>
      <c r="V12" s="69"/>
      <c r="W12" s="68"/>
      <c r="X12" s="69"/>
      <c r="Y12" s="69"/>
      <c r="AH12" s="617"/>
      <c r="AI12" s="206" t="s">
        <v>54</v>
      </c>
      <c r="AJ12" s="1" t="s">
        <v>332</v>
      </c>
    </row>
    <row r="13" customFormat="false" ht="15.75" hidden="false" customHeight="false" outlineLevel="0" collapsed="false">
      <c r="A13" s="38"/>
      <c r="B13" s="73"/>
      <c r="C13" s="105"/>
      <c r="D13" s="105"/>
      <c r="E13" s="105"/>
      <c r="F13" s="105"/>
      <c r="G13" s="106"/>
      <c r="H13" s="106"/>
      <c r="I13" s="106"/>
      <c r="J13" s="106"/>
      <c r="K13" s="68"/>
      <c r="L13" s="102" t="s">
        <v>3</v>
      </c>
      <c r="M13" s="69"/>
      <c r="N13" s="70"/>
      <c r="O13" s="69"/>
      <c r="P13" s="71"/>
      <c r="Q13" s="69"/>
      <c r="R13" s="69"/>
      <c r="S13" s="69"/>
      <c r="T13" s="69"/>
      <c r="U13" s="69"/>
      <c r="V13" s="69"/>
      <c r="W13" s="68"/>
      <c r="X13" s="69"/>
      <c r="Y13" s="69"/>
    </row>
    <row r="14" customFormat="false" ht="15.75" hidden="false" customHeight="false" outlineLevel="0" collapsed="false">
      <c r="A14" s="613" t="s">
        <v>33</v>
      </c>
      <c r="B14" s="614" t="s">
        <v>34</v>
      </c>
      <c r="C14" s="105" t="n">
        <v>0</v>
      </c>
      <c r="D14" s="105" t="n">
        <v>112</v>
      </c>
      <c r="E14" s="105" t="n">
        <v>1812</v>
      </c>
      <c r="F14" s="105" t="n">
        <v>1685</v>
      </c>
      <c r="G14" s="106" t="n">
        <v>1836</v>
      </c>
      <c r="H14" s="106" t="n">
        <v>1908</v>
      </c>
      <c r="I14" s="106" t="n">
        <v>2651</v>
      </c>
      <c r="J14" s="106" t="n">
        <v>1122</v>
      </c>
      <c r="K14" s="68" t="n">
        <v>1928</v>
      </c>
      <c r="L14" s="68" t="n">
        <v>10930</v>
      </c>
      <c r="M14" s="69" t="n">
        <f aca="false">2265106/1000</f>
        <v>2265.106</v>
      </c>
      <c r="N14" s="70" t="n">
        <f aca="false">4261387.88/1000</f>
        <v>4261.38788</v>
      </c>
      <c r="O14" s="69"/>
      <c r="P14" s="71"/>
      <c r="Q14" s="69"/>
      <c r="R14" s="69"/>
      <c r="S14" s="69"/>
      <c r="T14" s="69"/>
      <c r="U14" s="69"/>
      <c r="V14" s="69"/>
      <c r="W14" s="68"/>
      <c r="X14" s="69"/>
      <c r="Y14" s="69"/>
      <c r="AH14" s="618"/>
      <c r="AI14" s="206" t="s">
        <v>54</v>
      </c>
      <c r="AJ14" s="1" t="s">
        <v>333</v>
      </c>
    </row>
    <row r="15" customFormat="false" ht="15.75" hidden="false" customHeight="false" outlineLevel="0" collapsed="false">
      <c r="A15" s="38"/>
      <c r="B15" s="73"/>
      <c r="C15" s="105"/>
      <c r="D15" s="105"/>
      <c r="E15" s="105"/>
      <c r="F15" s="105"/>
      <c r="G15" s="106"/>
      <c r="H15" s="106"/>
      <c r="I15" s="106"/>
      <c r="J15" s="106"/>
      <c r="K15" s="68"/>
      <c r="L15" s="102" t="s">
        <v>3</v>
      </c>
      <c r="M15" s="69"/>
      <c r="N15" s="70"/>
      <c r="O15" s="69"/>
      <c r="P15" s="71"/>
      <c r="Q15" s="69"/>
      <c r="R15" s="69"/>
      <c r="S15" s="69"/>
      <c r="T15" s="69"/>
      <c r="U15" s="69"/>
      <c r="V15" s="69"/>
      <c r="W15" s="68"/>
      <c r="X15" s="69"/>
      <c r="Y15" s="69"/>
    </row>
    <row r="16" customFormat="false" ht="15.75" hidden="false" customHeight="false" outlineLevel="0" collapsed="false">
      <c r="A16" s="613" t="s">
        <v>35</v>
      </c>
      <c r="B16" s="614" t="s">
        <v>36</v>
      </c>
      <c r="C16" s="105" t="n">
        <v>0</v>
      </c>
      <c r="D16" s="105" t="n">
        <v>0</v>
      </c>
      <c r="E16" s="105" t="n">
        <v>0</v>
      </c>
      <c r="F16" s="105" t="n">
        <v>534</v>
      </c>
      <c r="G16" s="106" t="n">
        <v>2189</v>
      </c>
      <c r="H16" s="106" t="n">
        <v>1049</v>
      </c>
      <c r="I16" s="106" t="n">
        <v>4107</v>
      </c>
      <c r="J16" s="106" t="n">
        <v>593</v>
      </c>
      <c r="K16" s="68" t="n">
        <v>263</v>
      </c>
      <c r="L16" s="68" t="n">
        <v>228</v>
      </c>
      <c r="M16" s="69" t="n">
        <f aca="false">3221760/1000</f>
        <v>3221.76</v>
      </c>
      <c r="N16" s="70" t="n">
        <f aca="false">1412467.98/1000</f>
        <v>1412.46798</v>
      </c>
      <c r="O16" s="69"/>
      <c r="P16" s="71"/>
      <c r="Q16" s="69"/>
      <c r="R16" s="69"/>
      <c r="S16" s="69"/>
      <c r="T16" s="69"/>
      <c r="U16" s="69"/>
      <c r="V16" s="69"/>
      <c r="W16" s="68"/>
      <c r="X16" s="69"/>
      <c r="Y16" s="69"/>
    </row>
    <row r="17" customFormat="false" ht="15.75" hidden="false" customHeight="false" outlineLevel="0" collapsed="false">
      <c r="A17" s="38" t="s">
        <v>3</v>
      </c>
      <c r="B17" s="73"/>
      <c r="C17" s="105"/>
      <c r="D17" s="105"/>
      <c r="E17" s="105"/>
      <c r="F17" s="105"/>
      <c r="G17" s="106"/>
      <c r="H17" s="106"/>
      <c r="I17" s="106"/>
      <c r="J17" s="106"/>
      <c r="K17" s="68"/>
      <c r="L17" s="102" t="s">
        <v>3</v>
      </c>
      <c r="M17" s="69"/>
      <c r="N17" s="70"/>
      <c r="O17" s="69"/>
      <c r="P17" s="71"/>
      <c r="Q17" s="69"/>
      <c r="R17" s="69"/>
      <c r="S17" s="69"/>
      <c r="T17" s="69"/>
      <c r="U17" s="69"/>
      <c r="V17" s="69"/>
      <c r="W17" s="68"/>
      <c r="X17" s="69"/>
      <c r="Y17" s="69"/>
    </row>
    <row r="18" customFormat="false" ht="15.75" hidden="false" customHeight="false" outlineLevel="0" collapsed="false">
      <c r="A18" s="613" t="s">
        <v>37</v>
      </c>
      <c r="B18" s="614" t="s">
        <v>38</v>
      </c>
      <c r="C18" s="105" t="n">
        <v>0</v>
      </c>
      <c r="D18" s="105" t="n">
        <v>0</v>
      </c>
      <c r="E18" s="105" t="n">
        <v>22</v>
      </c>
      <c r="F18" s="105" t="n">
        <v>17</v>
      </c>
      <c r="G18" s="106" t="n">
        <v>1519</v>
      </c>
      <c r="H18" s="106" t="n">
        <v>7236</v>
      </c>
      <c r="I18" s="106" t="n">
        <v>9134</v>
      </c>
      <c r="J18" s="106" t="n">
        <v>1935</v>
      </c>
      <c r="K18" s="68" t="n">
        <v>3025</v>
      </c>
      <c r="L18" s="68" t="n">
        <v>1257</v>
      </c>
      <c r="M18" s="69" t="n">
        <f aca="false">2598077/1000</f>
        <v>2598.077</v>
      </c>
      <c r="N18" s="70" t="n">
        <f aca="false">5091820.86/1000</f>
        <v>5091.82086</v>
      </c>
      <c r="O18" s="69"/>
      <c r="P18" s="71"/>
      <c r="Q18" s="69"/>
      <c r="R18" s="69"/>
      <c r="S18" s="69"/>
      <c r="T18" s="69"/>
      <c r="U18" s="69"/>
      <c r="V18" s="69"/>
      <c r="W18" s="68"/>
      <c r="X18" s="69"/>
      <c r="Y18" s="69"/>
    </row>
    <row r="19" customFormat="false" ht="15.75" hidden="false" customHeight="false" outlineLevel="0" collapsed="false">
      <c r="A19" s="38"/>
      <c r="B19" s="73"/>
      <c r="C19" s="105"/>
      <c r="D19" s="105"/>
      <c r="E19" s="105"/>
      <c r="F19" s="105"/>
      <c r="G19" s="106"/>
      <c r="H19" s="106"/>
      <c r="I19" s="106"/>
      <c r="J19" s="106"/>
      <c r="K19" s="68"/>
      <c r="L19" s="102" t="s">
        <v>3</v>
      </c>
      <c r="M19" s="69"/>
      <c r="N19" s="70"/>
      <c r="O19" s="69"/>
      <c r="P19" s="71"/>
      <c r="Q19" s="69"/>
      <c r="R19" s="69"/>
      <c r="S19" s="69"/>
      <c r="T19" s="69"/>
      <c r="U19" s="69"/>
      <c r="V19" s="69"/>
      <c r="W19" s="68"/>
      <c r="X19" s="69"/>
      <c r="Y19" s="69"/>
    </row>
    <row r="20" customFormat="false" ht="15.75" hidden="false" customHeight="false" outlineLevel="0" collapsed="false">
      <c r="A20" s="613" t="s">
        <v>39</v>
      </c>
      <c r="B20" s="614" t="s">
        <v>40</v>
      </c>
      <c r="C20" s="105" t="n">
        <f aca="false">877+650</f>
        <v>1527</v>
      </c>
      <c r="D20" s="105" t="n">
        <f aca="false">462+905</f>
        <v>1367</v>
      </c>
      <c r="E20" s="105" t="n">
        <f aca="false">15+825</f>
        <v>840</v>
      </c>
      <c r="F20" s="105" t="n">
        <v>0</v>
      </c>
      <c r="G20" s="106" t="n">
        <v>0</v>
      </c>
      <c r="H20" s="106" t="n">
        <v>0</v>
      </c>
      <c r="I20" s="106" t="n">
        <v>0</v>
      </c>
      <c r="J20" s="106" t="n">
        <v>0</v>
      </c>
      <c r="K20" s="68" t="n">
        <v>340</v>
      </c>
      <c r="L20" s="68" t="n">
        <v>351</v>
      </c>
      <c r="M20" s="69" t="n">
        <f aca="false">166973/1000</f>
        <v>166.973</v>
      </c>
      <c r="N20" s="70" t="n">
        <f aca="false">462879.65/1000</f>
        <v>462.87965</v>
      </c>
      <c r="O20" s="69"/>
      <c r="P20" s="71"/>
      <c r="Q20" s="69"/>
      <c r="R20" s="69"/>
      <c r="S20" s="69"/>
      <c r="T20" s="69"/>
      <c r="U20" s="69"/>
      <c r="V20" s="69"/>
      <c r="W20" s="68"/>
      <c r="X20" s="69"/>
      <c r="Y20" s="69"/>
    </row>
    <row r="21" customFormat="false" ht="15.75" hidden="false" customHeight="false" outlineLevel="0" collapsed="false">
      <c r="A21" s="38"/>
      <c r="B21" s="73"/>
      <c r="C21" s="105"/>
      <c r="D21" s="105"/>
      <c r="E21" s="105"/>
      <c r="F21" s="105"/>
      <c r="G21" s="106"/>
      <c r="H21" s="106"/>
      <c r="I21" s="106"/>
      <c r="J21" s="106"/>
      <c r="K21" s="68"/>
      <c r="L21" s="102" t="s">
        <v>3</v>
      </c>
      <c r="M21" s="69"/>
      <c r="N21" s="70"/>
      <c r="O21" s="69"/>
      <c r="P21" s="71"/>
      <c r="Q21" s="69"/>
      <c r="R21" s="69"/>
      <c r="S21" s="69"/>
      <c r="T21" s="69"/>
      <c r="U21" s="69"/>
      <c r="V21" s="69"/>
      <c r="W21" s="68"/>
      <c r="X21" s="69"/>
      <c r="Y21" s="69"/>
    </row>
    <row r="22" customFormat="false" ht="15.75" hidden="false" customHeight="false" outlineLevel="0" collapsed="false">
      <c r="A22" s="613" t="s">
        <v>41</v>
      </c>
      <c r="B22" s="563" t="s">
        <v>42</v>
      </c>
      <c r="C22" s="105"/>
      <c r="D22" s="105"/>
      <c r="E22" s="105"/>
      <c r="F22" s="105"/>
      <c r="G22" s="106"/>
      <c r="H22" s="106"/>
      <c r="I22" s="106"/>
      <c r="J22" s="106"/>
      <c r="K22" s="68"/>
      <c r="L22" s="102"/>
      <c r="M22" s="69" t="n">
        <f aca="false">496722/1000</f>
        <v>496.722</v>
      </c>
      <c r="N22" s="70" t="n">
        <f aca="false">628471.35/1000</f>
        <v>628.47135</v>
      </c>
      <c r="O22" s="69"/>
      <c r="P22" s="71"/>
      <c r="Q22" s="69"/>
      <c r="R22" s="69"/>
      <c r="S22" s="69"/>
      <c r="T22" s="69"/>
      <c r="U22" s="69"/>
      <c r="V22" s="69"/>
      <c r="W22" s="68"/>
      <c r="X22" s="69"/>
      <c r="Y22" s="69"/>
    </row>
    <row r="23" customFormat="false" ht="15.75" hidden="false" customHeight="false" outlineLevel="0" collapsed="false">
      <c r="A23" s="38"/>
      <c r="B23" s="37"/>
      <c r="C23" s="106"/>
      <c r="D23" s="108"/>
      <c r="E23" s="106"/>
      <c r="F23" s="106"/>
      <c r="G23" s="106"/>
      <c r="H23" s="106"/>
      <c r="I23" s="106"/>
      <c r="J23" s="106"/>
      <c r="K23" s="68"/>
      <c r="L23" s="68"/>
      <c r="M23" s="109"/>
      <c r="N23" s="110"/>
      <c r="O23" s="69"/>
      <c r="P23" s="71"/>
      <c r="Q23" s="69"/>
      <c r="R23" s="69"/>
      <c r="S23" s="69"/>
      <c r="T23" s="69"/>
      <c r="U23" s="69"/>
      <c r="V23" s="69"/>
      <c r="W23" s="68"/>
      <c r="X23" s="69"/>
      <c r="Y23" s="69"/>
    </row>
    <row r="24" customFormat="false" ht="15.75" hidden="false" customHeight="false" outlineLevel="0" collapsed="false">
      <c r="A24" s="612" t="s">
        <v>334</v>
      </c>
      <c r="B24" s="112" t="s">
        <v>335</v>
      </c>
      <c r="C24" s="98" t="n">
        <f aca="false">C26+C28</f>
        <v>15363</v>
      </c>
      <c r="D24" s="98" t="n">
        <f aca="false">D26+D28</f>
        <v>15425</v>
      </c>
      <c r="E24" s="98" t="n">
        <f aca="false">E26+E28</f>
        <v>14656</v>
      </c>
      <c r="F24" s="98" t="n">
        <f aca="false">F26+F28</f>
        <v>11956</v>
      </c>
      <c r="G24" s="98" t="n">
        <f aca="false">G26+G28</f>
        <v>12098</v>
      </c>
      <c r="H24" s="98" t="n">
        <f aca="false">H26+H28</f>
        <v>12484</v>
      </c>
      <c r="I24" s="98" t="n">
        <f aca="false">I26+I28</f>
        <v>19236</v>
      </c>
      <c r="J24" s="98" t="n">
        <f aca="false">J26+J28</f>
        <v>13997</v>
      </c>
      <c r="K24" s="98" t="n">
        <f aca="false">K26+K28</f>
        <v>20437</v>
      </c>
      <c r="L24" s="98" t="n">
        <f aca="false">L26+L28</f>
        <v>30083</v>
      </c>
      <c r="M24" s="99" t="n">
        <f aca="false">M26+M28</f>
        <v>28560.129</v>
      </c>
      <c r="N24" s="100" t="n">
        <f aca="false">N26</f>
        <v>35791.91743</v>
      </c>
      <c r="O24" s="99" t="n">
        <f aca="false">O26+O28</f>
        <v>19900</v>
      </c>
      <c r="P24" s="101" t="n">
        <f aca="false">P26</f>
        <v>18700</v>
      </c>
      <c r="Q24" s="99" t="n">
        <f aca="false">Q26</f>
        <v>15400</v>
      </c>
      <c r="R24" s="113" t="n">
        <f aca="false">R26</f>
        <v>17900</v>
      </c>
      <c r="S24" s="113" t="n">
        <f aca="false">S26</f>
        <v>27100</v>
      </c>
      <c r="T24" s="113" t="n">
        <f aca="false">T26</f>
        <v>29800</v>
      </c>
      <c r="U24" s="113" t="n">
        <f aca="false">U26</f>
        <v>28400</v>
      </c>
      <c r="V24" s="113" t="n">
        <f aca="false">V26</f>
        <v>35900</v>
      </c>
      <c r="W24" s="114" t="n">
        <f aca="false">W26</f>
        <v>35000</v>
      </c>
      <c r="X24" s="113" t="n">
        <f aca="false">X26</f>
        <v>30400</v>
      </c>
      <c r="Y24" s="113" t="n">
        <f aca="false">Y26</f>
        <v>30300</v>
      </c>
    </row>
    <row r="25" customFormat="false" ht="15" hidden="false" customHeight="true" outlineLevel="0" collapsed="false">
      <c r="A25" s="38"/>
      <c r="B25" s="76"/>
      <c r="C25" s="78"/>
      <c r="D25" s="78"/>
      <c r="E25" s="3"/>
      <c r="F25" s="78"/>
      <c r="G25" s="78"/>
      <c r="H25" s="78"/>
      <c r="I25" s="78"/>
      <c r="J25" s="78"/>
      <c r="K25" s="79"/>
      <c r="L25" s="80"/>
      <c r="M25" s="81"/>
      <c r="N25" s="444"/>
      <c r="O25" s="82"/>
      <c r="P25" s="83"/>
      <c r="Q25" s="445"/>
      <c r="R25" s="445"/>
      <c r="S25" s="445"/>
      <c r="T25" s="445"/>
      <c r="U25" s="445"/>
      <c r="V25" s="445"/>
      <c r="W25" s="619"/>
      <c r="X25" s="85"/>
      <c r="Y25" s="84"/>
    </row>
    <row r="26" customFormat="false" ht="15.75" hidden="false" customHeight="false" outlineLevel="0" collapsed="false">
      <c r="A26" s="613" t="s">
        <v>336</v>
      </c>
      <c r="B26" s="614" t="s">
        <v>46</v>
      </c>
      <c r="C26" s="105" t="n">
        <f aca="false">7804+6285+1274</f>
        <v>15363</v>
      </c>
      <c r="D26" s="105" t="n">
        <f aca="false">8855+5074+1496</f>
        <v>15425</v>
      </c>
      <c r="E26" s="105" t="n">
        <f aca="false">3741+9223+1208</f>
        <v>14172</v>
      </c>
      <c r="F26" s="105" t="n">
        <f aca="false">3420+4997+1328</f>
        <v>9745</v>
      </c>
      <c r="G26" s="106" t="n">
        <v>9155</v>
      </c>
      <c r="H26" s="106" t="n">
        <v>11112</v>
      </c>
      <c r="I26" s="106" t="n">
        <v>18272</v>
      </c>
      <c r="J26" s="106" t="n">
        <v>13411</v>
      </c>
      <c r="K26" s="68" t="n">
        <v>20437</v>
      </c>
      <c r="L26" s="68" t="n">
        <v>26674</v>
      </c>
      <c r="M26" s="69" t="n">
        <f aca="false">28560129/1000</f>
        <v>28560.129</v>
      </c>
      <c r="N26" s="70" t="n">
        <f aca="false">35791917.43/1000</f>
        <v>35791.91743</v>
      </c>
      <c r="O26" s="69" t="n">
        <v>19900</v>
      </c>
      <c r="P26" s="71" t="n">
        <v>18700</v>
      </c>
      <c r="Q26" s="69" t="n">
        <v>15400</v>
      </c>
      <c r="R26" s="121" t="n">
        <f aca="false">17900</f>
        <v>17900</v>
      </c>
      <c r="S26" s="121" t="n">
        <f aca="false">22100+3000+2000</f>
        <v>27100</v>
      </c>
      <c r="T26" s="109" t="n">
        <f aca="false">24800+5000</f>
        <v>29800</v>
      </c>
      <c r="U26" s="109" t="n">
        <f aca="false">26400+2000</f>
        <v>28400</v>
      </c>
      <c r="V26" s="109" t="n">
        <f aca="false">33900+2000</f>
        <v>35900</v>
      </c>
      <c r="W26" s="122" t="n">
        <f aca="false">34000+1000</f>
        <v>35000</v>
      </c>
      <c r="X26" s="122" t="n">
        <f aca="false">30400</f>
        <v>30400</v>
      </c>
      <c r="Y26" s="109" t="n">
        <v>30300</v>
      </c>
    </row>
    <row r="27" s="3" customFormat="true" ht="15" hidden="false" customHeight="false" outlineLevel="0" collapsed="false">
      <c r="A27" s="56"/>
      <c r="B27" s="73"/>
      <c r="C27" s="124"/>
      <c r="D27" s="125"/>
      <c r="E27" s="124"/>
      <c r="F27" s="124"/>
      <c r="G27" s="124"/>
      <c r="H27" s="124"/>
      <c r="I27" s="124"/>
      <c r="J27" s="124"/>
      <c r="K27" s="126"/>
      <c r="L27" s="102"/>
      <c r="M27" s="127"/>
      <c r="N27" s="128"/>
      <c r="O27" s="129"/>
      <c r="P27" s="130"/>
      <c r="Q27" s="129"/>
      <c r="R27" s="129"/>
      <c r="S27" s="129"/>
      <c r="T27" s="129"/>
      <c r="U27" s="129"/>
      <c r="V27" s="129" t="n">
        <v>3000</v>
      </c>
      <c r="W27" s="126" t="n">
        <v>3000</v>
      </c>
      <c r="X27" s="129" t="n">
        <v>2000</v>
      </c>
      <c r="Y27" s="129" t="n">
        <v>1900</v>
      </c>
    </row>
    <row r="28" customFormat="false" ht="15.75" hidden="false" customHeight="false" outlineLevel="0" collapsed="false">
      <c r="A28" s="613" t="s">
        <v>337</v>
      </c>
      <c r="B28" s="614" t="s">
        <v>48</v>
      </c>
      <c r="C28" s="106" t="n">
        <v>0</v>
      </c>
      <c r="D28" s="108" t="n">
        <v>0</v>
      </c>
      <c r="E28" s="106" t="n">
        <v>484</v>
      </c>
      <c r="F28" s="106" t="n">
        <v>2211</v>
      </c>
      <c r="G28" s="106" t="n">
        <v>2943</v>
      </c>
      <c r="H28" s="106" t="n">
        <v>1372</v>
      </c>
      <c r="I28" s="106" t="n">
        <v>964</v>
      </c>
      <c r="J28" s="106" t="n">
        <v>586</v>
      </c>
      <c r="K28" s="68" t="n">
        <v>0</v>
      </c>
      <c r="L28" s="68" t="n">
        <v>3409</v>
      </c>
      <c r="M28" s="109"/>
      <c r="N28" s="110"/>
      <c r="O28" s="69"/>
      <c r="P28" s="71"/>
      <c r="Q28" s="69"/>
      <c r="R28" s="69"/>
      <c r="S28" s="69"/>
      <c r="T28" s="69"/>
      <c r="U28" s="69"/>
      <c r="V28" s="69"/>
      <c r="W28" s="68"/>
      <c r="X28" s="69"/>
      <c r="Y28" s="69"/>
    </row>
    <row r="29" customFormat="false" ht="15" hidden="false" customHeight="false" outlineLevel="0" collapsed="false">
      <c r="A29" s="56"/>
      <c r="B29" s="73"/>
      <c r="C29" s="56"/>
      <c r="D29" s="57"/>
      <c r="E29" s="56"/>
      <c r="F29" s="56"/>
      <c r="G29" s="56"/>
      <c r="H29" s="56"/>
      <c r="I29" s="56"/>
      <c r="J29" s="132" t="s">
        <v>3</v>
      </c>
      <c r="K29" s="133" t="s">
        <v>3</v>
      </c>
      <c r="L29" s="134" t="s">
        <v>3</v>
      </c>
      <c r="M29" s="135" t="s">
        <v>3</v>
      </c>
      <c r="N29" s="136"/>
      <c r="O29" s="137" t="s">
        <v>3</v>
      </c>
      <c r="P29" s="138" t="s">
        <v>3</v>
      </c>
      <c r="Q29" s="139" t="s">
        <v>3</v>
      </c>
      <c r="R29" s="139" t="s">
        <v>3</v>
      </c>
      <c r="S29" s="139" t="s">
        <v>3</v>
      </c>
      <c r="T29" s="139" t="s">
        <v>3</v>
      </c>
      <c r="U29" s="139" t="s">
        <v>3</v>
      </c>
      <c r="V29" s="139" t="s">
        <v>3</v>
      </c>
      <c r="W29" s="140" t="s">
        <v>3</v>
      </c>
      <c r="X29" s="139" t="s">
        <v>3</v>
      </c>
      <c r="Y29" s="139"/>
    </row>
    <row r="30" customFormat="false" ht="15.75" hidden="false" customHeight="false" outlineLevel="0" collapsed="false">
      <c r="A30" s="610" t="s">
        <v>56</v>
      </c>
      <c r="B30" s="67" t="s">
        <v>57</v>
      </c>
      <c r="C30" s="177" t="e">
        <f aca="false">C32+C113+C133</f>
        <v>#REF!</v>
      </c>
      <c r="D30" s="177" t="e">
        <f aca="false">D32+D113+D133</f>
        <v>#REF!</v>
      </c>
      <c r="E30" s="177" t="e">
        <f aca="false">E32+E113+E133</f>
        <v>#REF!</v>
      </c>
      <c r="F30" s="177" t="e">
        <f aca="false">F32+F113+F133</f>
        <v>#REF!</v>
      </c>
      <c r="G30" s="177" t="e">
        <f aca="false">G32+G113+G133</f>
        <v>#REF!</v>
      </c>
      <c r="H30" s="177" t="e">
        <f aca="false">H32+H113+H133</f>
        <v>#REF!</v>
      </c>
      <c r="I30" s="177" t="e">
        <f aca="false">SUM(I32+I113+I133)</f>
        <v>#REF!</v>
      </c>
      <c r="J30" s="177" t="e">
        <f aca="false">J32+J113+J133</f>
        <v>#REF!</v>
      </c>
      <c r="K30" s="98" t="e">
        <f aca="false">K32+K113+K133</f>
        <v>#REF!</v>
      </c>
      <c r="L30" s="98" t="e">
        <f aca="false">L32+L113+L133</f>
        <v>#REF!</v>
      </c>
      <c r="M30" s="99" t="n">
        <f aca="false">M32+M113+M133</f>
        <v>173212.867</v>
      </c>
      <c r="N30" s="100" t="n">
        <f aca="false">N32+N113+N133</f>
        <v>159004.88825</v>
      </c>
      <c r="O30" s="99" t="e">
        <f aca="false">O32+O113+O133</f>
        <v>#REF!</v>
      </c>
      <c r="P30" s="101" t="e">
        <f aca="false">P32+P113+P133</f>
        <v>#REF!</v>
      </c>
      <c r="Q30" s="98" t="e">
        <f aca="false">Q32+Q113+Q133</f>
        <v>#REF!</v>
      </c>
      <c r="R30" s="98" t="e">
        <f aca="false">R32+R113+R133</f>
        <v>#REF!</v>
      </c>
      <c r="S30" s="98" t="e">
        <f aca="false">S32+S113+S133</f>
        <v>#REF!</v>
      </c>
      <c r="T30" s="98" t="e">
        <f aca="false">T32+T113+T133</f>
        <v>#REF!</v>
      </c>
      <c r="U30" s="98" t="e">
        <f aca="false">U32+U113+U133</f>
        <v>#REF!</v>
      </c>
      <c r="V30" s="98" t="e">
        <f aca="false">V32+V113+V133</f>
        <v>#REF!</v>
      </c>
      <c r="W30" s="98" t="e">
        <f aca="false">W32+W113+W133</f>
        <v>#REF!</v>
      </c>
      <c r="X30" s="99" t="e">
        <f aca="false">X32+X113+X133</f>
        <v>#REF!</v>
      </c>
      <c r="Y30" s="99" t="e">
        <f aca="false">Y32+Y113+Y133</f>
        <v>#REF!</v>
      </c>
    </row>
    <row r="31" customFormat="false" ht="15.75" hidden="false" customHeight="false" outlineLevel="0" collapsed="false">
      <c r="A31" s="56"/>
      <c r="B31" s="190" t="s">
        <v>3</v>
      </c>
      <c r="C31" s="191"/>
      <c r="D31" s="191"/>
      <c r="E31" s="68"/>
      <c r="F31" s="192"/>
      <c r="G31" s="193"/>
      <c r="H31" s="194"/>
      <c r="I31" s="195"/>
      <c r="J31" s="196" t="s">
        <v>3</v>
      </c>
      <c r="K31" s="68" t="s">
        <v>3</v>
      </c>
      <c r="L31" s="167" t="s">
        <v>3</v>
      </c>
      <c r="M31" s="170" t="s">
        <v>3</v>
      </c>
      <c r="N31" s="197"/>
      <c r="O31" s="170" t="s">
        <v>3</v>
      </c>
      <c r="P31" s="198" t="s">
        <v>3</v>
      </c>
      <c r="Q31" s="199" t="s">
        <v>3</v>
      </c>
      <c r="R31" s="199" t="s">
        <v>3</v>
      </c>
      <c r="S31" s="199" t="s">
        <v>3</v>
      </c>
      <c r="T31" s="199" t="s">
        <v>3</v>
      </c>
      <c r="U31" s="199" t="s">
        <v>3</v>
      </c>
      <c r="V31" s="173" t="s">
        <v>3</v>
      </c>
      <c r="W31" s="199" t="s">
        <v>3</v>
      </c>
      <c r="X31" s="173" t="s">
        <v>3</v>
      </c>
      <c r="Y31" s="173"/>
    </row>
    <row r="32" s="201" customFormat="true" ht="15.75" hidden="false" customHeight="false" outlineLevel="0" collapsed="false">
      <c r="A32" s="612" t="s">
        <v>60</v>
      </c>
      <c r="B32" s="112" t="s">
        <v>61</v>
      </c>
      <c r="C32" s="68" t="e">
        <f aca="false">SUM(C34+C47+C92)</f>
        <v>#REF!</v>
      </c>
      <c r="D32" s="68" t="e">
        <f aca="false">SUM(D34+D47+D92)</f>
        <v>#REF!</v>
      </c>
      <c r="E32" s="68" t="e">
        <f aca="false">SUM(E34+E47+E92)</f>
        <v>#REF!</v>
      </c>
      <c r="F32" s="68" t="e">
        <f aca="false">SUM(F34+F47+F92)</f>
        <v>#REF!</v>
      </c>
      <c r="G32" s="68" t="e">
        <f aca="false">SUM(G34+G47+G92)</f>
        <v>#REF!</v>
      </c>
      <c r="H32" s="68" t="e">
        <f aca="false">SUM(H34+H47+H92)</f>
        <v>#REF!</v>
      </c>
      <c r="I32" s="68" t="e">
        <f aca="false">SUM(I34+I47+I92)</f>
        <v>#REF!</v>
      </c>
      <c r="J32" s="68" t="e">
        <f aca="false">SUM(J34+J47+J92)</f>
        <v>#REF!</v>
      </c>
      <c r="K32" s="68" t="e">
        <f aca="false">SUM(K34+K47+K92)</f>
        <v>#REF!</v>
      </c>
      <c r="L32" s="68" t="n">
        <f aca="false">SUM(L34+L47+L92)</f>
        <v>75895</v>
      </c>
      <c r="M32" s="69" t="n">
        <f aca="false">SUM(M34+M47+M92)</f>
        <v>101255.509</v>
      </c>
      <c r="N32" s="70" t="n">
        <f aca="false">SUM(N34+N47+N92)</f>
        <v>80698.71977</v>
      </c>
      <c r="O32" s="69" t="e">
        <f aca="false">SUM(O34+O47+O92)</f>
        <v>#REF!</v>
      </c>
      <c r="P32" s="71" t="e">
        <f aca="false">SUM(P34+P47+P92)</f>
        <v>#REF!</v>
      </c>
      <c r="Q32" s="68" t="e">
        <f aca="false">SUM(Q34+Q47+Q92)</f>
        <v>#REF!</v>
      </c>
      <c r="R32" s="68" t="e">
        <f aca="false">SUM(R34+R47+R92)</f>
        <v>#REF!</v>
      </c>
      <c r="S32" s="68" t="e">
        <f aca="false">SUM(S34+S47+S92)</f>
        <v>#REF!</v>
      </c>
      <c r="T32" s="68" t="e">
        <f aca="false">SUM(T34+T47+T92)</f>
        <v>#REF!</v>
      </c>
      <c r="U32" s="69" t="e">
        <f aca="false">SUM(U34+U47+U92)</f>
        <v>#REF!</v>
      </c>
      <c r="V32" s="69" t="e">
        <f aca="false">SUM(V34+V47+V92)</f>
        <v>#REF!</v>
      </c>
      <c r="W32" s="68" t="e">
        <f aca="false">SUM(W34+W47+W92)</f>
        <v>#REF!</v>
      </c>
      <c r="X32" s="69" t="e">
        <f aca="false">SUM(X34+X47+X92)</f>
        <v>#REF!</v>
      </c>
      <c r="Y32" s="69" t="n">
        <f aca="false">SUM(Y34+Y47+Y92)</f>
        <v>109100</v>
      </c>
    </row>
    <row r="33" customFormat="false" ht="15.75" hidden="false" customHeight="false" outlineLevel="0" collapsed="false">
      <c r="A33" s="38"/>
      <c r="B33" s="73"/>
      <c r="C33" s="68"/>
      <c r="D33" s="126"/>
      <c r="E33" s="126"/>
      <c r="F33" s="126"/>
      <c r="G33" s="126"/>
      <c r="H33" s="126"/>
      <c r="I33" s="167"/>
      <c r="J33" s="202" t="s">
        <v>3</v>
      </c>
      <c r="K33" s="167" t="s">
        <v>3</v>
      </c>
      <c r="L33" s="102" t="s">
        <v>53</v>
      </c>
      <c r="M33" s="88" t="s">
        <v>3</v>
      </c>
      <c r="N33" s="89"/>
      <c r="O33" s="88" t="s">
        <v>3</v>
      </c>
      <c r="P33" s="203"/>
      <c r="Q33" s="168"/>
      <c r="R33" s="168"/>
      <c r="S33" s="168"/>
      <c r="T33" s="168"/>
      <c r="U33" s="168"/>
      <c r="V33" s="168"/>
      <c r="W33" s="204"/>
      <c r="X33" s="168"/>
      <c r="Y33" s="168"/>
    </row>
    <row r="34" customFormat="false" ht="15.75" hidden="false" customHeight="false" outlineLevel="0" collapsed="false">
      <c r="A34" s="620" t="s">
        <v>338</v>
      </c>
      <c r="B34" s="614" t="s">
        <v>64</v>
      </c>
      <c r="C34" s="177" t="e">
        <f aca="false">SUM(C36:C43)+C45</f>
        <v>#REF!</v>
      </c>
      <c r="D34" s="177" t="e">
        <f aca="false">SUM(D36:D43)+D45</f>
        <v>#REF!</v>
      </c>
      <c r="E34" s="177" t="e">
        <f aca="false">SUM(E36:E43)+E45</f>
        <v>#REF!</v>
      </c>
      <c r="F34" s="177" t="e">
        <f aca="false">SUM(F36:F43)+F45</f>
        <v>#REF!</v>
      </c>
      <c r="G34" s="177" t="e">
        <f aca="false">SUM(G36:G43)+G45</f>
        <v>#REF!</v>
      </c>
      <c r="H34" s="177" t="e">
        <f aca="false">SUM(H36:H43)+H45</f>
        <v>#REF!</v>
      </c>
      <c r="I34" s="177" t="e">
        <f aca="false">SUM(I36:I43)+I45</f>
        <v>#REF!</v>
      </c>
      <c r="J34" s="177" t="n">
        <f aca="false">SUM(J36:J43)+J45</f>
        <v>16263</v>
      </c>
      <c r="K34" s="98" t="n">
        <f aca="false">SUM(K36:K43)+K45</f>
        <v>16090</v>
      </c>
      <c r="L34" s="98" t="n">
        <f aca="false">SUM(L36:L43)+L45</f>
        <v>22765</v>
      </c>
      <c r="M34" s="99" t="n">
        <f aca="false">SUM(M36:M43)+M45</f>
        <v>31799.676</v>
      </c>
      <c r="N34" s="100" t="n">
        <f aca="false">SUM(N36:N43)+N45</f>
        <v>27027.32932</v>
      </c>
      <c r="O34" s="99" t="e">
        <f aca="false">SUM(O36:O43)+O45</f>
        <v>#REF!</v>
      </c>
      <c r="P34" s="101" t="e">
        <f aca="false">SUM(P36:P43)+P45</f>
        <v>#REF!</v>
      </c>
      <c r="Q34" s="98" t="e">
        <f aca="false">SUM(Q36:Q43)+Q45</f>
        <v>#REF!</v>
      </c>
      <c r="R34" s="98" t="e">
        <f aca="false">SUM(R36:R43)+R45</f>
        <v>#REF!</v>
      </c>
      <c r="S34" s="98" t="e">
        <f aca="false">SUM(S36:S43)+S45</f>
        <v>#REF!</v>
      </c>
      <c r="T34" s="98" t="e">
        <f aca="false">SUM(T36:T43)+T45</f>
        <v>#REF!</v>
      </c>
      <c r="U34" s="99" t="e">
        <f aca="false">SUM(U36:U43)+U45</f>
        <v>#REF!</v>
      </c>
      <c r="V34" s="99" t="e">
        <f aca="false">SUM(V36:V43)+V45</f>
        <v>#REF!</v>
      </c>
      <c r="W34" s="98" t="e">
        <f aca="false">SUM(W36:W43)+W45</f>
        <v>#REF!</v>
      </c>
      <c r="X34" s="99" t="n">
        <f aca="false">SUM(X36:X43)+X45</f>
        <v>44300</v>
      </c>
      <c r="Y34" s="99" t="n">
        <f aca="false">SUM(Y36:Y43)+Y45</f>
        <v>38500</v>
      </c>
    </row>
    <row r="35" customFormat="false" ht="13.5" hidden="false" customHeight="true" outlineLevel="0" collapsed="false">
      <c r="A35" s="56"/>
      <c r="B35" s="73"/>
      <c r="C35" s="119"/>
      <c r="D35" s="119"/>
      <c r="E35" s="119"/>
      <c r="F35" s="208"/>
      <c r="G35" s="92"/>
      <c r="H35" s="209"/>
      <c r="I35" s="210"/>
      <c r="J35" s="211"/>
      <c r="K35" s="167"/>
      <c r="L35" s="102"/>
      <c r="M35" s="170"/>
      <c r="N35" s="197"/>
      <c r="O35" s="170"/>
      <c r="P35" s="203"/>
      <c r="Q35" s="168"/>
      <c r="R35" s="168"/>
      <c r="S35" s="168"/>
      <c r="T35" s="168"/>
      <c r="U35" s="168"/>
      <c r="V35" s="168"/>
      <c r="W35" s="204"/>
      <c r="X35" s="168"/>
      <c r="Y35" s="168"/>
    </row>
    <row r="36" s="3" customFormat="true" ht="15" hidden="false" customHeight="false" outlineLevel="0" collapsed="false">
      <c r="A36" s="38"/>
      <c r="B36" s="621" t="s">
        <v>65</v>
      </c>
      <c r="C36" s="212" t="n">
        <v>3973.26767</v>
      </c>
      <c r="D36" s="212" t="n">
        <v>3074.334</v>
      </c>
      <c r="E36" s="212" t="n">
        <v>1552</v>
      </c>
      <c r="F36" s="212" t="n">
        <v>706</v>
      </c>
      <c r="G36" s="212" t="n">
        <v>461</v>
      </c>
      <c r="H36" s="212" t="n">
        <v>632</v>
      </c>
      <c r="I36" s="212" t="n">
        <v>222</v>
      </c>
      <c r="J36" s="212" t="n">
        <v>674</v>
      </c>
      <c r="K36" s="68" t="n">
        <v>185</v>
      </c>
      <c r="L36" s="68" t="n">
        <v>1063</v>
      </c>
      <c r="M36" s="69" t="n">
        <f aca="false">1117697/1000</f>
        <v>1117.697</v>
      </c>
      <c r="N36" s="70" t="n">
        <f aca="false">723498.77/1000</f>
        <v>723.49877</v>
      </c>
      <c r="O36" s="69" t="n">
        <v>2200</v>
      </c>
      <c r="P36" s="71" t="n">
        <f aca="false">2600-400</f>
        <v>2200</v>
      </c>
      <c r="Q36" s="69" t="n">
        <f aca="false">3200-500</f>
        <v>2700</v>
      </c>
      <c r="R36" s="69" t="n">
        <f aca="false">3000+300</f>
        <v>3300</v>
      </c>
      <c r="S36" s="69" t="n">
        <f aca="false">3500-1000</f>
        <v>2500</v>
      </c>
      <c r="T36" s="69" t="n">
        <v>1500</v>
      </c>
      <c r="U36" s="69" t="n">
        <v>3200</v>
      </c>
      <c r="V36" s="69" t="n">
        <v>6200</v>
      </c>
      <c r="W36" s="68" t="n">
        <v>4200</v>
      </c>
      <c r="X36" s="69" t="n">
        <v>4200</v>
      </c>
      <c r="Y36" s="69" t="n">
        <v>4200</v>
      </c>
      <c r="AH36" s="1"/>
    </row>
    <row r="37" s="3" customFormat="true" ht="15" hidden="false" customHeight="false" outlineLevel="0" collapsed="false">
      <c r="A37" s="38"/>
      <c r="B37" s="621" t="s">
        <v>67</v>
      </c>
      <c r="C37" s="212" t="n">
        <v>3190.94401</v>
      </c>
      <c r="D37" s="212" t="n">
        <v>2460.841</v>
      </c>
      <c r="E37" s="212" t="n">
        <v>3893</v>
      </c>
      <c r="F37" s="212" t="n">
        <v>3719</v>
      </c>
      <c r="G37" s="212" t="n">
        <v>1490</v>
      </c>
      <c r="H37" s="212" t="n">
        <v>1225</v>
      </c>
      <c r="I37" s="212" t="n">
        <v>781</v>
      </c>
      <c r="J37" s="212" t="n">
        <v>1159</v>
      </c>
      <c r="K37" s="68" t="n">
        <v>421</v>
      </c>
      <c r="L37" s="68" t="n">
        <v>1642</v>
      </c>
      <c r="M37" s="69" t="n">
        <f aca="false">5584953/1000</f>
        <v>5584.953</v>
      </c>
      <c r="N37" s="70" t="n">
        <f aca="false">4018036.6/1000</f>
        <v>4018.0366</v>
      </c>
      <c r="O37" s="69" t="n">
        <v>3600</v>
      </c>
      <c r="P37" s="71" t="n">
        <f aca="false">2900-900</f>
        <v>2000</v>
      </c>
      <c r="Q37" s="69" t="n">
        <f aca="false">3000+500</f>
        <v>3500</v>
      </c>
      <c r="R37" s="69" t="n">
        <f aca="false">3200-1500</f>
        <v>1700</v>
      </c>
      <c r="S37" s="69" t="n">
        <f aca="false">3300-1100</f>
        <v>2200</v>
      </c>
      <c r="T37" s="69" t="n">
        <f aca="false">3400+1300-1000-500</f>
        <v>3200</v>
      </c>
      <c r="U37" s="69" t="n">
        <f aca="false">2300+300</f>
        <v>2600</v>
      </c>
      <c r="V37" s="69" t="n">
        <f aca="false">2100+1000+500</f>
        <v>3600</v>
      </c>
      <c r="W37" s="68" t="n">
        <v>2100</v>
      </c>
      <c r="X37" s="69" t="n">
        <v>2300</v>
      </c>
      <c r="Y37" s="69" t="n">
        <v>2300</v>
      </c>
      <c r="AH37" s="1"/>
    </row>
    <row r="38" s="3" customFormat="true" ht="15" hidden="false" customHeight="false" outlineLevel="0" collapsed="false">
      <c r="A38" s="38"/>
      <c r="B38" s="621" t="s">
        <v>68</v>
      </c>
      <c r="C38" s="212" t="n">
        <v>1935</v>
      </c>
      <c r="D38" s="212" t="n">
        <v>2533.019</v>
      </c>
      <c r="E38" s="212" t="n">
        <v>1382</v>
      </c>
      <c r="F38" s="212" t="n">
        <v>974</v>
      </c>
      <c r="G38" s="212" t="n">
        <v>1029</v>
      </c>
      <c r="H38" s="212" t="n">
        <v>395</v>
      </c>
      <c r="I38" s="212" t="n">
        <v>475</v>
      </c>
      <c r="J38" s="212" t="n">
        <v>1034</v>
      </c>
      <c r="K38" s="68" t="n">
        <v>225</v>
      </c>
      <c r="L38" s="68" t="n">
        <v>1833</v>
      </c>
      <c r="M38" s="69" t="n">
        <f aca="false">7312851/1000</f>
        <v>7312.851</v>
      </c>
      <c r="N38" s="70" t="n">
        <f aca="false">13074170.16/1000</f>
        <v>13074.17016</v>
      </c>
      <c r="O38" s="69" t="n">
        <v>1600</v>
      </c>
      <c r="P38" s="71" t="n">
        <f aca="false">2400-300</f>
        <v>2100</v>
      </c>
      <c r="Q38" s="69" t="n">
        <f aca="false">1800-800</f>
        <v>1000</v>
      </c>
      <c r="R38" s="69" t="n">
        <f aca="false">1500-1000</f>
        <v>500</v>
      </c>
      <c r="S38" s="69" t="n">
        <v>1000</v>
      </c>
      <c r="T38" s="69" t="n">
        <v>2800</v>
      </c>
      <c r="U38" s="69" t="n">
        <v>3000</v>
      </c>
      <c r="V38" s="69" t="n">
        <v>3000</v>
      </c>
      <c r="W38" s="68" t="n">
        <v>3000</v>
      </c>
      <c r="X38" s="69" t="n">
        <v>3000</v>
      </c>
      <c r="Y38" s="69" t="n">
        <v>3000</v>
      </c>
      <c r="AG38" s="201"/>
      <c r="AI38" s="1"/>
    </row>
    <row r="39" s="3" customFormat="true" ht="15" hidden="false" customHeight="false" outlineLevel="0" collapsed="false">
      <c r="A39" s="38"/>
      <c r="B39" s="621" t="s">
        <v>69</v>
      </c>
      <c r="C39" s="212" t="n">
        <v>808.60706</v>
      </c>
      <c r="D39" s="212" t="n">
        <v>1597.545</v>
      </c>
      <c r="E39" s="212" t="n">
        <v>1942</v>
      </c>
      <c r="F39" s="212" t="n">
        <v>2220</v>
      </c>
      <c r="G39" s="212" t="n">
        <v>983</v>
      </c>
      <c r="H39" s="212" t="n">
        <v>1595</v>
      </c>
      <c r="I39" s="212" t="n">
        <v>2294</v>
      </c>
      <c r="J39" s="212" t="n">
        <v>201</v>
      </c>
      <c r="K39" s="68" t="n">
        <v>535</v>
      </c>
      <c r="L39" s="68" t="n">
        <v>687</v>
      </c>
      <c r="M39" s="69" t="n">
        <f aca="false">1401029/1000</f>
        <v>1401.029</v>
      </c>
      <c r="N39" s="70" t="n">
        <f aca="false">378270.25/1000</f>
        <v>378.27025</v>
      </c>
      <c r="O39" s="69" t="n">
        <v>2300</v>
      </c>
      <c r="P39" s="71" t="n">
        <v>2400</v>
      </c>
      <c r="Q39" s="69" t="n">
        <v>2200</v>
      </c>
      <c r="R39" s="69" t="n">
        <v>2000</v>
      </c>
      <c r="S39" s="109" t="n">
        <f aca="false">1700+2000</f>
        <v>3700</v>
      </c>
      <c r="T39" s="109" t="n">
        <f aca="false">2000+3000</f>
        <v>5000</v>
      </c>
      <c r="U39" s="109" t="n">
        <f aca="false">2000+5000</f>
        <v>7000</v>
      </c>
      <c r="V39" s="109" t="n">
        <f aca="false">2300+5000</f>
        <v>7300</v>
      </c>
      <c r="W39" s="122" t="n">
        <f aca="false">2400+5000</f>
        <v>7400</v>
      </c>
      <c r="X39" s="109" t="n">
        <f aca="false">3700+5000</f>
        <v>8700</v>
      </c>
      <c r="Y39" s="69" t="n">
        <f aca="false">3700</f>
        <v>3700</v>
      </c>
    </row>
    <row r="40" s="3" customFormat="true" ht="15" hidden="false" customHeight="false" outlineLevel="0" collapsed="false">
      <c r="A40" s="38"/>
      <c r="B40" s="621" t="s">
        <v>70</v>
      </c>
      <c r="C40" s="212" t="n">
        <v>7882.45334</v>
      </c>
      <c r="D40" s="212" t="n">
        <v>8745.424</v>
      </c>
      <c r="E40" s="212" t="n">
        <v>5032</v>
      </c>
      <c r="F40" s="212" t="n">
        <v>6068</v>
      </c>
      <c r="G40" s="212" t="n">
        <v>6073</v>
      </c>
      <c r="H40" s="212" t="n">
        <v>3761</v>
      </c>
      <c r="I40" s="212" t="n">
        <v>3039</v>
      </c>
      <c r="J40" s="212" t="n">
        <v>5233</v>
      </c>
      <c r="K40" s="68" t="n">
        <v>5528</v>
      </c>
      <c r="L40" s="68" t="n">
        <v>7784</v>
      </c>
      <c r="M40" s="69" t="n">
        <f aca="false">7229700/1000</f>
        <v>7229.7</v>
      </c>
      <c r="N40" s="70" t="n">
        <f aca="false">3101243.98/1000</f>
        <v>3101.24398</v>
      </c>
      <c r="O40" s="69" t="n">
        <v>2900</v>
      </c>
      <c r="P40" s="71" t="n">
        <v>3600</v>
      </c>
      <c r="Q40" s="69" t="n">
        <v>5200</v>
      </c>
      <c r="R40" s="69" t="n">
        <v>6000</v>
      </c>
      <c r="S40" s="69" t="n">
        <v>4600</v>
      </c>
      <c r="T40" s="69" t="n">
        <v>4000</v>
      </c>
      <c r="U40" s="69" t="n">
        <v>4000</v>
      </c>
      <c r="V40" s="69" t="n">
        <v>7200</v>
      </c>
      <c r="W40" s="68" t="n">
        <v>7200</v>
      </c>
      <c r="X40" s="69" t="n">
        <v>8700</v>
      </c>
      <c r="Y40" s="69" t="n">
        <v>8000</v>
      </c>
    </row>
    <row r="41" s="3" customFormat="true" ht="15" hidden="false" customHeight="false" outlineLevel="0" collapsed="false">
      <c r="A41" s="38"/>
      <c r="B41" s="621" t="s">
        <v>71</v>
      </c>
      <c r="C41" s="212" t="n">
        <v>459.31914</v>
      </c>
      <c r="D41" s="212" t="n">
        <v>1179.832</v>
      </c>
      <c r="E41" s="212" t="n">
        <v>1146</v>
      </c>
      <c r="F41" s="212" t="n">
        <v>1573</v>
      </c>
      <c r="G41" s="212" t="n">
        <v>330</v>
      </c>
      <c r="H41" s="212" t="n">
        <v>1116</v>
      </c>
      <c r="I41" s="212" t="n">
        <v>1073</v>
      </c>
      <c r="J41" s="212" t="n">
        <v>1551</v>
      </c>
      <c r="K41" s="68" t="n">
        <v>1019</v>
      </c>
      <c r="L41" s="68" t="n">
        <v>2253</v>
      </c>
      <c r="M41" s="69" t="n">
        <v>3778</v>
      </c>
      <c r="N41" s="70" t="n">
        <f aca="false">1905728.26/1000</f>
        <v>1905.72826</v>
      </c>
      <c r="O41" s="69" t="n">
        <v>3000</v>
      </c>
      <c r="P41" s="71" t="n">
        <v>1000</v>
      </c>
      <c r="Q41" s="69" t="n">
        <v>600</v>
      </c>
      <c r="R41" s="69" t="n">
        <v>2000</v>
      </c>
      <c r="S41" s="69" t="n">
        <v>2000</v>
      </c>
      <c r="T41" s="69" t="n">
        <v>2000</v>
      </c>
      <c r="U41" s="69" t="n">
        <v>2000</v>
      </c>
      <c r="V41" s="69" t="n">
        <v>2000</v>
      </c>
      <c r="W41" s="68" t="n">
        <v>2000</v>
      </c>
      <c r="X41" s="69" t="n">
        <v>2000</v>
      </c>
      <c r="Y41" s="69" t="n">
        <v>2000</v>
      </c>
    </row>
    <row r="42" s="3" customFormat="true" ht="15" hidden="false" customHeight="false" outlineLevel="0" collapsed="false">
      <c r="A42" s="38"/>
      <c r="B42" s="621" t="s">
        <v>72</v>
      </c>
      <c r="C42" s="212" t="n">
        <v>7022</v>
      </c>
      <c r="D42" s="212" t="n">
        <v>8033.772</v>
      </c>
      <c r="E42" s="212" t="n">
        <v>6227</v>
      </c>
      <c r="F42" s="212" t="n">
        <v>5648</v>
      </c>
      <c r="G42" s="212" t="n">
        <v>5145</v>
      </c>
      <c r="H42" s="212" t="n">
        <v>5556</v>
      </c>
      <c r="I42" s="212" t="n">
        <v>5732</v>
      </c>
      <c r="J42" s="212" t="n">
        <v>4697</v>
      </c>
      <c r="K42" s="68" t="n">
        <v>4478</v>
      </c>
      <c r="L42" s="68" t="n">
        <v>6869</v>
      </c>
      <c r="M42" s="69" t="n">
        <f aca="false">4866716/1000</f>
        <v>4866.716</v>
      </c>
      <c r="N42" s="70" t="n">
        <f aca="false">3492696.12/1000</f>
        <v>3492.69612</v>
      </c>
      <c r="O42" s="69" t="n">
        <v>4200</v>
      </c>
      <c r="P42" s="214" t="n">
        <f aca="false">5700-2300-500</f>
        <v>2900</v>
      </c>
      <c r="Q42" s="109" t="n">
        <f aca="false">4000+500</f>
        <v>4500</v>
      </c>
      <c r="R42" s="69" t="n">
        <f aca="false">5200+2600</f>
        <v>7800</v>
      </c>
      <c r="S42" s="109" t="n">
        <f aca="false">7000-2100</f>
        <v>4900</v>
      </c>
      <c r="T42" s="109" t="n">
        <f aca="false">3600+2100</f>
        <v>5700</v>
      </c>
      <c r="U42" s="69" t="n">
        <f aca="false">3500+8000</f>
        <v>11500</v>
      </c>
      <c r="V42" s="69" t="n">
        <f aca="false">6800+8000</f>
        <v>14800</v>
      </c>
      <c r="W42" s="68" t="n">
        <f aca="false">6800+8000</f>
        <v>14800</v>
      </c>
      <c r="X42" s="69" t="n">
        <f aca="false">6800+8000</f>
        <v>14800</v>
      </c>
      <c r="Y42" s="69" t="n">
        <v>14800</v>
      </c>
    </row>
    <row r="43" s="3" customFormat="true" ht="15" hidden="false" customHeight="false" outlineLevel="0" collapsed="false">
      <c r="A43" s="38"/>
      <c r="B43" s="621" t="s">
        <v>73</v>
      </c>
      <c r="C43" s="212" t="n">
        <v>171</v>
      </c>
      <c r="D43" s="212" t="n">
        <v>79.596</v>
      </c>
      <c r="E43" s="212" t="n">
        <v>27</v>
      </c>
      <c r="F43" s="212" t="n">
        <v>13</v>
      </c>
      <c r="G43" s="212" t="n">
        <v>29</v>
      </c>
      <c r="H43" s="212" t="n">
        <v>47</v>
      </c>
      <c r="I43" s="212" t="n">
        <v>141</v>
      </c>
      <c r="J43" s="212" t="n">
        <v>334</v>
      </c>
      <c r="K43" s="68" t="n">
        <v>9</v>
      </c>
      <c r="L43" s="68" t="n">
        <v>35</v>
      </c>
      <c r="M43" s="69" t="n">
        <f aca="false">3988/1000</f>
        <v>3.988</v>
      </c>
      <c r="N43" s="70" t="n">
        <f aca="false">48628.32/1000</f>
        <v>48.62832</v>
      </c>
      <c r="O43" s="69" t="n">
        <v>300</v>
      </c>
      <c r="P43" s="71" t="n">
        <v>100</v>
      </c>
      <c r="Q43" s="69" t="n">
        <v>100</v>
      </c>
      <c r="R43" s="69" t="n">
        <v>100</v>
      </c>
      <c r="S43" s="69" t="n">
        <v>300</v>
      </c>
      <c r="T43" s="69" t="n">
        <v>300</v>
      </c>
      <c r="U43" s="69" t="n">
        <v>500</v>
      </c>
      <c r="V43" s="69" t="n">
        <v>500</v>
      </c>
      <c r="W43" s="68" t="n">
        <v>500</v>
      </c>
      <c r="X43" s="69" t="n">
        <v>600</v>
      </c>
      <c r="Y43" s="69" t="n">
        <v>500</v>
      </c>
    </row>
    <row r="44" s="3" customFormat="true" ht="15.75" hidden="false" customHeight="false" outlineLevel="0" collapsed="false">
      <c r="A44" s="38"/>
      <c r="B44" s="55"/>
      <c r="C44" s="212"/>
      <c r="D44" s="212"/>
      <c r="E44" s="212"/>
      <c r="F44" s="212"/>
      <c r="G44" s="212"/>
      <c r="H44" s="212"/>
      <c r="I44" s="212"/>
      <c r="J44" s="212"/>
      <c r="K44" s="68"/>
      <c r="L44" s="68"/>
      <c r="M44" s="69"/>
      <c r="N44" s="70"/>
      <c r="O44" s="69"/>
      <c r="P44" s="71"/>
      <c r="Q44" s="69"/>
      <c r="R44" s="69"/>
      <c r="S44" s="69"/>
      <c r="T44" s="69"/>
      <c r="U44" s="69"/>
      <c r="V44" s="69"/>
      <c r="W44" s="68"/>
      <c r="X44" s="69"/>
      <c r="Y44" s="69"/>
    </row>
    <row r="45" customFormat="false" ht="15.75" hidden="false" customHeight="false" outlineLevel="0" collapsed="false">
      <c r="A45" s="56"/>
      <c r="B45" s="622" t="s">
        <v>75</v>
      </c>
      <c r="C45" s="212" t="e">
        <f aca="false">SUM(#REF!)</f>
        <v>#REF!</v>
      </c>
      <c r="D45" s="212" t="e">
        <f aca="false">SUM(#REF!)</f>
        <v>#REF!</v>
      </c>
      <c r="E45" s="212" t="e">
        <f aca="false">SUM(#REF!)</f>
        <v>#REF!</v>
      </c>
      <c r="F45" s="212" t="e">
        <f aca="false">SUM(#REF!)</f>
        <v>#REF!</v>
      </c>
      <c r="G45" s="212" t="e">
        <f aca="false">SUM(#REF!)</f>
        <v>#REF!</v>
      </c>
      <c r="H45" s="212" t="e">
        <f aca="false">SUM(#REF!)</f>
        <v>#REF!</v>
      </c>
      <c r="I45" s="212" t="e">
        <f aca="false">SUM(#REF!)</f>
        <v>#REF!</v>
      </c>
      <c r="J45" s="212" t="n">
        <v>1380</v>
      </c>
      <c r="K45" s="68" t="n">
        <v>3690</v>
      </c>
      <c r="L45" s="68" t="n">
        <v>599</v>
      </c>
      <c r="M45" s="69" t="n">
        <f aca="false">504742/1000</f>
        <v>504.742</v>
      </c>
      <c r="N45" s="70" t="n">
        <f aca="false">285056.86/1000</f>
        <v>285.05686</v>
      </c>
      <c r="O45" s="69" t="e">
        <f aca="false">SUM(#REF!)</f>
        <v>#REF!</v>
      </c>
      <c r="P45" s="71" t="e">
        <f aca="false">SUM(#REF!)</f>
        <v>#REF!</v>
      </c>
      <c r="Q45" s="69" t="e">
        <f aca="false">SUM(#REF!)</f>
        <v>#REF!</v>
      </c>
      <c r="R45" s="69" t="e">
        <f aca="false">SUM(#REF!)</f>
        <v>#REF!</v>
      </c>
      <c r="S45" s="69" t="e">
        <f aca="false">SUM(#REF!)</f>
        <v>#REF!</v>
      </c>
      <c r="T45" s="69" t="e">
        <f aca="false">SUM(#REF!)</f>
        <v>#REF!</v>
      </c>
      <c r="U45" s="69" t="e">
        <f aca="false">SUM(#REF!)</f>
        <v>#REF!</v>
      </c>
      <c r="V45" s="69" t="e">
        <f aca="false">SUM(#REF!)</f>
        <v>#REF!</v>
      </c>
      <c r="W45" s="68" t="e">
        <f aca="false">SUM(#REF!)</f>
        <v>#REF!</v>
      </c>
      <c r="X45" s="69" t="n">
        <f aca="false">SUM(X46:X46)</f>
        <v>0</v>
      </c>
      <c r="Y45" s="69" t="n">
        <f aca="false">SUM(Y46:Y46)</f>
        <v>0</v>
      </c>
    </row>
    <row r="46" customFormat="false" ht="15.75" hidden="false" customHeight="false" outlineLevel="0" collapsed="false">
      <c r="A46" s="56"/>
      <c r="B46" s="73"/>
      <c r="C46" s="212"/>
      <c r="D46" s="212"/>
      <c r="E46" s="212"/>
      <c r="F46" s="212"/>
      <c r="G46" s="212"/>
      <c r="H46" s="212"/>
      <c r="I46" s="229" t="s">
        <v>3</v>
      </c>
      <c r="J46" s="212"/>
      <c r="K46" s="68"/>
      <c r="L46" s="68"/>
      <c r="M46" s="109"/>
      <c r="N46" s="110"/>
      <c r="O46" s="69"/>
      <c r="P46" s="71"/>
      <c r="Q46" s="69"/>
      <c r="R46" s="69"/>
      <c r="S46" s="70"/>
      <c r="T46" s="70"/>
      <c r="U46" s="70"/>
      <c r="V46" s="70"/>
      <c r="W46" s="230"/>
      <c r="X46" s="69"/>
      <c r="Y46" s="69"/>
    </row>
    <row r="47" s="3" customFormat="true" ht="15.75" hidden="false" customHeight="false" outlineLevel="0" collapsed="false">
      <c r="A47" s="613" t="s">
        <v>339</v>
      </c>
      <c r="B47" s="614" t="s">
        <v>87</v>
      </c>
      <c r="C47" s="212" t="e">
        <f aca="false">C49+C62+C64+C68+C79+#REF!</f>
        <v>#REF!</v>
      </c>
      <c r="D47" s="212" t="e">
        <f aca="false">D49+D62+D64+D68+D79+#REF!</f>
        <v>#REF!</v>
      </c>
      <c r="E47" s="212" t="e">
        <f aca="false">E49+E62+E64+E68+E79</f>
        <v>#REF!</v>
      </c>
      <c r="F47" s="212" t="e">
        <f aca="false">F49+F62+F64+F68+F79</f>
        <v>#REF!</v>
      </c>
      <c r="G47" s="212" t="e">
        <f aca="false">G49+G62+G64+G67+G68+G79</f>
        <v>#REF!</v>
      </c>
      <c r="H47" s="212" t="e">
        <f aca="false">H49+H62+H64+H67+H68+H79</f>
        <v>#REF!</v>
      </c>
      <c r="I47" s="212" t="e">
        <f aca="false">I49+I62+I64+I67+I68+I79</f>
        <v>#REF!</v>
      </c>
      <c r="J47" s="212" t="e">
        <f aca="false">J49+J62+J64+J67+J68+J79</f>
        <v>#REF!</v>
      </c>
      <c r="K47" s="68" t="e">
        <f aca="false">K49+K62+K64+K67+K68+K79</f>
        <v>#REF!</v>
      </c>
      <c r="L47" s="68" t="n">
        <f aca="false">L49+L62+L64+L67+L68+L79</f>
        <v>49956</v>
      </c>
      <c r="M47" s="69" t="n">
        <f aca="false">M49+M62+M64+M67+M68+M79</f>
        <v>66202.769</v>
      </c>
      <c r="N47" s="70" t="n">
        <f aca="false">N49+N62+N64+N67+N68+N79</f>
        <v>51230.46394</v>
      </c>
      <c r="O47" s="69" t="e">
        <f aca="false">O49+O62+O64+O67+O68+O79</f>
        <v>#REF!</v>
      </c>
      <c r="P47" s="71" t="e">
        <f aca="false">P49+P62+P64+P67+P68+P79</f>
        <v>#REF!</v>
      </c>
      <c r="Q47" s="68" t="e">
        <f aca="false">Q49+Q62+Q64+Q67+Q68+Q79</f>
        <v>#REF!</v>
      </c>
      <c r="R47" s="68" t="e">
        <f aca="false">R49+R62+R64+R67+R68+R79</f>
        <v>#REF!</v>
      </c>
      <c r="S47" s="68" t="e">
        <f aca="false">S49+S62+S64+S67+S68+S79</f>
        <v>#REF!</v>
      </c>
      <c r="T47" s="68" t="e">
        <f aca="false">T49+T62+T64+T67+T68+T79</f>
        <v>#REF!</v>
      </c>
      <c r="U47" s="68" t="e">
        <f aca="false">U49+U62+U64+U67+U68+U79</f>
        <v>#REF!</v>
      </c>
      <c r="V47" s="69" t="e">
        <f aca="false">V49+V62+V64+V67+V68+V79</f>
        <v>#REF!</v>
      </c>
      <c r="W47" s="68" t="e">
        <f aca="false">W49+W62+W64+W67+W68+W79</f>
        <v>#REF!</v>
      </c>
      <c r="X47" s="69" t="e">
        <f aca="false">X49+X62+X64+X67+X68+X79</f>
        <v>#REF!</v>
      </c>
      <c r="Y47" s="69" t="n">
        <f aca="false">Y49+Y62+Y64+Y67+Y68+Y79</f>
        <v>50500</v>
      </c>
    </row>
    <row r="48" customFormat="false" ht="15" hidden="false" customHeight="false" outlineLevel="0" collapsed="false">
      <c r="A48" s="56"/>
      <c r="B48" s="76"/>
      <c r="C48" s="119"/>
      <c r="D48" s="119"/>
      <c r="E48" s="119"/>
      <c r="F48" s="247"/>
      <c r="G48" s="92"/>
      <c r="H48" s="209"/>
      <c r="I48" s="229"/>
      <c r="J48" s="248"/>
      <c r="K48" s="167"/>
      <c r="L48" s="102"/>
      <c r="M48" s="170"/>
      <c r="N48" s="197"/>
      <c r="O48" s="170"/>
      <c r="P48" s="203"/>
      <c r="Q48" s="168"/>
      <c r="R48" s="168"/>
      <c r="S48" s="168"/>
      <c r="T48" s="168"/>
      <c r="U48" s="168"/>
      <c r="V48" s="168"/>
      <c r="W48" s="204"/>
      <c r="X48" s="168"/>
      <c r="Y48" s="170"/>
    </row>
    <row r="49" s="23" customFormat="true" ht="15.75" hidden="false" customHeight="false" outlineLevel="0" collapsed="false">
      <c r="A49" s="38"/>
      <c r="B49" s="615" t="s">
        <v>88</v>
      </c>
      <c r="C49" s="212" t="n">
        <f aca="false">SUM(C51:C58)</f>
        <v>8493.785</v>
      </c>
      <c r="D49" s="212" t="n">
        <f aca="false">SUM(D51:D58)</f>
        <v>4586.883</v>
      </c>
      <c r="E49" s="212" t="n">
        <f aca="false">SUM(E51:E58)</f>
        <v>1699</v>
      </c>
      <c r="F49" s="212" t="n">
        <f aca="false">SUM(F51:F58)</f>
        <v>2587</v>
      </c>
      <c r="G49" s="212" t="n">
        <f aca="false">SUM(G51:G58)</f>
        <v>4011</v>
      </c>
      <c r="H49" s="212" t="n">
        <f aca="false">SUM(H51:H58)</f>
        <v>1794</v>
      </c>
      <c r="I49" s="212" t="n">
        <f aca="false">SUM(I51:I58)</f>
        <v>2580</v>
      </c>
      <c r="J49" s="212" t="n">
        <v>7720</v>
      </c>
      <c r="K49" s="68" t="e">
        <f aca="false">#REF!+#REF!</f>
        <v>#REF!</v>
      </c>
      <c r="L49" s="68" t="n">
        <v>10542</v>
      </c>
      <c r="M49" s="69" t="n">
        <f aca="false">9639109/1000</f>
        <v>9639.109</v>
      </c>
      <c r="N49" s="70" t="n">
        <f aca="false">9293555.98/1000</f>
        <v>9293.55598</v>
      </c>
      <c r="O49" s="69" t="e">
        <f aca="false">SUM(#REF!+#REF!)</f>
        <v>#REF!</v>
      </c>
      <c r="P49" s="214" t="e">
        <f aca="false">SUM(#REF!+#REF!)</f>
        <v>#REF!</v>
      </c>
      <c r="Q49" s="69" t="e">
        <f aca="false">SUM(#REF!+#REF!)</f>
        <v>#REF!</v>
      </c>
      <c r="R49" s="69" t="e">
        <f aca="false">SUM(#REF!+#REF!)</f>
        <v>#REF!</v>
      </c>
      <c r="S49" s="69" t="e">
        <f aca="false">SUM(#REF!+#REF!)</f>
        <v>#REF!</v>
      </c>
      <c r="T49" s="69" t="e">
        <f aca="false">SUM(#REF!+#REF!)</f>
        <v>#REF!</v>
      </c>
      <c r="U49" s="109" t="e">
        <f aca="false">SUM(#REF!+#REF!)</f>
        <v>#REF!</v>
      </c>
      <c r="V49" s="109" t="e">
        <f aca="false">SUM(#REF!+#REF!)</f>
        <v>#REF!</v>
      </c>
      <c r="W49" s="122" t="e">
        <f aca="false">SUM(#REF!+#REF!)</f>
        <v>#REF!</v>
      </c>
      <c r="X49" s="69" t="e">
        <f aca="false">SUM(#REF!+#REF!)</f>
        <v>#REF!</v>
      </c>
      <c r="Y49" s="69" t="n">
        <v>15000</v>
      </c>
    </row>
    <row r="50" customFormat="false" ht="15.75" hidden="false" customHeight="false" outlineLevel="0" collapsed="false">
      <c r="A50" s="38"/>
      <c r="B50" s="3"/>
      <c r="C50" s="212"/>
      <c r="D50" s="212"/>
      <c r="E50" s="212"/>
      <c r="F50" s="623"/>
      <c r="G50" s="212"/>
      <c r="H50" s="212"/>
      <c r="I50" s="212"/>
      <c r="J50" s="212"/>
      <c r="K50" s="68"/>
      <c r="L50" s="68"/>
      <c r="M50" s="69"/>
      <c r="N50" s="70"/>
      <c r="O50" s="69"/>
      <c r="P50" s="214"/>
      <c r="Q50" s="69"/>
      <c r="R50" s="69"/>
      <c r="S50" s="70"/>
      <c r="T50" s="70"/>
      <c r="U50" s="110"/>
      <c r="V50" s="110"/>
      <c r="W50" s="624"/>
      <c r="X50" s="69"/>
      <c r="Y50" s="69"/>
    </row>
    <row r="51" customFormat="false" ht="15" hidden="false" customHeight="true" outlineLevel="0" collapsed="false">
      <c r="A51" s="38"/>
      <c r="B51" s="621" t="s">
        <v>65</v>
      </c>
      <c r="C51" s="231" t="n">
        <v>5148.173</v>
      </c>
      <c r="D51" s="231" t="n">
        <v>3946.199</v>
      </c>
      <c r="E51" s="231" t="n">
        <v>807</v>
      </c>
      <c r="F51" s="231" t="n">
        <v>1504</v>
      </c>
      <c r="G51" s="231" t="n">
        <v>2658</v>
      </c>
      <c r="H51" s="231" t="n">
        <v>1066</v>
      </c>
      <c r="I51" s="231" t="n">
        <v>564</v>
      </c>
      <c r="J51" s="231" t="n">
        <v>1000</v>
      </c>
      <c r="K51" s="126" t="s">
        <v>3</v>
      </c>
      <c r="L51" s="481"/>
      <c r="M51" s="292"/>
      <c r="N51" s="482"/>
      <c r="O51" s="292" t="n">
        <v>1800</v>
      </c>
      <c r="P51" s="483" t="n">
        <v>1000</v>
      </c>
      <c r="Q51" s="292" t="n">
        <v>1300</v>
      </c>
      <c r="R51" s="292" t="n">
        <v>1700</v>
      </c>
      <c r="S51" s="293" t="n">
        <v>2000</v>
      </c>
      <c r="T51" s="293" t="n">
        <v>1000</v>
      </c>
      <c r="U51" s="293" t="n">
        <v>1200</v>
      </c>
      <c r="V51" s="293" t="n">
        <v>2000</v>
      </c>
      <c r="W51" s="295" t="n">
        <v>2000</v>
      </c>
      <c r="X51" s="292" t="n">
        <v>2500</v>
      </c>
      <c r="Y51" s="292"/>
    </row>
    <row r="52" customFormat="false" ht="15" hidden="false" customHeight="true" outlineLevel="0" collapsed="false">
      <c r="A52" s="38"/>
      <c r="B52" s="621" t="s">
        <v>67</v>
      </c>
      <c r="C52" s="231" t="n">
        <v>619.527</v>
      </c>
      <c r="D52" s="231" t="n">
        <v>315.106</v>
      </c>
      <c r="E52" s="231" t="n">
        <v>180</v>
      </c>
      <c r="F52" s="231" t="n">
        <v>221</v>
      </c>
      <c r="G52" s="231" t="n">
        <v>495</v>
      </c>
      <c r="H52" s="231" t="n">
        <v>179</v>
      </c>
      <c r="I52" s="231" t="n">
        <v>814</v>
      </c>
      <c r="J52" s="231" t="n">
        <v>1210</v>
      </c>
      <c r="K52" s="126" t="s">
        <v>3</v>
      </c>
      <c r="L52" s="481"/>
      <c r="M52" s="292"/>
      <c r="N52" s="482"/>
      <c r="O52" s="292" t="n">
        <v>200</v>
      </c>
      <c r="P52" s="483" t="n">
        <v>100</v>
      </c>
      <c r="Q52" s="292" t="n">
        <v>700</v>
      </c>
      <c r="R52" s="292" t="n">
        <v>500</v>
      </c>
      <c r="S52" s="292" t="n">
        <v>600</v>
      </c>
      <c r="T52" s="292" t="n">
        <v>800</v>
      </c>
      <c r="U52" s="292" t="n">
        <v>1200</v>
      </c>
      <c r="V52" s="292" t="n">
        <v>1300</v>
      </c>
      <c r="W52" s="291" t="n">
        <v>1400</v>
      </c>
      <c r="X52" s="292" t="n">
        <v>1500</v>
      </c>
      <c r="Y52" s="292"/>
    </row>
    <row r="53" customFormat="false" ht="15" hidden="false" customHeight="true" outlineLevel="0" collapsed="false">
      <c r="A53" s="38"/>
      <c r="B53" s="621" t="s">
        <v>68</v>
      </c>
      <c r="C53" s="231" t="n">
        <v>76.48</v>
      </c>
      <c r="D53" s="231" t="n">
        <v>97.004</v>
      </c>
      <c r="E53" s="231" t="n">
        <v>130</v>
      </c>
      <c r="F53" s="231" t="n">
        <v>210</v>
      </c>
      <c r="G53" s="231" t="n">
        <v>28</v>
      </c>
      <c r="H53" s="231" t="n">
        <v>51</v>
      </c>
      <c r="I53" s="231" t="n">
        <v>118</v>
      </c>
      <c r="J53" s="231" t="n">
        <v>780</v>
      </c>
      <c r="K53" s="126" t="s">
        <v>3</v>
      </c>
      <c r="L53" s="481"/>
      <c r="M53" s="292"/>
      <c r="N53" s="482"/>
      <c r="O53" s="292" t="n">
        <v>200</v>
      </c>
      <c r="P53" s="483" t="n">
        <v>400</v>
      </c>
      <c r="Q53" s="292" t="n">
        <v>900</v>
      </c>
      <c r="R53" s="292" t="n">
        <v>400</v>
      </c>
      <c r="S53" s="293" t="n">
        <v>400</v>
      </c>
      <c r="T53" s="293" t="n">
        <f aca="false">400</f>
        <v>400</v>
      </c>
      <c r="U53" s="482" t="n">
        <f aca="false">400+3000</f>
        <v>3400</v>
      </c>
      <c r="V53" s="482" t="n">
        <f aca="false">800+13000</f>
        <v>13800</v>
      </c>
      <c r="W53" s="484" t="n">
        <f aca="false">800+14000</f>
        <v>14800</v>
      </c>
      <c r="X53" s="292" t="n">
        <v>800</v>
      </c>
      <c r="Y53" s="292"/>
    </row>
    <row r="54" customFormat="false" ht="15" hidden="false" customHeight="true" outlineLevel="0" collapsed="false">
      <c r="A54" s="38"/>
      <c r="B54" s="621" t="s">
        <v>69</v>
      </c>
      <c r="C54" s="231" t="n">
        <v>173.604</v>
      </c>
      <c r="D54" s="231" t="n">
        <v>81.594</v>
      </c>
      <c r="E54" s="231" t="n">
        <v>145</v>
      </c>
      <c r="F54" s="231" t="n">
        <v>96</v>
      </c>
      <c r="G54" s="231" t="n">
        <v>42</v>
      </c>
      <c r="H54" s="231" t="n">
        <v>111</v>
      </c>
      <c r="I54" s="231" t="n">
        <v>453</v>
      </c>
      <c r="J54" s="231" t="n">
        <v>200</v>
      </c>
      <c r="K54" s="126" t="s">
        <v>3</v>
      </c>
      <c r="L54" s="481"/>
      <c r="M54" s="292"/>
      <c r="N54" s="482"/>
      <c r="O54" s="292" t="n">
        <v>100</v>
      </c>
      <c r="P54" s="483" t="n">
        <v>400</v>
      </c>
      <c r="Q54" s="292" t="n">
        <v>600</v>
      </c>
      <c r="R54" s="292" t="n">
        <v>800</v>
      </c>
      <c r="S54" s="293" t="n">
        <v>600</v>
      </c>
      <c r="T54" s="293" t="n">
        <v>800</v>
      </c>
      <c r="U54" s="293" t="n">
        <v>800</v>
      </c>
      <c r="V54" s="293" t="n">
        <v>800</v>
      </c>
      <c r="W54" s="295" t="n">
        <v>800</v>
      </c>
      <c r="X54" s="292" t="n">
        <v>1100</v>
      </c>
      <c r="Y54" s="292"/>
    </row>
    <row r="55" customFormat="false" ht="15" hidden="false" customHeight="true" outlineLevel="0" collapsed="false">
      <c r="A55" s="38"/>
      <c r="B55" s="621" t="s">
        <v>70</v>
      </c>
      <c r="C55" s="231" t="n">
        <f aca="false">240.569+2005.683</f>
        <v>2246.252</v>
      </c>
      <c r="D55" s="231" t="n">
        <v>93.553</v>
      </c>
      <c r="E55" s="231" t="n">
        <v>284</v>
      </c>
      <c r="F55" s="231" t="n">
        <v>207</v>
      </c>
      <c r="G55" s="231" t="n">
        <v>189</v>
      </c>
      <c r="H55" s="231" t="n">
        <v>57</v>
      </c>
      <c r="I55" s="231" t="n">
        <v>100</v>
      </c>
      <c r="J55" s="231" t="n">
        <v>420</v>
      </c>
      <c r="K55" s="126" t="s">
        <v>3</v>
      </c>
      <c r="L55" s="481"/>
      <c r="M55" s="292"/>
      <c r="N55" s="482"/>
      <c r="O55" s="292" t="n">
        <v>300</v>
      </c>
      <c r="P55" s="483" t="n">
        <v>500</v>
      </c>
      <c r="Q55" s="292" t="n">
        <v>300</v>
      </c>
      <c r="R55" s="292" t="n">
        <v>200</v>
      </c>
      <c r="S55" s="293" t="n">
        <v>900</v>
      </c>
      <c r="T55" s="293" t="n">
        <v>950</v>
      </c>
      <c r="U55" s="293" t="n">
        <v>800</v>
      </c>
      <c r="V55" s="293" t="n">
        <v>600</v>
      </c>
      <c r="W55" s="295" t="n">
        <v>600</v>
      </c>
      <c r="X55" s="292" t="n">
        <v>600</v>
      </c>
      <c r="Y55" s="292"/>
    </row>
    <row r="56" customFormat="false" ht="15" hidden="false" customHeight="true" outlineLevel="0" collapsed="false">
      <c r="A56" s="38"/>
      <c r="B56" s="621" t="s">
        <v>71</v>
      </c>
      <c r="C56" s="231" t="n">
        <v>179.277</v>
      </c>
      <c r="D56" s="231" t="n">
        <v>16.093</v>
      </c>
      <c r="E56" s="231" t="n">
        <v>0</v>
      </c>
      <c r="F56" s="231" t="n">
        <v>38</v>
      </c>
      <c r="G56" s="231" t="n">
        <v>502</v>
      </c>
      <c r="H56" s="231" t="n">
        <v>46</v>
      </c>
      <c r="I56" s="231" t="n">
        <v>275</v>
      </c>
      <c r="J56" s="231" t="n">
        <v>200</v>
      </c>
      <c r="K56" s="126" t="s">
        <v>3</v>
      </c>
      <c r="L56" s="481"/>
      <c r="M56" s="292"/>
      <c r="N56" s="482"/>
      <c r="O56" s="292" t="n">
        <v>200</v>
      </c>
      <c r="P56" s="483" t="n">
        <v>100</v>
      </c>
      <c r="Q56" s="292" t="n">
        <v>2100</v>
      </c>
      <c r="R56" s="292" t="n">
        <v>1300</v>
      </c>
      <c r="S56" s="292" t="n">
        <v>400</v>
      </c>
      <c r="T56" s="292" t="n">
        <v>150</v>
      </c>
      <c r="U56" s="292" t="n">
        <v>200</v>
      </c>
      <c r="V56" s="292" t="n">
        <v>300</v>
      </c>
      <c r="W56" s="291" t="n">
        <v>200</v>
      </c>
      <c r="X56" s="292" t="n">
        <v>300</v>
      </c>
      <c r="Y56" s="292"/>
    </row>
    <row r="57" customFormat="false" ht="15" hidden="false" customHeight="true" outlineLevel="0" collapsed="false">
      <c r="A57" s="38"/>
      <c r="B57" s="621" t="s">
        <v>72</v>
      </c>
      <c r="C57" s="231"/>
      <c r="D57" s="231"/>
      <c r="E57" s="231"/>
      <c r="F57" s="231"/>
      <c r="G57" s="231"/>
      <c r="H57" s="231"/>
      <c r="I57" s="231"/>
      <c r="J57" s="231"/>
      <c r="K57" s="126"/>
      <c r="L57" s="481"/>
      <c r="M57" s="292"/>
      <c r="N57" s="482"/>
      <c r="O57" s="292"/>
      <c r="P57" s="483"/>
      <c r="Q57" s="292"/>
      <c r="R57" s="292"/>
      <c r="S57" s="292"/>
      <c r="T57" s="292"/>
      <c r="U57" s="292"/>
      <c r="V57" s="292"/>
      <c r="W57" s="291"/>
      <c r="X57" s="292"/>
      <c r="Y57" s="292"/>
    </row>
    <row r="58" customFormat="false" ht="15" hidden="false" customHeight="true" outlineLevel="0" collapsed="false">
      <c r="A58" s="38"/>
      <c r="B58" s="621" t="s">
        <v>90</v>
      </c>
      <c r="C58" s="231" t="n">
        <v>50.472</v>
      </c>
      <c r="D58" s="231" t="n">
        <v>37.334</v>
      </c>
      <c r="E58" s="231" t="n">
        <v>153</v>
      </c>
      <c r="F58" s="231" t="n">
        <v>311</v>
      </c>
      <c r="G58" s="231" t="n">
        <v>97</v>
      </c>
      <c r="H58" s="231" t="n">
        <v>284</v>
      </c>
      <c r="I58" s="231" t="n">
        <v>256</v>
      </c>
      <c r="J58" s="231" t="n">
        <v>390</v>
      </c>
      <c r="K58" s="126" t="s">
        <v>3</v>
      </c>
      <c r="L58" s="481"/>
      <c r="M58" s="292"/>
      <c r="N58" s="482"/>
      <c r="O58" s="292" t="n">
        <v>200</v>
      </c>
      <c r="P58" s="483" t="n">
        <v>200</v>
      </c>
      <c r="Q58" s="292" t="n">
        <v>200</v>
      </c>
      <c r="R58" s="292" t="n">
        <v>2200</v>
      </c>
      <c r="S58" s="292" t="n">
        <v>1600</v>
      </c>
      <c r="T58" s="292" t="n">
        <v>600</v>
      </c>
      <c r="U58" s="292" t="n">
        <v>600</v>
      </c>
      <c r="V58" s="292" t="s">
        <v>91</v>
      </c>
      <c r="W58" s="291" t="n">
        <v>600</v>
      </c>
      <c r="X58" s="292" t="n">
        <v>600</v>
      </c>
      <c r="Y58" s="292"/>
    </row>
    <row r="59" customFormat="false" ht="15" hidden="false" customHeight="true" outlineLevel="0" collapsed="false">
      <c r="A59" s="38"/>
      <c r="B59" s="95"/>
      <c r="C59" s="231"/>
      <c r="D59" s="231"/>
      <c r="E59" s="231"/>
      <c r="F59" s="625"/>
      <c r="G59" s="231"/>
      <c r="H59" s="231"/>
      <c r="I59" s="231"/>
      <c r="J59" s="231"/>
      <c r="K59" s="126"/>
      <c r="L59" s="481"/>
      <c r="M59" s="292"/>
      <c r="N59" s="482"/>
      <c r="O59" s="292"/>
      <c r="P59" s="483"/>
      <c r="Q59" s="292"/>
      <c r="R59" s="292"/>
      <c r="S59" s="293"/>
      <c r="T59" s="293"/>
      <c r="U59" s="293"/>
      <c r="V59" s="293"/>
      <c r="W59" s="626"/>
      <c r="X59" s="292"/>
      <c r="Y59" s="292"/>
    </row>
    <row r="60" customFormat="false" ht="15.75" hidden="false" customHeight="false" outlineLevel="0" collapsed="false">
      <c r="A60" s="38"/>
      <c r="B60" s="617" t="s">
        <v>89</v>
      </c>
      <c r="C60" s="212"/>
      <c r="D60" s="212"/>
      <c r="E60" s="212"/>
      <c r="F60" s="249"/>
      <c r="G60" s="212"/>
      <c r="H60" s="212"/>
      <c r="I60" s="229"/>
      <c r="J60" s="225"/>
      <c r="K60" s="167"/>
      <c r="L60" s="204"/>
      <c r="M60" s="170"/>
      <c r="N60" s="169"/>
      <c r="O60" s="170"/>
      <c r="P60" s="251"/>
      <c r="Q60" s="170"/>
      <c r="R60" s="170"/>
      <c r="S60" s="197"/>
      <c r="T60" s="197"/>
      <c r="U60" s="197"/>
      <c r="V60" s="197"/>
      <c r="W60" s="255"/>
      <c r="X60" s="170"/>
      <c r="Y60" s="170"/>
    </row>
    <row r="61" customFormat="false" ht="15" hidden="false" customHeight="true" outlineLevel="0" collapsed="false">
      <c r="A61" s="38"/>
      <c r="B61" s="95"/>
      <c r="C61" s="231"/>
      <c r="D61" s="231"/>
      <c r="E61" s="231"/>
      <c r="F61" s="625"/>
      <c r="G61" s="231"/>
      <c r="H61" s="231"/>
      <c r="I61" s="231"/>
      <c r="J61" s="231"/>
      <c r="K61" s="126"/>
      <c r="L61" s="481"/>
      <c r="M61" s="292"/>
      <c r="N61" s="482"/>
      <c r="O61" s="292"/>
      <c r="P61" s="483"/>
      <c r="Q61" s="292"/>
      <c r="R61" s="292"/>
      <c r="S61" s="293"/>
      <c r="T61" s="293"/>
      <c r="U61" s="293"/>
      <c r="V61" s="293"/>
      <c r="W61" s="626"/>
      <c r="X61" s="292"/>
      <c r="Y61" s="292"/>
    </row>
    <row r="62" s="23" customFormat="true" ht="15.75" hidden="false" customHeight="false" outlineLevel="0" collapsed="false">
      <c r="A62" s="38"/>
      <c r="B62" s="615" t="s">
        <v>92</v>
      </c>
      <c r="C62" s="212" t="e">
        <f aca="false">SUM(C63+#REF!)</f>
        <v>#REF!</v>
      </c>
      <c r="D62" s="212" t="e">
        <f aca="false">SUM(D63+#REF!)</f>
        <v>#REF!</v>
      </c>
      <c r="E62" s="271" t="e">
        <f aca="false">SUM(E63+#REF!)</f>
        <v>#REF!</v>
      </c>
      <c r="F62" s="249" t="e">
        <f aca="false">SUM(F63+#REF!)</f>
        <v>#REF!</v>
      </c>
      <c r="G62" s="212" t="e">
        <f aca="false">SUM(G63+#REF!)</f>
        <v>#REF!</v>
      </c>
      <c r="H62" s="212" t="e">
        <f aca="false">SUM(H63+#REF!)</f>
        <v>#REF!</v>
      </c>
      <c r="I62" s="212" t="e">
        <f aca="false">SUM(I63+#REF!)</f>
        <v>#REF!</v>
      </c>
      <c r="J62" s="212" t="e">
        <f aca="false">SUM(J63+#REF!)</f>
        <v>#REF!</v>
      </c>
      <c r="K62" s="68" t="e">
        <f aca="false">SUM(K63+#REF!)</f>
        <v>#REF!</v>
      </c>
      <c r="L62" s="68" t="n">
        <v>10623</v>
      </c>
      <c r="M62" s="69" t="n">
        <f aca="false">15914662/1000</f>
        <v>15914.662</v>
      </c>
      <c r="N62" s="70" t="n">
        <f aca="false">4685121.35/1000</f>
        <v>4685.12135</v>
      </c>
      <c r="O62" s="69" t="n">
        <v>4900</v>
      </c>
      <c r="P62" s="214" t="n">
        <f aca="false">SUM(P63:P63)</f>
        <v>0</v>
      </c>
      <c r="Q62" s="69" t="n">
        <f aca="false">SUM(Q63:Q63)</f>
        <v>0</v>
      </c>
      <c r="R62" s="69" t="n">
        <f aca="false">SUM(R63:R63)</f>
        <v>0</v>
      </c>
      <c r="S62" s="70" t="n">
        <f aca="false">SUM(S63:S63)</f>
        <v>0</v>
      </c>
      <c r="T62" s="69" t="n">
        <f aca="false">SUM(T63:T63)</f>
        <v>0</v>
      </c>
      <c r="U62" s="69" t="n">
        <f aca="false">SUM(U63:U63)</f>
        <v>0</v>
      </c>
      <c r="V62" s="69" t="n">
        <f aca="false">SUM(V63:V63)</f>
        <v>0</v>
      </c>
      <c r="W62" s="68" t="n">
        <f aca="false">SUM(W63:W63)</f>
        <v>0</v>
      </c>
      <c r="X62" s="69" t="n">
        <f aca="false">SUM(X63:X63)</f>
        <v>0</v>
      </c>
      <c r="Y62" s="69" t="n">
        <f aca="false">SUM(Y63:Y63)</f>
        <v>0</v>
      </c>
    </row>
    <row r="63" s="365" customFormat="true" ht="15" hidden="false" customHeight="false" outlineLevel="0" collapsed="false">
      <c r="A63" s="363"/>
      <c r="B63" s="627"/>
      <c r="C63" s="224"/>
      <c r="D63" s="276"/>
      <c r="E63" s="277"/>
      <c r="F63" s="276"/>
      <c r="G63" s="224"/>
      <c r="H63" s="224"/>
      <c r="I63" s="224"/>
      <c r="J63" s="224"/>
      <c r="K63" s="119"/>
      <c r="L63" s="119"/>
      <c r="M63" s="88"/>
      <c r="N63" s="89"/>
      <c r="O63" s="88"/>
      <c r="P63" s="90"/>
      <c r="Q63" s="88"/>
      <c r="R63" s="88"/>
      <c r="S63" s="89"/>
      <c r="T63" s="89"/>
      <c r="U63" s="89"/>
      <c r="V63" s="89"/>
      <c r="W63" s="118"/>
      <c r="X63" s="88"/>
      <c r="Y63" s="88"/>
    </row>
    <row r="64" s="23" customFormat="true" ht="15.75" hidden="false" customHeight="false" outlineLevel="0" collapsed="false">
      <c r="A64" s="38"/>
      <c r="B64" s="615" t="s">
        <v>108</v>
      </c>
      <c r="C64" s="212" t="n">
        <v>5233.58599</v>
      </c>
      <c r="D64" s="212" t="n">
        <v>5285.93326</v>
      </c>
      <c r="E64" s="212" t="n">
        <v>4585</v>
      </c>
      <c r="F64" s="212" t="n">
        <v>5158</v>
      </c>
      <c r="G64" s="212" t="n">
        <v>5123</v>
      </c>
      <c r="H64" s="212" t="n">
        <v>5006</v>
      </c>
      <c r="I64" s="212" t="n">
        <v>4875</v>
      </c>
      <c r="J64" s="212" t="n">
        <v>4185</v>
      </c>
      <c r="K64" s="68" t="n">
        <v>4218</v>
      </c>
      <c r="L64" s="68" t="n">
        <v>4226</v>
      </c>
      <c r="M64" s="281" t="n">
        <f aca="false">4361582/1000</f>
        <v>4361.582</v>
      </c>
      <c r="N64" s="282" t="n">
        <f aca="false">3762622.46/1000</f>
        <v>3762.62246</v>
      </c>
      <c r="O64" s="281" t="n">
        <v>4500</v>
      </c>
      <c r="P64" s="283" t="n">
        <v>5000</v>
      </c>
      <c r="Q64" s="281" t="n">
        <v>5000</v>
      </c>
      <c r="R64" s="281" t="n">
        <v>5000</v>
      </c>
      <c r="S64" s="282" t="n">
        <v>5000</v>
      </c>
      <c r="T64" s="282" t="n">
        <v>5000</v>
      </c>
      <c r="U64" s="282" t="n">
        <v>6000</v>
      </c>
      <c r="V64" s="282" t="n">
        <v>6000</v>
      </c>
      <c r="W64" s="284" t="n">
        <v>6500</v>
      </c>
      <c r="X64" s="281" t="n">
        <v>6500</v>
      </c>
      <c r="Y64" s="281" t="n">
        <v>6500</v>
      </c>
    </row>
    <row r="65" s="23" customFormat="true" ht="15.75" hidden="false" customHeight="false" outlineLevel="0" collapsed="false">
      <c r="A65" s="38"/>
      <c r="B65" s="7"/>
      <c r="C65" s="212"/>
      <c r="D65" s="212"/>
      <c r="E65" s="212"/>
      <c r="F65" s="212"/>
      <c r="G65" s="212"/>
      <c r="H65" s="212"/>
      <c r="I65" s="212"/>
      <c r="J65" s="212"/>
      <c r="K65" s="68"/>
      <c r="L65" s="68"/>
      <c r="M65" s="281"/>
      <c r="N65" s="282"/>
      <c r="O65" s="281"/>
      <c r="P65" s="283"/>
      <c r="Q65" s="281"/>
      <c r="R65" s="281"/>
      <c r="S65" s="282"/>
      <c r="T65" s="282"/>
      <c r="U65" s="282"/>
      <c r="V65" s="282"/>
      <c r="W65" s="284"/>
      <c r="X65" s="281"/>
      <c r="Y65" s="281"/>
    </row>
    <row r="66" s="23" customFormat="true" ht="15.75" hidden="false" customHeight="false" outlineLevel="0" collapsed="false">
      <c r="A66" s="38"/>
      <c r="B66" s="615" t="s">
        <v>109</v>
      </c>
      <c r="C66" s="212"/>
      <c r="D66" s="212"/>
      <c r="E66" s="212"/>
      <c r="F66" s="212"/>
      <c r="G66" s="212"/>
      <c r="H66" s="212"/>
      <c r="I66" s="212"/>
      <c r="J66" s="212"/>
      <c r="K66" s="68"/>
      <c r="L66" s="68"/>
      <c r="M66" s="367" t="s">
        <v>3</v>
      </c>
      <c r="N66" s="368"/>
      <c r="O66" s="367"/>
      <c r="P66" s="366"/>
      <c r="Q66" s="367"/>
      <c r="R66" s="367"/>
      <c r="S66" s="368"/>
      <c r="T66" s="368"/>
      <c r="U66" s="368"/>
      <c r="V66" s="368"/>
      <c r="W66" s="369"/>
      <c r="X66" s="367"/>
      <c r="Y66" s="367"/>
    </row>
    <row r="67" s="23" customFormat="true" ht="15.75" hidden="false" customHeight="false" outlineLevel="0" collapsed="false">
      <c r="A67" s="38"/>
      <c r="B67" s="7"/>
      <c r="C67" s="212" t="e">
        <f aca="false">SUM(#REF!)</f>
        <v>#REF!</v>
      </c>
      <c r="D67" s="212" t="e">
        <f aca="false">SUM(#REF!)</f>
        <v>#REF!</v>
      </c>
      <c r="E67" s="212" t="e">
        <f aca="false">SUM(#REF!)</f>
        <v>#REF!</v>
      </c>
      <c r="F67" s="212" t="e">
        <f aca="false">SUM(#REF!)</f>
        <v>#REF!</v>
      </c>
      <c r="G67" s="212" t="e">
        <f aca="false">SUM(#REF!)</f>
        <v>#REF!</v>
      </c>
      <c r="H67" s="212" t="e">
        <f aca="false">SUM(#REF!)</f>
        <v>#REF!</v>
      </c>
      <c r="I67" s="212" t="e">
        <f aca="false">SUM(#REF!)</f>
        <v>#REF!</v>
      </c>
      <c r="J67" s="212" t="n">
        <v>3729</v>
      </c>
      <c r="K67" s="68" t="n">
        <v>3986</v>
      </c>
      <c r="L67" s="68" t="n">
        <v>2526</v>
      </c>
      <c r="M67" s="69" t="n">
        <f aca="false">1144107/1000</f>
        <v>1144.107</v>
      </c>
      <c r="N67" s="70" t="n">
        <f aca="false">2854597.06/1000</f>
        <v>2854.59706</v>
      </c>
      <c r="O67" s="69" t="n">
        <v>2500</v>
      </c>
      <c r="P67" s="71" t="n">
        <v>2000</v>
      </c>
      <c r="Q67" s="69" t="n">
        <f aca="false">2500-500</f>
        <v>2000</v>
      </c>
      <c r="R67" s="69" t="n">
        <f aca="false">2500-500</f>
        <v>2000</v>
      </c>
      <c r="S67" s="69" t="n">
        <v>2500</v>
      </c>
      <c r="T67" s="69" t="n">
        <v>2500</v>
      </c>
      <c r="U67" s="69" t="n">
        <v>3000</v>
      </c>
      <c r="V67" s="69" t="n">
        <v>3000</v>
      </c>
      <c r="W67" s="68" t="n">
        <v>3000</v>
      </c>
      <c r="X67" s="69" t="n">
        <v>3000</v>
      </c>
      <c r="Y67" s="69" t="n">
        <v>3000</v>
      </c>
    </row>
    <row r="68" s="23" customFormat="true" ht="15.75" hidden="false" customHeight="false" outlineLevel="0" collapsed="false">
      <c r="A68" s="38"/>
      <c r="B68" s="615" t="s">
        <v>112</v>
      </c>
      <c r="C68" s="212" t="n">
        <f aca="false">SUM(C70:C76)</f>
        <v>8443.313</v>
      </c>
      <c r="D68" s="212" t="n">
        <f aca="false">SUM(D70:D76)</f>
        <v>4549.549</v>
      </c>
      <c r="E68" s="212" t="n">
        <f aca="false">SUM(E70:E76)</f>
        <v>1546</v>
      </c>
      <c r="F68" s="212" t="n">
        <f aca="false">SUM(F70:F76)</f>
        <v>2276</v>
      </c>
      <c r="G68" s="212" t="n">
        <f aca="false">SUM(G70:G76)</f>
        <v>3914</v>
      </c>
      <c r="H68" s="212" t="n">
        <v>2354</v>
      </c>
      <c r="I68" s="212" t="n">
        <f aca="false">SUM(I70:I76)</f>
        <v>2324</v>
      </c>
      <c r="J68" s="212" t="n">
        <v>3311</v>
      </c>
      <c r="K68" s="68" t="n">
        <v>3188</v>
      </c>
      <c r="L68" s="68" t="n">
        <v>8139</v>
      </c>
      <c r="M68" s="69" t="n">
        <f aca="false">10718579/1000</f>
        <v>10718.579</v>
      </c>
      <c r="N68" s="70" t="n">
        <f aca="false">5802808.69/1000</f>
        <v>5802.80869</v>
      </c>
      <c r="O68" s="69" t="n">
        <v>4700</v>
      </c>
      <c r="P68" s="214" t="n">
        <f aca="false">6000+3000</f>
        <v>9000</v>
      </c>
      <c r="Q68" s="69" t="n">
        <v>6000</v>
      </c>
      <c r="R68" s="69" t="n">
        <v>6500</v>
      </c>
      <c r="S68" s="69" t="n">
        <v>5600</v>
      </c>
      <c r="T68" s="69" t="n">
        <v>4500</v>
      </c>
      <c r="U68" s="69" t="n">
        <v>6000</v>
      </c>
      <c r="V68" s="69" t="n">
        <v>6500</v>
      </c>
      <c r="W68" s="68" t="n">
        <v>6500</v>
      </c>
      <c r="X68" s="69" t="n">
        <v>6500</v>
      </c>
      <c r="Y68" s="69" t="n">
        <v>6500</v>
      </c>
    </row>
    <row r="69" s="1" customFormat="true" ht="15.75" hidden="false" customHeight="false" outlineLevel="0" collapsed="false">
      <c r="A69" s="38"/>
      <c r="B69" s="73"/>
      <c r="C69" s="212"/>
      <c r="D69" s="212"/>
      <c r="E69" s="212"/>
      <c r="F69" s="249"/>
      <c r="G69" s="212"/>
      <c r="H69" s="212"/>
      <c r="I69" s="212"/>
      <c r="J69" s="303"/>
      <c r="K69" s="167"/>
      <c r="L69" s="102"/>
      <c r="M69" s="170"/>
      <c r="N69" s="197"/>
      <c r="O69" s="170"/>
      <c r="P69" s="628"/>
      <c r="Q69" s="170"/>
      <c r="R69" s="170"/>
      <c r="S69" s="197"/>
      <c r="T69" s="197"/>
      <c r="U69" s="197"/>
      <c r="V69" s="197"/>
      <c r="W69" s="252"/>
      <c r="X69" s="170"/>
      <c r="Y69" s="170"/>
    </row>
    <row r="70" customFormat="false" ht="15" hidden="false" customHeight="false" outlineLevel="0" collapsed="false">
      <c r="A70" s="38"/>
      <c r="B70" s="621" t="s">
        <v>65</v>
      </c>
      <c r="C70" s="231" t="n">
        <v>5148.173</v>
      </c>
      <c r="D70" s="231" t="n">
        <v>3946.199</v>
      </c>
      <c r="E70" s="231" t="n">
        <v>807</v>
      </c>
      <c r="F70" s="231" t="n">
        <v>1504</v>
      </c>
      <c r="G70" s="231" t="n">
        <v>2658</v>
      </c>
      <c r="H70" s="231" t="n">
        <v>1066</v>
      </c>
      <c r="I70" s="231" t="n">
        <v>564</v>
      </c>
      <c r="J70" s="231" t="n">
        <v>1000</v>
      </c>
      <c r="K70" s="126" t="s">
        <v>3</v>
      </c>
      <c r="L70" s="481"/>
      <c r="M70" s="292"/>
      <c r="N70" s="482"/>
      <c r="O70" s="292" t="n">
        <v>1800</v>
      </c>
      <c r="P70" s="483" t="n">
        <v>1000</v>
      </c>
      <c r="Q70" s="292" t="n">
        <v>1300</v>
      </c>
      <c r="R70" s="292" t="n">
        <v>1700</v>
      </c>
      <c r="S70" s="293" t="n">
        <v>2000</v>
      </c>
      <c r="T70" s="293" t="n">
        <v>1000</v>
      </c>
      <c r="U70" s="293" t="n">
        <v>1200</v>
      </c>
      <c r="V70" s="293" t="n">
        <v>2000</v>
      </c>
      <c r="W70" s="295" t="n">
        <v>2000</v>
      </c>
      <c r="X70" s="292" t="n">
        <v>2500</v>
      </c>
      <c r="Y70" s="292"/>
    </row>
    <row r="71" customFormat="false" ht="15" hidden="false" customHeight="false" outlineLevel="0" collapsed="false">
      <c r="A71" s="38"/>
      <c r="B71" s="621" t="s">
        <v>67</v>
      </c>
      <c r="C71" s="231" t="n">
        <v>619.527</v>
      </c>
      <c r="D71" s="231" t="n">
        <v>315.106</v>
      </c>
      <c r="E71" s="231" t="n">
        <v>180</v>
      </c>
      <c r="F71" s="231" t="n">
        <v>221</v>
      </c>
      <c r="G71" s="231" t="n">
        <v>495</v>
      </c>
      <c r="H71" s="231" t="n">
        <v>179</v>
      </c>
      <c r="I71" s="231" t="n">
        <v>814</v>
      </c>
      <c r="J71" s="231" t="n">
        <v>1210</v>
      </c>
      <c r="K71" s="126" t="s">
        <v>3</v>
      </c>
      <c r="L71" s="481"/>
      <c r="M71" s="292"/>
      <c r="N71" s="482"/>
      <c r="O71" s="292" t="n">
        <v>200</v>
      </c>
      <c r="P71" s="483" t="n">
        <v>100</v>
      </c>
      <c r="Q71" s="292" t="n">
        <v>700</v>
      </c>
      <c r="R71" s="292" t="n">
        <v>500</v>
      </c>
      <c r="S71" s="292" t="n">
        <v>600</v>
      </c>
      <c r="T71" s="292" t="n">
        <v>800</v>
      </c>
      <c r="U71" s="292" t="n">
        <v>1200</v>
      </c>
      <c r="V71" s="292" t="n">
        <v>1300</v>
      </c>
      <c r="W71" s="291" t="n">
        <v>1400</v>
      </c>
      <c r="X71" s="292" t="n">
        <v>1500</v>
      </c>
      <c r="Y71" s="292"/>
    </row>
    <row r="72" customFormat="false" ht="15" hidden="false" customHeight="false" outlineLevel="0" collapsed="false">
      <c r="A72" s="38"/>
      <c r="B72" s="621" t="s">
        <v>68</v>
      </c>
      <c r="C72" s="231" t="n">
        <v>76.48</v>
      </c>
      <c r="D72" s="231" t="n">
        <v>97.004</v>
      </c>
      <c r="E72" s="231" t="n">
        <v>130</v>
      </c>
      <c r="F72" s="231" t="n">
        <v>210</v>
      </c>
      <c r="G72" s="231" t="n">
        <v>28</v>
      </c>
      <c r="H72" s="231" t="n">
        <v>51</v>
      </c>
      <c r="I72" s="231" t="n">
        <v>118</v>
      </c>
      <c r="J72" s="231" t="n">
        <v>780</v>
      </c>
      <c r="K72" s="126" t="s">
        <v>3</v>
      </c>
      <c r="L72" s="481"/>
      <c r="M72" s="292"/>
      <c r="N72" s="482"/>
      <c r="O72" s="292" t="n">
        <v>200</v>
      </c>
      <c r="P72" s="483" t="n">
        <v>400</v>
      </c>
      <c r="Q72" s="292" t="n">
        <v>900</v>
      </c>
      <c r="R72" s="292" t="n">
        <v>400</v>
      </c>
      <c r="S72" s="293" t="n">
        <v>400</v>
      </c>
      <c r="T72" s="293" t="n">
        <f aca="false">400</f>
        <v>400</v>
      </c>
      <c r="U72" s="482" t="n">
        <f aca="false">400+3000</f>
        <v>3400</v>
      </c>
      <c r="V72" s="482" t="n">
        <f aca="false">800+13000</f>
        <v>13800</v>
      </c>
      <c r="W72" s="484" t="n">
        <f aca="false">800+14000</f>
        <v>14800</v>
      </c>
      <c r="X72" s="292" t="n">
        <v>800</v>
      </c>
      <c r="Y72" s="292"/>
    </row>
    <row r="73" customFormat="false" ht="15" hidden="false" customHeight="false" outlineLevel="0" collapsed="false">
      <c r="A73" s="38"/>
      <c r="B73" s="621" t="s">
        <v>69</v>
      </c>
      <c r="C73" s="231" t="n">
        <v>173.604</v>
      </c>
      <c r="D73" s="231" t="n">
        <v>81.594</v>
      </c>
      <c r="E73" s="231" t="n">
        <v>145</v>
      </c>
      <c r="F73" s="231" t="n">
        <v>96</v>
      </c>
      <c r="G73" s="231" t="n">
        <v>42</v>
      </c>
      <c r="H73" s="231" t="n">
        <v>111</v>
      </c>
      <c r="I73" s="231" t="n">
        <v>453</v>
      </c>
      <c r="J73" s="231" t="n">
        <v>200</v>
      </c>
      <c r="K73" s="126" t="s">
        <v>3</v>
      </c>
      <c r="L73" s="481"/>
      <c r="M73" s="292"/>
      <c r="N73" s="482"/>
      <c r="O73" s="292" t="n">
        <v>100</v>
      </c>
      <c r="P73" s="483" t="n">
        <v>400</v>
      </c>
      <c r="Q73" s="292" t="n">
        <v>600</v>
      </c>
      <c r="R73" s="292" t="n">
        <v>800</v>
      </c>
      <c r="S73" s="293" t="n">
        <v>600</v>
      </c>
      <c r="T73" s="293" t="n">
        <v>800</v>
      </c>
      <c r="U73" s="293" t="n">
        <v>800</v>
      </c>
      <c r="V73" s="293" t="n">
        <v>800</v>
      </c>
      <c r="W73" s="295" t="n">
        <v>800</v>
      </c>
      <c r="X73" s="292" t="n">
        <v>1100</v>
      </c>
      <c r="Y73" s="292"/>
    </row>
    <row r="74" customFormat="false" ht="15" hidden="false" customHeight="false" outlineLevel="0" collapsed="false">
      <c r="A74" s="38"/>
      <c r="B74" s="621" t="s">
        <v>70</v>
      </c>
      <c r="C74" s="231" t="n">
        <f aca="false">240.569+2005.683</f>
        <v>2246.252</v>
      </c>
      <c r="D74" s="231" t="n">
        <v>93.553</v>
      </c>
      <c r="E74" s="231" t="n">
        <v>284</v>
      </c>
      <c r="F74" s="231" t="n">
        <v>207</v>
      </c>
      <c r="G74" s="231" t="n">
        <v>189</v>
      </c>
      <c r="H74" s="231" t="n">
        <v>57</v>
      </c>
      <c r="I74" s="231" t="n">
        <v>100</v>
      </c>
      <c r="J74" s="231" t="n">
        <v>420</v>
      </c>
      <c r="K74" s="126" t="s">
        <v>3</v>
      </c>
      <c r="L74" s="481"/>
      <c r="M74" s="292"/>
      <c r="N74" s="482"/>
      <c r="O74" s="292" t="n">
        <v>300</v>
      </c>
      <c r="P74" s="483" t="n">
        <v>500</v>
      </c>
      <c r="Q74" s="292" t="n">
        <v>300</v>
      </c>
      <c r="R74" s="292" t="n">
        <v>200</v>
      </c>
      <c r="S74" s="293" t="n">
        <v>900</v>
      </c>
      <c r="T74" s="293" t="n">
        <v>950</v>
      </c>
      <c r="U74" s="293" t="n">
        <v>800</v>
      </c>
      <c r="V74" s="293" t="n">
        <v>600</v>
      </c>
      <c r="W74" s="295" t="n">
        <v>600</v>
      </c>
      <c r="X74" s="292" t="n">
        <v>600</v>
      </c>
      <c r="Y74" s="292"/>
    </row>
    <row r="75" customFormat="false" ht="15" hidden="false" customHeight="false" outlineLevel="0" collapsed="false">
      <c r="A75" s="38"/>
      <c r="B75" s="621" t="s">
        <v>71</v>
      </c>
      <c r="C75" s="231" t="n">
        <v>179.277</v>
      </c>
      <c r="D75" s="231" t="n">
        <v>16.093</v>
      </c>
      <c r="E75" s="231" t="n">
        <v>0</v>
      </c>
      <c r="F75" s="231" t="n">
        <v>38</v>
      </c>
      <c r="G75" s="231" t="n">
        <v>502</v>
      </c>
      <c r="H75" s="231" t="n">
        <v>46</v>
      </c>
      <c r="I75" s="231" t="n">
        <v>275</v>
      </c>
      <c r="J75" s="231" t="n">
        <v>200</v>
      </c>
      <c r="K75" s="126" t="s">
        <v>3</v>
      </c>
      <c r="L75" s="481"/>
      <c r="M75" s="292"/>
      <c r="N75" s="482"/>
      <c r="O75" s="292" t="n">
        <v>200</v>
      </c>
      <c r="P75" s="483" t="n">
        <v>100</v>
      </c>
      <c r="Q75" s="292" t="n">
        <v>2100</v>
      </c>
      <c r="R75" s="292" t="n">
        <v>1300</v>
      </c>
      <c r="S75" s="292" t="n">
        <v>400</v>
      </c>
      <c r="T75" s="292" t="n">
        <v>150</v>
      </c>
      <c r="U75" s="292" t="n">
        <v>200</v>
      </c>
      <c r="V75" s="292" t="n">
        <v>300</v>
      </c>
      <c r="W75" s="291" t="n">
        <v>200</v>
      </c>
      <c r="X75" s="292" t="n">
        <v>300</v>
      </c>
      <c r="Y75" s="292"/>
    </row>
    <row r="76" customFormat="false" ht="15" hidden="false" customHeight="false" outlineLevel="0" collapsed="false">
      <c r="A76" s="38"/>
      <c r="B76" s="621" t="s">
        <v>72</v>
      </c>
      <c r="C76" s="231"/>
      <c r="D76" s="231"/>
      <c r="E76" s="231"/>
      <c r="F76" s="231"/>
      <c r="G76" s="231"/>
      <c r="H76" s="231"/>
      <c r="I76" s="231"/>
      <c r="J76" s="231"/>
      <c r="K76" s="126"/>
      <c r="L76" s="481"/>
      <c r="M76" s="292"/>
      <c r="N76" s="482"/>
      <c r="O76" s="292"/>
      <c r="P76" s="483"/>
      <c r="Q76" s="292"/>
      <c r="R76" s="292"/>
      <c r="S76" s="292"/>
      <c r="T76" s="292"/>
      <c r="U76" s="292"/>
      <c r="V76" s="292"/>
      <c r="W76" s="291"/>
      <c r="X76" s="292"/>
      <c r="Y76" s="292"/>
    </row>
    <row r="77" customFormat="false" ht="15" hidden="false" customHeight="false" outlineLevel="0" collapsed="false">
      <c r="A77" s="38"/>
      <c r="B77" s="621" t="s">
        <v>90</v>
      </c>
      <c r="C77" s="231" t="n">
        <v>50.472</v>
      </c>
      <c r="D77" s="231" t="n">
        <v>37.334</v>
      </c>
      <c r="E77" s="231" t="n">
        <v>153</v>
      </c>
      <c r="F77" s="231" t="n">
        <v>311</v>
      </c>
      <c r="G77" s="231" t="n">
        <v>97</v>
      </c>
      <c r="H77" s="231" t="n">
        <v>284</v>
      </c>
      <c r="I77" s="231" t="n">
        <v>256</v>
      </c>
      <c r="J77" s="231" t="n">
        <v>390</v>
      </c>
      <c r="K77" s="126" t="s">
        <v>3</v>
      </c>
      <c r="L77" s="481"/>
      <c r="M77" s="292"/>
      <c r="N77" s="482"/>
      <c r="O77" s="292" t="n">
        <v>200</v>
      </c>
      <c r="P77" s="483" t="n">
        <v>200</v>
      </c>
      <c r="Q77" s="292" t="n">
        <v>200</v>
      </c>
      <c r="R77" s="292" t="n">
        <v>2200</v>
      </c>
      <c r="S77" s="292" t="n">
        <v>1600</v>
      </c>
      <c r="T77" s="292" t="n">
        <v>600</v>
      </c>
      <c r="U77" s="292" t="n">
        <v>600</v>
      </c>
      <c r="V77" s="292" t="s">
        <v>91</v>
      </c>
      <c r="W77" s="291" t="n">
        <v>600</v>
      </c>
      <c r="X77" s="292" t="n">
        <v>600</v>
      </c>
      <c r="Y77" s="292"/>
    </row>
    <row r="78" customFormat="false" ht="15.75" hidden="false" customHeight="false" outlineLevel="0" collapsed="false">
      <c r="A78" s="38"/>
      <c r="B78" s="95"/>
      <c r="C78" s="231"/>
      <c r="D78" s="231"/>
      <c r="E78" s="231"/>
      <c r="F78" s="231"/>
      <c r="G78" s="231"/>
      <c r="H78" s="231"/>
      <c r="I78" s="231"/>
      <c r="J78" s="231"/>
      <c r="K78" s="126"/>
      <c r="L78" s="481"/>
      <c r="M78" s="292"/>
      <c r="N78" s="482"/>
      <c r="O78" s="292"/>
      <c r="P78" s="483"/>
      <c r="Q78" s="292"/>
      <c r="R78" s="292"/>
      <c r="S78" s="292"/>
      <c r="T78" s="292"/>
      <c r="U78" s="292"/>
      <c r="V78" s="292"/>
      <c r="W78" s="291"/>
      <c r="X78" s="292"/>
      <c r="Y78" s="292"/>
    </row>
    <row r="79" s="23" customFormat="true" ht="15.75" hidden="false" customHeight="false" outlineLevel="0" collapsed="false">
      <c r="A79" s="38"/>
      <c r="B79" s="615" t="s">
        <v>114</v>
      </c>
      <c r="C79" s="212" t="n">
        <f aca="false">SUM(C81:C88)</f>
        <v>8493.785</v>
      </c>
      <c r="D79" s="212" t="n">
        <f aca="false">SUM(D81:D88)</f>
        <v>4586.883</v>
      </c>
      <c r="E79" s="212" t="n">
        <v>5291</v>
      </c>
      <c r="F79" s="212" t="n">
        <v>2715</v>
      </c>
      <c r="G79" s="212" t="e">
        <f aca="false">SUM(G81:G88)+#REF!</f>
        <v>#REF!</v>
      </c>
      <c r="H79" s="212" t="n">
        <v>7532</v>
      </c>
      <c r="I79" s="212" t="n">
        <v>10992</v>
      </c>
      <c r="J79" s="212" t="n">
        <v>14205</v>
      </c>
      <c r="K79" s="68" t="n">
        <v>12592</v>
      </c>
      <c r="L79" s="68" t="n">
        <v>13900</v>
      </c>
      <c r="M79" s="69" t="n">
        <f aca="false">24424730/1000</f>
        <v>24424.73</v>
      </c>
      <c r="N79" s="70" t="n">
        <f aca="false">24831758.4/1000</f>
        <v>24831.7584</v>
      </c>
      <c r="O79" s="69" t="n">
        <v>25500</v>
      </c>
      <c r="P79" s="214" t="n">
        <f aca="false">19000+4500</f>
        <v>23500</v>
      </c>
      <c r="Q79" s="69" t="n">
        <v>19000</v>
      </c>
      <c r="R79" s="69" t="n">
        <v>19000</v>
      </c>
      <c r="S79" s="69" t="n">
        <v>19500</v>
      </c>
      <c r="T79" s="69" t="n">
        <v>19500</v>
      </c>
      <c r="U79" s="69" t="n">
        <v>19500</v>
      </c>
      <c r="V79" s="69" t="n">
        <v>19500</v>
      </c>
      <c r="W79" s="68" t="n">
        <v>19500</v>
      </c>
      <c r="X79" s="69" t="n">
        <v>19500</v>
      </c>
      <c r="Y79" s="69" t="n">
        <v>19500</v>
      </c>
    </row>
    <row r="80" customFormat="false" ht="16.5" hidden="false" customHeight="true" outlineLevel="0" collapsed="false">
      <c r="A80" s="38"/>
      <c r="B80" s="289"/>
    </row>
    <row r="81" customFormat="false" ht="16.5" hidden="false" customHeight="true" outlineLevel="0" collapsed="false">
      <c r="A81" s="38"/>
      <c r="B81" s="621" t="s">
        <v>65</v>
      </c>
      <c r="C81" s="231" t="n">
        <v>5148.173</v>
      </c>
      <c r="D81" s="231" t="n">
        <v>3946.199</v>
      </c>
      <c r="E81" s="231" t="n">
        <v>807</v>
      </c>
      <c r="F81" s="231" t="n">
        <v>1504</v>
      </c>
      <c r="G81" s="231" t="n">
        <v>2658</v>
      </c>
      <c r="H81" s="231" t="n">
        <v>1066</v>
      </c>
      <c r="I81" s="231" t="n">
        <v>564</v>
      </c>
      <c r="J81" s="231" t="n">
        <v>1000</v>
      </c>
      <c r="K81" s="126" t="s">
        <v>3</v>
      </c>
      <c r="L81" s="481"/>
      <c r="M81" s="292"/>
      <c r="N81" s="482"/>
      <c r="O81" s="292" t="n">
        <v>1800</v>
      </c>
      <c r="P81" s="483" t="n">
        <v>1000</v>
      </c>
      <c r="Q81" s="292" t="n">
        <v>1300</v>
      </c>
      <c r="R81" s="292" t="n">
        <v>1700</v>
      </c>
      <c r="S81" s="293" t="n">
        <v>2000</v>
      </c>
      <c r="T81" s="293" t="n">
        <v>1000</v>
      </c>
      <c r="U81" s="293" t="n">
        <v>1200</v>
      </c>
      <c r="V81" s="293" t="n">
        <v>2000</v>
      </c>
      <c r="W81" s="295" t="n">
        <v>2000</v>
      </c>
      <c r="X81" s="292" t="n">
        <v>2500</v>
      </c>
      <c r="Y81" s="292"/>
    </row>
    <row r="82" customFormat="false" ht="15" hidden="false" customHeight="false" outlineLevel="0" collapsed="false">
      <c r="A82" s="38"/>
      <c r="B82" s="621" t="s">
        <v>67</v>
      </c>
      <c r="C82" s="231" t="n">
        <v>619.527</v>
      </c>
      <c r="D82" s="231" t="n">
        <v>315.106</v>
      </c>
      <c r="E82" s="231" t="n">
        <v>180</v>
      </c>
      <c r="F82" s="231" t="n">
        <v>221</v>
      </c>
      <c r="G82" s="231" t="n">
        <v>495</v>
      </c>
      <c r="H82" s="231" t="n">
        <v>179</v>
      </c>
      <c r="I82" s="231" t="n">
        <v>814</v>
      </c>
      <c r="J82" s="231" t="n">
        <v>1210</v>
      </c>
      <c r="K82" s="126" t="s">
        <v>3</v>
      </c>
      <c r="L82" s="481"/>
      <c r="M82" s="292"/>
      <c r="N82" s="482"/>
      <c r="O82" s="292" t="n">
        <v>200</v>
      </c>
      <c r="P82" s="483" t="n">
        <v>100</v>
      </c>
      <c r="Q82" s="292" t="n">
        <v>700</v>
      </c>
      <c r="R82" s="292" t="n">
        <v>500</v>
      </c>
      <c r="S82" s="292" t="n">
        <v>600</v>
      </c>
      <c r="T82" s="292" t="n">
        <v>800</v>
      </c>
      <c r="U82" s="292" t="n">
        <v>1200</v>
      </c>
      <c r="V82" s="292" t="n">
        <v>1300</v>
      </c>
      <c r="W82" s="291" t="n">
        <v>1400</v>
      </c>
      <c r="X82" s="292" t="n">
        <v>1500</v>
      </c>
      <c r="Y82" s="292"/>
    </row>
    <row r="83" customFormat="false" ht="15" hidden="false" customHeight="false" outlineLevel="0" collapsed="false">
      <c r="A83" s="38"/>
      <c r="B83" s="621" t="s">
        <v>68</v>
      </c>
      <c r="C83" s="231" t="n">
        <v>76.48</v>
      </c>
      <c r="D83" s="231" t="n">
        <v>97.004</v>
      </c>
      <c r="E83" s="231" t="n">
        <v>130</v>
      </c>
      <c r="F83" s="231" t="n">
        <v>210</v>
      </c>
      <c r="G83" s="231" t="n">
        <v>28</v>
      </c>
      <c r="H83" s="231" t="n">
        <v>51</v>
      </c>
      <c r="I83" s="231" t="n">
        <v>118</v>
      </c>
      <c r="J83" s="231" t="n">
        <v>780</v>
      </c>
      <c r="K83" s="126" t="s">
        <v>3</v>
      </c>
      <c r="L83" s="481"/>
      <c r="M83" s="292"/>
      <c r="N83" s="482"/>
      <c r="O83" s="292" t="n">
        <v>200</v>
      </c>
      <c r="P83" s="483" t="n">
        <v>400</v>
      </c>
      <c r="Q83" s="292" t="n">
        <v>900</v>
      </c>
      <c r="R83" s="292" t="n">
        <v>400</v>
      </c>
      <c r="S83" s="293" t="n">
        <v>400</v>
      </c>
      <c r="T83" s="293" t="n">
        <f aca="false">400</f>
        <v>400</v>
      </c>
      <c r="U83" s="482" t="n">
        <f aca="false">400+3000</f>
        <v>3400</v>
      </c>
      <c r="V83" s="482" t="n">
        <f aca="false">800+13000</f>
        <v>13800</v>
      </c>
      <c r="W83" s="484" t="n">
        <f aca="false">800+14000</f>
        <v>14800</v>
      </c>
      <c r="X83" s="292" t="n">
        <v>800</v>
      </c>
      <c r="Y83" s="292"/>
    </row>
    <row r="84" customFormat="false" ht="15" hidden="false" customHeight="false" outlineLevel="0" collapsed="false">
      <c r="A84" s="38"/>
      <c r="B84" s="621" t="s">
        <v>69</v>
      </c>
      <c r="C84" s="231" t="n">
        <v>173.604</v>
      </c>
      <c r="D84" s="231" t="n">
        <v>81.594</v>
      </c>
      <c r="E84" s="231" t="n">
        <v>145</v>
      </c>
      <c r="F84" s="231" t="n">
        <v>96</v>
      </c>
      <c r="G84" s="231" t="n">
        <v>42</v>
      </c>
      <c r="H84" s="231" t="n">
        <v>111</v>
      </c>
      <c r="I84" s="231" t="n">
        <v>453</v>
      </c>
      <c r="J84" s="231" t="n">
        <v>200</v>
      </c>
      <c r="K84" s="126" t="s">
        <v>3</v>
      </c>
      <c r="L84" s="481"/>
      <c r="M84" s="292"/>
      <c r="N84" s="482"/>
      <c r="O84" s="292" t="n">
        <v>100</v>
      </c>
      <c r="P84" s="483" t="n">
        <v>400</v>
      </c>
      <c r="Q84" s="292" t="n">
        <v>600</v>
      </c>
      <c r="R84" s="292" t="n">
        <v>800</v>
      </c>
      <c r="S84" s="293" t="n">
        <v>600</v>
      </c>
      <c r="T84" s="293" t="n">
        <v>800</v>
      </c>
      <c r="U84" s="293" t="n">
        <v>800</v>
      </c>
      <c r="V84" s="293" t="n">
        <v>800</v>
      </c>
      <c r="W84" s="295" t="n">
        <v>800</v>
      </c>
      <c r="X84" s="292" t="n">
        <v>1100</v>
      </c>
      <c r="Y84" s="292"/>
    </row>
    <row r="85" customFormat="false" ht="15" hidden="false" customHeight="false" outlineLevel="0" collapsed="false">
      <c r="A85" s="38"/>
      <c r="B85" s="621" t="s">
        <v>70</v>
      </c>
      <c r="C85" s="231" t="n">
        <f aca="false">240.569+2005.683</f>
        <v>2246.252</v>
      </c>
      <c r="D85" s="231" t="n">
        <v>93.553</v>
      </c>
      <c r="E85" s="231" t="n">
        <v>284</v>
      </c>
      <c r="F85" s="231" t="n">
        <v>207</v>
      </c>
      <c r="G85" s="231" t="n">
        <v>189</v>
      </c>
      <c r="H85" s="231" t="n">
        <v>57</v>
      </c>
      <c r="I85" s="231" t="n">
        <v>100</v>
      </c>
      <c r="J85" s="231" t="n">
        <v>420</v>
      </c>
      <c r="K85" s="126" t="s">
        <v>3</v>
      </c>
      <c r="L85" s="481"/>
      <c r="M85" s="292"/>
      <c r="N85" s="482"/>
      <c r="O85" s="292" t="n">
        <v>300</v>
      </c>
      <c r="P85" s="483" t="n">
        <v>500</v>
      </c>
      <c r="Q85" s="292" t="n">
        <v>300</v>
      </c>
      <c r="R85" s="292" t="n">
        <v>200</v>
      </c>
      <c r="S85" s="293" t="n">
        <v>900</v>
      </c>
      <c r="T85" s="293" t="n">
        <v>950</v>
      </c>
      <c r="U85" s="293" t="n">
        <v>800</v>
      </c>
      <c r="V85" s="293" t="n">
        <v>600</v>
      </c>
      <c r="W85" s="295" t="n">
        <v>600</v>
      </c>
      <c r="X85" s="292" t="n">
        <v>600</v>
      </c>
      <c r="Y85" s="292"/>
    </row>
    <row r="86" customFormat="false" ht="15" hidden="false" customHeight="false" outlineLevel="0" collapsed="false">
      <c r="A86" s="38"/>
      <c r="B86" s="621" t="s">
        <v>71</v>
      </c>
      <c r="C86" s="231" t="n">
        <v>179.277</v>
      </c>
      <c r="D86" s="231" t="n">
        <v>16.093</v>
      </c>
      <c r="E86" s="231" t="n">
        <v>0</v>
      </c>
      <c r="F86" s="231" t="n">
        <v>38</v>
      </c>
      <c r="G86" s="231" t="n">
        <v>502</v>
      </c>
      <c r="H86" s="231" t="n">
        <v>46</v>
      </c>
      <c r="I86" s="231" t="n">
        <v>275</v>
      </c>
      <c r="J86" s="231" t="n">
        <v>200</v>
      </c>
      <c r="K86" s="126" t="s">
        <v>3</v>
      </c>
      <c r="L86" s="481"/>
      <c r="M86" s="292"/>
      <c r="N86" s="482"/>
      <c r="O86" s="292" t="n">
        <v>200</v>
      </c>
      <c r="P86" s="483" t="n">
        <v>100</v>
      </c>
      <c r="Q86" s="292" t="n">
        <v>2100</v>
      </c>
      <c r="R86" s="292" t="n">
        <v>1300</v>
      </c>
      <c r="S86" s="292" t="n">
        <v>400</v>
      </c>
      <c r="T86" s="292" t="n">
        <v>150</v>
      </c>
      <c r="U86" s="292" t="n">
        <v>200</v>
      </c>
      <c r="V86" s="292" t="n">
        <v>300</v>
      </c>
      <c r="W86" s="291" t="n">
        <v>200</v>
      </c>
      <c r="X86" s="292" t="n">
        <v>300</v>
      </c>
      <c r="Y86" s="292"/>
    </row>
    <row r="87" customFormat="false" ht="15" hidden="false" customHeight="false" outlineLevel="0" collapsed="false">
      <c r="A87" s="38"/>
      <c r="B87" s="621" t="s">
        <v>72</v>
      </c>
      <c r="C87" s="231"/>
      <c r="D87" s="231"/>
      <c r="E87" s="231"/>
      <c r="F87" s="231"/>
      <c r="G87" s="231"/>
      <c r="H87" s="231"/>
      <c r="I87" s="231"/>
      <c r="J87" s="231"/>
      <c r="K87" s="126"/>
      <c r="L87" s="481"/>
      <c r="M87" s="292"/>
      <c r="N87" s="482"/>
      <c r="O87" s="292"/>
      <c r="P87" s="483"/>
      <c r="Q87" s="292"/>
      <c r="R87" s="292"/>
      <c r="S87" s="292"/>
      <c r="T87" s="292"/>
      <c r="U87" s="292"/>
      <c r="V87" s="292"/>
      <c r="W87" s="291"/>
      <c r="X87" s="292"/>
      <c r="Y87" s="292"/>
    </row>
    <row r="88" customFormat="false" ht="15" hidden="false" customHeight="false" outlineLevel="0" collapsed="false">
      <c r="A88" s="38"/>
      <c r="B88" s="621" t="s">
        <v>90</v>
      </c>
      <c r="C88" s="231" t="n">
        <v>50.472</v>
      </c>
      <c r="D88" s="231" t="n">
        <v>37.334</v>
      </c>
      <c r="E88" s="231" t="n">
        <v>153</v>
      </c>
      <c r="F88" s="231" t="n">
        <v>311</v>
      </c>
      <c r="G88" s="231" t="n">
        <v>97</v>
      </c>
      <c r="H88" s="231" t="n">
        <v>284</v>
      </c>
      <c r="I88" s="231" t="n">
        <v>256</v>
      </c>
      <c r="J88" s="231" t="n">
        <v>390</v>
      </c>
      <c r="K88" s="126" t="s">
        <v>3</v>
      </c>
      <c r="L88" s="481"/>
      <c r="M88" s="292"/>
      <c r="N88" s="482"/>
      <c r="O88" s="292" t="n">
        <v>200</v>
      </c>
      <c r="P88" s="483" t="n">
        <v>200</v>
      </c>
      <c r="Q88" s="292" t="n">
        <v>200</v>
      </c>
      <c r="R88" s="292" t="n">
        <v>2200</v>
      </c>
      <c r="S88" s="292" t="n">
        <v>1600</v>
      </c>
      <c r="T88" s="292" t="n">
        <v>600</v>
      </c>
      <c r="U88" s="292" t="n">
        <v>600</v>
      </c>
      <c r="V88" s="292" t="s">
        <v>91</v>
      </c>
      <c r="W88" s="291" t="n">
        <v>600</v>
      </c>
      <c r="X88" s="292" t="n">
        <v>600</v>
      </c>
      <c r="Y88" s="292"/>
    </row>
    <row r="89" customFormat="false" ht="15.75" hidden="false" customHeight="false" outlineLevel="0" collapsed="false">
      <c r="A89" s="38"/>
      <c r="B89" s="629"/>
      <c r="C89" s="231"/>
      <c r="D89" s="231"/>
      <c r="E89" s="231"/>
      <c r="F89" s="231"/>
      <c r="G89" s="231"/>
      <c r="H89" s="231"/>
      <c r="I89" s="231"/>
      <c r="J89" s="231"/>
      <c r="K89" s="126"/>
      <c r="L89" s="481"/>
      <c r="M89" s="292"/>
      <c r="N89" s="482"/>
      <c r="O89" s="292"/>
      <c r="P89" s="483"/>
      <c r="Q89" s="291"/>
      <c r="R89" s="291"/>
      <c r="S89" s="291"/>
      <c r="T89" s="291"/>
      <c r="U89" s="291"/>
      <c r="V89" s="292"/>
      <c r="W89" s="291"/>
      <c r="X89" s="292"/>
      <c r="Y89" s="292"/>
    </row>
    <row r="90" customFormat="false" ht="15.75" hidden="false" customHeight="false" outlineLevel="0" collapsed="false">
      <c r="A90" s="38"/>
      <c r="B90" s="617" t="s">
        <v>340</v>
      </c>
      <c r="C90" s="231"/>
      <c r="D90" s="231"/>
      <c r="E90" s="231"/>
      <c r="F90" s="231"/>
      <c r="G90" s="231"/>
      <c r="H90" s="231"/>
      <c r="I90" s="231"/>
      <c r="J90" s="231"/>
      <c r="K90" s="126"/>
      <c r="L90" s="481"/>
      <c r="M90" s="292"/>
      <c r="N90" s="482"/>
      <c r="O90" s="292"/>
      <c r="P90" s="483"/>
      <c r="Q90" s="291"/>
      <c r="R90" s="291"/>
      <c r="S90" s="291"/>
      <c r="T90" s="291"/>
      <c r="U90" s="291"/>
      <c r="V90" s="292"/>
      <c r="W90" s="291"/>
      <c r="X90" s="292"/>
      <c r="Y90" s="292"/>
    </row>
    <row r="91" s="1" customFormat="true" ht="15.75" hidden="false" customHeight="false" outlineLevel="0" collapsed="false">
      <c r="A91" s="38"/>
      <c r="B91" s="629"/>
      <c r="C91" s="231"/>
      <c r="D91" s="231"/>
      <c r="E91" s="231"/>
      <c r="F91" s="231"/>
      <c r="G91" s="231"/>
      <c r="H91" s="231"/>
      <c r="I91" s="231"/>
      <c r="J91" s="231"/>
      <c r="K91" s="126"/>
      <c r="L91" s="481"/>
      <c r="M91" s="292"/>
      <c r="N91" s="482"/>
      <c r="O91" s="292"/>
      <c r="P91" s="294"/>
      <c r="Q91" s="291"/>
      <c r="R91" s="291"/>
      <c r="S91" s="291"/>
      <c r="T91" s="291"/>
      <c r="U91" s="291"/>
      <c r="V91" s="292"/>
      <c r="W91" s="291"/>
      <c r="X91" s="292"/>
      <c r="Y91" s="292"/>
    </row>
    <row r="92" s="3" customFormat="true" ht="15.75" hidden="false" customHeight="false" outlineLevel="0" collapsed="false">
      <c r="A92" s="613" t="s">
        <v>341</v>
      </c>
      <c r="B92" s="614" t="s">
        <v>342</v>
      </c>
      <c r="C92" s="212" t="n">
        <f aca="false">SUM(C94:C98)</f>
        <v>2421.40007</v>
      </c>
      <c r="D92" s="212" t="n">
        <f aca="false">SUM(D94:D98)</f>
        <v>876.21288</v>
      </c>
      <c r="E92" s="212" t="n">
        <f aca="false">SUM(E94:E98)</f>
        <v>944</v>
      </c>
      <c r="F92" s="212" t="n">
        <f aca="false">SUM(F94:F98)</f>
        <v>1777</v>
      </c>
      <c r="G92" s="212" t="n">
        <f aca="false">SUM(G94+G96+G98+G100+G108)</f>
        <v>5326</v>
      </c>
      <c r="H92" s="212" t="n">
        <f aca="false">SUM(H94+H96+H98+H100+H108)</f>
        <v>4084</v>
      </c>
      <c r="I92" s="212" t="n">
        <f aca="false">SUM(I94+I96+I98+I100+I108)</f>
        <v>3429</v>
      </c>
      <c r="J92" s="212" t="n">
        <f aca="false">SUM(J94+J96+J98+J100+J108)</f>
        <v>2070</v>
      </c>
      <c r="K92" s="68" t="n">
        <v>1147</v>
      </c>
      <c r="L92" s="68" t="n">
        <f aca="false">SUM(L94+L96+L98+L100+L108)</f>
        <v>3174</v>
      </c>
      <c r="M92" s="69" t="n">
        <f aca="false">SUM(M94+M96+M98+M100+M108)</f>
        <v>3253.064</v>
      </c>
      <c r="N92" s="70" t="n">
        <f aca="false">SUM(N94+N96+N98+N100)</f>
        <v>2440.92651</v>
      </c>
      <c r="O92" s="69" t="n">
        <f aca="false">SUM(O94+O96+O98+O100)</f>
        <v>4000</v>
      </c>
      <c r="P92" s="71" t="n">
        <f aca="false">SUM(P94+P96+P98+P100)</f>
        <v>7300</v>
      </c>
      <c r="Q92" s="68" t="n">
        <f aca="false">SUM(Q94+Q96+Q98+Q100)</f>
        <v>6200</v>
      </c>
      <c r="R92" s="68" t="n">
        <f aca="false">SUM(R94+R96+R98+R100)</f>
        <v>6400</v>
      </c>
      <c r="S92" s="68" t="n">
        <f aca="false">SUM(S94+S96+S98+S100)</f>
        <v>29950</v>
      </c>
      <c r="T92" s="68" t="n">
        <f aca="false">SUM(T94+T96+T98+T100)</f>
        <v>29700</v>
      </c>
      <c r="U92" s="68" t="n">
        <f aca="false">SUM(U94+U96+U98+U100)</f>
        <v>26000</v>
      </c>
      <c r="V92" s="69" t="n">
        <f aca="false">SUM(V94+V96+V98+V100)</f>
        <v>26000</v>
      </c>
      <c r="W92" s="68" t="n">
        <f aca="false">SUM(W94+W96+W98+W100)</f>
        <v>26100</v>
      </c>
      <c r="X92" s="69" t="n">
        <f aca="false">SUM(X94+X96+X98+X100)</f>
        <v>20100</v>
      </c>
      <c r="Y92" s="69" t="n">
        <f aca="false">SUM(Y94+Y96+Y98+Y100)</f>
        <v>20100</v>
      </c>
    </row>
    <row r="93" customFormat="false" ht="15" hidden="false" customHeight="false" outlineLevel="0" collapsed="false">
      <c r="A93" s="56"/>
      <c r="B93" s="73"/>
      <c r="C93" s="118" t="s">
        <v>3</v>
      </c>
      <c r="D93" s="119"/>
      <c r="E93" s="119"/>
      <c r="F93" s="224" t="s">
        <v>3</v>
      </c>
      <c r="G93" s="92" t="s">
        <v>3</v>
      </c>
      <c r="H93" s="306" t="s">
        <v>3</v>
      </c>
      <c r="I93" s="307" t="s">
        <v>3</v>
      </c>
      <c r="J93" s="204" t="s">
        <v>3</v>
      </c>
      <c r="K93" s="167"/>
      <c r="L93" s="304" t="s">
        <v>3</v>
      </c>
      <c r="M93" s="298" t="s">
        <v>3</v>
      </c>
      <c r="N93" s="299"/>
      <c r="O93" s="298" t="s">
        <v>3</v>
      </c>
      <c r="P93" s="308" t="s">
        <v>3</v>
      </c>
      <c r="Q93" s="298" t="s">
        <v>3</v>
      </c>
      <c r="R93" s="170" t="s">
        <v>3</v>
      </c>
      <c r="S93" s="170" t="s">
        <v>3</v>
      </c>
      <c r="T93" s="168" t="s">
        <v>3</v>
      </c>
      <c r="U93" s="168" t="s">
        <v>3</v>
      </c>
      <c r="V93" s="168" t="s">
        <v>3</v>
      </c>
      <c r="W93" s="204" t="s">
        <v>3</v>
      </c>
      <c r="X93" s="168" t="s">
        <v>3</v>
      </c>
      <c r="Y93" s="168"/>
    </row>
    <row r="94" s="201" customFormat="true" ht="15.75" hidden="false" customHeight="false" outlineLevel="0" collapsed="false">
      <c r="A94" s="38"/>
      <c r="B94" s="615" t="s">
        <v>126</v>
      </c>
      <c r="C94" s="212" t="n">
        <v>1508.01213</v>
      </c>
      <c r="D94" s="212" t="n">
        <v>523.75525</v>
      </c>
      <c r="E94" s="212" t="n">
        <v>629</v>
      </c>
      <c r="F94" s="212" t="n">
        <v>1150</v>
      </c>
      <c r="G94" s="212" t="n">
        <v>535</v>
      </c>
      <c r="H94" s="212" t="n">
        <v>614</v>
      </c>
      <c r="I94" s="212" t="n">
        <v>269</v>
      </c>
      <c r="J94" s="212" t="n">
        <v>665</v>
      </c>
      <c r="K94" s="68" t="n">
        <v>390</v>
      </c>
      <c r="L94" s="68" t="n">
        <v>305</v>
      </c>
      <c r="M94" s="69" t="n">
        <f aca="false">460115/1000</f>
        <v>460.115</v>
      </c>
      <c r="N94" s="70" t="n">
        <f aca="false">883725.83/1000</f>
        <v>883.72583</v>
      </c>
      <c r="O94" s="69" t="n">
        <v>750</v>
      </c>
      <c r="P94" s="309" t="n">
        <v>750</v>
      </c>
      <c r="Q94" s="310" t="n">
        <f aca="false">950-200</f>
        <v>750</v>
      </c>
      <c r="R94" s="69" t="n">
        <v>1000</v>
      </c>
      <c r="S94" s="69" t="n">
        <v>1000</v>
      </c>
      <c r="T94" s="69" t="n">
        <v>800</v>
      </c>
      <c r="U94" s="69" t="n">
        <v>1000</v>
      </c>
      <c r="V94" s="69" t="n">
        <v>1000</v>
      </c>
      <c r="W94" s="68" t="n">
        <v>1000</v>
      </c>
      <c r="X94" s="69" t="n">
        <v>1000</v>
      </c>
      <c r="Y94" s="69" t="n">
        <v>1000</v>
      </c>
    </row>
    <row r="95" s="201" customFormat="true" ht="15.75" hidden="false" customHeight="false" outlineLevel="0" collapsed="false">
      <c r="A95" s="38"/>
      <c r="B95" s="7"/>
      <c r="C95" s="212"/>
      <c r="D95" s="212"/>
      <c r="E95" s="212"/>
      <c r="F95" s="212"/>
      <c r="G95" s="212"/>
      <c r="H95" s="212"/>
      <c r="I95" s="212"/>
      <c r="J95" s="212"/>
      <c r="K95" s="68"/>
      <c r="L95" s="68"/>
      <c r="M95" s="69"/>
      <c r="N95" s="70"/>
      <c r="O95" s="69"/>
      <c r="P95" s="630"/>
      <c r="Q95" s="631"/>
      <c r="R95" s="69"/>
      <c r="S95" s="69"/>
      <c r="T95" s="69"/>
      <c r="U95" s="69"/>
      <c r="V95" s="69"/>
      <c r="W95" s="68"/>
      <c r="X95" s="69"/>
      <c r="Y95" s="69"/>
    </row>
    <row r="96" s="201" customFormat="true" ht="15.75" hidden="false" customHeight="false" outlineLevel="0" collapsed="false">
      <c r="A96" s="38"/>
      <c r="B96" s="615" t="s">
        <v>127</v>
      </c>
      <c r="C96" s="212" t="n">
        <v>702.12092</v>
      </c>
      <c r="D96" s="212" t="n">
        <v>195.61935</v>
      </c>
      <c r="E96" s="212" t="n">
        <v>197</v>
      </c>
      <c r="F96" s="212" t="n">
        <v>558</v>
      </c>
      <c r="G96" s="212" t="n">
        <v>602</v>
      </c>
      <c r="H96" s="212" t="n">
        <v>458</v>
      </c>
      <c r="I96" s="212" t="n">
        <v>174</v>
      </c>
      <c r="J96" s="212" t="n">
        <v>167</v>
      </c>
      <c r="K96" s="68" t="n">
        <v>270</v>
      </c>
      <c r="L96" s="68" t="n">
        <v>579</v>
      </c>
      <c r="M96" s="69" t="n">
        <f aca="false">639928/1000</f>
        <v>639.928</v>
      </c>
      <c r="N96" s="70" t="n">
        <f aca="false">637688.88/1000</f>
        <v>637.68888</v>
      </c>
      <c r="O96" s="69" t="n">
        <v>1500</v>
      </c>
      <c r="P96" s="309" t="n">
        <f aca="false">2000-500</f>
        <v>1500</v>
      </c>
      <c r="Q96" s="310" t="n">
        <v>2300</v>
      </c>
      <c r="R96" s="310" t="n">
        <v>2850</v>
      </c>
      <c r="S96" s="310" t="n">
        <v>850</v>
      </c>
      <c r="T96" s="310" t="n">
        <v>800</v>
      </c>
      <c r="U96" s="310" t="n">
        <v>900</v>
      </c>
      <c r="V96" s="310" t="n">
        <v>900</v>
      </c>
      <c r="W96" s="310" t="n">
        <v>1000</v>
      </c>
      <c r="X96" s="310" t="n">
        <v>3500</v>
      </c>
      <c r="Y96" s="310" t="n">
        <v>3500</v>
      </c>
    </row>
    <row r="97" s="201" customFormat="true" ht="15.75" hidden="false" customHeight="false" outlineLevel="0" collapsed="false">
      <c r="A97" s="38"/>
      <c r="B97" s="7"/>
      <c r="C97" s="212"/>
      <c r="D97" s="212"/>
      <c r="E97" s="212"/>
      <c r="F97" s="212"/>
      <c r="G97" s="212"/>
      <c r="H97" s="212"/>
      <c r="I97" s="212"/>
      <c r="J97" s="212"/>
      <c r="K97" s="68"/>
      <c r="L97" s="68"/>
      <c r="M97" s="69"/>
      <c r="N97" s="70"/>
      <c r="O97" s="69"/>
      <c r="P97" s="630"/>
      <c r="Q97" s="631"/>
      <c r="R97" s="631"/>
      <c r="S97" s="631"/>
      <c r="T97" s="631"/>
      <c r="U97" s="631"/>
      <c r="V97" s="631"/>
      <c r="W97" s="631"/>
      <c r="X97" s="631"/>
      <c r="Y97" s="631"/>
    </row>
    <row r="98" s="201" customFormat="true" ht="15.75" hidden="false" customHeight="false" outlineLevel="0" collapsed="false">
      <c r="A98" s="38"/>
      <c r="B98" s="615" t="s">
        <v>128</v>
      </c>
      <c r="C98" s="212" t="n">
        <v>211.26702</v>
      </c>
      <c r="D98" s="212" t="n">
        <v>156.83828</v>
      </c>
      <c r="E98" s="212" t="n">
        <v>118</v>
      </c>
      <c r="F98" s="212" t="n">
        <v>69</v>
      </c>
      <c r="G98" s="212" t="n">
        <v>275</v>
      </c>
      <c r="H98" s="212" t="n">
        <v>241</v>
      </c>
      <c r="I98" s="212" t="n">
        <v>543</v>
      </c>
      <c r="J98" s="212" t="n">
        <v>179</v>
      </c>
      <c r="K98" s="68" t="n">
        <v>60</v>
      </c>
      <c r="L98" s="68" t="n">
        <v>528</v>
      </c>
      <c r="M98" s="69" t="n">
        <f aca="false">483906/1000</f>
        <v>483.906</v>
      </c>
      <c r="N98" s="70" t="n">
        <f aca="false">247459.15/1000</f>
        <v>247.45915</v>
      </c>
      <c r="O98" s="69" t="n">
        <v>450</v>
      </c>
      <c r="P98" s="309" t="n">
        <v>450</v>
      </c>
      <c r="Q98" s="310" t="n">
        <v>450</v>
      </c>
      <c r="R98" s="310" t="n">
        <v>450</v>
      </c>
      <c r="S98" s="310" t="n">
        <v>600</v>
      </c>
      <c r="T98" s="310" t="n">
        <v>600</v>
      </c>
      <c r="U98" s="310" t="n">
        <v>600</v>
      </c>
      <c r="V98" s="310" t="n">
        <v>600</v>
      </c>
      <c r="W98" s="310" t="n">
        <v>600</v>
      </c>
      <c r="X98" s="310" t="n">
        <v>600</v>
      </c>
      <c r="Y98" s="310" t="n">
        <v>600</v>
      </c>
    </row>
    <row r="99" s="201" customFormat="true" ht="15.75" hidden="false" customHeight="false" outlineLevel="0" collapsed="false">
      <c r="A99" s="38"/>
      <c r="B99" s="7"/>
      <c r="C99" s="212"/>
      <c r="D99" s="212"/>
      <c r="E99" s="212"/>
      <c r="F99" s="212"/>
      <c r="G99" s="212"/>
      <c r="H99" s="212"/>
      <c r="I99" s="212"/>
      <c r="J99" s="212"/>
      <c r="K99" s="68"/>
      <c r="L99" s="68"/>
      <c r="M99" s="69"/>
      <c r="N99" s="70"/>
      <c r="O99" s="69"/>
      <c r="P99" s="309"/>
      <c r="Q99" s="310"/>
      <c r="R99" s="310"/>
      <c r="S99" s="310"/>
      <c r="T99" s="310"/>
      <c r="U99" s="310"/>
      <c r="V99" s="310"/>
      <c r="W99" s="632"/>
      <c r="X99" s="310"/>
      <c r="Y99" s="310"/>
    </row>
    <row r="100" s="201" customFormat="true" ht="15.75" hidden="false" customHeight="false" outlineLevel="0" collapsed="false">
      <c r="A100" s="38"/>
      <c r="B100" s="615" t="s">
        <v>129</v>
      </c>
      <c r="C100" s="212" t="n">
        <f aca="false">SUM(C102:C107)</f>
        <v>8443.313</v>
      </c>
      <c r="D100" s="212" t="n">
        <f aca="false">SUM(D102:D107)</f>
        <v>4549.549</v>
      </c>
      <c r="E100" s="212" t="n">
        <v>643</v>
      </c>
      <c r="F100" s="212" t="n">
        <f aca="false">SUM(F102:F107)</f>
        <v>2276</v>
      </c>
      <c r="G100" s="212" t="n">
        <f aca="false">SUM(G102:G107)</f>
        <v>3914</v>
      </c>
      <c r="H100" s="212" t="n">
        <v>2771</v>
      </c>
      <c r="I100" s="212" t="n">
        <v>2443</v>
      </c>
      <c r="J100" s="212" t="n">
        <v>1059</v>
      </c>
      <c r="K100" s="68" t="n">
        <v>430</v>
      </c>
      <c r="L100" s="68" t="n">
        <v>1762</v>
      </c>
      <c r="M100" s="69" t="n">
        <f aca="false">1669115/1000</f>
        <v>1669.115</v>
      </c>
      <c r="N100" s="70" t="n">
        <f aca="false">672052.65/1000</f>
        <v>672.05265</v>
      </c>
      <c r="O100" s="69" t="n">
        <v>1300</v>
      </c>
      <c r="P100" s="71" t="n">
        <f aca="false">5200-600</f>
        <v>4600</v>
      </c>
      <c r="Q100" s="69" t="n">
        <f aca="false">2300+400</f>
        <v>2700</v>
      </c>
      <c r="R100" s="121" t="n">
        <f aca="false">2100</f>
        <v>2100</v>
      </c>
      <c r="S100" s="109" t="n">
        <f aca="false">2500+5000+20000</f>
        <v>27500</v>
      </c>
      <c r="T100" s="109" t="n">
        <f aca="false">2500+5000+20000</f>
        <v>27500</v>
      </c>
      <c r="U100" s="109" t="n">
        <f aca="false">3500+5000+15000</f>
        <v>23500</v>
      </c>
      <c r="V100" s="109" t="n">
        <f aca="false">3500+5000+15000</f>
        <v>23500</v>
      </c>
      <c r="W100" s="311" t="n">
        <f aca="false">3500+15000+5000</f>
        <v>23500</v>
      </c>
      <c r="X100" s="109" t="n">
        <f aca="false">5000+10000</f>
        <v>15000</v>
      </c>
      <c r="Y100" s="109" t="n">
        <f aca="false">5000+10000</f>
        <v>15000</v>
      </c>
    </row>
    <row r="101" s="201" customFormat="true" ht="15.75" hidden="false" customHeight="false" outlineLevel="0" collapsed="false">
      <c r="A101" s="38"/>
      <c r="B101" s="7"/>
      <c r="C101" s="212"/>
      <c r="D101" s="212"/>
      <c r="E101" s="212"/>
      <c r="F101" s="212"/>
      <c r="G101" s="212"/>
      <c r="H101" s="212"/>
      <c r="I101" s="212"/>
      <c r="J101" s="212"/>
      <c r="K101" s="68"/>
      <c r="L101" s="68"/>
      <c r="M101" s="69"/>
      <c r="N101" s="70"/>
      <c r="O101" s="69"/>
      <c r="P101" s="71"/>
      <c r="Q101" s="69"/>
      <c r="R101" s="121"/>
      <c r="S101" s="110"/>
      <c r="T101" s="110"/>
      <c r="U101" s="110"/>
      <c r="V101" s="110"/>
      <c r="W101" s="633"/>
      <c r="X101" s="109"/>
      <c r="Y101" s="109"/>
    </row>
    <row r="102" customFormat="false" ht="15" hidden="false" customHeight="false" outlineLevel="0" collapsed="false">
      <c r="A102" s="56"/>
      <c r="B102" s="621" t="s">
        <v>65</v>
      </c>
      <c r="C102" s="231" t="n">
        <v>5148.173</v>
      </c>
      <c r="D102" s="231" t="n">
        <v>3946.199</v>
      </c>
      <c r="E102" s="231" t="n">
        <v>807</v>
      </c>
      <c r="F102" s="231" t="n">
        <v>1504</v>
      </c>
      <c r="G102" s="231" t="n">
        <v>2658</v>
      </c>
      <c r="H102" s="231" t="n">
        <v>1066</v>
      </c>
      <c r="I102" s="231" t="n">
        <v>564</v>
      </c>
      <c r="J102" s="231" t="n">
        <v>1000</v>
      </c>
      <c r="K102" s="126" t="s">
        <v>3</v>
      </c>
      <c r="L102" s="481"/>
      <c r="M102" s="292"/>
      <c r="N102" s="482"/>
      <c r="O102" s="292" t="n">
        <v>1800</v>
      </c>
      <c r="P102" s="483" t="n">
        <v>1000</v>
      </c>
      <c r="Q102" s="292" t="n">
        <v>1300</v>
      </c>
      <c r="R102" s="292" t="n">
        <v>1700</v>
      </c>
      <c r="S102" s="293" t="n">
        <v>2000</v>
      </c>
      <c r="T102" s="293" t="n">
        <v>1000</v>
      </c>
      <c r="U102" s="293" t="n">
        <v>1200</v>
      </c>
      <c r="V102" s="293" t="n">
        <v>2000</v>
      </c>
      <c r="W102" s="295" t="n">
        <v>2000</v>
      </c>
      <c r="X102" s="292" t="n">
        <v>2500</v>
      </c>
      <c r="Y102" s="292"/>
    </row>
    <row r="103" customFormat="false" ht="15" hidden="false" customHeight="false" outlineLevel="0" collapsed="false">
      <c r="A103" s="56"/>
      <c r="B103" s="621" t="s">
        <v>67</v>
      </c>
      <c r="C103" s="231" t="n">
        <v>619.527</v>
      </c>
      <c r="D103" s="231" t="n">
        <v>315.106</v>
      </c>
      <c r="E103" s="231" t="n">
        <v>180</v>
      </c>
      <c r="F103" s="231" t="n">
        <v>221</v>
      </c>
      <c r="G103" s="231" t="n">
        <v>495</v>
      </c>
      <c r="H103" s="231" t="n">
        <v>179</v>
      </c>
      <c r="I103" s="231" t="n">
        <v>814</v>
      </c>
      <c r="J103" s="231" t="n">
        <v>1210</v>
      </c>
      <c r="K103" s="126" t="s">
        <v>3</v>
      </c>
      <c r="L103" s="481"/>
      <c r="M103" s="292"/>
      <c r="N103" s="482"/>
      <c r="O103" s="292" t="n">
        <v>200</v>
      </c>
      <c r="P103" s="483" t="n">
        <v>100</v>
      </c>
      <c r="Q103" s="292" t="n">
        <v>700</v>
      </c>
      <c r="R103" s="292" t="n">
        <v>500</v>
      </c>
      <c r="S103" s="292" t="n">
        <v>600</v>
      </c>
      <c r="T103" s="292" t="n">
        <v>800</v>
      </c>
      <c r="U103" s="292" t="n">
        <v>1200</v>
      </c>
      <c r="V103" s="292" t="n">
        <v>1300</v>
      </c>
      <c r="W103" s="291" t="n">
        <v>1400</v>
      </c>
      <c r="X103" s="292" t="n">
        <v>1500</v>
      </c>
      <c r="Y103" s="292"/>
    </row>
    <row r="104" customFormat="false" ht="15" hidden="false" customHeight="false" outlineLevel="0" collapsed="false">
      <c r="A104" s="56"/>
      <c r="B104" s="621" t="s">
        <v>68</v>
      </c>
      <c r="C104" s="231" t="n">
        <v>76.48</v>
      </c>
      <c r="D104" s="231" t="n">
        <v>97.004</v>
      </c>
      <c r="E104" s="231" t="n">
        <v>130</v>
      </c>
      <c r="F104" s="231" t="n">
        <v>210</v>
      </c>
      <c r="G104" s="231" t="n">
        <v>28</v>
      </c>
      <c r="H104" s="231" t="n">
        <v>51</v>
      </c>
      <c r="I104" s="231" t="n">
        <v>118</v>
      </c>
      <c r="J104" s="231" t="n">
        <v>780</v>
      </c>
      <c r="K104" s="126" t="s">
        <v>3</v>
      </c>
      <c r="L104" s="481"/>
      <c r="M104" s="292"/>
      <c r="N104" s="482"/>
      <c r="O104" s="292" t="n">
        <v>200</v>
      </c>
      <c r="P104" s="483" t="n">
        <v>400</v>
      </c>
      <c r="Q104" s="292" t="n">
        <v>900</v>
      </c>
      <c r="R104" s="292" t="n">
        <v>400</v>
      </c>
      <c r="S104" s="293" t="n">
        <v>400</v>
      </c>
      <c r="T104" s="293" t="n">
        <f aca="false">400</f>
        <v>400</v>
      </c>
      <c r="U104" s="482" t="n">
        <f aca="false">400+3000</f>
        <v>3400</v>
      </c>
      <c r="V104" s="482" t="n">
        <f aca="false">800+13000</f>
        <v>13800</v>
      </c>
      <c r="W104" s="484" t="n">
        <f aca="false">800+14000</f>
        <v>14800</v>
      </c>
      <c r="X104" s="292" t="n">
        <v>800</v>
      </c>
      <c r="Y104" s="292"/>
    </row>
    <row r="105" customFormat="false" ht="15" hidden="false" customHeight="false" outlineLevel="0" collapsed="false">
      <c r="A105" s="56"/>
      <c r="B105" s="621" t="s">
        <v>69</v>
      </c>
      <c r="C105" s="231" t="n">
        <v>173.604</v>
      </c>
      <c r="D105" s="231" t="n">
        <v>81.594</v>
      </c>
      <c r="E105" s="231" t="n">
        <v>145</v>
      </c>
      <c r="F105" s="231" t="n">
        <v>96</v>
      </c>
      <c r="G105" s="231" t="n">
        <v>42</v>
      </c>
      <c r="H105" s="231" t="n">
        <v>111</v>
      </c>
      <c r="I105" s="231" t="n">
        <v>453</v>
      </c>
      <c r="J105" s="231" t="n">
        <v>200</v>
      </c>
      <c r="K105" s="126" t="s">
        <v>3</v>
      </c>
      <c r="L105" s="481"/>
      <c r="M105" s="292"/>
      <c r="N105" s="482"/>
      <c r="O105" s="292" t="n">
        <v>100</v>
      </c>
      <c r="P105" s="483" t="n">
        <v>400</v>
      </c>
      <c r="Q105" s="292" t="n">
        <v>600</v>
      </c>
      <c r="R105" s="292" t="n">
        <v>800</v>
      </c>
      <c r="S105" s="293" t="n">
        <v>600</v>
      </c>
      <c r="T105" s="293" t="n">
        <v>800</v>
      </c>
      <c r="U105" s="293" t="n">
        <v>800</v>
      </c>
      <c r="V105" s="293" t="n">
        <v>800</v>
      </c>
      <c r="W105" s="295" t="n">
        <v>800</v>
      </c>
      <c r="X105" s="292" t="n">
        <v>1100</v>
      </c>
      <c r="Y105" s="292"/>
    </row>
    <row r="106" customFormat="false" ht="15" hidden="false" customHeight="false" outlineLevel="0" collapsed="false">
      <c r="A106" s="56"/>
      <c r="B106" s="621" t="s">
        <v>70</v>
      </c>
      <c r="C106" s="231" t="n">
        <f aca="false">240.569+2005.683</f>
        <v>2246.252</v>
      </c>
      <c r="D106" s="231" t="n">
        <v>93.553</v>
      </c>
      <c r="E106" s="231" t="n">
        <v>284</v>
      </c>
      <c r="F106" s="231" t="n">
        <v>207</v>
      </c>
      <c r="G106" s="231" t="n">
        <v>189</v>
      </c>
      <c r="H106" s="231" t="n">
        <v>57</v>
      </c>
      <c r="I106" s="231" t="n">
        <v>100</v>
      </c>
      <c r="J106" s="231" t="n">
        <v>420</v>
      </c>
      <c r="K106" s="126" t="s">
        <v>3</v>
      </c>
      <c r="L106" s="481"/>
      <c r="M106" s="292"/>
      <c r="N106" s="482"/>
      <c r="O106" s="292" t="n">
        <v>300</v>
      </c>
      <c r="P106" s="483" t="n">
        <v>500</v>
      </c>
      <c r="Q106" s="292" t="n">
        <v>300</v>
      </c>
      <c r="R106" s="292" t="n">
        <v>200</v>
      </c>
      <c r="S106" s="293" t="n">
        <v>900</v>
      </c>
      <c r="T106" s="293" t="n">
        <v>950</v>
      </c>
      <c r="U106" s="293" t="n">
        <v>800</v>
      </c>
      <c r="V106" s="293" t="n">
        <v>600</v>
      </c>
      <c r="W106" s="295" t="n">
        <v>600</v>
      </c>
      <c r="X106" s="292" t="n">
        <v>600</v>
      </c>
      <c r="Y106" s="292"/>
    </row>
    <row r="107" customFormat="false" ht="15" hidden="false" customHeight="false" outlineLevel="0" collapsed="false">
      <c r="A107" s="56"/>
      <c r="B107" s="621" t="s">
        <v>71</v>
      </c>
      <c r="C107" s="231" t="n">
        <v>179.277</v>
      </c>
      <c r="D107" s="231" t="n">
        <v>16.093</v>
      </c>
      <c r="E107" s="231" t="n">
        <v>0</v>
      </c>
      <c r="F107" s="231" t="n">
        <v>38</v>
      </c>
      <c r="G107" s="231" t="n">
        <v>502</v>
      </c>
      <c r="H107" s="231" t="n">
        <v>46</v>
      </c>
      <c r="I107" s="231" t="n">
        <v>275</v>
      </c>
      <c r="J107" s="231" t="n">
        <v>200</v>
      </c>
      <c r="K107" s="126" t="s">
        <v>3</v>
      </c>
      <c r="L107" s="481"/>
      <c r="M107" s="292"/>
      <c r="N107" s="482"/>
      <c r="O107" s="292" t="n">
        <v>200</v>
      </c>
      <c r="P107" s="483" t="n">
        <v>100</v>
      </c>
      <c r="Q107" s="292" t="n">
        <v>2100</v>
      </c>
      <c r="R107" s="292" t="n">
        <v>1300</v>
      </c>
      <c r="S107" s="292" t="n">
        <v>400</v>
      </c>
      <c r="T107" s="292" t="n">
        <v>150</v>
      </c>
      <c r="U107" s="292" t="n">
        <v>200</v>
      </c>
      <c r="V107" s="292" t="n">
        <v>300</v>
      </c>
      <c r="W107" s="291" t="n">
        <v>200</v>
      </c>
      <c r="X107" s="292" t="n">
        <v>300</v>
      </c>
      <c r="Y107" s="292"/>
    </row>
    <row r="108" s="3" customFormat="true" ht="15" hidden="false" customHeight="false" outlineLevel="0" collapsed="false">
      <c r="A108" s="56"/>
      <c r="B108" s="621" t="s">
        <v>72</v>
      </c>
      <c r="C108" s="231"/>
      <c r="D108" s="231"/>
      <c r="E108" s="231"/>
      <c r="F108" s="231"/>
      <c r="G108" s="231"/>
      <c r="H108" s="231"/>
      <c r="I108" s="231"/>
      <c r="J108" s="231"/>
      <c r="K108" s="126"/>
      <c r="L108" s="481"/>
      <c r="M108" s="292"/>
      <c r="N108" s="482"/>
      <c r="O108" s="292"/>
      <c r="P108" s="483"/>
      <c r="Q108" s="292"/>
      <c r="R108" s="292"/>
      <c r="S108" s="292"/>
      <c r="T108" s="292"/>
      <c r="U108" s="292"/>
      <c r="V108" s="292"/>
      <c r="W108" s="291"/>
      <c r="X108" s="292"/>
      <c r="Y108" s="292"/>
    </row>
    <row r="109" s="3" customFormat="true" ht="15" hidden="false" customHeight="false" outlineLevel="0" collapsed="false">
      <c r="A109" s="56"/>
      <c r="B109" s="621" t="s">
        <v>90</v>
      </c>
      <c r="C109" s="231" t="n">
        <v>50.472</v>
      </c>
      <c r="D109" s="231" t="n">
        <v>37.334</v>
      </c>
      <c r="E109" s="231" t="n">
        <v>153</v>
      </c>
      <c r="F109" s="231" t="n">
        <v>311</v>
      </c>
      <c r="G109" s="231" t="n">
        <v>97</v>
      </c>
      <c r="H109" s="231" t="n">
        <v>284</v>
      </c>
      <c r="I109" s="231" t="n">
        <v>256</v>
      </c>
      <c r="J109" s="231" t="n">
        <v>390</v>
      </c>
      <c r="K109" s="126" t="s">
        <v>3</v>
      </c>
      <c r="L109" s="481"/>
      <c r="M109" s="292"/>
      <c r="N109" s="482"/>
      <c r="O109" s="292" t="n">
        <v>200</v>
      </c>
      <c r="P109" s="483" t="n">
        <v>200</v>
      </c>
      <c r="Q109" s="292" t="n">
        <v>200</v>
      </c>
      <c r="R109" s="292" t="n">
        <v>2200</v>
      </c>
      <c r="S109" s="292" t="n">
        <v>1600</v>
      </c>
      <c r="T109" s="292" t="n">
        <v>600</v>
      </c>
      <c r="U109" s="292" t="n">
        <v>600</v>
      </c>
      <c r="V109" s="292" t="s">
        <v>91</v>
      </c>
      <c r="W109" s="291" t="n">
        <v>600</v>
      </c>
      <c r="X109" s="292" t="n">
        <v>600</v>
      </c>
      <c r="Y109" s="292"/>
    </row>
    <row r="110" s="3" customFormat="true" ht="15.75" hidden="false" customHeight="false" outlineLevel="0" collapsed="false">
      <c r="A110" s="56"/>
      <c r="B110" s="95"/>
      <c r="C110" s="212"/>
      <c r="D110" s="212"/>
      <c r="E110" s="212"/>
      <c r="F110" s="212"/>
      <c r="G110" s="212"/>
      <c r="H110" s="212"/>
      <c r="I110" s="212"/>
      <c r="J110" s="212"/>
      <c r="K110" s="126"/>
      <c r="L110" s="313"/>
      <c r="M110" s="314"/>
      <c r="N110" s="315"/>
      <c r="O110" s="314"/>
      <c r="P110" s="316"/>
      <c r="Q110" s="314"/>
      <c r="R110" s="314"/>
      <c r="S110" s="315"/>
      <c r="T110" s="315"/>
      <c r="U110" s="315"/>
      <c r="V110" s="315"/>
      <c r="W110" s="317"/>
      <c r="X110" s="314"/>
      <c r="Y110" s="314"/>
    </row>
    <row r="111" s="3" customFormat="true" ht="15.75" hidden="false" customHeight="false" outlineLevel="0" collapsed="false">
      <c r="A111" s="56"/>
      <c r="B111" s="615" t="s">
        <v>343</v>
      </c>
      <c r="C111" s="212"/>
      <c r="D111" s="212"/>
      <c r="E111" s="212"/>
      <c r="F111" s="212"/>
      <c r="G111" s="212"/>
      <c r="H111" s="212"/>
      <c r="I111" s="212"/>
      <c r="J111" s="212"/>
      <c r="K111" s="126"/>
      <c r="L111" s="313"/>
      <c r="M111" s="314"/>
      <c r="N111" s="315"/>
      <c r="O111" s="314"/>
      <c r="P111" s="316"/>
      <c r="Q111" s="314"/>
      <c r="R111" s="314"/>
      <c r="S111" s="315"/>
      <c r="T111" s="315"/>
      <c r="U111" s="315"/>
      <c r="V111" s="315"/>
      <c r="W111" s="317"/>
      <c r="X111" s="314"/>
      <c r="Y111" s="314"/>
    </row>
    <row r="112" customFormat="false" ht="15.75" hidden="false" customHeight="false" outlineLevel="0" collapsed="false">
      <c r="A112" s="38"/>
      <c r="B112" s="73" t="s">
        <v>3</v>
      </c>
      <c r="C112" s="212"/>
      <c r="D112" s="212"/>
      <c r="E112" s="224" t="s">
        <v>3</v>
      </c>
      <c r="F112" s="318" t="s">
        <v>3</v>
      </c>
      <c r="G112" s="303" t="s">
        <v>3</v>
      </c>
      <c r="H112" s="229" t="s">
        <v>3</v>
      </c>
      <c r="I112" s="229" t="s">
        <v>3</v>
      </c>
      <c r="J112" s="248" t="s">
        <v>3</v>
      </c>
      <c r="K112" s="68" t="s">
        <v>3</v>
      </c>
      <c r="L112" s="319"/>
      <c r="M112" s="320"/>
      <c r="N112" s="321"/>
      <c r="O112" s="322"/>
      <c r="P112" s="323"/>
      <c r="Q112" s="322"/>
      <c r="R112" s="322"/>
      <c r="S112" s="324"/>
      <c r="T112" s="324"/>
      <c r="U112" s="324"/>
      <c r="V112" s="324"/>
      <c r="W112" s="325"/>
      <c r="X112" s="322"/>
      <c r="Y112" s="322"/>
    </row>
    <row r="113" customFormat="false" ht="15.75" hidden="false" customHeight="true" outlineLevel="0" collapsed="false">
      <c r="A113" s="246" t="s">
        <v>130</v>
      </c>
      <c r="B113" s="112" t="s">
        <v>131</v>
      </c>
      <c r="C113" s="327"/>
      <c r="D113" s="327"/>
      <c r="E113" s="177" t="e">
        <f aca="false">SUM(E115+E117+E119+E121+E123+E125)</f>
        <v>#REF!</v>
      </c>
      <c r="F113" s="177" t="e">
        <f aca="false">SUM(F115+F117+F119+F121+F123+F125)</f>
        <v>#REF!</v>
      </c>
      <c r="G113" s="177" t="e">
        <f aca="false">SUM(G115+G117+G119+G121+G123+G125+G127)</f>
        <v>#REF!</v>
      </c>
      <c r="H113" s="177" t="e">
        <f aca="false">SUM(H115+H117+H119+H121+H123+H125+H127+H129)</f>
        <v>#REF!</v>
      </c>
      <c r="I113" s="177" t="e">
        <f aca="false">SUM(I115+I117+I119+I121+I123+I125+I127+I129)</f>
        <v>#REF!</v>
      </c>
      <c r="J113" s="177" t="e">
        <f aca="false">SUM(J115+J117+J119+J121+J123+J125+J127+J129)</f>
        <v>#REF!</v>
      </c>
      <c r="K113" s="98" t="e">
        <f aca="false">SUM(K115+K117+K119+K121+K123+K125+K127+K129)</f>
        <v>#REF!</v>
      </c>
      <c r="L113" s="98" t="n">
        <f aca="false">SUM(L115+L117+L119+L121+L123+L125+L127+L129)</f>
        <v>81905</v>
      </c>
      <c r="M113" s="99" t="n">
        <f aca="false">SUM(M115+M117+M119+M121+M123+M125+M127+M129+M131)</f>
        <v>71084.734</v>
      </c>
      <c r="N113" s="100" t="n">
        <f aca="false">77389925.76/1000</f>
        <v>77389.92576</v>
      </c>
      <c r="O113" s="99" t="n">
        <f aca="false">O115+O117+O119+O121+O123+O125+O127+O129+O131</f>
        <v>0</v>
      </c>
      <c r="P113" s="101" t="n">
        <f aca="false">P115+P117+P119+P121+P123+P125+P127+P129+P131</f>
        <v>0</v>
      </c>
      <c r="Q113" s="98" t="n">
        <f aca="false">Q115+Q117+Q119+Q121+Q123+Q125+Q127+Q129+Q131</f>
        <v>0</v>
      </c>
      <c r="R113" s="98" t="n">
        <f aca="false">R115+R117+R119+R121+R123+R125+R127+R129+R131</f>
        <v>0</v>
      </c>
      <c r="S113" s="98" t="n">
        <f aca="false">S115+S117+S119+S121+S123+S125+S127+S129+S131</f>
        <v>0</v>
      </c>
      <c r="T113" s="98" t="n">
        <f aca="false">T115+T117+T119+T121+T123+T125+T127+T129+T131</f>
        <v>0</v>
      </c>
      <c r="U113" s="98" t="n">
        <f aca="false">U115+U117+U119+U121+U123+U125+U127+U129+U131</f>
        <v>0</v>
      </c>
      <c r="V113" s="98" t="n">
        <f aca="false">V115+V117+V119+V121+V123+V125+V127+V129+V131</f>
        <v>0</v>
      </c>
      <c r="W113" s="98" t="n">
        <f aca="false">W115+W117+W119+W121+W123+W125+W127+W129+W131</f>
        <v>0</v>
      </c>
      <c r="X113" s="99" t="n">
        <f aca="false">X115+X117+X119+X121+X123+X125+X127+X129+X131</f>
        <v>0</v>
      </c>
      <c r="Y113" s="99"/>
    </row>
    <row r="114" customFormat="false" ht="15" hidden="false" customHeight="true" outlineLevel="0" collapsed="false">
      <c r="A114" s="56"/>
      <c r="B114" s="73"/>
      <c r="C114" s="231"/>
      <c r="D114" s="231"/>
      <c r="E114" s="231"/>
      <c r="F114" s="231"/>
      <c r="G114" s="231"/>
      <c r="H114" s="328"/>
      <c r="I114" s="181"/>
      <c r="J114" s="329"/>
      <c r="K114" s="330"/>
      <c r="L114" s="330"/>
      <c r="M114" s="331"/>
      <c r="N114" s="332"/>
      <c r="O114" s="331"/>
      <c r="P114" s="333"/>
      <c r="Q114" s="331"/>
      <c r="R114" s="331"/>
      <c r="S114" s="331"/>
      <c r="T114" s="331"/>
      <c r="U114" s="331"/>
      <c r="V114" s="331"/>
      <c r="W114" s="330"/>
      <c r="X114" s="331"/>
      <c r="Y114" s="331"/>
    </row>
    <row r="115" s="3" customFormat="true" ht="15.75" hidden="false" customHeight="true" outlineLevel="0" collapsed="false">
      <c r="A115" s="613" t="s">
        <v>133</v>
      </c>
      <c r="B115" s="614" t="s">
        <v>134</v>
      </c>
      <c r="C115" s="212" t="e">
        <f aca="false">#REF!</f>
        <v>#REF!</v>
      </c>
      <c r="D115" s="212" t="e">
        <f aca="false">#REF!</f>
        <v>#REF!</v>
      </c>
      <c r="E115" s="212" t="e">
        <f aca="false">#REF!</f>
        <v>#REF!</v>
      </c>
      <c r="F115" s="212" t="e">
        <f aca="false">#REF!</f>
        <v>#REF!</v>
      </c>
      <c r="G115" s="212" t="e">
        <f aca="false">#REF!</f>
        <v>#REF!</v>
      </c>
      <c r="H115" s="212" t="e">
        <f aca="false">#REF!</f>
        <v>#REF!</v>
      </c>
      <c r="I115" s="212" t="e">
        <f aca="false">#REF!</f>
        <v>#REF!</v>
      </c>
      <c r="J115" s="212" t="e">
        <f aca="false">#REF!</f>
        <v>#REF!</v>
      </c>
      <c r="K115" s="68" t="e">
        <f aca="false">#REF!</f>
        <v>#REF!</v>
      </c>
      <c r="L115" s="68" t="n">
        <v>2617</v>
      </c>
      <c r="M115" s="69" t="n">
        <f aca="false">188606/1000</f>
        <v>188.606</v>
      </c>
      <c r="N115" s="70"/>
      <c r="O115" s="69"/>
      <c r="P115" s="71"/>
      <c r="Q115" s="70"/>
      <c r="R115" s="70"/>
      <c r="S115" s="70"/>
      <c r="T115" s="70"/>
      <c r="U115" s="70"/>
      <c r="V115" s="70"/>
      <c r="W115" s="70"/>
      <c r="X115" s="70"/>
      <c r="Y115" s="70"/>
    </row>
    <row r="116" customFormat="false" ht="15" hidden="false" customHeight="true" outlineLevel="0" collapsed="false">
      <c r="A116" s="56"/>
      <c r="B116" s="73"/>
      <c r="C116" s="118" t="s">
        <v>3</v>
      </c>
      <c r="D116" s="119" t="s">
        <v>3</v>
      </c>
      <c r="E116" s="119" t="s">
        <v>3</v>
      </c>
      <c r="F116" s="224" t="s">
        <v>3</v>
      </c>
      <c r="G116" s="92" t="s">
        <v>3</v>
      </c>
      <c r="H116" s="209" t="s">
        <v>3</v>
      </c>
      <c r="I116" s="307" t="s">
        <v>3</v>
      </c>
      <c r="J116" s="355" t="s">
        <v>3</v>
      </c>
      <c r="K116" s="167" t="s">
        <v>3</v>
      </c>
      <c r="L116" s="304" t="s">
        <v>3</v>
      </c>
      <c r="M116" s="298" t="s">
        <v>3</v>
      </c>
      <c r="N116" s="299"/>
      <c r="O116" s="298"/>
      <c r="P116" s="308"/>
      <c r="Q116" s="298"/>
      <c r="R116" s="298"/>
      <c r="S116" s="299"/>
      <c r="T116" s="299"/>
      <c r="U116" s="299"/>
      <c r="V116" s="299"/>
      <c r="W116" s="301"/>
      <c r="X116" s="298"/>
      <c r="Y116" s="298"/>
    </row>
    <row r="117" s="3" customFormat="true" ht="15.75" hidden="false" customHeight="true" outlineLevel="0" collapsed="false">
      <c r="A117" s="613" t="s">
        <v>139</v>
      </c>
      <c r="B117" s="614" t="s">
        <v>140</v>
      </c>
      <c r="C117" s="212" t="e">
        <f aca="false">SUM(#REF!)</f>
        <v>#REF!</v>
      </c>
      <c r="D117" s="212" t="e">
        <f aca="false">SUM(#REF!)</f>
        <v>#REF!</v>
      </c>
      <c r="E117" s="212" t="e">
        <f aca="false">SUM(#REF!)</f>
        <v>#REF!</v>
      </c>
      <c r="F117" s="212" t="e">
        <f aca="false">SUM(#REF!)</f>
        <v>#REF!</v>
      </c>
      <c r="G117" s="212" t="e">
        <f aca="false">SUM(#REF!)</f>
        <v>#REF!</v>
      </c>
      <c r="H117" s="212" t="e">
        <f aca="false">SUM(#REF!)</f>
        <v>#REF!</v>
      </c>
      <c r="I117" s="212" t="e">
        <f aca="false">SUM(#REF!)</f>
        <v>#REF!</v>
      </c>
      <c r="J117" s="212" t="e">
        <f aca="false">#REF!+#REF!</f>
        <v>#REF!</v>
      </c>
      <c r="K117" s="68" t="e">
        <f aca="false">#REF!+#REF!</f>
        <v>#REF!</v>
      </c>
      <c r="L117" s="68" t="n">
        <v>16920</v>
      </c>
      <c r="M117" s="69" t="n">
        <f aca="false">22806918/1000</f>
        <v>22806.918</v>
      </c>
      <c r="N117" s="70"/>
      <c r="O117" s="69"/>
      <c r="P117" s="71"/>
      <c r="Q117" s="68"/>
      <c r="R117" s="68"/>
      <c r="S117" s="68"/>
      <c r="T117" s="69"/>
      <c r="U117" s="69"/>
      <c r="V117" s="69"/>
      <c r="W117" s="68"/>
      <c r="X117" s="69"/>
      <c r="Y117" s="69"/>
    </row>
    <row r="118" s="3" customFormat="true" ht="15.75" hidden="false" customHeight="true" outlineLevel="0" collapsed="false">
      <c r="A118" s="38"/>
      <c r="B118" s="73"/>
      <c r="C118" s="118" t="s">
        <v>3</v>
      </c>
      <c r="D118" s="119" t="s">
        <v>3</v>
      </c>
      <c r="E118" s="119" t="s">
        <v>3</v>
      </c>
      <c r="F118" s="360" t="s">
        <v>3</v>
      </c>
      <c r="G118" s="92" t="s">
        <v>3</v>
      </c>
      <c r="H118" s="209" t="s">
        <v>3</v>
      </c>
      <c r="I118" s="307" t="s">
        <v>3</v>
      </c>
      <c r="J118" s="355" t="s">
        <v>3</v>
      </c>
      <c r="K118" s="167" t="s">
        <v>3</v>
      </c>
      <c r="L118" s="102" t="s">
        <v>3</v>
      </c>
      <c r="M118" s="170" t="s">
        <v>3</v>
      </c>
      <c r="N118" s="197"/>
      <c r="O118" s="170"/>
      <c r="P118" s="251"/>
      <c r="Q118" s="170"/>
      <c r="R118" s="170"/>
      <c r="S118" s="197"/>
      <c r="T118" s="170"/>
      <c r="U118" s="170"/>
      <c r="V118" s="170"/>
      <c r="W118" s="167"/>
      <c r="X118" s="170"/>
      <c r="Y118" s="170"/>
    </row>
    <row r="119" s="3" customFormat="true" ht="15.75" hidden="false" customHeight="true" outlineLevel="0" collapsed="false">
      <c r="A119" s="613" t="s">
        <v>150</v>
      </c>
      <c r="B119" s="563" t="s">
        <v>151</v>
      </c>
      <c r="C119" s="212" t="e">
        <f aca="false">#REF!+#REF!</f>
        <v>#REF!</v>
      </c>
      <c r="D119" s="212" t="e">
        <f aca="false">#REF!+#REF!</f>
        <v>#REF!</v>
      </c>
      <c r="E119" s="212" t="e">
        <f aca="false">#REF!+#REF!</f>
        <v>#REF!</v>
      </c>
      <c r="F119" s="212" t="e">
        <f aca="false">#REF!+#REF!</f>
        <v>#REF!</v>
      </c>
      <c r="G119" s="212" t="e">
        <f aca="false">#REF!+#REF!</f>
        <v>#REF!</v>
      </c>
      <c r="H119" s="212" t="e">
        <f aca="false">#REF!+#REF!</f>
        <v>#REF!</v>
      </c>
      <c r="I119" s="212" t="e">
        <f aca="false">#REF!+#REF!</f>
        <v>#REF!</v>
      </c>
      <c r="J119" s="212" t="e">
        <f aca="false">#REF!+#REF!</f>
        <v>#REF!</v>
      </c>
      <c r="K119" s="68" t="n">
        <v>14964</v>
      </c>
      <c r="L119" s="68" t="n">
        <v>15704</v>
      </c>
      <c r="M119" s="69" t="n">
        <f aca="false">14397551/1000</f>
        <v>14397.551</v>
      </c>
      <c r="N119" s="70"/>
      <c r="O119" s="69"/>
      <c r="P119" s="71"/>
      <c r="Q119" s="69"/>
      <c r="R119" s="69"/>
      <c r="S119" s="69"/>
      <c r="T119" s="69"/>
      <c r="U119" s="69"/>
      <c r="V119" s="69"/>
      <c r="W119" s="68"/>
      <c r="X119" s="69"/>
      <c r="Y119" s="69"/>
    </row>
    <row r="120" s="3" customFormat="true" ht="15.75" hidden="false" customHeight="true" outlineLevel="0" collapsed="false">
      <c r="A120" s="38"/>
      <c r="B120" s="73"/>
      <c r="C120" s="119" t="s">
        <v>3</v>
      </c>
      <c r="D120" s="119" t="s">
        <v>3</v>
      </c>
      <c r="E120" s="119" t="s">
        <v>3</v>
      </c>
      <c r="F120" s="360" t="s">
        <v>3</v>
      </c>
      <c r="G120" s="92" t="s">
        <v>3</v>
      </c>
      <c r="H120" s="209" t="s">
        <v>3</v>
      </c>
      <c r="I120" s="307" t="s">
        <v>3</v>
      </c>
      <c r="J120" s="355" t="s">
        <v>3</v>
      </c>
      <c r="K120" s="167" t="s">
        <v>3</v>
      </c>
      <c r="L120" s="102" t="s">
        <v>3</v>
      </c>
      <c r="M120" s="170" t="s">
        <v>3</v>
      </c>
      <c r="N120" s="197"/>
      <c r="O120" s="170"/>
      <c r="P120" s="251"/>
      <c r="Q120" s="170"/>
      <c r="R120" s="170"/>
      <c r="S120" s="197"/>
      <c r="T120" s="197"/>
      <c r="U120" s="197"/>
      <c r="V120" s="197"/>
      <c r="W120" s="252"/>
      <c r="X120" s="170"/>
      <c r="Y120" s="170"/>
    </row>
    <row r="121" s="3" customFormat="true" ht="15.75" hidden="false" customHeight="true" outlineLevel="0" collapsed="false">
      <c r="A121" s="613" t="s">
        <v>165</v>
      </c>
      <c r="B121" s="563" t="s">
        <v>166</v>
      </c>
      <c r="C121" s="212" t="e">
        <f aca="false">SUM(#REF!)</f>
        <v>#REF!</v>
      </c>
      <c r="D121" s="212" t="e">
        <f aca="false">SUM(#REF!)</f>
        <v>#REF!</v>
      </c>
      <c r="E121" s="212" t="e">
        <f aca="false">SUM(#REF!)</f>
        <v>#REF!</v>
      </c>
      <c r="F121" s="212" t="e">
        <f aca="false">SUM(#REF!)</f>
        <v>#REF!</v>
      </c>
      <c r="G121" s="212" t="e">
        <f aca="false">SUM(#REF!)</f>
        <v>#REF!</v>
      </c>
      <c r="H121" s="212" t="e">
        <f aca="false">SUM(#REF!)</f>
        <v>#REF!</v>
      </c>
      <c r="I121" s="212" t="e">
        <f aca="false">SUM(#REF!+#REF!)</f>
        <v>#REF!</v>
      </c>
      <c r="J121" s="212" t="n">
        <v>6588</v>
      </c>
      <c r="K121" s="68" t="e">
        <f aca="false">SUM(#REF!+#REF!)</f>
        <v>#REF!</v>
      </c>
      <c r="L121" s="68" t="n">
        <v>2910</v>
      </c>
      <c r="M121" s="69" t="n">
        <f aca="false">7898551/1000</f>
        <v>7898.551</v>
      </c>
      <c r="N121" s="70"/>
      <c r="O121" s="69"/>
      <c r="P121" s="71"/>
      <c r="Q121" s="68"/>
      <c r="R121" s="68"/>
      <c r="S121" s="68"/>
      <c r="T121" s="68"/>
      <c r="U121" s="68"/>
      <c r="V121" s="69"/>
      <c r="W121" s="68"/>
      <c r="X121" s="69"/>
      <c r="Y121" s="69"/>
    </row>
    <row r="122" s="3" customFormat="true" ht="15.75" hidden="false" customHeight="true" outlineLevel="0" collapsed="false">
      <c r="A122" s="38"/>
      <c r="B122" s="73"/>
      <c r="C122" s="68"/>
      <c r="D122" s="119" t="s">
        <v>3</v>
      </c>
      <c r="E122" s="119" t="s">
        <v>3</v>
      </c>
      <c r="F122" s="360" t="s">
        <v>3</v>
      </c>
      <c r="G122" s="92" t="s">
        <v>3</v>
      </c>
      <c r="H122" s="209" t="s">
        <v>3</v>
      </c>
      <c r="I122" s="307" t="s">
        <v>3</v>
      </c>
      <c r="J122" s="355" t="s">
        <v>3</v>
      </c>
      <c r="K122" s="167" t="s">
        <v>3</v>
      </c>
      <c r="L122" s="371" t="s">
        <v>3</v>
      </c>
      <c r="M122" s="285"/>
      <c r="N122" s="286"/>
      <c r="O122" s="285"/>
      <c r="P122" s="287"/>
      <c r="Q122" s="285"/>
      <c r="R122" s="285"/>
      <c r="S122" s="286"/>
      <c r="T122" s="286"/>
      <c r="U122" s="286"/>
      <c r="V122" s="286"/>
      <c r="W122" s="288"/>
      <c r="X122" s="285"/>
      <c r="Y122" s="285"/>
    </row>
    <row r="123" s="3" customFormat="true" ht="15.75" hidden="false" customHeight="true" outlineLevel="0" collapsed="false">
      <c r="A123" s="613" t="s">
        <v>182</v>
      </c>
      <c r="B123" s="563" t="s">
        <v>183</v>
      </c>
      <c r="C123" s="212" t="e">
        <f aca="false">+#REF!+#REF!+#REF!</f>
        <v>#REF!</v>
      </c>
      <c r="D123" s="212" t="e">
        <f aca="false">+#REF!+#REF!+#REF!+#REF!</f>
        <v>#REF!</v>
      </c>
      <c r="E123" s="212" t="e">
        <f aca="false">+#REF!+#REF!+#REF!+#REF!</f>
        <v>#REF!</v>
      </c>
      <c r="F123" s="212" t="e">
        <f aca="false">+#REF!+#REF!+#REF!+#REF!</f>
        <v>#REF!</v>
      </c>
      <c r="G123" s="212" t="e">
        <f aca="false">+#REF!+#REF!+#REF!+#REF!</f>
        <v>#REF!</v>
      </c>
      <c r="H123" s="212" t="e">
        <f aca="false">+#REF!+#REF!+#REF!+#REF!</f>
        <v>#REF!</v>
      </c>
      <c r="I123" s="212" t="e">
        <f aca="false">+#REF!+#REF!+#REF!+#REF!</f>
        <v>#REF!</v>
      </c>
      <c r="J123" s="212" t="n">
        <v>26158</v>
      </c>
      <c r="K123" s="68" t="e">
        <f aca="false">+#REF!+#REF!+#REF!+#REF!</f>
        <v>#REF!</v>
      </c>
      <c r="L123" s="68" t="n">
        <v>34897</v>
      </c>
      <c r="M123" s="69" t="n">
        <f aca="false">18964599/1000</f>
        <v>18964.599</v>
      </c>
      <c r="N123" s="70"/>
      <c r="O123" s="69"/>
      <c r="P123" s="71"/>
      <c r="Q123" s="230"/>
      <c r="R123" s="69"/>
      <c r="S123" s="69"/>
      <c r="T123" s="69"/>
      <c r="U123" s="69"/>
      <c r="V123" s="69"/>
      <c r="W123" s="68"/>
      <c r="X123" s="69"/>
      <c r="Y123" s="69"/>
    </row>
    <row r="124" s="3" customFormat="true" ht="15.75" hidden="false" customHeight="true" outlineLevel="0" collapsed="false">
      <c r="A124" s="38"/>
      <c r="B124" s="73"/>
      <c r="C124" s="68"/>
      <c r="D124" s="119"/>
      <c r="E124" s="119" t="s">
        <v>3</v>
      </c>
      <c r="F124" s="360" t="s">
        <v>3</v>
      </c>
      <c r="G124" s="92" t="s">
        <v>3</v>
      </c>
      <c r="H124" s="209" t="s">
        <v>3</v>
      </c>
      <c r="I124" s="307" t="s">
        <v>3</v>
      </c>
      <c r="J124" s="355" t="s">
        <v>3</v>
      </c>
      <c r="K124" s="167" t="s">
        <v>3</v>
      </c>
      <c r="L124" s="371" t="s">
        <v>3</v>
      </c>
      <c r="M124" s="285" t="s">
        <v>3</v>
      </c>
      <c r="N124" s="286"/>
      <c r="O124" s="285"/>
      <c r="P124" s="287"/>
      <c r="Q124" s="285"/>
      <c r="R124" s="285"/>
      <c r="S124" s="286"/>
      <c r="T124" s="286"/>
      <c r="U124" s="286"/>
      <c r="V124" s="286"/>
      <c r="W124" s="288"/>
      <c r="X124" s="285"/>
      <c r="Y124" s="285"/>
    </row>
    <row r="125" s="3" customFormat="true" ht="15.75" hidden="false" customHeight="true" outlineLevel="0" collapsed="false">
      <c r="A125" s="613" t="s">
        <v>198</v>
      </c>
      <c r="B125" s="563" t="s">
        <v>199</v>
      </c>
      <c r="C125" s="212" t="n">
        <v>0</v>
      </c>
      <c r="D125" s="212" t="n">
        <v>0</v>
      </c>
      <c r="E125" s="212" t="n">
        <v>0</v>
      </c>
      <c r="F125" s="212" t="n">
        <v>0</v>
      </c>
      <c r="G125" s="212" t="e">
        <f aca="false">+#REF!+#REF!</f>
        <v>#REF!</v>
      </c>
      <c r="H125" s="212" t="e">
        <f aca="false">+#REF!+#REF!</f>
        <v>#REF!</v>
      </c>
      <c r="I125" s="212" t="e">
        <f aca="false">+#REF!+#REF!</f>
        <v>#REF!</v>
      </c>
      <c r="J125" s="212" t="n">
        <v>3101</v>
      </c>
      <c r="K125" s="68" t="e">
        <f aca="false">+#REF!+#REF!</f>
        <v>#REF!</v>
      </c>
      <c r="L125" s="68" t="n">
        <v>5913</v>
      </c>
      <c r="M125" s="69" t="n">
        <f aca="false">3835464/1000</f>
        <v>3835.464</v>
      </c>
      <c r="N125" s="70"/>
      <c r="O125" s="69"/>
      <c r="P125" s="71"/>
      <c r="Q125" s="69"/>
      <c r="R125" s="69"/>
      <c r="S125" s="69"/>
      <c r="T125" s="69"/>
      <c r="U125" s="69"/>
      <c r="V125" s="69"/>
      <c r="W125" s="68"/>
      <c r="X125" s="69"/>
      <c r="Y125" s="69"/>
    </row>
    <row r="126" s="3" customFormat="true" ht="15.75" hidden="false" customHeight="true" outlineLevel="0" collapsed="false">
      <c r="A126" s="38"/>
      <c r="B126" s="73" t="s">
        <v>3</v>
      </c>
      <c r="C126" s="212"/>
      <c r="D126" s="212"/>
      <c r="E126" s="212"/>
      <c r="F126" s="212"/>
      <c r="G126" s="212"/>
      <c r="H126" s="212"/>
      <c r="I126" s="212"/>
      <c r="J126" s="212"/>
      <c r="K126" s="68"/>
      <c r="L126" s="380" t="s">
        <v>3</v>
      </c>
      <c r="M126" s="285" t="s">
        <v>3</v>
      </c>
      <c r="N126" s="286"/>
      <c r="O126" s="285"/>
      <c r="P126" s="287"/>
      <c r="Q126" s="285"/>
      <c r="R126" s="285"/>
      <c r="S126" s="286"/>
      <c r="T126" s="286"/>
      <c r="U126" s="286"/>
      <c r="V126" s="286"/>
      <c r="W126" s="288"/>
      <c r="X126" s="285"/>
      <c r="Y126" s="285"/>
    </row>
    <row r="127" s="3" customFormat="true" ht="15.75" hidden="false" customHeight="true" outlineLevel="0" collapsed="false">
      <c r="A127" s="613" t="s">
        <v>202</v>
      </c>
      <c r="B127" s="563" t="s">
        <v>203</v>
      </c>
      <c r="C127" s="212"/>
      <c r="D127" s="212"/>
      <c r="E127" s="212"/>
      <c r="F127" s="212"/>
      <c r="G127" s="212" t="n">
        <v>1154</v>
      </c>
      <c r="H127" s="212" t="n">
        <v>2156</v>
      </c>
      <c r="I127" s="212" t="n">
        <v>2237</v>
      </c>
      <c r="J127" s="212" t="n">
        <v>2317</v>
      </c>
      <c r="K127" s="68" t="n">
        <v>1554</v>
      </c>
      <c r="L127" s="383" t="n">
        <v>508</v>
      </c>
      <c r="M127" s="281" t="n">
        <f aca="false">2472302/1000</f>
        <v>2472.302</v>
      </c>
      <c r="N127" s="282"/>
      <c r="O127" s="281"/>
      <c r="P127" s="283"/>
      <c r="Q127" s="281"/>
      <c r="R127" s="281"/>
      <c r="S127" s="282"/>
      <c r="T127" s="282"/>
      <c r="U127" s="282"/>
      <c r="V127" s="282"/>
      <c r="W127" s="284"/>
      <c r="X127" s="281"/>
      <c r="Y127" s="281"/>
    </row>
    <row r="128" s="3" customFormat="true" ht="15.75" hidden="false" customHeight="true" outlineLevel="0" collapsed="false">
      <c r="A128" s="38"/>
      <c r="B128" s="73"/>
      <c r="C128" s="212"/>
      <c r="D128" s="212"/>
      <c r="E128" s="212"/>
      <c r="F128" s="212"/>
      <c r="G128" s="212"/>
      <c r="H128" s="212"/>
      <c r="I128" s="212"/>
      <c r="J128" s="248"/>
      <c r="K128" s="68"/>
      <c r="L128" s="371" t="s">
        <v>3</v>
      </c>
      <c r="M128" s="285" t="s">
        <v>3</v>
      </c>
      <c r="N128" s="286"/>
      <c r="O128" s="285"/>
      <c r="P128" s="287"/>
      <c r="Q128" s="285"/>
      <c r="R128" s="285"/>
      <c r="S128" s="286"/>
      <c r="T128" s="286"/>
      <c r="U128" s="286"/>
      <c r="V128" s="286"/>
      <c r="W128" s="288"/>
      <c r="X128" s="285"/>
      <c r="Y128" s="285"/>
    </row>
    <row r="129" s="3" customFormat="true" ht="15.75" hidden="false" customHeight="true" outlineLevel="0" collapsed="false">
      <c r="A129" s="634" t="s">
        <v>204</v>
      </c>
      <c r="B129" s="563" t="s">
        <v>344</v>
      </c>
      <c r="C129" s="212"/>
      <c r="D129" s="212"/>
      <c r="E129" s="212"/>
      <c r="F129" s="212"/>
      <c r="G129" s="212"/>
      <c r="H129" s="212"/>
      <c r="I129" s="212" t="n">
        <v>689</v>
      </c>
      <c r="J129" s="212" t="n">
        <v>2038</v>
      </c>
      <c r="K129" s="68" t="n">
        <v>3093</v>
      </c>
      <c r="L129" s="383" t="n">
        <v>2436</v>
      </c>
      <c r="M129" s="281" t="n">
        <f aca="false">356282/1000</f>
        <v>356.282</v>
      </c>
      <c r="N129" s="282"/>
      <c r="O129" s="281"/>
      <c r="P129" s="283"/>
      <c r="Q129" s="281"/>
      <c r="R129" s="281"/>
      <c r="S129" s="282"/>
      <c r="T129" s="282"/>
      <c r="U129" s="282"/>
      <c r="V129" s="282"/>
      <c r="W129" s="284"/>
      <c r="X129" s="281"/>
      <c r="Y129" s="281"/>
    </row>
    <row r="130" s="3" customFormat="true" ht="15.75" hidden="false" customHeight="true" outlineLevel="0" collapsed="false">
      <c r="A130" s="38"/>
      <c r="B130" s="73"/>
      <c r="C130" s="212"/>
      <c r="D130" s="212"/>
      <c r="E130" s="212"/>
      <c r="F130" s="212"/>
      <c r="G130" s="212"/>
      <c r="H130" s="212"/>
      <c r="I130" s="212"/>
      <c r="J130" s="248" t="s">
        <v>3</v>
      </c>
      <c r="K130" s="68"/>
      <c r="L130" s="371" t="s">
        <v>3</v>
      </c>
      <c r="M130" s="281"/>
      <c r="N130" s="282"/>
      <c r="O130" s="281"/>
      <c r="P130" s="283"/>
      <c r="Q130" s="281"/>
      <c r="R130" s="281"/>
      <c r="S130" s="282"/>
      <c r="T130" s="282"/>
      <c r="U130" s="282"/>
      <c r="V130" s="282"/>
      <c r="W130" s="284"/>
      <c r="X130" s="281"/>
      <c r="Y130" s="281"/>
    </row>
    <row r="131" s="3" customFormat="true" ht="15.75" hidden="false" customHeight="true" outlineLevel="0" collapsed="false">
      <c r="A131" s="635" t="s">
        <v>207</v>
      </c>
      <c r="B131" s="563" t="s">
        <v>208</v>
      </c>
      <c r="C131" s="212"/>
      <c r="D131" s="212"/>
      <c r="E131" s="212"/>
      <c r="F131" s="212"/>
      <c r="G131" s="212"/>
      <c r="H131" s="212"/>
      <c r="I131" s="212"/>
      <c r="J131" s="248"/>
      <c r="K131" s="68"/>
      <c r="L131" s="371"/>
      <c r="M131" s="281" t="n">
        <f aca="false">164461/1000</f>
        <v>164.461</v>
      </c>
      <c r="N131" s="282"/>
      <c r="O131" s="281"/>
      <c r="P131" s="283"/>
      <c r="Q131" s="281"/>
      <c r="R131" s="281"/>
      <c r="S131" s="282"/>
      <c r="T131" s="282"/>
      <c r="U131" s="282"/>
      <c r="V131" s="282"/>
      <c r="W131" s="284"/>
      <c r="X131" s="281"/>
      <c r="Y131" s="281"/>
    </row>
    <row r="132" s="3" customFormat="true" ht="15.75" hidden="false" customHeight="true" outlineLevel="0" collapsed="false">
      <c r="A132" s="636"/>
      <c r="B132" s="389"/>
      <c r="C132" s="236"/>
      <c r="D132" s="236"/>
      <c r="E132" s="236"/>
      <c r="F132" s="236"/>
      <c r="G132" s="236"/>
      <c r="H132" s="236"/>
      <c r="I132" s="236"/>
      <c r="J132" s="390" t="s">
        <v>3</v>
      </c>
      <c r="K132" s="391"/>
      <c r="L132" s="392" t="s">
        <v>3</v>
      </c>
      <c r="M132" s="393" t="s">
        <v>3</v>
      </c>
      <c r="N132" s="394"/>
      <c r="O132" s="395" t="s">
        <v>3</v>
      </c>
      <c r="P132" s="396" t="s">
        <v>3</v>
      </c>
      <c r="Q132" s="397" t="s">
        <v>3</v>
      </c>
      <c r="R132" s="397" t="s">
        <v>3</v>
      </c>
      <c r="S132" s="397" t="s">
        <v>3</v>
      </c>
      <c r="T132" s="398" t="s">
        <v>3</v>
      </c>
      <c r="U132" s="398" t="s">
        <v>3</v>
      </c>
      <c r="V132" s="398" t="s">
        <v>3</v>
      </c>
      <c r="W132" s="399" t="s">
        <v>3</v>
      </c>
      <c r="X132" s="400" t="s">
        <v>3</v>
      </c>
      <c r="Y132" s="400"/>
    </row>
    <row r="133" customFormat="false" ht="15.75" hidden="false" customHeight="true" outlineLevel="0" collapsed="false">
      <c r="A133" s="246" t="s">
        <v>345</v>
      </c>
      <c r="B133" s="112" t="s">
        <v>209</v>
      </c>
      <c r="C133" s="177" t="n">
        <v>4010</v>
      </c>
      <c r="D133" s="177" t="n">
        <v>2489</v>
      </c>
      <c r="E133" s="177" t="e">
        <f aca="false">SUM(#REF!)</f>
        <v>#REF!</v>
      </c>
      <c r="F133" s="177" t="e">
        <f aca="false">SUM(#REF!)</f>
        <v>#REF!</v>
      </c>
      <c r="G133" s="177" t="e">
        <f aca="false">SUM(#REF!)</f>
        <v>#REF!</v>
      </c>
      <c r="H133" s="177" t="e">
        <f aca="false">SUM(#REF!)</f>
        <v>#REF!</v>
      </c>
      <c r="I133" s="177" t="e">
        <f aca="false">SUM(#REF!)</f>
        <v>#REF!</v>
      </c>
      <c r="J133" s="402" t="e">
        <f aca="false">SUM(#REF!)</f>
        <v>#REF!</v>
      </c>
      <c r="K133" s="98" t="e">
        <f aca="false">SUM(#REF!)</f>
        <v>#REF!</v>
      </c>
      <c r="L133" s="98" t="e">
        <f aca="false">SUM(#REF!)</f>
        <v>#REF!</v>
      </c>
      <c r="M133" s="99" t="n">
        <f aca="false">872624/1000</f>
        <v>872.624</v>
      </c>
      <c r="N133" s="100" t="n">
        <f aca="false">916242.72/1000</f>
        <v>916.24272</v>
      </c>
      <c r="O133" s="99" t="e">
        <f aca="false">SUM(#REF!)+O134</f>
        <v>#REF!</v>
      </c>
      <c r="P133" s="101" t="e">
        <f aca="false">SUM(#REF!)</f>
        <v>#REF!</v>
      </c>
      <c r="Q133" s="99" t="e">
        <f aca="false">SUM(#REF!)</f>
        <v>#REF!</v>
      </c>
      <c r="R133" s="99" t="e">
        <f aca="false">SUM(#REF!)</f>
        <v>#REF!</v>
      </c>
      <c r="S133" s="113" t="e">
        <f aca="false">SUM(#REF!)</f>
        <v>#REF!</v>
      </c>
      <c r="T133" s="113" t="e">
        <f aca="false">SUM(#REF!)</f>
        <v>#REF!</v>
      </c>
      <c r="U133" s="99" t="e">
        <f aca="false">SUM(#REF!)</f>
        <v>#REF!</v>
      </c>
      <c r="V133" s="99" t="e">
        <f aca="false">SUM(#REF!)</f>
        <v>#REF!</v>
      </c>
      <c r="W133" s="98" t="e">
        <f aca="false">SUM(#REF!)</f>
        <v>#REF!</v>
      </c>
      <c r="X133" s="99" t="e">
        <f aca="false">SUM(#REF!)</f>
        <v>#REF!</v>
      </c>
      <c r="Y133" s="99" t="e">
        <f aca="false">SUM(#REF!)</f>
        <v>#REF!</v>
      </c>
    </row>
    <row r="134" customFormat="false" ht="15.75" hidden="false" customHeight="true" outlineLevel="0" collapsed="false">
      <c r="A134" s="38"/>
      <c r="B134" s="73"/>
      <c r="C134" s="177"/>
      <c r="D134" s="177"/>
      <c r="E134" s="404"/>
      <c r="F134" s="177"/>
      <c r="G134" s="177"/>
      <c r="H134" s="177"/>
      <c r="I134" s="177"/>
      <c r="J134" s="177"/>
      <c r="K134" s="98"/>
      <c r="L134" s="98"/>
      <c r="M134" s="99"/>
      <c r="N134" s="100"/>
      <c r="O134" s="75" t="n">
        <v>590</v>
      </c>
      <c r="P134" s="101"/>
      <c r="Q134" s="99"/>
      <c r="R134" s="99"/>
      <c r="S134" s="113"/>
      <c r="T134" s="113"/>
      <c r="U134" s="99"/>
      <c r="V134" s="99"/>
      <c r="W134" s="98"/>
      <c r="X134" s="99"/>
      <c r="Y134" s="99"/>
    </row>
    <row r="135" customFormat="false" ht="15.75" hidden="false" customHeight="false" outlineLevel="0" collapsed="false">
      <c r="A135" s="637" t="s">
        <v>232</v>
      </c>
      <c r="B135" s="432" t="s">
        <v>233</v>
      </c>
      <c r="C135" s="433" t="n">
        <f aca="false">C137+C184</f>
        <v>27888.92493</v>
      </c>
      <c r="D135" s="433" t="n">
        <f aca="false">D137+D184</f>
        <v>21906.233</v>
      </c>
      <c r="E135" s="433" t="n">
        <f aca="false">E137+E184</f>
        <v>18969</v>
      </c>
      <c r="F135" s="433" t="e">
        <f aca="false">F137+F184</f>
        <v>#REF!</v>
      </c>
      <c r="G135" s="433" t="e">
        <f aca="false">G137+G184</f>
        <v>#REF!</v>
      </c>
      <c r="H135" s="433" t="e">
        <f aca="false">H137+H184</f>
        <v>#REF!</v>
      </c>
      <c r="I135" s="433" t="e">
        <f aca="false">I137+I184</f>
        <v>#REF!</v>
      </c>
      <c r="J135" s="433" t="e">
        <f aca="false">J137+J184</f>
        <v>#REF!</v>
      </c>
      <c r="K135" s="434" t="e">
        <f aca="false">K137+K184</f>
        <v>#REF!</v>
      </c>
      <c r="L135" s="434" t="n">
        <f aca="false">L137+L184</f>
        <v>23078</v>
      </c>
      <c r="M135" s="435" t="n">
        <f aca="false">M137+M184</f>
        <v>37403.51524</v>
      </c>
      <c r="N135" s="436" t="n">
        <f aca="false">N137+N184</f>
        <v>23593.45868</v>
      </c>
      <c r="O135" s="435" t="e">
        <f aca="false">31900+#REF!</f>
        <v>#REF!</v>
      </c>
      <c r="P135" s="437" t="n">
        <f aca="false">P137</f>
        <v>20800</v>
      </c>
      <c r="Q135" s="438" t="n">
        <f aca="false">Q137</f>
        <v>22800</v>
      </c>
      <c r="R135" s="439" t="n">
        <f aca="false">R137</f>
        <v>21800</v>
      </c>
      <c r="S135" s="439" t="n">
        <f aca="false">S137</f>
        <v>21400</v>
      </c>
      <c r="T135" s="439" t="n">
        <f aca="false">T137</f>
        <v>19100</v>
      </c>
      <c r="U135" s="439" t="n">
        <f aca="false">U137</f>
        <v>24400</v>
      </c>
      <c r="V135" s="439" t="n">
        <f aca="false">V137</f>
        <v>44600</v>
      </c>
      <c r="W135" s="440" t="n">
        <f aca="false">W137</f>
        <v>49300</v>
      </c>
      <c r="X135" s="439" t="n">
        <f aca="false">X137</f>
        <v>24500</v>
      </c>
      <c r="Y135" s="439" t="n">
        <f aca="false">Y137</f>
        <v>11000</v>
      </c>
    </row>
    <row r="136" customFormat="false" ht="15" hidden="false" customHeight="true" outlineLevel="0" collapsed="false">
      <c r="A136" s="38"/>
      <c r="B136" s="76"/>
      <c r="C136" s="78"/>
      <c r="D136" s="78"/>
      <c r="E136" s="3"/>
      <c r="F136" s="78"/>
      <c r="G136" s="78"/>
      <c r="H136" s="78"/>
      <c r="I136" s="78"/>
      <c r="J136" s="78"/>
      <c r="K136" s="79"/>
      <c r="L136" s="80"/>
      <c r="M136" s="81"/>
      <c r="N136" s="444"/>
      <c r="O136" s="82"/>
      <c r="P136" s="83"/>
      <c r="Q136" s="445"/>
      <c r="R136" s="445"/>
      <c r="S136" s="445"/>
      <c r="T136" s="445"/>
      <c r="U136" s="445"/>
      <c r="V136" s="445"/>
      <c r="W136" s="446"/>
      <c r="X136" s="84"/>
      <c r="Y136" s="84"/>
    </row>
    <row r="137" s="2" customFormat="true" ht="15.75" hidden="false" customHeight="true" outlineLevel="0" collapsed="false">
      <c r="A137" s="612" t="s">
        <v>346</v>
      </c>
      <c r="B137" s="112" t="s">
        <v>234</v>
      </c>
      <c r="C137" s="98" t="n">
        <f aca="false">SUM(C141+C154+C169)</f>
        <v>27387.925</v>
      </c>
      <c r="D137" s="98" t="n">
        <f aca="false">SUM(D141+D154+D169)</f>
        <v>18499.233</v>
      </c>
      <c r="E137" s="98" t="n">
        <f aca="false">SUM(E141+E154+E169)</f>
        <v>16458</v>
      </c>
      <c r="F137" s="98" t="n">
        <f aca="false">SUM(F141+F154+F169)</f>
        <v>19045</v>
      </c>
      <c r="G137" s="98" t="n">
        <f aca="false">SUM(G141+G154+G169)</f>
        <v>18766</v>
      </c>
      <c r="H137" s="98" t="n">
        <f aca="false">SUM(H141+H154+H169)</f>
        <v>13777</v>
      </c>
      <c r="I137" s="98" t="n">
        <f aca="false">SUM(I141+I154+I169)</f>
        <v>12838</v>
      </c>
      <c r="J137" s="98" t="n">
        <f aca="false">SUM(J141+J154+J169)</f>
        <v>12077</v>
      </c>
      <c r="K137" s="98" t="n">
        <f aca="false">SUM(K141+K154+K169)</f>
        <v>13540.59151</v>
      </c>
      <c r="L137" s="98" t="n">
        <f aca="false">SUM(L141+L154+L169)</f>
        <v>11620</v>
      </c>
      <c r="M137" s="99" t="n">
        <f aca="false">SUM(M141+M154+M169)</f>
        <v>28546.82624</v>
      </c>
      <c r="N137" s="100" t="n">
        <f aca="false">N139+N169</f>
        <v>19237.96781</v>
      </c>
      <c r="O137" s="99" t="n">
        <f aca="false">O139+O169</f>
        <v>31900</v>
      </c>
      <c r="P137" s="449" t="n">
        <f aca="false">P139+P169</f>
        <v>20800</v>
      </c>
      <c r="Q137" s="450" t="n">
        <f aca="false">Q139+Q169</f>
        <v>22800</v>
      </c>
      <c r="R137" s="100" t="n">
        <f aca="false">R139+R169</f>
        <v>21800</v>
      </c>
      <c r="S137" s="100" t="n">
        <f aca="false">S139+S169</f>
        <v>21400</v>
      </c>
      <c r="T137" s="100" t="n">
        <f aca="false">T139+T169</f>
        <v>19100</v>
      </c>
      <c r="U137" s="100" t="n">
        <f aca="false">U139+U169</f>
        <v>24400</v>
      </c>
      <c r="V137" s="100" t="n">
        <f aca="false">V139+V169</f>
        <v>44600</v>
      </c>
      <c r="W137" s="451" t="n">
        <f aca="false">W139+W169</f>
        <v>49300</v>
      </c>
      <c r="X137" s="99" t="n">
        <f aca="false">X139+X169</f>
        <v>24500</v>
      </c>
      <c r="Y137" s="99" t="n">
        <f aca="false">Y139+Y169</f>
        <v>11000</v>
      </c>
    </row>
    <row r="138" s="2" customFormat="true" ht="15.75" hidden="false" customHeight="false" outlineLevel="0" collapsed="false">
      <c r="A138" s="638"/>
      <c r="B138" s="37"/>
      <c r="C138" s="119"/>
      <c r="D138" s="119"/>
      <c r="E138" s="119"/>
      <c r="F138" s="453"/>
      <c r="G138" s="119"/>
      <c r="H138" s="119"/>
      <c r="I138" s="167"/>
      <c r="J138" s="119"/>
      <c r="K138" s="119"/>
      <c r="L138" s="454"/>
      <c r="M138" s="455" t="s">
        <v>3</v>
      </c>
      <c r="N138" s="456"/>
      <c r="O138" s="455" t="s">
        <v>3</v>
      </c>
      <c r="P138" s="639" t="s">
        <v>3</v>
      </c>
      <c r="Q138" s="458" t="s">
        <v>3</v>
      </c>
      <c r="R138" s="458"/>
      <c r="S138" s="459"/>
      <c r="T138" s="459"/>
      <c r="U138" s="459"/>
      <c r="V138" s="459"/>
      <c r="W138" s="460"/>
      <c r="X138" s="458"/>
      <c r="Y138" s="458"/>
    </row>
    <row r="139" s="468" customFormat="true" ht="15.75" hidden="false" customHeight="false" outlineLevel="0" collapsed="false">
      <c r="A139" s="640" t="s">
        <v>347</v>
      </c>
      <c r="B139" s="614" t="s">
        <v>235</v>
      </c>
      <c r="C139" s="463" t="n">
        <f aca="false">SUM(C141+C154)</f>
        <v>11788.925</v>
      </c>
      <c r="D139" s="463" t="n">
        <f aca="false">SUM(D141+D154)</f>
        <v>5190.233</v>
      </c>
      <c r="E139" s="463" t="n">
        <f aca="false">SUM(E141+E154)</f>
        <v>2438</v>
      </c>
      <c r="F139" s="463" t="n">
        <f aca="false">SUM(F141+F154)</f>
        <v>4863</v>
      </c>
      <c r="G139" s="463" t="n">
        <f aca="false">SUM(G141+G154)</f>
        <v>7925</v>
      </c>
      <c r="H139" s="463" t="n">
        <f aca="false">SUM(H141+H154)</f>
        <v>3304</v>
      </c>
      <c r="I139" s="463" t="n">
        <f aca="false">SUM(I141+I154)</f>
        <v>4340</v>
      </c>
      <c r="J139" s="463" t="n">
        <v>4949</v>
      </c>
      <c r="K139" s="463" t="n">
        <v>6517</v>
      </c>
      <c r="L139" s="463" t="n">
        <f aca="false">SUM(L141+L154)</f>
        <v>192</v>
      </c>
      <c r="M139" s="464" t="n">
        <f aca="false">18888017/1000</f>
        <v>18888.017</v>
      </c>
      <c r="N139" s="465" t="n">
        <f aca="false">11167324.29/1000</f>
        <v>11167.32429</v>
      </c>
      <c r="O139" s="464" t="n">
        <v>14400</v>
      </c>
      <c r="P139" s="466" t="n">
        <f aca="false">P141+P154</f>
        <v>6200</v>
      </c>
      <c r="Q139" s="467" t="n">
        <f aca="false">Q141+Q154</f>
        <v>13000</v>
      </c>
      <c r="R139" s="463" t="n">
        <f aca="false">R141+R154</f>
        <v>13000</v>
      </c>
      <c r="S139" s="463" t="n">
        <f aca="false">S141+S154</f>
        <v>12400</v>
      </c>
      <c r="T139" s="463" t="n">
        <f aca="false">T141+T154</f>
        <v>9800</v>
      </c>
      <c r="U139" s="464" t="n">
        <f aca="false">U141+U154</f>
        <v>16800</v>
      </c>
      <c r="V139" s="464" t="n">
        <f aca="false">V141+V154+1000</f>
        <v>39600</v>
      </c>
      <c r="W139" s="463" t="n">
        <f aca="false">W141+W154</f>
        <v>41200</v>
      </c>
      <c r="X139" s="464" t="n">
        <f aca="false">X141+X154</f>
        <v>15200</v>
      </c>
      <c r="Y139" s="464" t="n">
        <f aca="false">Y141+Y154</f>
        <v>1000</v>
      </c>
    </row>
    <row r="140" s="2" customFormat="true" ht="15.75" hidden="false" customHeight="false" outlineLevel="0" collapsed="false">
      <c r="A140" s="641"/>
      <c r="B140" s="103"/>
      <c r="C140" s="470"/>
      <c r="D140" s="470"/>
      <c r="E140" s="470"/>
      <c r="F140" s="471"/>
      <c r="G140" s="470"/>
      <c r="H140" s="470"/>
      <c r="I140" s="472"/>
      <c r="J140" s="473"/>
      <c r="K140" s="474"/>
      <c r="L140" s="380"/>
      <c r="M140" s="285"/>
      <c r="N140" s="286"/>
      <c r="O140" s="285"/>
      <c r="P140" s="475"/>
      <c r="Q140" s="476"/>
      <c r="R140" s="476"/>
      <c r="S140" s="477"/>
      <c r="T140" s="477"/>
      <c r="U140" s="477"/>
      <c r="V140" s="477"/>
      <c r="W140" s="478"/>
      <c r="X140" s="476"/>
      <c r="Y140" s="476"/>
    </row>
    <row r="141" s="2" customFormat="true" ht="15.75" hidden="false" customHeight="false" outlineLevel="0" collapsed="false">
      <c r="A141" s="642" t="s">
        <v>3</v>
      </c>
      <c r="B141" s="615" t="s">
        <v>348</v>
      </c>
      <c r="C141" s="68" t="n">
        <f aca="false">SUM(C143:C149)</f>
        <v>8443.313</v>
      </c>
      <c r="D141" s="68" t="n">
        <f aca="false">SUM(D143:D149)</f>
        <v>4549.549</v>
      </c>
      <c r="E141" s="68" t="n">
        <f aca="false">SUM(E143:E149)</f>
        <v>1546</v>
      </c>
      <c r="F141" s="68" t="n">
        <f aca="false">SUM(F143:F149)</f>
        <v>2276</v>
      </c>
      <c r="G141" s="68" t="n">
        <f aca="false">SUM(G143:G149)</f>
        <v>3914</v>
      </c>
      <c r="H141" s="68" t="n">
        <f aca="false">SUM(H143:H149)</f>
        <v>1510</v>
      </c>
      <c r="I141" s="68" t="n">
        <f aca="false">SUM(I143:I149)</f>
        <v>2324</v>
      </c>
      <c r="J141" s="68" t="n">
        <f aca="false">2593818.38/1000</f>
        <v>2593.81838</v>
      </c>
      <c r="K141" s="68" t="n">
        <f aca="false">3123729.97/1000</f>
        <v>3123.72997</v>
      </c>
      <c r="L141" s="68" t="n">
        <f aca="false">SUM(L143:L150)</f>
        <v>0</v>
      </c>
      <c r="M141" s="69" t="n">
        <f aca="false">8022091.64/1000+54</f>
        <v>8076.09164</v>
      </c>
      <c r="N141" s="69" t="n">
        <f aca="false">SUM(N143:N150)</f>
        <v>0</v>
      </c>
      <c r="O141" s="70"/>
      <c r="P141" s="71" t="n">
        <f aca="false">SUM(P143:P149)</f>
        <v>2500</v>
      </c>
      <c r="Q141" s="109" t="n">
        <f aca="false">SUM(Q143:Q149)</f>
        <v>5900</v>
      </c>
      <c r="R141" s="69" t="n">
        <f aca="false">SUM(R143:R149)</f>
        <v>4900</v>
      </c>
      <c r="S141" s="69" t="n">
        <f aca="false">SUM(S143:S149)</f>
        <v>4900</v>
      </c>
      <c r="T141" s="69" t="n">
        <f aca="false">SUM(T143:T149)</f>
        <v>4100</v>
      </c>
      <c r="U141" s="69" t="n">
        <f aca="false">SUM(U143:U149)</f>
        <v>7600</v>
      </c>
      <c r="V141" s="69" t="n">
        <f aca="false">SUM(V143:V149)</f>
        <v>18800</v>
      </c>
      <c r="W141" s="68" t="n">
        <f aca="false">SUM(W143:W149)</f>
        <v>19800</v>
      </c>
      <c r="X141" s="69" t="n">
        <f aca="false">SUM(X143:X149)</f>
        <v>6800</v>
      </c>
      <c r="Y141" s="69" t="n">
        <f aca="false">SUM(Y143:Y149)</f>
        <v>0</v>
      </c>
    </row>
    <row r="142" s="2" customFormat="true" ht="15.75" hidden="false" customHeight="false" outlineLevel="0" collapsed="false">
      <c r="A142" s="642"/>
      <c r="B142" s="107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9"/>
      <c r="N142" s="70"/>
      <c r="O142" s="70"/>
      <c r="P142" s="643"/>
      <c r="Q142" s="109"/>
      <c r="R142" s="69"/>
      <c r="S142" s="70"/>
      <c r="T142" s="70"/>
      <c r="U142" s="70"/>
      <c r="V142" s="70"/>
      <c r="W142" s="644"/>
      <c r="X142" s="69"/>
      <c r="Y142" s="69"/>
    </row>
    <row r="143" s="2" customFormat="true" ht="15" hidden="false" customHeight="false" outlineLevel="0" collapsed="false">
      <c r="A143" s="642" t="s">
        <v>3</v>
      </c>
      <c r="B143" s="621" t="s">
        <v>65</v>
      </c>
      <c r="C143" s="231" t="n">
        <v>5148.173</v>
      </c>
      <c r="D143" s="231" t="n">
        <v>3946.199</v>
      </c>
      <c r="E143" s="231" t="n">
        <v>807</v>
      </c>
      <c r="F143" s="231" t="n">
        <v>1504</v>
      </c>
      <c r="G143" s="231" t="n">
        <v>2658</v>
      </c>
      <c r="H143" s="231" t="n">
        <v>1066</v>
      </c>
      <c r="I143" s="231" t="n">
        <v>564</v>
      </c>
      <c r="J143" s="231" t="n">
        <v>1000</v>
      </c>
      <c r="K143" s="126" t="s">
        <v>3</v>
      </c>
      <c r="L143" s="481"/>
      <c r="M143" s="292"/>
      <c r="N143" s="482"/>
      <c r="O143" s="292" t="n">
        <v>1800</v>
      </c>
      <c r="P143" s="483" t="n">
        <v>1000</v>
      </c>
      <c r="Q143" s="292" t="n">
        <v>1300</v>
      </c>
      <c r="R143" s="292" t="n">
        <v>1700</v>
      </c>
      <c r="S143" s="293" t="n">
        <v>2000</v>
      </c>
      <c r="T143" s="293" t="n">
        <v>1000</v>
      </c>
      <c r="U143" s="293" t="n">
        <v>1200</v>
      </c>
      <c r="V143" s="293" t="n">
        <v>2000</v>
      </c>
      <c r="W143" s="295" t="n">
        <v>2000</v>
      </c>
      <c r="X143" s="292" t="n">
        <v>2500</v>
      </c>
      <c r="Y143" s="292"/>
    </row>
    <row r="144" s="2" customFormat="true" ht="15" hidden="false" customHeight="false" outlineLevel="0" collapsed="false">
      <c r="A144" s="642" t="s">
        <v>3</v>
      </c>
      <c r="B144" s="621" t="s">
        <v>67</v>
      </c>
      <c r="C144" s="231" t="n">
        <v>619.527</v>
      </c>
      <c r="D144" s="231" t="n">
        <v>315.106</v>
      </c>
      <c r="E144" s="231" t="n">
        <v>180</v>
      </c>
      <c r="F144" s="231" t="n">
        <v>221</v>
      </c>
      <c r="G144" s="231" t="n">
        <v>495</v>
      </c>
      <c r="H144" s="231" t="n">
        <v>179</v>
      </c>
      <c r="I144" s="231" t="n">
        <v>814</v>
      </c>
      <c r="J144" s="231" t="n">
        <v>1210</v>
      </c>
      <c r="K144" s="126" t="s">
        <v>3</v>
      </c>
      <c r="L144" s="481"/>
      <c r="M144" s="292"/>
      <c r="N144" s="482"/>
      <c r="O144" s="292" t="n">
        <v>200</v>
      </c>
      <c r="P144" s="483" t="n">
        <v>100</v>
      </c>
      <c r="Q144" s="292" t="n">
        <v>700</v>
      </c>
      <c r="R144" s="292" t="n">
        <v>500</v>
      </c>
      <c r="S144" s="292" t="n">
        <v>600</v>
      </c>
      <c r="T144" s="292" t="n">
        <v>800</v>
      </c>
      <c r="U144" s="292" t="n">
        <v>1200</v>
      </c>
      <c r="V144" s="292" t="n">
        <v>1300</v>
      </c>
      <c r="W144" s="291" t="n">
        <v>1400</v>
      </c>
      <c r="X144" s="292" t="n">
        <v>1500</v>
      </c>
      <c r="Y144" s="292"/>
    </row>
    <row r="145" s="2" customFormat="true" ht="15" hidden="false" customHeight="false" outlineLevel="0" collapsed="false">
      <c r="A145" s="642" t="s">
        <v>3</v>
      </c>
      <c r="B145" s="621" t="s">
        <v>68</v>
      </c>
      <c r="C145" s="231" t="n">
        <v>76.48</v>
      </c>
      <c r="D145" s="231" t="n">
        <v>97.004</v>
      </c>
      <c r="E145" s="231" t="n">
        <v>130</v>
      </c>
      <c r="F145" s="231" t="n">
        <v>210</v>
      </c>
      <c r="G145" s="231" t="n">
        <v>28</v>
      </c>
      <c r="H145" s="231" t="n">
        <v>51</v>
      </c>
      <c r="I145" s="231" t="n">
        <v>118</v>
      </c>
      <c r="J145" s="231" t="n">
        <v>780</v>
      </c>
      <c r="K145" s="126" t="s">
        <v>3</v>
      </c>
      <c r="L145" s="481"/>
      <c r="M145" s="292"/>
      <c r="N145" s="482"/>
      <c r="O145" s="292" t="n">
        <v>200</v>
      </c>
      <c r="P145" s="483" t="n">
        <v>400</v>
      </c>
      <c r="Q145" s="292" t="n">
        <v>900</v>
      </c>
      <c r="R145" s="292" t="n">
        <v>400</v>
      </c>
      <c r="S145" s="293" t="n">
        <v>400</v>
      </c>
      <c r="T145" s="293" t="n">
        <f aca="false">400</f>
        <v>400</v>
      </c>
      <c r="U145" s="482" t="n">
        <f aca="false">400+3000</f>
        <v>3400</v>
      </c>
      <c r="V145" s="482" t="n">
        <f aca="false">800+13000</f>
        <v>13800</v>
      </c>
      <c r="W145" s="484" t="n">
        <f aca="false">800+14000</f>
        <v>14800</v>
      </c>
      <c r="X145" s="292" t="n">
        <v>800</v>
      </c>
      <c r="Y145" s="292"/>
    </row>
    <row r="146" s="2" customFormat="true" ht="15" hidden="false" customHeight="false" outlineLevel="0" collapsed="false">
      <c r="A146" s="642" t="s">
        <v>3</v>
      </c>
      <c r="B146" s="621" t="s">
        <v>69</v>
      </c>
      <c r="C146" s="231" t="n">
        <v>173.604</v>
      </c>
      <c r="D146" s="231" t="n">
        <v>81.594</v>
      </c>
      <c r="E146" s="231" t="n">
        <v>145</v>
      </c>
      <c r="F146" s="231" t="n">
        <v>96</v>
      </c>
      <c r="G146" s="231" t="n">
        <v>42</v>
      </c>
      <c r="H146" s="231" t="n">
        <v>111</v>
      </c>
      <c r="I146" s="231" t="n">
        <v>453</v>
      </c>
      <c r="J146" s="231" t="n">
        <v>200</v>
      </c>
      <c r="K146" s="126" t="s">
        <v>3</v>
      </c>
      <c r="L146" s="481"/>
      <c r="M146" s="292"/>
      <c r="N146" s="482"/>
      <c r="O146" s="292" t="n">
        <v>100</v>
      </c>
      <c r="P146" s="483" t="n">
        <v>400</v>
      </c>
      <c r="Q146" s="292" t="n">
        <v>600</v>
      </c>
      <c r="R146" s="292" t="n">
        <v>800</v>
      </c>
      <c r="S146" s="293" t="n">
        <v>600</v>
      </c>
      <c r="T146" s="293" t="n">
        <v>800</v>
      </c>
      <c r="U146" s="293" t="n">
        <v>800</v>
      </c>
      <c r="V146" s="293" t="n">
        <v>800</v>
      </c>
      <c r="W146" s="295" t="n">
        <v>800</v>
      </c>
      <c r="X146" s="292" t="n">
        <v>1100</v>
      </c>
      <c r="Y146" s="292"/>
    </row>
    <row r="147" s="2" customFormat="true" ht="15" hidden="false" customHeight="false" outlineLevel="0" collapsed="false">
      <c r="A147" s="642"/>
      <c r="B147" s="621" t="s">
        <v>70</v>
      </c>
      <c r="C147" s="231" t="n">
        <f aca="false">240.569+2005.683</f>
        <v>2246.252</v>
      </c>
      <c r="D147" s="231" t="n">
        <v>93.553</v>
      </c>
      <c r="E147" s="231" t="n">
        <v>284</v>
      </c>
      <c r="F147" s="231" t="n">
        <v>207</v>
      </c>
      <c r="G147" s="231" t="n">
        <v>189</v>
      </c>
      <c r="H147" s="231" t="n">
        <v>57</v>
      </c>
      <c r="I147" s="231" t="n">
        <v>100</v>
      </c>
      <c r="J147" s="231" t="n">
        <v>420</v>
      </c>
      <c r="K147" s="126" t="s">
        <v>3</v>
      </c>
      <c r="L147" s="481"/>
      <c r="M147" s="292"/>
      <c r="N147" s="482"/>
      <c r="O147" s="292" t="n">
        <v>300</v>
      </c>
      <c r="P147" s="483" t="n">
        <v>500</v>
      </c>
      <c r="Q147" s="292" t="n">
        <v>300</v>
      </c>
      <c r="R147" s="292" t="n">
        <v>200</v>
      </c>
      <c r="S147" s="293" t="n">
        <v>900</v>
      </c>
      <c r="T147" s="293" t="n">
        <v>950</v>
      </c>
      <c r="U147" s="293" t="n">
        <v>800</v>
      </c>
      <c r="V147" s="293" t="n">
        <v>600</v>
      </c>
      <c r="W147" s="295" t="n">
        <v>600</v>
      </c>
      <c r="X147" s="292" t="n">
        <v>600</v>
      </c>
      <c r="Y147" s="292"/>
    </row>
    <row r="148" s="2" customFormat="true" ht="15" hidden="false" customHeight="false" outlineLevel="0" collapsed="false">
      <c r="A148" s="642"/>
      <c r="B148" s="621" t="s">
        <v>71</v>
      </c>
      <c r="C148" s="231" t="n">
        <v>179.277</v>
      </c>
      <c r="D148" s="231" t="n">
        <v>16.093</v>
      </c>
      <c r="E148" s="231" t="n">
        <v>0</v>
      </c>
      <c r="F148" s="231" t="n">
        <v>38</v>
      </c>
      <c r="G148" s="231" t="n">
        <v>502</v>
      </c>
      <c r="H148" s="231" t="n">
        <v>46</v>
      </c>
      <c r="I148" s="231" t="n">
        <v>275</v>
      </c>
      <c r="J148" s="231" t="n">
        <v>200</v>
      </c>
      <c r="K148" s="126" t="s">
        <v>3</v>
      </c>
      <c r="L148" s="481"/>
      <c r="M148" s="292"/>
      <c r="N148" s="482"/>
      <c r="O148" s="292" t="n">
        <v>200</v>
      </c>
      <c r="P148" s="483" t="n">
        <v>100</v>
      </c>
      <c r="Q148" s="292" t="n">
        <v>2100</v>
      </c>
      <c r="R148" s="292" t="n">
        <v>1300</v>
      </c>
      <c r="S148" s="292" t="n">
        <v>400</v>
      </c>
      <c r="T148" s="292" t="n">
        <v>150</v>
      </c>
      <c r="U148" s="292" t="n">
        <v>200</v>
      </c>
      <c r="V148" s="292" t="n">
        <v>300</v>
      </c>
      <c r="W148" s="291" t="n">
        <v>200</v>
      </c>
      <c r="X148" s="292" t="n">
        <v>300</v>
      </c>
      <c r="Y148" s="292"/>
    </row>
    <row r="149" s="2" customFormat="true" ht="15" hidden="false" customHeight="false" outlineLevel="0" collapsed="false">
      <c r="A149" s="642"/>
      <c r="B149" s="621" t="s">
        <v>72</v>
      </c>
      <c r="C149" s="231"/>
      <c r="D149" s="231"/>
      <c r="E149" s="231"/>
      <c r="F149" s="231"/>
      <c r="G149" s="231"/>
      <c r="H149" s="231"/>
      <c r="I149" s="231"/>
      <c r="J149" s="231"/>
      <c r="K149" s="126"/>
      <c r="L149" s="481"/>
      <c r="M149" s="292"/>
      <c r="N149" s="482"/>
      <c r="O149" s="292"/>
      <c r="P149" s="483"/>
      <c r="Q149" s="292"/>
      <c r="R149" s="292"/>
      <c r="S149" s="292"/>
      <c r="T149" s="292"/>
      <c r="U149" s="292"/>
      <c r="V149" s="292"/>
      <c r="W149" s="291"/>
      <c r="X149" s="292"/>
      <c r="Y149" s="292"/>
    </row>
    <row r="150" s="2" customFormat="true" ht="15" hidden="false" customHeight="false" outlineLevel="0" collapsed="false">
      <c r="A150" s="642"/>
      <c r="B150" s="621" t="s">
        <v>90</v>
      </c>
      <c r="C150" s="231" t="n">
        <v>50.472</v>
      </c>
      <c r="D150" s="231" t="n">
        <v>37.334</v>
      </c>
      <c r="E150" s="231" t="n">
        <v>153</v>
      </c>
      <c r="F150" s="231" t="n">
        <v>311</v>
      </c>
      <c r="G150" s="231" t="n">
        <v>97</v>
      </c>
      <c r="H150" s="231" t="n">
        <v>284</v>
      </c>
      <c r="I150" s="231" t="n">
        <v>256</v>
      </c>
      <c r="J150" s="231" t="n">
        <v>390</v>
      </c>
      <c r="K150" s="126" t="s">
        <v>3</v>
      </c>
      <c r="L150" s="481"/>
      <c r="M150" s="292"/>
      <c r="N150" s="482"/>
      <c r="O150" s="292" t="n">
        <v>200</v>
      </c>
      <c r="P150" s="483" t="n">
        <v>200</v>
      </c>
      <c r="Q150" s="292" t="n">
        <v>200</v>
      </c>
      <c r="R150" s="292" t="n">
        <v>2200</v>
      </c>
      <c r="S150" s="292" t="n">
        <v>1600</v>
      </c>
      <c r="T150" s="292" t="n">
        <v>600</v>
      </c>
      <c r="U150" s="292" t="n">
        <v>600</v>
      </c>
      <c r="V150" s="292" t="s">
        <v>91</v>
      </c>
      <c r="W150" s="291" t="n">
        <v>600</v>
      </c>
      <c r="X150" s="292" t="n">
        <v>600</v>
      </c>
      <c r="Y150" s="292"/>
    </row>
    <row r="151" s="2" customFormat="true" ht="15.75" hidden="false" customHeight="false" outlineLevel="0" collapsed="false">
      <c r="A151" s="642"/>
      <c r="B151" s="629"/>
      <c r="C151" s="231"/>
      <c r="D151" s="231"/>
      <c r="E151" s="231"/>
      <c r="F151" s="231"/>
      <c r="G151" s="231"/>
      <c r="H151" s="231"/>
      <c r="I151" s="231"/>
      <c r="J151" s="231"/>
      <c r="K151" s="126"/>
      <c r="L151" s="481"/>
      <c r="M151" s="292"/>
      <c r="N151" s="482"/>
      <c r="O151" s="293"/>
      <c r="P151" s="294"/>
      <c r="Q151" s="292"/>
      <c r="R151" s="292"/>
      <c r="S151" s="293"/>
      <c r="T151" s="293"/>
      <c r="U151" s="293"/>
      <c r="V151" s="293"/>
      <c r="W151" s="626"/>
      <c r="X151" s="292"/>
      <c r="Y151" s="292"/>
      <c r="Z151" s="1"/>
      <c r="AA151" s="1"/>
      <c r="AB151" s="1"/>
      <c r="AC151" s="1"/>
      <c r="AD151" s="1"/>
      <c r="AE151" s="1"/>
      <c r="AF151" s="1"/>
      <c r="AG151" s="1"/>
    </row>
    <row r="152" s="2" customFormat="true" ht="15.75" hidden="false" customHeight="false" outlineLevel="0" collapsed="false">
      <c r="A152" s="642"/>
      <c r="B152" s="617" t="s">
        <v>238</v>
      </c>
      <c r="C152" s="489"/>
      <c r="D152" s="489"/>
      <c r="E152" s="489"/>
      <c r="F152" s="489"/>
      <c r="G152" s="489"/>
      <c r="H152" s="489"/>
      <c r="I152" s="489"/>
      <c r="J152" s="489"/>
      <c r="K152" s="489"/>
      <c r="L152" s="380"/>
      <c r="M152" s="285"/>
      <c r="N152" s="285"/>
      <c r="O152" s="286"/>
      <c r="P152" s="287"/>
      <c r="Q152" s="285"/>
      <c r="R152" s="285"/>
      <c r="S152" s="286"/>
      <c r="T152" s="286"/>
      <c r="U152" s="286"/>
      <c r="V152" s="286"/>
      <c r="W152" s="288"/>
      <c r="X152" s="285"/>
      <c r="Y152" s="285"/>
    </row>
    <row r="153" s="2" customFormat="true" ht="15.75" hidden="false" customHeight="false" outlineLevel="0" collapsed="false">
      <c r="A153" s="642"/>
      <c r="B153" s="95"/>
      <c r="C153" s="489"/>
      <c r="D153" s="489"/>
      <c r="E153" s="489"/>
      <c r="F153" s="489"/>
      <c r="G153" s="489"/>
      <c r="H153" s="489"/>
      <c r="I153" s="489"/>
      <c r="J153" s="489"/>
      <c r="K153" s="489"/>
      <c r="L153" s="380"/>
      <c r="M153" s="285"/>
      <c r="N153" s="285"/>
      <c r="O153" s="286"/>
      <c r="P153" s="287"/>
      <c r="Q153" s="285"/>
      <c r="R153" s="285"/>
      <c r="S153" s="286"/>
      <c r="T153" s="286"/>
      <c r="U153" s="286"/>
      <c r="V153" s="286"/>
      <c r="W153" s="288"/>
      <c r="X153" s="285"/>
      <c r="Y153" s="285"/>
    </row>
    <row r="154" s="2" customFormat="true" ht="15.75" hidden="false" customHeight="false" outlineLevel="0" collapsed="false">
      <c r="A154" s="642" t="s">
        <v>3</v>
      </c>
      <c r="B154" s="615" t="s">
        <v>349</v>
      </c>
      <c r="C154" s="68" t="n">
        <f aca="false">SUM(C157:C163)</f>
        <v>3345.612</v>
      </c>
      <c r="D154" s="68" t="n">
        <f aca="false">SUM(D157:D163)</f>
        <v>640.684</v>
      </c>
      <c r="E154" s="68" t="n">
        <f aca="false">SUM(E157:E163)</f>
        <v>892</v>
      </c>
      <c r="F154" s="68" t="n">
        <f aca="false">SUM(F156:F163)</f>
        <v>2587</v>
      </c>
      <c r="G154" s="68" t="n">
        <f aca="false">SUM(G156:G163)</f>
        <v>4011</v>
      </c>
      <c r="H154" s="68" t="n">
        <f aca="false">SUM(H156:H163)</f>
        <v>1794</v>
      </c>
      <c r="I154" s="68" t="n">
        <f aca="false">SUM(I157:I163)</f>
        <v>2016</v>
      </c>
      <c r="J154" s="68" t="n">
        <f aca="false">J139-J141</f>
        <v>2355.18162</v>
      </c>
      <c r="K154" s="68" t="n">
        <f aca="false">3392861.54/1000</f>
        <v>3392.86154</v>
      </c>
      <c r="L154" s="68" t="n">
        <f aca="false">SUM(L156:L165)</f>
        <v>192</v>
      </c>
      <c r="M154" s="69" t="n">
        <f aca="false">10811464.6/1000</f>
        <v>10811.4646</v>
      </c>
      <c r="N154" s="69" t="n">
        <f aca="false">5781227.88/1000</f>
        <v>5781.22788</v>
      </c>
      <c r="O154" s="70"/>
      <c r="P154" s="214" t="n">
        <f aca="false">SUM(P156:P165)</f>
        <v>3700</v>
      </c>
      <c r="Q154" s="109" t="n">
        <f aca="false">SUM(Q156:Q165)</f>
        <v>7100</v>
      </c>
      <c r="R154" s="69" t="n">
        <f aca="false">SUM(R156:R165)</f>
        <v>8100</v>
      </c>
      <c r="S154" s="69" t="n">
        <f aca="false">SUM(S156:S165)</f>
        <v>7500</v>
      </c>
      <c r="T154" s="69" t="n">
        <f aca="false">SUM(T156:T165)</f>
        <v>5700</v>
      </c>
      <c r="U154" s="69" t="n">
        <f aca="false">SUM(U156:U165)</f>
        <v>9200</v>
      </c>
      <c r="V154" s="69" t="n">
        <f aca="false">SUM(V156:V165)</f>
        <v>19800</v>
      </c>
      <c r="W154" s="68" t="n">
        <f aca="false">SUM(W156:W165)</f>
        <v>21400</v>
      </c>
      <c r="X154" s="69" t="n">
        <f aca="false">SUM(X156:X165)</f>
        <v>8400</v>
      </c>
      <c r="Y154" s="69" t="n">
        <f aca="false">SUM(Y156:Y165)</f>
        <v>1000</v>
      </c>
    </row>
    <row r="155" s="2" customFormat="true" ht="15.75" hidden="false" customHeight="false" outlineLevel="0" collapsed="false">
      <c r="A155" s="642"/>
      <c r="B155" s="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9"/>
      <c r="N155" s="70"/>
      <c r="O155" s="70"/>
      <c r="P155" s="645"/>
      <c r="Q155" s="109"/>
      <c r="R155" s="69"/>
      <c r="S155" s="70"/>
      <c r="T155" s="70"/>
      <c r="U155" s="70"/>
      <c r="V155" s="70"/>
      <c r="W155" s="644"/>
      <c r="X155" s="69"/>
      <c r="Y155" s="69"/>
    </row>
    <row r="156" s="2" customFormat="true" ht="15" hidden="false" customHeight="false" outlineLevel="0" collapsed="false">
      <c r="A156" s="642"/>
      <c r="B156" s="621" t="s">
        <v>65</v>
      </c>
      <c r="C156" s="231" t="n">
        <v>5148.173</v>
      </c>
      <c r="D156" s="231" t="n">
        <v>3946.199</v>
      </c>
      <c r="E156" s="231" t="n">
        <v>807</v>
      </c>
      <c r="F156" s="231" t="n">
        <v>1504</v>
      </c>
      <c r="G156" s="231" t="n">
        <v>2658</v>
      </c>
      <c r="H156" s="231" t="n">
        <v>1066</v>
      </c>
      <c r="I156" s="231" t="n">
        <v>564</v>
      </c>
      <c r="J156" s="231" t="n">
        <v>1000</v>
      </c>
      <c r="K156" s="126" t="s">
        <v>3</v>
      </c>
      <c r="L156" s="481"/>
      <c r="M156" s="292"/>
      <c r="N156" s="482"/>
      <c r="O156" s="292" t="n">
        <v>1800</v>
      </c>
      <c r="P156" s="483" t="n">
        <v>1000</v>
      </c>
      <c r="Q156" s="292" t="n">
        <v>1300</v>
      </c>
      <c r="R156" s="292" t="n">
        <v>1700</v>
      </c>
      <c r="S156" s="293" t="n">
        <v>2000</v>
      </c>
      <c r="T156" s="293" t="n">
        <v>1000</v>
      </c>
      <c r="U156" s="293" t="n">
        <v>1200</v>
      </c>
      <c r="V156" s="293" t="n">
        <v>2000</v>
      </c>
      <c r="W156" s="295" t="n">
        <v>2000</v>
      </c>
      <c r="X156" s="292" t="n">
        <v>2500</v>
      </c>
      <c r="Y156" s="292"/>
    </row>
    <row r="157" s="2" customFormat="true" ht="15" hidden="false" customHeight="false" outlineLevel="0" collapsed="false">
      <c r="A157" s="642"/>
      <c r="B157" s="621" t="s">
        <v>67</v>
      </c>
      <c r="C157" s="231" t="n">
        <v>619.527</v>
      </c>
      <c r="D157" s="231" t="n">
        <v>315.106</v>
      </c>
      <c r="E157" s="231" t="n">
        <v>180</v>
      </c>
      <c r="F157" s="231" t="n">
        <v>221</v>
      </c>
      <c r="G157" s="231" t="n">
        <v>495</v>
      </c>
      <c r="H157" s="231" t="n">
        <v>179</v>
      </c>
      <c r="I157" s="231" t="n">
        <v>814</v>
      </c>
      <c r="J157" s="231" t="n">
        <v>1210</v>
      </c>
      <c r="K157" s="126" t="s">
        <v>3</v>
      </c>
      <c r="L157" s="481"/>
      <c r="M157" s="292"/>
      <c r="N157" s="482"/>
      <c r="O157" s="292" t="n">
        <v>200</v>
      </c>
      <c r="P157" s="483" t="n">
        <v>100</v>
      </c>
      <c r="Q157" s="292" t="n">
        <v>700</v>
      </c>
      <c r="R157" s="292" t="n">
        <v>500</v>
      </c>
      <c r="S157" s="292" t="n">
        <v>600</v>
      </c>
      <c r="T157" s="292" t="n">
        <v>800</v>
      </c>
      <c r="U157" s="292" t="n">
        <v>1200</v>
      </c>
      <c r="V157" s="292" t="n">
        <v>1300</v>
      </c>
      <c r="W157" s="291" t="n">
        <v>1400</v>
      </c>
      <c r="X157" s="292" t="n">
        <v>1500</v>
      </c>
      <c r="Y157" s="292"/>
    </row>
    <row r="158" s="2" customFormat="true" ht="15" hidden="false" customHeight="false" outlineLevel="0" collapsed="false">
      <c r="A158" s="642"/>
      <c r="B158" s="621" t="s">
        <v>68</v>
      </c>
      <c r="C158" s="231" t="n">
        <v>76.48</v>
      </c>
      <c r="D158" s="231" t="n">
        <v>97.004</v>
      </c>
      <c r="E158" s="231" t="n">
        <v>130</v>
      </c>
      <c r="F158" s="231" t="n">
        <v>210</v>
      </c>
      <c r="G158" s="231" t="n">
        <v>28</v>
      </c>
      <c r="H158" s="231" t="n">
        <v>51</v>
      </c>
      <c r="I158" s="231" t="n">
        <v>118</v>
      </c>
      <c r="J158" s="231" t="n">
        <v>780</v>
      </c>
      <c r="K158" s="126" t="s">
        <v>3</v>
      </c>
      <c r="L158" s="481"/>
      <c r="M158" s="292"/>
      <c r="N158" s="482"/>
      <c r="O158" s="292" t="n">
        <v>200</v>
      </c>
      <c r="P158" s="483" t="n">
        <v>400</v>
      </c>
      <c r="Q158" s="292" t="n">
        <v>900</v>
      </c>
      <c r="R158" s="292" t="n">
        <v>400</v>
      </c>
      <c r="S158" s="293" t="n">
        <v>400</v>
      </c>
      <c r="T158" s="293" t="n">
        <f aca="false">400</f>
        <v>400</v>
      </c>
      <c r="U158" s="482" t="n">
        <f aca="false">400+3000</f>
        <v>3400</v>
      </c>
      <c r="V158" s="482" t="n">
        <f aca="false">800+13000</f>
        <v>13800</v>
      </c>
      <c r="W158" s="484" t="n">
        <f aca="false">800+14000</f>
        <v>14800</v>
      </c>
      <c r="X158" s="292" t="n">
        <v>800</v>
      </c>
      <c r="Y158" s="292"/>
    </row>
    <row r="159" s="2" customFormat="true" ht="15" hidden="false" customHeight="false" outlineLevel="0" collapsed="false">
      <c r="A159" s="642"/>
      <c r="B159" s="621" t="s">
        <v>69</v>
      </c>
      <c r="C159" s="231" t="n">
        <v>173.604</v>
      </c>
      <c r="D159" s="231" t="n">
        <v>81.594</v>
      </c>
      <c r="E159" s="231" t="n">
        <v>145</v>
      </c>
      <c r="F159" s="231" t="n">
        <v>96</v>
      </c>
      <c r="G159" s="231" t="n">
        <v>42</v>
      </c>
      <c r="H159" s="231" t="n">
        <v>111</v>
      </c>
      <c r="I159" s="231" t="n">
        <v>453</v>
      </c>
      <c r="J159" s="231" t="n">
        <v>200</v>
      </c>
      <c r="K159" s="126" t="s">
        <v>3</v>
      </c>
      <c r="L159" s="481"/>
      <c r="M159" s="292"/>
      <c r="N159" s="482"/>
      <c r="O159" s="292" t="n">
        <v>100</v>
      </c>
      <c r="P159" s="483" t="n">
        <v>400</v>
      </c>
      <c r="Q159" s="292" t="n">
        <v>600</v>
      </c>
      <c r="R159" s="292" t="n">
        <v>800</v>
      </c>
      <c r="S159" s="293" t="n">
        <v>600</v>
      </c>
      <c r="T159" s="293" t="n">
        <v>800</v>
      </c>
      <c r="U159" s="293" t="n">
        <v>800</v>
      </c>
      <c r="V159" s="293" t="n">
        <v>800</v>
      </c>
      <c r="W159" s="295" t="n">
        <v>800</v>
      </c>
      <c r="X159" s="292" t="n">
        <v>1100</v>
      </c>
      <c r="Y159" s="292"/>
    </row>
    <row r="160" s="2" customFormat="true" ht="15" hidden="false" customHeight="false" outlineLevel="0" collapsed="false">
      <c r="A160" s="642"/>
      <c r="B160" s="621" t="s">
        <v>70</v>
      </c>
      <c r="C160" s="231" t="n">
        <f aca="false">240.569+2005.683</f>
        <v>2246.252</v>
      </c>
      <c r="D160" s="231" t="n">
        <v>93.553</v>
      </c>
      <c r="E160" s="231" t="n">
        <v>284</v>
      </c>
      <c r="F160" s="231" t="n">
        <v>207</v>
      </c>
      <c r="G160" s="231" t="n">
        <v>189</v>
      </c>
      <c r="H160" s="231" t="n">
        <v>57</v>
      </c>
      <c r="I160" s="231" t="n">
        <v>100</v>
      </c>
      <c r="J160" s="231" t="n">
        <v>420</v>
      </c>
      <c r="K160" s="126" t="s">
        <v>3</v>
      </c>
      <c r="L160" s="481"/>
      <c r="M160" s="292"/>
      <c r="N160" s="482"/>
      <c r="O160" s="292" t="n">
        <v>300</v>
      </c>
      <c r="P160" s="483" t="n">
        <v>500</v>
      </c>
      <c r="Q160" s="292" t="n">
        <v>300</v>
      </c>
      <c r="R160" s="292" t="n">
        <v>200</v>
      </c>
      <c r="S160" s="293" t="n">
        <v>900</v>
      </c>
      <c r="T160" s="293" t="n">
        <v>950</v>
      </c>
      <c r="U160" s="293" t="n">
        <v>800</v>
      </c>
      <c r="V160" s="293" t="n">
        <v>600</v>
      </c>
      <c r="W160" s="295" t="n">
        <v>600</v>
      </c>
      <c r="X160" s="292" t="n">
        <v>600</v>
      </c>
      <c r="Y160" s="292"/>
    </row>
    <row r="161" s="2" customFormat="true" ht="15" hidden="false" customHeight="false" outlineLevel="0" collapsed="false">
      <c r="A161" s="642"/>
      <c r="B161" s="621" t="s">
        <v>71</v>
      </c>
      <c r="C161" s="231" t="n">
        <v>179.277</v>
      </c>
      <c r="D161" s="231" t="n">
        <v>16.093</v>
      </c>
      <c r="E161" s="231" t="n">
        <v>0</v>
      </c>
      <c r="F161" s="231" t="n">
        <v>38</v>
      </c>
      <c r="G161" s="231" t="n">
        <v>502</v>
      </c>
      <c r="H161" s="231" t="n">
        <v>46</v>
      </c>
      <c r="I161" s="231" t="n">
        <v>275</v>
      </c>
      <c r="J161" s="231" t="n">
        <v>200</v>
      </c>
      <c r="K161" s="126" t="s">
        <v>3</v>
      </c>
      <c r="L161" s="481"/>
      <c r="M161" s="292"/>
      <c r="N161" s="482"/>
      <c r="O161" s="292" t="n">
        <v>200</v>
      </c>
      <c r="P161" s="483" t="n">
        <v>100</v>
      </c>
      <c r="Q161" s="292" t="n">
        <v>2100</v>
      </c>
      <c r="R161" s="292" t="n">
        <v>1300</v>
      </c>
      <c r="S161" s="292" t="n">
        <v>400</v>
      </c>
      <c r="T161" s="292" t="n">
        <v>150</v>
      </c>
      <c r="U161" s="292" t="n">
        <v>200</v>
      </c>
      <c r="V161" s="292" t="n">
        <v>300</v>
      </c>
      <c r="W161" s="291" t="n">
        <v>200</v>
      </c>
      <c r="X161" s="292" t="n">
        <v>300</v>
      </c>
      <c r="Y161" s="292"/>
    </row>
    <row r="162" s="2" customFormat="true" ht="15" hidden="false" customHeight="false" outlineLevel="0" collapsed="false">
      <c r="A162" s="642"/>
      <c r="B162" s="621" t="s">
        <v>72</v>
      </c>
      <c r="C162" s="231"/>
      <c r="D162" s="231"/>
      <c r="E162" s="231"/>
      <c r="F162" s="231"/>
      <c r="G162" s="231"/>
      <c r="H162" s="231"/>
      <c r="I162" s="231"/>
      <c r="J162" s="231"/>
      <c r="K162" s="126"/>
      <c r="L162" s="481"/>
      <c r="M162" s="292"/>
      <c r="N162" s="482"/>
      <c r="O162" s="292"/>
      <c r="P162" s="483"/>
      <c r="Q162" s="292"/>
      <c r="R162" s="292"/>
      <c r="S162" s="292"/>
      <c r="T162" s="292"/>
      <c r="U162" s="292"/>
      <c r="V162" s="292"/>
      <c r="W162" s="291"/>
      <c r="X162" s="292"/>
      <c r="Y162" s="292"/>
    </row>
    <row r="163" s="2" customFormat="true" ht="15" hidden="false" customHeight="false" outlineLevel="0" collapsed="false">
      <c r="A163" s="642"/>
      <c r="B163" s="621" t="s">
        <v>90</v>
      </c>
      <c r="C163" s="231" t="n">
        <v>50.472</v>
      </c>
      <c r="D163" s="231" t="n">
        <v>37.334</v>
      </c>
      <c r="E163" s="231" t="n">
        <v>153</v>
      </c>
      <c r="F163" s="231" t="n">
        <v>311</v>
      </c>
      <c r="G163" s="231" t="n">
        <v>97</v>
      </c>
      <c r="H163" s="231" t="n">
        <v>284</v>
      </c>
      <c r="I163" s="231" t="n">
        <v>256</v>
      </c>
      <c r="J163" s="231" t="n">
        <v>390</v>
      </c>
      <c r="K163" s="126" t="s">
        <v>3</v>
      </c>
      <c r="L163" s="481"/>
      <c r="M163" s="292"/>
      <c r="N163" s="482"/>
      <c r="O163" s="292" t="n">
        <v>200</v>
      </c>
      <c r="P163" s="483" t="n">
        <v>200</v>
      </c>
      <c r="Q163" s="292" t="n">
        <v>200</v>
      </c>
      <c r="R163" s="292" t="n">
        <v>2200</v>
      </c>
      <c r="S163" s="292" t="n">
        <v>1600</v>
      </c>
      <c r="T163" s="292" t="n">
        <v>600</v>
      </c>
      <c r="U163" s="292" t="n">
        <v>600</v>
      </c>
      <c r="V163" s="292" t="s">
        <v>91</v>
      </c>
      <c r="W163" s="291" t="n">
        <v>600</v>
      </c>
      <c r="X163" s="292" t="n">
        <v>600</v>
      </c>
      <c r="Y163" s="292"/>
    </row>
    <row r="164" s="2" customFormat="true" ht="15.75" hidden="false" customHeight="false" outlineLevel="0" collapsed="false">
      <c r="A164" s="642"/>
      <c r="B164" s="95"/>
      <c r="C164" s="231"/>
      <c r="D164" s="231"/>
      <c r="E164" s="231"/>
      <c r="F164" s="231"/>
      <c r="G164" s="231"/>
      <c r="H164" s="231"/>
      <c r="I164" s="231"/>
      <c r="J164" s="231"/>
      <c r="K164" s="126"/>
      <c r="L164" s="481"/>
      <c r="M164" s="292"/>
      <c r="N164" s="482"/>
      <c r="O164" s="293"/>
      <c r="P164" s="483"/>
      <c r="Q164" s="292"/>
      <c r="R164" s="292"/>
      <c r="S164" s="293"/>
      <c r="T164" s="293"/>
      <c r="U164" s="293"/>
      <c r="V164" s="293"/>
      <c r="W164" s="626"/>
      <c r="X164" s="292"/>
      <c r="Y164" s="292"/>
    </row>
    <row r="165" s="2" customFormat="true" ht="15.75" hidden="false" customHeight="false" outlineLevel="0" collapsed="false">
      <c r="A165" s="642"/>
      <c r="B165" s="617" t="s">
        <v>238</v>
      </c>
      <c r="C165" s="126"/>
      <c r="D165" s="126"/>
      <c r="E165" s="126"/>
      <c r="F165" s="126"/>
      <c r="G165" s="126"/>
      <c r="H165" s="126"/>
      <c r="I165" s="126"/>
      <c r="J165" s="126"/>
      <c r="K165" s="126"/>
      <c r="L165" s="313" t="n">
        <v>192</v>
      </c>
      <c r="M165" s="314"/>
      <c r="N165" s="314" t="n">
        <f aca="false">470397.77/1000</f>
        <v>470.39777</v>
      </c>
      <c r="O165" s="315"/>
      <c r="P165" s="316" t="n">
        <v>1000</v>
      </c>
      <c r="Q165" s="314" t="n">
        <v>1000</v>
      </c>
      <c r="R165" s="314" t="n">
        <v>1000</v>
      </c>
      <c r="S165" s="315" t="n">
        <v>1000</v>
      </c>
      <c r="T165" s="315" t="n">
        <v>1000</v>
      </c>
      <c r="U165" s="315" t="n">
        <v>1000</v>
      </c>
      <c r="V165" s="315" t="n">
        <v>1000</v>
      </c>
      <c r="W165" s="317" t="n">
        <v>1000</v>
      </c>
      <c r="X165" s="314" t="n">
        <v>1000</v>
      </c>
      <c r="Y165" s="314" t="n">
        <v>1000</v>
      </c>
    </row>
    <row r="166" s="2" customFormat="true" ht="15.75" hidden="false" customHeight="false" outlineLevel="0" collapsed="false">
      <c r="A166" s="642"/>
      <c r="B166" s="1"/>
      <c r="C166" s="126"/>
      <c r="D166" s="126"/>
      <c r="E166" s="126"/>
      <c r="F166" s="126"/>
      <c r="G166" s="126"/>
      <c r="H166" s="126"/>
      <c r="I166" s="126"/>
      <c r="J166" s="126"/>
      <c r="K166" s="126"/>
      <c r="L166" s="313"/>
      <c r="M166" s="314"/>
      <c r="N166" s="314"/>
      <c r="O166" s="315"/>
      <c r="P166" s="646"/>
      <c r="Q166" s="314"/>
      <c r="R166" s="314"/>
      <c r="S166" s="315"/>
      <c r="T166" s="315"/>
      <c r="U166" s="315"/>
      <c r="V166" s="315"/>
      <c r="W166" s="317"/>
      <c r="X166" s="314"/>
      <c r="Y166" s="314"/>
    </row>
    <row r="167" s="2" customFormat="true" ht="15.75" hidden="false" customHeight="false" outlineLevel="0" collapsed="false">
      <c r="A167" s="642"/>
      <c r="B167" s="617" t="s">
        <v>350</v>
      </c>
      <c r="C167" s="182" t="n">
        <f aca="false">C154/C137</f>
        <v>0.122156461287228</v>
      </c>
      <c r="D167" s="182" t="n">
        <f aca="false">D154/D137</f>
        <v>0.0346330034331694</v>
      </c>
      <c r="E167" s="182" t="n">
        <f aca="false">E154/E137</f>
        <v>0.0541985660469073</v>
      </c>
      <c r="F167" s="182" t="n">
        <f aca="false">F154/F137</f>
        <v>0.135836177474403</v>
      </c>
      <c r="G167" s="182" t="n">
        <f aca="false">G154/G137</f>
        <v>0.213737610572312</v>
      </c>
      <c r="H167" s="182" t="n">
        <f aca="false">H154/H137</f>
        <v>0.130217028380634</v>
      </c>
      <c r="I167" s="182" t="n">
        <f aca="false">I154/I137</f>
        <v>0.157033805888768</v>
      </c>
      <c r="J167" s="182" t="s">
        <v>3</v>
      </c>
      <c r="K167" s="182" t="s">
        <v>3</v>
      </c>
      <c r="L167" s="182" t="n">
        <f aca="false">L154/L137</f>
        <v>0.0165232358003442</v>
      </c>
      <c r="M167" s="183" t="n">
        <f aca="false">M154/M137</f>
        <v>0.378727376175041</v>
      </c>
      <c r="N167" s="183" t="n">
        <f aca="false">N154/N137</f>
        <v>0.300511360508405</v>
      </c>
      <c r="O167" s="184" t="n">
        <f aca="false">O154/O137</f>
        <v>0</v>
      </c>
      <c r="P167" s="185" t="n">
        <f aca="false">P154/P137</f>
        <v>0.177884615384615</v>
      </c>
      <c r="Q167" s="183" t="n">
        <f aca="false">Q154/Q137</f>
        <v>0.31140350877193</v>
      </c>
      <c r="R167" s="183" t="n">
        <f aca="false">R154/R137</f>
        <v>0.371559633027523</v>
      </c>
      <c r="S167" s="183" t="n">
        <f aca="false">S154/S137</f>
        <v>0.350467289719626</v>
      </c>
      <c r="T167" s="183" t="n">
        <f aca="false">T154/T137</f>
        <v>0.298429319371728</v>
      </c>
      <c r="U167" s="183" t="n">
        <f aca="false">U154/U137</f>
        <v>0.377049180327869</v>
      </c>
      <c r="V167" s="183" t="n">
        <f aca="false">V154/V137</f>
        <v>0.443946188340807</v>
      </c>
      <c r="W167" s="182" t="n">
        <f aca="false">W154/W137</f>
        <v>0.434077079107505</v>
      </c>
      <c r="X167" s="183" t="n">
        <f aca="false">X154/X137</f>
        <v>0.342857142857143</v>
      </c>
      <c r="Y167" s="183"/>
    </row>
    <row r="168" s="2" customFormat="true" ht="15.75" hidden="false" customHeight="false" outlineLevel="0" collapsed="false">
      <c r="A168" s="642"/>
      <c r="B168" s="299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3"/>
      <c r="N168" s="183"/>
      <c r="O168" s="184"/>
      <c r="P168" s="490" t="s">
        <v>3</v>
      </c>
      <c r="Q168" s="491" t="s">
        <v>3</v>
      </c>
      <c r="R168" s="492"/>
      <c r="S168" s="493"/>
      <c r="T168" s="493"/>
      <c r="U168" s="493"/>
      <c r="V168" s="493"/>
      <c r="W168" s="494"/>
      <c r="X168" s="492"/>
      <c r="Y168" s="492"/>
    </row>
    <row r="169" s="2" customFormat="true" ht="15.75" hidden="false" customHeight="false" outlineLevel="0" collapsed="false">
      <c r="A169" s="640" t="s">
        <v>351</v>
      </c>
      <c r="B169" s="614" t="s">
        <v>240</v>
      </c>
      <c r="C169" s="98" t="n">
        <v>15599</v>
      </c>
      <c r="D169" s="98" t="n">
        <v>13309</v>
      </c>
      <c r="E169" s="98" t="n">
        <v>14020</v>
      </c>
      <c r="F169" s="98" t="n">
        <v>14182</v>
      </c>
      <c r="G169" s="98" t="n">
        <v>10841</v>
      </c>
      <c r="H169" s="98" t="n">
        <v>10473</v>
      </c>
      <c r="I169" s="98" t="n">
        <v>8498</v>
      </c>
      <c r="J169" s="98" t="n">
        <v>7128</v>
      </c>
      <c r="K169" s="98" t="n">
        <f aca="false">SUM(K171+K176)</f>
        <v>7024</v>
      </c>
      <c r="L169" s="98" t="n">
        <f aca="false">SUM(L171+L176)</f>
        <v>11428</v>
      </c>
      <c r="M169" s="99" t="n">
        <f aca="false">9659270/1000</f>
        <v>9659.27</v>
      </c>
      <c r="N169" s="99" t="n">
        <f aca="false">8070643.52/1000</f>
        <v>8070.64352</v>
      </c>
      <c r="O169" s="100" t="n">
        <v>17500</v>
      </c>
      <c r="P169" s="449" t="n">
        <f aca="false">9100+5500</f>
        <v>14600</v>
      </c>
      <c r="Q169" s="98" t="n">
        <f aca="false">9800</f>
        <v>9800</v>
      </c>
      <c r="R169" s="98" t="n">
        <v>8800</v>
      </c>
      <c r="S169" s="98" t="n">
        <v>9000</v>
      </c>
      <c r="T169" s="98" t="n">
        <v>9300</v>
      </c>
      <c r="U169" s="98" t="n">
        <v>7600</v>
      </c>
      <c r="V169" s="99" t="n">
        <v>5000</v>
      </c>
      <c r="W169" s="98" t="n">
        <v>8100</v>
      </c>
      <c r="X169" s="99" t="n">
        <v>9300</v>
      </c>
      <c r="Y169" s="99" t="n">
        <v>10000</v>
      </c>
    </row>
    <row r="170" customFormat="false" ht="15" hidden="false" customHeight="true" outlineLevel="0" collapsed="false">
      <c r="A170" s="38"/>
      <c r="B170" s="76"/>
      <c r="C170" s="77"/>
      <c r="D170" s="77"/>
      <c r="E170" s="3"/>
      <c r="F170" s="78"/>
      <c r="G170" s="78"/>
      <c r="H170" s="78"/>
      <c r="I170" s="78"/>
      <c r="J170" s="78"/>
      <c r="K170" s="79"/>
      <c r="L170" s="80"/>
      <c r="M170" s="81"/>
      <c r="N170" s="81"/>
      <c r="O170" s="82"/>
      <c r="P170" s="83" t="n">
        <v>9100</v>
      </c>
      <c r="Q170" s="84" t="n">
        <v>9800</v>
      </c>
      <c r="R170" s="84" t="n">
        <v>8800</v>
      </c>
      <c r="S170" s="84" t="n">
        <v>9000</v>
      </c>
      <c r="T170" s="84" t="n">
        <v>9300</v>
      </c>
      <c r="U170" s="84" t="n">
        <v>7600</v>
      </c>
      <c r="V170" s="84" t="n">
        <v>5000</v>
      </c>
      <c r="W170" s="85" t="n">
        <v>8100</v>
      </c>
      <c r="X170" s="84" t="n">
        <v>9300</v>
      </c>
      <c r="Y170" s="84" t="n">
        <v>10000</v>
      </c>
    </row>
    <row r="171" customFormat="false" ht="15.75" hidden="false" customHeight="false" outlineLevel="0" collapsed="false">
      <c r="A171" s="38"/>
      <c r="B171" s="615" t="s">
        <v>241</v>
      </c>
      <c r="C171" s="182"/>
      <c r="D171" s="182"/>
      <c r="E171" s="182"/>
      <c r="F171" s="182"/>
      <c r="G171" s="126"/>
      <c r="H171" s="126"/>
      <c r="I171" s="126"/>
      <c r="J171" s="307"/>
      <c r="K171" s="68" t="n">
        <v>2113</v>
      </c>
      <c r="L171" s="68" t="n">
        <v>2164</v>
      </c>
      <c r="M171" s="69" t="n">
        <f aca="false">2120654.68/1000</f>
        <v>2120.65468</v>
      </c>
      <c r="N171" s="69" t="n">
        <f aca="false">1085032.14/1000</f>
        <v>1085.03214</v>
      </c>
      <c r="O171" s="70" t="n">
        <v>1150</v>
      </c>
      <c r="P171" s="71" t="n">
        <v>2700</v>
      </c>
      <c r="Q171" s="68" t="n">
        <v>2350</v>
      </c>
      <c r="R171" s="68" t="n">
        <f aca="false">SUM(R173:R174)</f>
        <v>3000</v>
      </c>
      <c r="S171" s="68" t="n">
        <f aca="false">SUM(S173:S174)</f>
        <v>2300</v>
      </c>
      <c r="T171" s="68" t="n">
        <f aca="false">SUM(T173:T174)</f>
        <v>2900</v>
      </c>
      <c r="U171" s="68" t="n">
        <f aca="false">SUM(U173:U174)</f>
        <v>2400</v>
      </c>
      <c r="V171" s="69" t="n">
        <f aca="false">SUM(V173:V174)</f>
        <v>3800</v>
      </c>
      <c r="W171" s="68" t="n">
        <f aca="false">SUM(W173:W174)</f>
        <v>3800</v>
      </c>
      <c r="X171" s="69" t="n">
        <f aca="false">SUM(X173:X174)</f>
        <v>3800</v>
      </c>
      <c r="Y171" s="69"/>
    </row>
    <row r="172" s="1" customFormat="true" ht="15.75" hidden="false" customHeight="false" outlineLevel="0" collapsed="false">
      <c r="A172" s="38"/>
      <c r="B172" s="7"/>
      <c r="C172" s="182"/>
      <c r="D172" s="182"/>
      <c r="E172" s="182"/>
      <c r="F172" s="182"/>
      <c r="G172" s="126"/>
      <c r="H172" s="126"/>
      <c r="I172" s="126"/>
      <c r="J172" s="307"/>
      <c r="K172" s="68"/>
      <c r="L172" s="68"/>
      <c r="M172" s="69"/>
      <c r="N172" s="69"/>
      <c r="O172" s="70"/>
      <c r="P172" s="643"/>
      <c r="Q172" s="68"/>
      <c r="R172" s="68"/>
      <c r="S172" s="68"/>
      <c r="T172" s="68"/>
      <c r="U172" s="68"/>
      <c r="V172" s="69"/>
      <c r="W172" s="68"/>
      <c r="X172" s="69"/>
      <c r="Y172" s="69"/>
    </row>
    <row r="173" customFormat="false" ht="15.75" hidden="false" customHeight="false" outlineLevel="0" collapsed="false">
      <c r="A173" s="38"/>
      <c r="B173" s="617" t="s">
        <v>242</v>
      </c>
      <c r="C173" s="182"/>
      <c r="D173" s="182"/>
      <c r="E173" s="182"/>
      <c r="F173" s="182"/>
      <c r="G173" s="126"/>
      <c r="H173" s="126"/>
      <c r="I173" s="126"/>
      <c r="J173" s="126"/>
      <c r="K173" s="126" t="n">
        <v>500</v>
      </c>
      <c r="L173" s="126" t="n">
        <v>300</v>
      </c>
      <c r="M173" s="127"/>
      <c r="N173" s="127"/>
      <c r="O173" s="279" t="n">
        <v>0</v>
      </c>
      <c r="P173" s="130" t="n">
        <v>800</v>
      </c>
      <c r="Q173" s="129" t="n">
        <v>1600</v>
      </c>
      <c r="R173" s="129" t="n">
        <v>2200</v>
      </c>
      <c r="S173" s="129" t="n">
        <v>0</v>
      </c>
      <c r="T173" s="129" t="n">
        <v>1600</v>
      </c>
      <c r="U173" s="129" t="n">
        <v>1600</v>
      </c>
      <c r="V173" s="129" t="n">
        <v>2600</v>
      </c>
      <c r="W173" s="126" t="n">
        <v>2600</v>
      </c>
      <c r="X173" s="129" t="n">
        <v>2600</v>
      </c>
      <c r="Y173" s="129"/>
    </row>
    <row r="174" customFormat="false" ht="15.75" hidden="false" customHeight="false" outlineLevel="0" collapsed="false">
      <c r="A174" s="38"/>
      <c r="B174" s="617" t="s">
        <v>243</v>
      </c>
      <c r="C174" s="182"/>
      <c r="D174" s="182"/>
      <c r="E174" s="182"/>
      <c r="F174" s="182"/>
      <c r="G174" s="126"/>
      <c r="H174" s="126"/>
      <c r="I174" s="126"/>
      <c r="J174" s="126"/>
      <c r="K174" s="126" t="n">
        <v>1750</v>
      </c>
      <c r="L174" s="126" t="n">
        <v>2000</v>
      </c>
      <c r="M174" s="127"/>
      <c r="N174" s="127"/>
      <c r="O174" s="279" t="n">
        <v>800</v>
      </c>
      <c r="P174" s="130" t="n">
        <v>800</v>
      </c>
      <c r="Q174" s="129" t="n">
        <v>800</v>
      </c>
      <c r="R174" s="129" t="n">
        <v>800</v>
      </c>
      <c r="S174" s="279" t="n">
        <v>2300</v>
      </c>
      <c r="T174" s="279" t="n">
        <v>1300</v>
      </c>
      <c r="U174" s="279" t="n">
        <v>800</v>
      </c>
      <c r="V174" s="279" t="n">
        <v>1200</v>
      </c>
      <c r="W174" s="280" t="n">
        <v>1200</v>
      </c>
      <c r="X174" s="129" t="n">
        <v>1200</v>
      </c>
      <c r="Y174" s="129"/>
    </row>
    <row r="175" customFormat="false" ht="15.75" hidden="false" customHeight="false" outlineLevel="0" collapsed="false">
      <c r="A175" s="38"/>
      <c r="B175" s="97"/>
      <c r="C175" s="182"/>
      <c r="D175" s="182"/>
      <c r="E175" s="182"/>
      <c r="F175" s="182"/>
      <c r="G175" s="126"/>
      <c r="H175" s="126"/>
      <c r="I175" s="126"/>
      <c r="J175" s="126"/>
      <c r="K175" s="126"/>
      <c r="L175" s="126"/>
      <c r="M175" s="127"/>
      <c r="N175" s="128"/>
      <c r="O175" s="129"/>
      <c r="P175" s="130"/>
      <c r="Q175" s="129"/>
      <c r="R175" s="129"/>
      <c r="S175" s="279"/>
      <c r="T175" s="279"/>
      <c r="U175" s="279"/>
      <c r="V175" s="279"/>
      <c r="W175" s="280"/>
      <c r="X175" s="129"/>
      <c r="Y175" s="129"/>
    </row>
    <row r="176" customFormat="false" ht="15.75" hidden="false" customHeight="false" outlineLevel="0" collapsed="false">
      <c r="A176" s="38"/>
      <c r="B176" s="615" t="s">
        <v>244</v>
      </c>
      <c r="C176" s="182"/>
      <c r="D176" s="182"/>
      <c r="E176" s="182"/>
      <c r="F176" s="182"/>
      <c r="G176" s="126"/>
      <c r="H176" s="126"/>
      <c r="I176" s="126"/>
      <c r="J176" s="126"/>
      <c r="K176" s="68" t="n">
        <v>4911</v>
      </c>
      <c r="L176" s="68" t="n">
        <v>9264</v>
      </c>
      <c r="M176" s="69" t="n">
        <f aca="false">7538615.41/1000</f>
        <v>7538.61541</v>
      </c>
      <c r="N176" s="505" t="n">
        <f aca="false">6985611.38/1000</f>
        <v>6985.61138</v>
      </c>
      <c r="O176" s="69" t="n">
        <f aca="false">SUM(O178:O181)</f>
        <v>6350</v>
      </c>
      <c r="P176" s="71" t="n">
        <f aca="false">SUM(P178:P181)</f>
        <v>5500</v>
      </c>
      <c r="Q176" s="69" t="n">
        <f aca="false">SUM(Q178:Q181)</f>
        <v>5050</v>
      </c>
      <c r="R176" s="69" t="n">
        <f aca="false">SUM(R178:R181)</f>
        <v>5800</v>
      </c>
      <c r="S176" s="69" t="n">
        <f aca="false">SUM(S178:S181)</f>
        <v>6100</v>
      </c>
      <c r="T176" s="69" t="n">
        <f aca="false">SUM(T178:T181)</f>
        <v>5200</v>
      </c>
      <c r="U176" s="69" t="n">
        <f aca="false">SUM(U178:U181)</f>
        <v>5400</v>
      </c>
      <c r="V176" s="69" t="n">
        <f aca="false">SUM(V178:V181)</f>
        <v>4400</v>
      </c>
      <c r="W176" s="68" t="n">
        <f aca="false">SUM(W178:W181)</f>
        <v>3900</v>
      </c>
      <c r="X176" s="69" t="n">
        <f aca="false">SUM(X178:X181)</f>
        <v>3900</v>
      </c>
      <c r="Y176" s="69"/>
    </row>
    <row r="177" s="1" customFormat="true" ht="15.75" hidden="false" customHeight="false" outlineLevel="0" collapsed="false">
      <c r="A177" s="38"/>
      <c r="B177" s="7"/>
      <c r="C177" s="182"/>
      <c r="D177" s="182"/>
      <c r="E177" s="182"/>
      <c r="F177" s="182"/>
      <c r="G177" s="126"/>
      <c r="H177" s="126"/>
      <c r="I177" s="126"/>
      <c r="J177" s="126"/>
      <c r="K177" s="68"/>
      <c r="L177" s="68"/>
      <c r="M177" s="69"/>
      <c r="N177" s="644"/>
      <c r="O177" s="69"/>
      <c r="P177" s="643"/>
      <c r="Q177" s="69"/>
      <c r="R177" s="69"/>
      <c r="S177" s="70"/>
      <c r="T177" s="70"/>
      <c r="U177" s="70"/>
      <c r="V177" s="70"/>
      <c r="W177" s="644"/>
      <c r="X177" s="69"/>
      <c r="Y177" s="69"/>
    </row>
    <row r="178" customFormat="false" ht="15.75" hidden="false" customHeight="false" outlineLevel="0" collapsed="false">
      <c r="A178" s="38"/>
      <c r="B178" s="617" t="s">
        <v>245</v>
      </c>
      <c r="C178" s="182"/>
      <c r="D178" s="182"/>
      <c r="E178" s="182"/>
      <c r="F178" s="182"/>
      <c r="G178" s="126"/>
      <c r="H178" s="126"/>
      <c r="I178" s="126"/>
      <c r="J178" s="126"/>
      <c r="K178" s="126" t="n">
        <v>600</v>
      </c>
      <c r="L178" s="126" t="s">
        <v>3</v>
      </c>
      <c r="M178" s="127"/>
      <c r="N178" s="128"/>
      <c r="O178" s="129" t="n">
        <v>1300</v>
      </c>
      <c r="P178" s="130" t="n">
        <v>800</v>
      </c>
      <c r="Q178" s="129" t="n">
        <v>1700</v>
      </c>
      <c r="R178" s="129" t="n">
        <v>800</v>
      </c>
      <c r="S178" s="279" t="n">
        <v>700</v>
      </c>
      <c r="T178" s="279" t="n">
        <v>1000</v>
      </c>
      <c r="U178" s="279" t="n">
        <v>600</v>
      </c>
      <c r="V178" s="279" t="n">
        <v>1100</v>
      </c>
      <c r="W178" s="280" t="n">
        <v>600</v>
      </c>
      <c r="X178" s="129" t="n">
        <v>600</v>
      </c>
      <c r="Y178" s="129"/>
    </row>
    <row r="179" customFormat="false" ht="15.75" hidden="false" customHeight="false" outlineLevel="0" collapsed="false">
      <c r="A179" s="38"/>
      <c r="B179" s="617" t="s">
        <v>246</v>
      </c>
      <c r="C179" s="182"/>
      <c r="D179" s="182"/>
      <c r="E179" s="182"/>
      <c r="F179" s="182"/>
      <c r="G179" s="126"/>
      <c r="H179" s="126"/>
      <c r="I179" s="126"/>
      <c r="J179" s="126"/>
      <c r="K179" s="126" t="n">
        <v>1760</v>
      </c>
      <c r="L179" s="126" t="s">
        <v>3</v>
      </c>
      <c r="M179" s="127"/>
      <c r="N179" s="128"/>
      <c r="O179" s="129" t="n">
        <v>600</v>
      </c>
      <c r="P179" s="130" t="n">
        <v>1000</v>
      </c>
      <c r="Q179" s="129" t="n">
        <v>1950</v>
      </c>
      <c r="R179" s="129" t="n">
        <v>1600</v>
      </c>
      <c r="S179" s="129" t="n">
        <v>1600</v>
      </c>
      <c r="T179" s="129" t="n">
        <v>1600</v>
      </c>
      <c r="U179" s="129" t="n">
        <v>1600</v>
      </c>
      <c r="V179" s="129" t="n">
        <v>1600</v>
      </c>
      <c r="W179" s="126" t="n">
        <v>1600</v>
      </c>
      <c r="X179" s="129" t="n">
        <v>1600</v>
      </c>
      <c r="Y179" s="129"/>
    </row>
    <row r="180" customFormat="false" ht="15.75" hidden="false" customHeight="false" outlineLevel="0" collapsed="false">
      <c r="A180" s="38"/>
      <c r="B180" s="617" t="s">
        <v>247</v>
      </c>
      <c r="C180" s="182"/>
      <c r="D180" s="182"/>
      <c r="E180" s="182"/>
      <c r="F180" s="182"/>
      <c r="G180" s="126"/>
      <c r="H180" s="126"/>
      <c r="I180" s="126"/>
      <c r="J180" s="126"/>
      <c r="K180" s="126" t="n">
        <v>600</v>
      </c>
      <c r="L180" s="126" t="s">
        <v>3</v>
      </c>
      <c r="M180" s="127"/>
      <c r="N180" s="128"/>
      <c r="O180" s="129" t="n">
        <v>500</v>
      </c>
      <c r="P180" s="130" t="n">
        <v>500</v>
      </c>
      <c r="Q180" s="129" t="n">
        <v>300</v>
      </c>
      <c r="R180" s="129" t="n">
        <v>700</v>
      </c>
      <c r="S180" s="279" t="n">
        <v>800</v>
      </c>
      <c r="T180" s="279" t="n">
        <v>500</v>
      </c>
      <c r="U180" s="279" t="n">
        <v>500</v>
      </c>
      <c r="V180" s="279" t="n">
        <v>500</v>
      </c>
      <c r="W180" s="280" t="n">
        <v>500</v>
      </c>
      <c r="X180" s="129" t="n">
        <v>500</v>
      </c>
      <c r="Y180" s="129"/>
    </row>
    <row r="181" customFormat="false" ht="15.75" hidden="false" customHeight="false" outlineLevel="0" collapsed="false">
      <c r="A181" s="38"/>
      <c r="B181" s="617" t="s">
        <v>248</v>
      </c>
      <c r="C181" s="182"/>
      <c r="D181" s="182"/>
      <c r="E181" s="182"/>
      <c r="F181" s="182"/>
      <c r="G181" s="126"/>
      <c r="H181" s="126"/>
      <c r="I181" s="126"/>
      <c r="J181" s="126"/>
      <c r="K181" s="126" t="n">
        <v>1650</v>
      </c>
      <c r="L181" s="126" t="s">
        <v>3</v>
      </c>
      <c r="M181" s="127"/>
      <c r="N181" s="128"/>
      <c r="O181" s="129" t="n">
        <v>3950</v>
      </c>
      <c r="P181" s="130" t="n">
        <v>3200</v>
      </c>
      <c r="Q181" s="129" t="n">
        <v>1100</v>
      </c>
      <c r="R181" s="129" t="n">
        <v>2700</v>
      </c>
      <c r="S181" s="279" t="n">
        <v>3000</v>
      </c>
      <c r="T181" s="279" t="n">
        <v>2100</v>
      </c>
      <c r="U181" s="279" t="n">
        <v>2700</v>
      </c>
      <c r="V181" s="279" t="n">
        <v>1200</v>
      </c>
      <c r="W181" s="280" t="n">
        <v>1200</v>
      </c>
      <c r="X181" s="129" t="n">
        <v>1200</v>
      </c>
      <c r="Y181" s="129"/>
    </row>
    <row r="182" customFormat="false" ht="15.75" hidden="false" customHeight="false" outlineLevel="0" collapsed="false">
      <c r="A182" s="38"/>
      <c r="B182" s="299"/>
      <c r="C182" s="182"/>
      <c r="D182" s="182"/>
      <c r="E182" s="182"/>
      <c r="F182" s="182"/>
      <c r="G182" s="126"/>
      <c r="H182" s="126"/>
      <c r="I182" s="126"/>
      <c r="J182" s="126"/>
      <c r="K182" s="498"/>
      <c r="L182" s="499"/>
      <c r="M182" s="500"/>
      <c r="N182" s="506"/>
      <c r="O182" s="503"/>
      <c r="P182" s="502"/>
      <c r="Q182" s="503"/>
      <c r="R182" s="503"/>
      <c r="S182" s="503"/>
      <c r="T182" s="503"/>
      <c r="U182" s="503"/>
      <c r="V182" s="503"/>
      <c r="W182" s="499"/>
      <c r="X182" s="503"/>
      <c r="Y182" s="503"/>
    </row>
    <row r="183" customFormat="false" ht="15.75" hidden="false" customHeight="false" outlineLevel="0" collapsed="false">
      <c r="A183" s="38"/>
      <c r="B183" s="73"/>
      <c r="C183" s="507"/>
      <c r="D183" s="507"/>
      <c r="E183" s="507"/>
      <c r="F183" s="507"/>
      <c r="G183" s="507"/>
      <c r="H183" s="507"/>
      <c r="I183" s="507"/>
      <c r="J183" s="481" t="s">
        <v>3</v>
      </c>
      <c r="K183" s="291" t="n">
        <v>3069</v>
      </c>
      <c r="L183" s="291" t="s">
        <v>3</v>
      </c>
      <c r="M183" s="491" t="s">
        <v>3</v>
      </c>
      <c r="N183" s="482"/>
      <c r="O183" s="292" t="s">
        <v>3</v>
      </c>
      <c r="P183" s="483" t="s">
        <v>3</v>
      </c>
      <c r="Q183" s="292" t="s">
        <v>3</v>
      </c>
      <c r="R183" s="292" t="s">
        <v>3</v>
      </c>
      <c r="S183" s="293" t="s">
        <v>3</v>
      </c>
      <c r="T183" s="293" t="s">
        <v>3</v>
      </c>
      <c r="U183" s="293" t="s">
        <v>3</v>
      </c>
      <c r="V183" s="293" t="s">
        <v>3</v>
      </c>
      <c r="W183" s="295" t="s">
        <v>3</v>
      </c>
      <c r="X183" s="292" t="s">
        <v>3</v>
      </c>
      <c r="Y183" s="292"/>
    </row>
    <row r="184" customFormat="false" ht="15.75" hidden="false" customHeight="false" outlineLevel="0" collapsed="false">
      <c r="A184" s="612" t="s">
        <v>249</v>
      </c>
      <c r="B184" s="112" t="s">
        <v>250</v>
      </c>
      <c r="C184" s="98" t="n">
        <f aca="false">SUM(C186+C188+C190+C192+C194+C196)</f>
        <v>500.99993</v>
      </c>
      <c r="D184" s="98" t="n">
        <v>3407</v>
      </c>
      <c r="E184" s="98" t="n">
        <f aca="false">SUM(E186+E188+E190+E192+E194+E196)</f>
        <v>2511</v>
      </c>
      <c r="F184" s="98" t="e">
        <f aca="false">SUM(F186+F188+F190+F192+F194+F196)</f>
        <v>#REF!</v>
      </c>
      <c r="G184" s="98" t="e">
        <f aca="false">SUM(G186+G188+G190+G192+G194+G196)</f>
        <v>#REF!</v>
      </c>
      <c r="H184" s="98" t="e">
        <f aca="false">SUM(H186+H188+H190+H192+H194+H196)</f>
        <v>#REF!</v>
      </c>
      <c r="I184" s="98" t="e">
        <f aca="false">SUM(I186+I188+I190+I192+I194+I196)</f>
        <v>#REF!</v>
      </c>
      <c r="J184" s="98" t="e">
        <f aca="false">SUM(J186+J188+J190+J192+J194+J196)</f>
        <v>#REF!</v>
      </c>
      <c r="K184" s="98" t="e">
        <f aca="false">SUM(K186+K188+K190+K192+K194+K196)</f>
        <v>#REF!</v>
      </c>
      <c r="L184" s="98" t="n">
        <f aca="false">SUM(L186+L188+L190+L192+L194+L196)</f>
        <v>11458</v>
      </c>
      <c r="M184" s="99" t="n">
        <f aca="false">SUM(M186+M188+M190+M192+M194+M196+M200)</f>
        <v>8856.689</v>
      </c>
      <c r="N184" s="100" t="n">
        <f aca="false">4355490.87/1000</f>
        <v>4355.49087</v>
      </c>
      <c r="O184" s="99"/>
      <c r="P184" s="101"/>
      <c r="Q184" s="98"/>
      <c r="R184" s="98"/>
      <c r="S184" s="98"/>
      <c r="T184" s="98"/>
      <c r="U184" s="98"/>
      <c r="V184" s="98"/>
      <c r="W184" s="98"/>
      <c r="X184" s="99"/>
      <c r="Y184" s="99"/>
    </row>
    <row r="185" customFormat="false" ht="15.75" hidden="false" customHeight="false" outlineLevel="0" collapsed="false">
      <c r="A185" s="38"/>
      <c r="B185" s="509"/>
      <c r="C185" s="68"/>
      <c r="D185" s="68"/>
      <c r="E185" s="68"/>
      <c r="F185" s="68"/>
      <c r="G185" s="510" t="s">
        <v>3</v>
      </c>
      <c r="H185" s="511" t="s">
        <v>3</v>
      </c>
      <c r="I185" s="512" t="s">
        <v>3</v>
      </c>
      <c r="J185" s="181" t="e">
        <f aca="false">+(J184-I184)/I184</f>
        <v>#REF!</v>
      </c>
      <c r="K185" s="182" t="e">
        <f aca="false">+(K184-J184)/J184</f>
        <v>#REF!</v>
      </c>
      <c r="L185" s="182" t="e">
        <f aca="false">+(L184-K184)/K184</f>
        <v>#REF!</v>
      </c>
      <c r="M185" s="183" t="n">
        <f aca="false">+(M184-L184)/L184</f>
        <v>-0.227030109966835</v>
      </c>
      <c r="N185" s="184"/>
      <c r="O185" s="183"/>
      <c r="P185" s="185"/>
      <c r="Q185" s="183"/>
      <c r="R185" s="183"/>
      <c r="S185" s="183"/>
      <c r="T185" s="183"/>
      <c r="U185" s="183"/>
      <c r="V185" s="183"/>
      <c r="W185" s="182"/>
      <c r="X185" s="183"/>
      <c r="Y185" s="183"/>
    </row>
    <row r="186" customFormat="false" ht="15.75" hidden="false" customHeight="false" outlineLevel="0" collapsed="false">
      <c r="A186" s="640" t="s">
        <v>251</v>
      </c>
      <c r="B186" s="614" t="s">
        <v>252</v>
      </c>
      <c r="C186" s="523" t="n">
        <v>451</v>
      </c>
      <c r="D186" s="80" t="n">
        <v>1521</v>
      </c>
      <c r="E186" s="80" t="n">
        <v>1502</v>
      </c>
      <c r="F186" s="80" t="n">
        <v>584</v>
      </c>
      <c r="G186" s="68" t="e">
        <f aca="false">SUM(#REF!)</f>
        <v>#REF!</v>
      </c>
      <c r="H186" s="68" t="e">
        <f aca="false">SUM(#REF!)</f>
        <v>#REF!</v>
      </c>
      <c r="I186" s="68" t="e">
        <f aca="false">SUM(#REF!)</f>
        <v>#REF!</v>
      </c>
      <c r="J186" s="68" t="e">
        <f aca="false">SUM(#REF!)</f>
        <v>#REF!</v>
      </c>
      <c r="K186" s="68" t="e">
        <f aca="false">SUM(#REF!)</f>
        <v>#REF!</v>
      </c>
      <c r="L186" s="68" t="n">
        <v>2496</v>
      </c>
      <c r="M186" s="69" t="n">
        <v>199.15</v>
      </c>
      <c r="N186" s="70"/>
      <c r="O186" s="69"/>
      <c r="P186" s="71"/>
      <c r="Q186" s="69"/>
      <c r="R186" s="69"/>
      <c r="S186" s="69"/>
      <c r="T186" s="69"/>
      <c r="U186" s="69"/>
      <c r="V186" s="69"/>
      <c r="W186" s="68"/>
      <c r="X186" s="69"/>
      <c r="Y186" s="69"/>
    </row>
    <row r="187" customFormat="false" ht="15.75" hidden="false" customHeight="false" outlineLevel="0" collapsed="false">
      <c r="A187" s="38"/>
      <c r="B187" s="452"/>
      <c r="C187" s="68"/>
      <c r="D187" s="68"/>
      <c r="E187" s="68"/>
      <c r="F187" s="68"/>
      <c r="G187" s="68"/>
      <c r="H187" s="68"/>
      <c r="I187" s="68"/>
      <c r="J187" s="68"/>
      <c r="K187" s="68"/>
      <c r="L187" s="380"/>
      <c r="M187" s="285"/>
      <c r="N187" s="286"/>
      <c r="O187" s="285"/>
      <c r="P187" s="287"/>
      <c r="Q187" s="285"/>
      <c r="R187" s="285"/>
      <c r="S187" s="286"/>
      <c r="T187" s="286"/>
      <c r="U187" s="286"/>
      <c r="V187" s="286"/>
      <c r="W187" s="288"/>
      <c r="X187" s="285"/>
      <c r="Y187" s="285"/>
    </row>
    <row r="188" s="525" customFormat="true" ht="15.75" hidden="false" customHeight="false" outlineLevel="0" collapsed="false">
      <c r="A188" s="613" t="s">
        <v>256</v>
      </c>
      <c r="B188" s="614" t="s">
        <v>257</v>
      </c>
      <c r="C188" s="68" t="n">
        <v>49.99993</v>
      </c>
      <c r="D188" s="68" t="n">
        <v>700.16676</v>
      </c>
      <c r="E188" s="68" t="n">
        <v>1009</v>
      </c>
      <c r="F188" s="68" t="e">
        <f aca="false">SUM(#REF!)</f>
        <v>#REF!</v>
      </c>
      <c r="G188" s="68" t="e">
        <f aca="false">#REF!+#REF!</f>
        <v>#REF!</v>
      </c>
      <c r="H188" s="68" t="e">
        <f aca="false">SUM(#REF!)</f>
        <v>#REF!</v>
      </c>
      <c r="I188" s="68" t="e">
        <f aca="false">SUM(#REF!)</f>
        <v>#REF!</v>
      </c>
      <c r="J188" s="68" t="e">
        <f aca="false">SUM(#REF!)</f>
        <v>#REF!</v>
      </c>
      <c r="K188" s="68" t="e">
        <f aca="false">SUM(#REF!)</f>
        <v>#REF!</v>
      </c>
      <c r="L188" s="68" t="n">
        <v>6441</v>
      </c>
      <c r="M188" s="69" t="n">
        <f aca="false">4146050/1000</f>
        <v>4146.05</v>
      </c>
      <c r="N188" s="70"/>
      <c r="O188" s="69"/>
      <c r="P188" s="71"/>
      <c r="Q188" s="69"/>
      <c r="R188" s="69"/>
      <c r="S188" s="69"/>
      <c r="T188" s="69"/>
      <c r="U188" s="69"/>
      <c r="V188" s="69"/>
      <c r="W188" s="68"/>
      <c r="X188" s="69"/>
      <c r="Y188" s="69"/>
    </row>
    <row r="189" customFormat="false" ht="15.75" hidden="false" customHeight="false" outlineLevel="0" collapsed="false">
      <c r="A189" s="38"/>
      <c r="B189" s="73"/>
      <c r="C189" s="119" t="s">
        <v>3</v>
      </c>
      <c r="D189" s="119" t="s">
        <v>3</v>
      </c>
      <c r="E189" s="119" t="s">
        <v>3</v>
      </c>
      <c r="F189" s="224" t="s">
        <v>3</v>
      </c>
      <c r="G189" s="92" t="s">
        <v>3</v>
      </c>
      <c r="H189" s="209" t="s">
        <v>3</v>
      </c>
      <c r="I189" s="307" t="s">
        <v>3</v>
      </c>
      <c r="J189" s="119"/>
      <c r="K189" s="167" t="s">
        <v>3</v>
      </c>
      <c r="L189" s="380" t="n">
        <v>0</v>
      </c>
      <c r="M189" s="322"/>
      <c r="N189" s="324"/>
      <c r="O189" s="322"/>
      <c r="P189" s="323"/>
      <c r="Q189" s="322"/>
      <c r="R189" s="322"/>
      <c r="S189" s="324"/>
      <c r="T189" s="324"/>
      <c r="U189" s="324"/>
      <c r="V189" s="324"/>
      <c r="W189" s="325"/>
      <c r="X189" s="322"/>
      <c r="Y189" s="322"/>
    </row>
    <row r="190" s="525" customFormat="true" ht="15.75" hidden="false" customHeight="false" outlineLevel="0" collapsed="false">
      <c r="A190" s="613" t="s">
        <v>261</v>
      </c>
      <c r="B190" s="614" t="s">
        <v>262</v>
      </c>
      <c r="C190" s="68" t="n">
        <v>0</v>
      </c>
      <c r="D190" s="68" t="n">
        <v>0</v>
      </c>
      <c r="E190" s="68" t="n">
        <v>0</v>
      </c>
      <c r="F190" s="68" t="n">
        <v>60</v>
      </c>
      <c r="G190" s="68" t="n">
        <v>104</v>
      </c>
      <c r="H190" s="68" t="n">
        <v>418</v>
      </c>
      <c r="I190" s="68" t="n">
        <v>1368</v>
      </c>
      <c r="J190" s="68" t="n">
        <v>1088</v>
      </c>
      <c r="K190" s="68" t="n">
        <v>422</v>
      </c>
      <c r="L190" s="383" t="n">
        <v>1293</v>
      </c>
      <c r="M190" s="281" t="n">
        <f aca="false">1582830/1000</f>
        <v>1582.83</v>
      </c>
      <c r="N190" s="282"/>
      <c r="O190" s="281"/>
      <c r="P190" s="283"/>
      <c r="Q190" s="281"/>
      <c r="R190" s="281"/>
      <c r="S190" s="282"/>
      <c r="T190" s="282"/>
      <c r="U190" s="282"/>
      <c r="V190" s="282"/>
      <c r="W190" s="284"/>
      <c r="X190" s="281"/>
      <c r="Y190" s="281"/>
    </row>
    <row r="191" customFormat="false" ht="15.75" hidden="false" customHeight="false" outlineLevel="0" collapsed="false">
      <c r="A191" s="38"/>
      <c r="B191" s="73"/>
      <c r="C191" s="119"/>
      <c r="D191" s="119"/>
      <c r="E191" s="119"/>
      <c r="F191" s="360" t="s">
        <v>3</v>
      </c>
      <c r="G191" s="92" t="s">
        <v>3</v>
      </c>
      <c r="H191" s="526" t="s">
        <v>3</v>
      </c>
      <c r="I191" s="307" t="s">
        <v>3</v>
      </c>
      <c r="J191" s="119"/>
      <c r="K191" s="167" t="s">
        <v>3</v>
      </c>
      <c r="L191" s="380" t="n">
        <v>80</v>
      </c>
      <c r="M191" s="314"/>
      <c r="N191" s="315"/>
      <c r="O191" s="314"/>
      <c r="P191" s="316"/>
      <c r="Q191" s="314"/>
      <c r="R191" s="314"/>
      <c r="S191" s="315"/>
      <c r="T191" s="315"/>
      <c r="U191" s="315"/>
      <c r="V191" s="315"/>
      <c r="W191" s="317"/>
      <c r="X191" s="314"/>
      <c r="Y191" s="314"/>
    </row>
    <row r="192" customFormat="false" ht="15.75" hidden="false" customHeight="false" outlineLevel="0" collapsed="false">
      <c r="A192" s="613" t="s">
        <v>263</v>
      </c>
      <c r="B192" s="614" t="s">
        <v>264</v>
      </c>
      <c r="C192" s="68" t="n">
        <v>0</v>
      </c>
      <c r="D192" s="68" t="n">
        <v>0</v>
      </c>
      <c r="E192" s="68" t="n">
        <v>0</v>
      </c>
      <c r="F192" s="68" t="n">
        <v>0</v>
      </c>
      <c r="G192" s="68" t="n">
        <v>0</v>
      </c>
      <c r="H192" s="68" t="n">
        <v>0</v>
      </c>
      <c r="I192" s="68" t="n">
        <v>0</v>
      </c>
      <c r="J192" s="68" t="n">
        <v>120</v>
      </c>
      <c r="K192" s="68" t="n">
        <v>268</v>
      </c>
      <c r="L192" s="383" t="n">
        <v>471</v>
      </c>
      <c r="M192" s="281" t="n">
        <f aca="false">1036373/1000</f>
        <v>1036.373</v>
      </c>
      <c r="N192" s="282"/>
      <c r="O192" s="281"/>
      <c r="P192" s="283"/>
      <c r="Q192" s="281"/>
      <c r="R192" s="281"/>
      <c r="S192" s="282"/>
      <c r="T192" s="282"/>
      <c r="U192" s="282"/>
      <c r="V192" s="282"/>
      <c r="W192" s="284"/>
      <c r="X192" s="281"/>
      <c r="Y192" s="281"/>
    </row>
    <row r="193" customFormat="false" ht="15.75" hidden="false" customHeight="false" outlineLevel="0" collapsed="false">
      <c r="A193" s="38"/>
      <c r="B193" s="452"/>
      <c r="C193" s="119"/>
      <c r="D193" s="119"/>
      <c r="E193" s="119"/>
      <c r="F193" s="224"/>
      <c r="G193" s="119"/>
      <c r="H193" s="119"/>
      <c r="I193" s="119"/>
      <c r="J193" s="119"/>
      <c r="K193" s="119"/>
      <c r="L193" s="380" t="s">
        <v>53</v>
      </c>
      <c r="M193" s="285" t="s">
        <v>3</v>
      </c>
      <c r="N193" s="286"/>
      <c r="O193" s="285"/>
      <c r="P193" s="287"/>
      <c r="Q193" s="314"/>
      <c r="R193" s="314"/>
      <c r="S193" s="315"/>
      <c r="T193" s="315"/>
      <c r="U193" s="315"/>
      <c r="V193" s="315"/>
      <c r="W193" s="317"/>
      <c r="X193" s="314"/>
      <c r="Y193" s="314"/>
    </row>
    <row r="194" customFormat="false" ht="15.75" hidden="false" customHeight="false" outlineLevel="0" collapsed="false">
      <c r="A194" s="613" t="s">
        <v>265</v>
      </c>
      <c r="B194" s="563" t="s">
        <v>266</v>
      </c>
      <c r="C194" s="119"/>
      <c r="D194" s="119"/>
      <c r="E194" s="68" t="n">
        <v>0</v>
      </c>
      <c r="F194" s="212" t="n">
        <v>0</v>
      </c>
      <c r="G194" s="68" t="n">
        <v>0</v>
      </c>
      <c r="H194" s="68" t="n">
        <v>0</v>
      </c>
      <c r="I194" s="68" t="n">
        <v>95</v>
      </c>
      <c r="J194" s="68" t="n">
        <v>195</v>
      </c>
      <c r="K194" s="68" t="n">
        <v>896</v>
      </c>
      <c r="L194" s="383" t="n">
        <v>51</v>
      </c>
      <c r="M194" s="281" t="n">
        <f aca="false">114308/1000</f>
        <v>114.308</v>
      </c>
      <c r="N194" s="282"/>
      <c r="O194" s="281"/>
      <c r="P194" s="283"/>
      <c r="Q194" s="281"/>
      <c r="R194" s="281"/>
      <c r="S194" s="282"/>
      <c r="T194" s="282"/>
      <c r="U194" s="282"/>
      <c r="V194" s="282"/>
      <c r="W194" s="284"/>
      <c r="X194" s="281"/>
      <c r="Y194" s="281"/>
    </row>
    <row r="195" customFormat="false" ht="15.75" hidden="false" customHeight="false" outlineLevel="0" collapsed="false">
      <c r="A195" s="38"/>
      <c r="B195" s="73"/>
      <c r="C195" s="119"/>
      <c r="D195" s="119"/>
      <c r="E195" s="98"/>
      <c r="F195" s="177"/>
      <c r="G195" s="92" t="s">
        <v>3</v>
      </c>
      <c r="H195" s="98"/>
      <c r="I195" s="527"/>
      <c r="J195" s="355" t="n">
        <v>0</v>
      </c>
      <c r="K195" s="98"/>
      <c r="L195" s="528"/>
      <c r="M195" s="529"/>
      <c r="N195" s="530"/>
      <c r="O195" s="529"/>
      <c r="P195" s="531"/>
      <c r="Q195" s="529"/>
      <c r="R195" s="529"/>
      <c r="S195" s="530"/>
      <c r="T195" s="530"/>
      <c r="U195" s="530"/>
      <c r="V195" s="530"/>
      <c r="W195" s="532"/>
      <c r="X195" s="529"/>
      <c r="Y195" s="529"/>
    </row>
    <row r="196" customFormat="false" ht="15.75" hidden="false" customHeight="false" outlineLevel="0" collapsed="false">
      <c r="A196" s="613" t="s">
        <v>267</v>
      </c>
      <c r="B196" s="563" t="s">
        <v>268</v>
      </c>
      <c r="C196" s="119"/>
      <c r="D196" s="119"/>
      <c r="E196" s="68" t="n">
        <v>0</v>
      </c>
      <c r="F196" s="212" t="n">
        <v>0</v>
      </c>
      <c r="G196" s="68" t="n">
        <v>0</v>
      </c>
      <c r="H196" s="68" t="n">
        <v>59</v>
      </c>
      <c r="I196" s="68" t="n">
        <v>328</v>
      </c>
      <c r="J196" s="68" t="e">
        <f aca="false">SUM(#REF!+#REF!)</f>
        <v>#REF!</v>
      </c>
      <c r="K196" s="68" t="e">
        <f aca="false">SUM(#REF!+#REF!)</f>
        <v>#REF!</v>
      </c>
      <c r="L196" s="68" t="n">
        <v>706</v>
      </c>
      <c r="M196" s="281" t="n">
        <f aca="false">1688293/1000</f>
        <v>1688.293</v>
      </c>
      <c r="N196" s="282"/>
      <c r="O196" s="281"/>
      <c r="P196" s="283"/>
      <c r="Q196" s="281"/>
      <c r="R196" s="281"/>
      <c r="S196" s="281"/>
      <c r="T196" s="282"/>
      <c r="U196" s="282"/>
      <c r="V196" s="282"/>
      <c r="W196" s="284"/>
      <c r="X196" s="281"/>
      <c r="Y196" s="281"/>
    </row>
    <row r="197" customFormat="false" ht="15.75" hidden="false" customHeight="false" outlineLevel="0" collapsed="false">
      <c r="A197" s="38"/>
      <c r="B197" s="73"/>
      <c r="C197" s="68"/>
      <c r="D197" s="68"/>
      <c r="E197" s="68" t="s">
        <v>3</v>
      </c>
      <c r="F197" s="306" t="s">
        <v>3</v>
      </c>
      <c r="G197" s="92" t="s">
        <v>3</v>
      </c>
      <c r="H197" s="119" t="s">
        <v>3</v>
      </c>
      <c r="I197" s="307" t="s">
        <v>3</v>
      </c>
      <c r="J197" s="204" t="s">
        <v>3</v>
      </c>
      <c r="K197" s="167" t="s">
        <v>3</v>
      </c>
      <c r="L197" s="380" t="n">
        <v>0</v>
      </c>
      <c r="M197" s="285" t="s">
        <v>3</v>
      </c>
      <c r="N197" s="286"/>
      <c r="O197" s="285"/>
      <c r="P197" s="287"/>
      <c r="Q197" s="285"/>
      <c r="R197" s="285"/>
      <c r="S197" s="285"/>
      <c r="T197" s="286"/>
      <c r="U197" s="286"/>
      <c r="V197" s="286"/>
      <c r="W197" s="288"/>
      <c r="X197" s="285"/>
      <c r="Y197" s="285"/>
    </row>
    <row r="198" customFormat="false" ht="15.75" hidden="false" customHeight="false" outlineLevel="0" collapsed="false">
      <c r="A198" s="613" t="s">
        <v>271</v>
      </c>
      <c r="B198" s="563" t="s">
        <v>344</v>
      </c>
      <c r="C198" s="230"/>
      <c r="D198" s="68"/>
      <c r="E198" s="230"/>
      <c r="F198" s="126"/>
      <c r="G198" s="126"/>
      <c r="H198" s="126"/>
      <c r="I198" s="126"/>
      <c r="J198" s="126"/>
      <c r="K198" s="126"/>
      <c r="L198" s="313"/>
      <c r="M198" s="314"/>
      <c r="N198" s="315"/>
      <c r="O198" s="314"/>
      <c r="P198" s="316"/>
      <c r="Q198" s="314"/>
      <c r="R198" s="314"/>
      <c r="S198" s="314"/>
      <c r="T198" s="315"/>
      <c r="U198" s="315"/>
      <c r="V198" s="315"/>
      <c r="W198" s="317"/>
      <c r="X198" s="314"/>
      <c r="Y198" s="314"/>
    </row>
    <row r="199" customFormat="false" ht="15.75" hidden="false" customHeight="false" outlineLevel="0" collapsed="false">
      <c r="A199" s="38"/>
      <c r="B199" s="107"/>
      <c r="C199" s="230"/>
      <c r="D199" s="68"/>
      <c r="E199" s="230"/>
      <c r="F199" s="126"/>
      <c r="G199" s="126"/>
      <c r="H199" s="126"/>
      <c r="I199" s="126"/>
      <c r="J199" s="126"/>
      <c r="K199" s="126"/>
      <c r="L199" s="313"/>
      <c r="M199" s="314"/>
      <c r="N199" s="315"/>
      <c r="O199" s="314"/>
      <c r="P199" s="316"/>
      <c r="Q199" s="314"/>
      <c r="R199" s="314"/>
      <c r="S199" s="314"/>
      <c r="T199" s="315"/>
      <c r="U199" s="315"/>
      <c r="V199" s="315"/>
      <c r="W199" s="317"/>
      <c r="X199" s="314"/>
      <c r="Y199" s="314"/>
    </row>
    <row r="200" customFormat="false" ht="15" hidden="false" customHeight="true" outlineLevel="0" collapsed="false">
      <c r="A200" s="613" t="s">
        <v>272</v>
      </c>
      <c r="B200" s="563" t="s">
        <v>273</v>
      </c>
      <c r="C200" s="230"/>
      <c r="D200" s="68"/>
      <c r="E200" s="230"/>
      <c r="F200" s="68"/>
      <c r="G200" s="68"/>
      <c r="H200" s="68"/>
      <c r="I200" s="68"/>
      <c r="J200" s="68"/>
      <c r="K200" s="68"/>
      <c r="L200" s="383"/>
      <c r="M200" s="281" t="n">
        <f aca="false">89685/1000</f>
        <v>89.685</v>
      </c>
      <c r="N200" s="282"/>
      <c r="O200" s="281"/>
      <c r="P200" s="283"/>
      <c r="Q200" s="281"/>
      <c r="R200" s="281"/>
      <c r="S200" s="281"/>
      <c r="T200" s="282"/>
      <c r="U200" s="282"/>
      <c r="V200" s="282"/>
      <c r="W200" s="284"/>
      <c r="X200" s="281"/>
      <c r="Y200" s="281"/>
    </row>
    <row r="201" s="1" customFormat="true" ht="15" hidden="false" customHeight="true" outlineLevel="0" collapsed="false">
      <c r="A201" s="38"/>
      <c r="B201" s="107"/>
      <c r="C201" s="230"/>
      <c r="D201" s="68"/>
      <c r="E201" s="230"/>
      <c r="F201" s="644"/>
      <c r="G201" s="68"/>
      <c r="H201" s="68"/>
      <c r="I201" s="68"/>
      <c r="J201" s="68"/>
      <c r="K201" s="68"/>
      <c r="L201" s="383"/>
      <c r="M201" s="281"/>
      <c r="N201" s="282"/>
      <c r="O201" s="281"/>
      <c r="P201" s="647"/>
      <c r="Q201" s="383"/>
      <c r="R201" s="383"/>
      <c r="S201" s="383"/>
      <c r="T201" s="284"/>
      <c r="U201" s="284"/>
      <c r="V201" s="282"/>
      <c r="W201" s="284"/>
      <c r="X201" s="281"/>
      <c r="Y201" s="281"/>
    </row>
    <row r="202" s="1" customFormat="true" ht="15" hidden="false" customHeight="true" outlineLevel="0" collapsed="false">
      <c r="A202" s="610" t="s">
        <v>352</v>
      </c>
      <c r="B202" s="648" t="s">
        <v>353</v>
      </c>
      <c r="C202" s="230"/>
      <c r="D202" s="68"/>
      <c r="E202" s="230"/>
      <c r="F202" s="644"/>
      <c r="G202" s="68"/>
      <c r="H202" s="68"/>
      <c r="I202" s="68"/>
      <c r="J202" s="68"/>
      <c r="K202" s="68"/>
      <c r="L202" s="383"/>
      <c r="M202" s="281"/>
      <c r="N202" s="282"/>
      <c r="O202" s="281"/>
      <c r="P202" s="647"/>
      <c r="Q202" s="383"/>
      <c r="R202" s="383"/>
      <c r="S202" s="383"/>
      <c r="T202" s="284"/>
      <c r="U202" s="284"/>
      <c r="V202" s="282"/>
      <c r="W202" s="284"/>
      <c r="X202" s="281"/>
      <c r="Y202" s="281"/>
    </row>
    <row r="203" s="1" customFormat="true" ht="15" hidden="false" customHeight="true" outlineLevel="0" collapsed="false">
      <c r="A203" s="38"/>
      <c r="B203" s="107"/>
      <c r="C203" s="230"/>
      <c r="D203" s="68"/>
      <c r="E203" s="230"/>
      <c r="F203" s="644"/>
      <c r="G203" s="68"/>
      <c r="H203" s="68"/>
      <c r="I203" s="68"/>
      <c r="J203" s="68"/>
      <c r="K203" s="68"/>
      <c r="L203" s="383"/>
      <c r="M203" s="281"/>
      <c r="N203" s="282"/>
      <c r="O203" s="281"/>
      <c r="P203" s="647"/>
      <c r="Q203" s="383"/>
      <c r="R203" s="383"/>
      <c r="S203" s="383"/>
      <c r="T203" s="284"/>
      <c r="U203" s="284"/>
      <c r="V203" s="282"/>
      <c r="W203" s="284"/>
      <c r="X203" s="281"/>
      <c r="Y203" s="281"/>
    </row>
    <row r="204" customFormat="false" ht="15.75" hidden="false" customHeight="false" outlineLevel="0" collapsed="false">
      <c r="A204" s="610" t="s">
        <v>274</v>
      </c>
      <c r="B204" s="648" t="s">
        <v>275</v>
      </c>
      <c r="C204" s="182"/>
      <c r="D204" s="182"/>
      <c r="E204" s="182"/>
      <c r="F204" s="534"/>
      <c r="G204" s="126"/>
      <c r="H204" s="126"/>
      <c r="I204" s="126"/>
      <c r="J204" s="126"/>
      <c r="K204" s="498"/>
      <c r="L204" s="499"/>
      <c r="M204" s="499"/>
      <c r="N204" s="503"/>
      <c r="O204" s="98" t="e">
        <f aca="false">O206+O225+O244</f>
        <v>#REF!</v>
      </c>
      <c r="P204" s="449" t="n">
        <f aca="false">P206+P225+P244</f>
        <v>123000</v>
      </c>
      <c r="Q204" s="98" t="n">
        <f aca="false">Q206+Q225+Q244</f>
        <v>127550</v>
      </c>
      <c r="R204" s="98" t="n">
        <f aca="false">R206+R225+R244</f>
        <v>141300</v>
      </c>
      <c r="S204" s="98" t="n">
        <f aca="false">S206+S225+S244</f>
        <v>222400</v>
      </c>
      <c r="T204" s="98" t="n">
        <f aca="false">T206+T225+T244</f>
        <v>221200</v>
      </c>
      <c r="U204" s="98" t="n">
        <f aca="false">U206+U225+U244</f>
        <v>169950</v>
      </c>
      <c r="V204" s="99" t="n">
        <f aca="false">V206+V225+V244</f>
        <v>169000</v>
      </c>
      <c r="W204" s="98" t="n">
        <f aca="false">W206+W225+W244</f>
        <v>170850</v>
      </c>
      <c r="X204" s="99" t="n">
        <f aca="false">X206+X225+X244</f>
        <v>159300</v>
      </c>
      <c r="Y204" s="99" t="n">
        <f aca="false">Y206+Y225+Y244</f>
        <v>165300</v>
      </c>
    </row>
    <row r="205" customFormat="false" ht="15.75" hidden="false" customHeight="false" outlineLevel="0" collapsed="false">
      <c r="A205" s="38"/>
      <c r="B205" s="546"/>
      <c r="C205" s="182"/>
      <c r="D205" s="182"/>
      <c r="E205" s="182"/>
      <c r="F205" s="534"/>
      <c r="G205" s="126"/>
      <c r="H205" s="126"/>
      <c r="I205" s="126"/>
      <c r="J205" s="126"/>
      <c r="K205" s="498"/>
      <c r="L205" s="499"/>
      <c r="M205" s="499"/>
      <c r="N205" s="503"/>
      <c r="O205" s="503"/>
      <c r="P205" s="502"/>
      <c r="Q205" s="503"/>
      <c r="R205" s="503"/>
      <c r="S205" s="503"/>
      <c r="T205" s="503"/>
      <c r="U205" s="503"/>
      <c r="V205" s="503"/>
      <c r="W205" s="499"/>
      <c r="X205" s="503"/>
      <c r="Y205" s="503"/>
    </row>
    <row r="206" customFormat="false" ht="15.75" hidden="false" customHeight="false" outlineLevel="0" collapsed="false">
      <c r="A206" s="246" t="s">
        <v>354</v>
      </c>
      <c r="B206" s="112" t="s">
        <v>43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9"/>
      <c r="O206" s="99" t="e">
        <f aca="false">SUM(O211,O213,O215,O217,O219,O221,O223)+#REF!</f>
        <v>#REF!</v>
      </c>
      <c r="P206" s="101" t="n">
        <f aca="false">SUM(P211,P213,P215,P217,P219,P221,P223)</f>
        <v>46400</v>
      </c>
      <c r="Q206" s="99" t="n">
        <f aca="false">SUM(Q211,Q213,Q215,Q217,Q219,Q221,Q223)</f>
        <v>57150</v>
      </c>
      <c r="R206" s="99" t="n">
        <f aca="false">SUM(R211,R213,R215,R217,R219,R221,R223)</f>
        <v>73600</v>
      </c>
      <c r="S206" s="99" t="n">
        <f aca="false">SUM(S211,S213,S215,S217,S219,S221,S223)</f>
        <v>109900</v>
      </c>
      <c r="T206" s="99" t="n">
        <f aca="false">SUM(T211,T213,T215,T217,T219,T221,T223)</f>
        <v>101000</v>
      </c>
      <c r="U206" s="99" t="n">
        <f aca="false">SUM(U211,U213,U215,U217,U219,U221,U223)</f>
        <v>85150</v>
      </c>
      <c r="V206" s="99" t="n">
        <f aca="false">SUM(V211,V213,V215,V217,V219,V221,V223)</f>
        <v>90700</v>
      </c>
      <c r="W206" s="98" t="n">
        <f aca="false">SUM(W211,W213,W215,W217,W219,W221,W223)</f>
        <v>73350</v>
      </c>
      <c r="X206" s="99" t="n">
        <f aca="false">SUM(X211,X213,X215,X217,X219,X221,X223)</f>
        <v>73400</v>
      </c>
      <c r="Y206" s="99" t="n">
        <f aca="false">SUM(Y211,Y213,Y215,Y217,Y219,Y221,Y223)</f>
        <v>79500</v>
      </c>
    </row>
    <row r="207" customFormat="false" ht="1.5" hidden="false" customHeight="true" outlineLevel="0" collapsed="false">
      <c r="A207" s="38"/>
      <c r="B207" s="547" t="s">
        <v>277</v>
      </c>
      <c r="C207" s="56"/>
      <c r="D207" s="57"/>
      <c r="E207" s="56"/>
      <c r="F207" s="56"/>
      <c r="G207" s="56"/>
      <c r="H207" s="56"/>
      <c r="I207" s="56"/>
      <c r="J207" s="56"/>
      <c r="K207" s="68"/>
      <c r="L207" s="102"/>
      <c r="M207" s="92"/>
      <c r="N207" s="91"/>
      <c r="O207" s="88" t="n">
        <v>63800</v>
      </c>
      <c r="P207" s="548" t="n">
        <v>61500</v>
      </c>
      <c r="Q207" s="75" t="n">
        <v>86700</v>
      </c>
      <c r="R207" s="75" t="n">
        <v>94800</v>
      </c>
      <c r="S207" s="75" t="n">
        <v>101900</v>
      </c>
      <c r="T207" s="75" t="n">
        <v>99300</v>
      </c>
      <c r="U207" s="75" t="n">
        <v>85200</v>
      </c>
      <c r="V207" s="75" t="n">
        <v>90700</v>
      </c>
      <c r="W207" s="549" t="n">
        <v>73400</v>
      </c>
      <c r="X207" s="75" t="n">
        <v>73400</v>
      </c>
      <c r="Y207" s="75"/>
    </row>
    <row r="208" customFormat="false" ht="15.75" hidden="false" customHeight="false" outlineLevel="0" collapsed="false">
      <c r="A208" s="38"/>
      <c r="B208" s="547"/>
      <c r="C208" s="56"/>
      <c r="D208" s="57"/>
      <c r="E208" s="56"/>
      <c r="F208" s="56"/>
      <c r="G208" s="56"/>
      <c r="H208" s="56"/>
      <c r="I208" s="56"/>
      <c r="J208" s="56"/>
      <c r="K208" s="68"/>
      <c r="L208" s="102"/>
      <c r="M208" s="92"/>
      <c r="N208" s="91"/>
      <c r="O208" s="88"/>
      <c r="P208" s="548"/>
      <c r="Q208" s="75"/>
      <c r="R208" s="75"/>
      <c r="S208" s="75"/>
      <c r="T208" s="75"/>
      <c r="U208" s="75"/>
      <c r="V208" s="75"/>
      <c r="W208" s="549"/>
      <c r="X208" s="75"/>
      <c r="Y208" s="75"/>
    </row>
    <row r="209" customFormat="false" ht="15.75" hidden="false" customHeight="false" outlineLevel="0" collapsed="false">
      <c r="A209" s="613" t="s">
        <v>355</v>
      </c>
      <c r="B209" s="614" t="s">
        <v>278</v>
      </c>
      <c r="C209" s="38"/>
      <c r="D209" s="39"/>
      <c r="E209" s="38"/>
      <c r="F209" s="38"/>
      <c r="G209" s="38"/>
      <c r="H209" s="38"/>
      <c r="I209" s="38"/>
      <c r="J209" s="38"/>
      <c r="K209" s="68"/>
      <c r="L209" s="68"/>
      <c r="M209" s="68"/>
      <c r="N209" s="69"/>
      <c r="O209" s="69"/>
      <c r="P209" s="71"/>
      <c r="Q209" s="69"/>
      <c r="R209" s="69"/>
      <c r="S209" s="69"/>
      <c r="T209" s="69"/>
      <c r="U209" s="69"/>
      <c r="V209" s="69"/>
      <c r="W209" s="68"/>
      <c r="X209" s="69"/>
      <c r="Y209" s="69"/>
    </row>
    <row r="210" customFormat="false" ht="15.75" hidden="false" customHeight="false" outlineLevel="0" collapsed="false">
      <c r="A210" s="38"/>
      <c r="B210" s="73"/>
      <c r="C210" s="106"/>
      <c r="D210" s="108"/>
      <c r="E210" s="106"/>
      <c r="F210" s="106"/>
      <c r="G210" s="106"/>
      <c r="H210" s="106"/>
      <c r="I210" s="106"/>
      <c r="J210" s="106"/>
      <c r="K210" s="68"/>
      <c r="L210" s="102"/>
      <c r="M210" s="68"/>
      <c r="N210" s="69"/>
      <c r="O210" s="69"/>
      <c r="P210" s="71"/>
      <c r="Q210" s="69"/>
      <c r="R210" s="69"/>
      <c r="S210" s="69"/>
      <c r="T210" s="69"/>
      <c r="U210" s="69"/>
      <c r="V210" s="69"/>
      <c r="W210" s="68"/>
      <c r="X210" s="69"/>
      <c r="Y210" s="69"/>
    </row>
    <row r="211" customFormat="false" ht="15.75" hidden="false" customHeight="false" outlineLevel="0" collapsed="false">
      <c r="A211" s="613" t="s">
        <v>356</v>
      </c>
      <c r="B211" s="614" t="s">
        <v>279</v>
      </c>
      <c r="C211" s="106"/>
      <c r="D211" s="108"/>
      <c r="E211" s="106"/>
      <c r="F211" s="106"/>
      <c r="G211" s="106"/>
      <c r="H211" s="106"/>
      <c r="I211" s="106"/>
      <c r="J211" s="106"/>
      <c r="K211" s="68"/>
      <c r="L211" s="68"/>
      <c r="M211" s="68"/>
      <c r="N211" s="69"/>
      <c r="O211" s="69" t="n">
        <v>11300</v>
      </c>
      <c r="P211" s="71" t="n">
        <v>11400</v>
      </c>
      <c r="Q211" s="109" t="n">
        <f aca="false">12000-3300</f>
        <v>8700</v>
      </c>
      <c r="R211" s="109" t="n">
        <f aca="false">12000-1700</f>
        <v>10300</v>
      </c>
      <c r="S211" s="109" t="n">
        <f aca="false">15700+3300</f>
        <v>19000</v>
      </c>
      <c r="T211" s="109" t="n">
        <f aca="false">18500+1700</f>
        <v>20200</v>
      </c>
      <c r="U211" s="69" t="n">
        <v>13000</v>
      </c>
      <c r="V211" s="69" t="n">
        <v>14600</v>
      </c>
      <c r="W211" s="68" t="n">
        <v>6600</v>
      </c>
      <c r="X211" s="69" t="n">
        <v>4000</v>
      </c>
      <c r="Y211" s="69" t="n">
        <v>6000</v>
      </c>
    </row>
    <row r="212" customFormat="false" ht="15.75" hidden="false" customHeight="false" outlineLevel="0" collapsed="false">
      <c r="A212" s="38"/>
      <c r="B212" s="73"/>
      <c r="C212" s="106"/>
      <c r="D212" s="108"/>
      <c r="E212" s="106"/>
      <c r="F212" s="106"/>
      <c r="G212" s="106"/>
      <c r="H212" s="106"/>
      <c r="I212" s="106"/>
      <c r="J212" s="106"/>
      <c r="K212" s="68"/>
      <c r="L212" s="102"/>
      <c r="M212" s="68"/>
      <c r="N212" s="69"/>
      <c r="O212" s="69"/>
      <c r="P212" s="130"/>
      <c r="Q212" s="129"/>
      <c r="R212" s="129"/>
      <c r="S212" s="129"/>
      <c r="T212" s="129"/>
      <c r="U212" s="129"/>
      <c r="V212" s="129"/>
      <c r="W212" s="126"/>
      <c r="X212" s="129"/>
      <c r="Y212" s="129"/>
    </row>
    <row r="213" customFormat="false" ht="15.75" hidden="false" customHeight="false" outlineLevel="0" collapsed="false">
      <c r="A213" s="613" t="s">
        <v>357</v>
      </c>
      <c r="B213" s="614" t="s">
        <v>280</v>
      </c>
      <c r="C213" s="106"/>
      <c r="D213" s="108"/>
      <c r="E213" s="106"/>
      <c r="F213" s="106"/>
      <c r="G213" s="106"/>
      <c r="H213" s="106"/>
      <c r="I213" s="106"/>
      <c r="J213" s="106"/>
      <c r="K213" s="68"/>
      <c r="L213" s="68"/>
      <c r="M213" s="68"/>
      <c r="N213" s="69"/>
      <c r="O213" s="69" t="n">
        <v>5400</v>
      </c>
      <c r="P213" s="71" t="n">
        <v>8400</v>
      </c>
      <c r="Q213" s="69" t="n">
        <v>24000</v>
      </c>
      <c r="R213" s="69" t="n">
        <f aca="false">41000-18000</f>
        <v>23000</v>
      </c>
      <c r="S213" s="69" t="n">
        <v>40500</v>
      </c>
      <c r="T213" s="69" t="n">
        <v>43100</v>
      </c>
      <c r="U213" s="69" t="n">
        <v>25000</v>
      </c>
      <c r="V213" s="69" t="n">
        <v>15000</v>
      </c>
      <c r="W213" s="68" t="n">
        <v>14000</v>
      </c>
      <c r="X213" s="69" t="n">
        <v>14700</v>
      </c>
      <c r="Y213" s="69" t="n">
        <v>16000</v>
      </c>
    </row>
    <row r="214" customFormat="false" ht="15.75" hidden="false" customHeight="false" outlineLevel="0" collapsed="false">
      <c r="A214" s="38"/>
      <c r="B214" s="73"/>
      <c r="C214" s="106"/>
      <c r="D214" s="108"/>
      <c r="E214" s="106"/>
      <c r="F214" s="106"/>
      <c r="G214" s="106"/>
      <c r="H214" s="106"/>
      <c r="I214" s="106"/>
      <c r="J214" s="106"/>
      <c r="K214" s="68"/>
      <c r="L214" s="102"/>
      <c r="M214" s="68"/>
      <c r="N214" s="69"/>
      <c r="O214" s="69"/>
      <c r="P214" s="130"/>
      <c r="Q214" s="129"/>
      <c r="R214" s="129"/>
      <c r="S214" s="129"/>
      <c r="T214" s="129"/>
      <c r="U214" s="129"/>
      <c r="V214" s="129"/>
      <c r="W214" s="126"/>
      <c r="X214" s="129"/>
      <c r="Y214" s="129"/>
    </row>
    <row r="215" customFormat="false" ht="15.75" hidden="false" customHeight="false" outlineLevel="0" collapsed="false">
      <c r="A215" s="613" t="s">
        <v>358</v>
      </c>
      <c r="B215" s="614" t="s">
        <v>281</v>
      </c>
      <c r="C215" s="106"/>
      <c r="D215" s="108"/>
      <c r="E215" s="106"/>
      <c r="F215" s="106"/>
      <c r="G215" s="106"/>
      <c r="H215" s="106"/>
      <c r="I215" s="106"/>
      <c r="J215" s="106"/>
      <c r="K215" s="68"/>
      <c r="L215" s="68"/>
      <c r="M215" s="68"/>
      <c r="N215" s="69"/>
      <c r="O215" s="69" t="n">
        <f aca="false">7200-600</f>
        <v>6600</v>
      </c>
      <c r="P215" s="214" t="n">
        <f aca="false">9500-1200</f>
        <v>8300</v>
      </c>
      <c r="Q215" s="69" t="n">
        <v>6000</v>
      </c>
      <c r="R215" s="69" t="n">
        <v>3100</v>
      </c>
      <c r="S215" s="109" t="n">
        <f aca="false">3100+1200</f>
        <v>4300</v>
      </c>
      <c r="T215" s="69" t="n">
        <v>7600</v>
      </c>
      <c r="U215" s="69" t="n">
        <v>6200</v>
      </c>
      <c r="V215" s="69" t="n">
        <v>1600</v>
      </c>
      <c r="W215" s="68"/>
      <c r="X215" s="69"/>
      <c r="Y215" s="69"/>
    </row>
    <row r="216" customFormat="false" ht="15.75" hidden="false" customHeight="false" outlineLevel="0" collapsed="false">
      <c r="A216" s="38"/>
      <c r="B216" s="73"/>
      <c r="C216" s="106"/>
      <c r="D216" s="108"/>
      <c r="E216" s="106"/>
      <c r="F216" s="106"/>
      <c r="G216" s="106"/>
      <c r="H216" s="106"/>
      <c r="I216" s="106"/>
      <c r="J216" s="106"/>
      <c r="K216" s="68"/>
      <c r="L216" s="102"/>
      <c r="M216" s="68"/>
      <c r="N216" s="69"/>
      <c r="O216" s="69"/>
      <c r="P216" s="130"/>
      <c r="Q216" s="129"/>
      <c r="R216" s="129"/>
      <c r="S216" s="129"/>
      <c r="T216" s="129"/>
      <c r="U216" s="129"/>
      <c r="V216" s="129"/>
      <c r="W216" s="126"/>
      <c r="X216" s="129"/>
      <c r="Y216" s="129"/>
    </row>
    <row r="217" customFormat="false" ht="15.75" hidden="false" customHeight="false" outlineLevel="0" collapsed="false">
      <c r="A217" s="613" t="s">
        <v>359</v>
      </c>
      <c r="B217" s="614" t="s">
        <v>282</v>
      </c>
      <c r="C217" s="106"/>
      <c r="D217" s="108"/>
      <c r="E217" s="106"/>
      <c r="F217" s="106"/>
      <c r="G217" s="106"/>
      <c r="H217" s="106"/>
      <c r="I217" s="106"/>
      <c r="J217" s="106"/>
      <c r="K217" s="68"/>
      <c r="L217" s="68"/>
      <c r="M217" s="68"/>
      <c r="N217" s="69"/>
      <c r="O217" s="69" t="n">
        <v>3000</v>
      </c>
      <c r="P217" s="71" t="n">
        <v>3800</v>
      </c>
      <c r="Q217" s="69" t="n">
        <v>9500</v>
      </c>
      <c r="R217" s="69" t="n">
        <v>11800</v>
      </c>
      <c r="S217" s="69" t="n">
        <v>4500</v>
      </c>
      <c r="T217" s="69" t="n">
        <v>1000</v>
      </c>
      <c r="U217" s="69" t="n">
        <v>1000</v>
      </c>
      <c r="V217" s="69" t="n">
        <v>1500</v>
      </c>
      <c r="W217" s="68" t="n">
        <v>1500</v>
      </c>
      <c r="X217" s="69" t="n">
        <v>1500</v>
      </c>
      <c r="Y217" s="69" t="n">
        <v>2000</v>
      </c>
    </row>
    <row r="218" customFormat="false" ht="15.75" hidden="false" customHeight="false" outlineLevel="0" collapsed="false">
      <c r="A218" s="38" t="s">
        <v>3</v>
      </c>
      <c r="B218" s="73"/>
      <c r="C218" s="106"/>
      <c r="D218" s="108"/>
      <c r="E218" s="106"/>
      <c r="F218" s="106"/>
      <c r="G218" s="106"/>
      <c r="H218" s="106"/>
      <c r="I218" s="106"/>
      <c r="J218" s="106"/>
      <c r="K218" s="68"/>
      <c r="L218" s="102"/>
      <c r="M218" s="68"/>
      <c r="N218" s="69"/>
      <c r="O218" s="69"/>
      <c r="P218" s="71"/>
      <c r="Q218" s="69"/>
      <c r="R218" s="69"/>
      <c r="S218" s="69"/>
      <c r="T218" s="69"/>
      <c r="U218" s="69"/>
      <c r="V218" s="69"/>
      <c r="W218" s="68"/>
      <c r="X218" s="69"/>
      <c r="Y218" s="69"/>
    </row>
    <row r="219" customFormat="false" ht="15.75" hidden="false" customHeight="false" outlineLevel="0" collapsed="false">
      <c r="A219" s="613" t="s">
        <v>360</v>
      </c>
      <c r="B219" s="614" t="s">
        <v>283</v>
      </c>
      <c r="C219" s="106"/>
      <c r="D219" s="108"/>
      <c r="E219" s="106"/>
      <c r="F219" s="106"/>
      <c r="G219" s="106"/>
      <c r="H219" s="106"/>
      <c r="I219" s="106"/>
      <c r="J219" s="106"/>
      <c r="K219" s="68"/>
      <c r="L219" s="68"/>
      <c r="M219" s="68"/>
      <c r="N219" s="69"/>
      <c r="O219" s="69" t="n">
        <v>4000</v>
      </c>
      <c r="P219" s="71" t="n">
        <v>1500</v>
      </c>
      <c r="Q219" s="69" t="n">
        <v>600</v>
      </c>
      <c r="R219" s="69" t="n">
        <v>400</v>
      </c>
      <c r="S219" s="69"/>
      <c r="T219" s="69"/>
      <c r="U219" s="69"/>
      <c r="V219" s="69"/>
      <c r="W219" s="68"/>
      <c r="X219" s="69"/>
      <c r="Y219" s="69"/>
    </row>
    <row r="220" customFormat="false" ht="15.75" hidden="false" customHeight="false" outlineLevel="0" collapsed="false">
      <c r="A220" s="38"/>
      <c r="B220" s="73"/>
      <c r="C220" s="106"/>
      <c r="D220" s="108"/>
      <c r="E220" s="106"/>
      <c r="F220" s="106"/>
      <c r="G220" s="106"/>
      <c r="H220" s="106"/>
      <c r="I220" s="106"/>
      <c r="J220" s="106"/>
      <c r="K220" s="68"/>
      <c r="L220" s="102"/>
      <c r="M220" s="68"/>
      <c r="N220" s="69"/>
      <c r="O220" s="69"/>
      <c r="P220" s="71"/>
      <c r="Q220" s="69"/>
      <c r="R220" s="69"/>
      <c r="S220" s="69"/>
      <c r="T220" s="69"/>
      <c r="U220" s="69"/>
      <c r="V220" s="69"/>
      <c r="W220" s="68"/>
      <c r="X220" s="69"/>
      <c r="Y220" s="69"/>
    </row>
    <row r="221" customFormat="false" ht="15.75" hidden="false" customHeight="false" outlineLevel="0" collapsed="false">
      <c r="A221" s="613" t="s">
        <v>361</v>
      </c>
      <c r="B221" s="614" t="s">
        <v>40</v>
      </c>
      <c r="C221" s="106"/>
      <c r="D221" s="108"/>
      <c r="E221" s="106"/>
      <c r="F221" s="106"/>
      <c r="G221" s="106"/>
      <c r="H221" s="106"/>
      <c r="I221" s="106"/>
      <c r="J221" s="106"/>
      <c r="K221" s="68"/>
      <c r="L221" s="68"/>
      <c r="M221" s="68"/>
      <c r="N221" s="69"/>
      <c r="O221" s="69" t="n">
        <v>1500</v>
      </c>
      <c r="P221" s="71" t="n">
        <v>900</v>
      </c>
      <c r="Q221" s="69" t="n">
        <v>2500</v>
      </c>
      <c r="R221" s="69" t="n">
        <v>3500</v>
      </c>
      <c r="S221" s="69" t="n">
        <v>18000</v>
      </c>
      <c r="T221" s="69" t="n">
        <v>26000</v>
      </c>
      <c r="U221" s="69" t="n">
        <v>21000</v>
      </c>
      <c r="V221" s="69" t="n">
        <v>32000</v>
      </c>
      <c r="W221" s="68" t="n">
        <v>37600</v>
      </c>
      <c r="X221" s="69" t="n">
        <v>40000</v>
      </c>
      <c r="Y221" s="69" t="n">
        <v>45000</v>
      </c>
    </row>
    <row r="222" customFormat="false" ht="15.75" hidden="false" customHeight="false" outlineLevel="0" collapsed="false">
      <c r="A222" s="38"/>
      <c r="B222" s="73"/>
      <c r="C222" s="106"/>
      <c r="D222" s="108"/>
      <c r="E222" s="106"/>
      <c r="F222" s="106"/>
      <c r="G222" s="106"/>
      <c r="H222" s="106"/>
      <c r="I222" s="106"/>
      <c r="J222" s="106"/>
      <c r="K222" s="68"/>
      <c r="L222" s="102"/>
      <c r="M222" s="68"/>
      <c r="N222" s="69"/>
      <c r="O222" s="69"/>
      <c r="P222" s="71"/>
      <c r="Q222" s="69"/>
      <c r="R222" s="69"/>
      <c r="S222" s="69"/>
      <c r="T222" s="69"/>
      <c r="U222" s="69"/>
      <c r="V222" s="69"/>
      <c r="W222" s="68"/>
      <c r="X222" s="69"/>
      <c r="Y222" s="69"/>
    </row>
    <row r="223" customFormat="false" ht="15.75" hidden="false" customHeight="false" outlineLevel="0" collapsed="false">
      <c r="A223" s="613" t="s">
        <v>362</v>
      </c>
      <c r="B223" s="563" t="s">
        <v>284</v>
      </c>
      <c r="C223" s="106"/>
      <c r="D223" s="108"/>
      <c r="E223" s="106"/>
      <c r="F223" s="106"/>
      <c r="G223" s="106"/>
      <c r="H223" s="106"/>
      <c r="I223" s="106"/>
      <c r="J223" s="106"/>
      <c r="K223" s="68"/>
      <c r="L223" s="102"/>
      <c r="M223" s="68"/>
      <c r="N223" s="69"/>
      <c r="O223" s="69" t="n">
        <v>13400</v>
      </c>
      <c r="P223" s="71" t="n">
        <v>12100</v>
      </c>
      <c r="Q223" s="69" t="n">
        <f aca="false">5900-50</f>
        <v>5850</v>
      </c>
      <c r="R223" s="69" t="n">
        <v>21500</v>
      </c>
      <c r="S223" s="69" t="n">
        <v>23600</v>
      </c>
      <c r="T223" s="69" t="n">
        <v>3100</v>
      </c>
      <c r="U223" s="69" t="n">
        <f aca="false">19000-50</f>
        <v>18950</v>
      </c>
      <c r="V223" s="69" t="n">
        <v>26000</v>
      </c>
      <c r="W223" s="68" t="n">
        <f aca="false">13700-50</f>
        <v>13650</v>
      </c>
      <c r="X223" s="69" t="n">
        <v>13200</v>
      </c>
      <c r="Y223" s="69" t="n">
        <v>10500</v>
      </c>
    </row>
    <row r="224" customFormat="false" ht="15.75" hidden="false" customHeight="false" outlineLevel="0" collapsed="false">
      <c r="A224" s="38"/>
      <c r="B224" s="37"/>
      <c r="C224" s="106"/>
      <c r="D224" s="108"/>
      <c r="E224" s="106"/>
      <c r="F224" s="106"/>
      <c r="G224" s="106"/>
      <c r="H224" s="106"/>
      <c r="I224" s="106"/>
      <c r="J224" s="106"/>
      <c r="K224" s="68"/>
      <c r="L224" s="68"/>
      <c r="M224" s="68"/>
      <c r="N224" s="69"/>
      <c r="O224" s="69"/>
      <c r="P224" s="71"/>
      <c r="Q224" s="69"/>
      <c r="R224" s="69"/>
      <c r="S224" s="69"/>
      <c r="T224" s="69"/>
      <c r="U224" s="69"/>
      <c r="V224" s="69"/>
      <c r="W224" s="68"/>
      <c r="X224" s="69"/>
      <c r="Y224" s="69"/>
    </row>
    <row r="225" customFormat="false" ht="15.75" hidden="false" customHeight="true" outlineLevel="0" collapsed="false">
      <c r="A225" s="246" t="s">
        <v>363</v>
      </c>
      <c r="B225" s="401" t="s">
        <v>285</v>
      </c>
      <c r="C225" s="327"/>
      <c r="D225" s="327"/>
      <c r="E225" s="177"/>
      <c r="F225" s="177"/>
      <c r="G225" s="177"/>
      <c r="H225" s="177"/>
      <c r="I225" s="177"/>
      <c r="J225" s="177"/>
      <c r="K225" s="98"/>
      <c r="L225" s="98"/>
      <c r="M225" s="99"/>
      <c r="N225" s="99"/>
      <c r="O225" s="99" t="e">
        <f aca="false">SUM(O227,O229,O231,O234,O236,O238,O240,O242)+#REF!</f>
        <v>#REF!</v>
      </c>
      <c r="P225" s="101" t="n">
        <f aca="false">SUM(P227,P229,P231,P234,P236,P238,P240,P242)</f>
        <v>68800</v>
      </c>
      <c r="Q225" s="98" t="n">
        <f aca="false">SUM(Q227,Q229,Q231,Q234,Q236,Q238,Q240,Q242)</f>
        <v>60300</v>
      </c>
      <c r="R225" s="98" t="n">
        <f aca="false">SUM(R227,R229,R231,R234,R236,R238,R240,R242)</f>
        <v>57000</v>
      </c>
      <c r="S225" s="98" t="n">
        <f aca="false">SUM(S227,S229,S231,S234,S236,S238,S240,S242)</f>
        <v>101100</v>
      </c>
      <c r="T225" s="98" t="n">
        <f aca="false">SUM(T227,T229,T231,T234,T236,T238,T240,T242)</f>
        <v>108600</v>
      </c>
      <c r="U225" s="98" t="n">
        <f aca="false">SUM(U227,U229,U231,U234,U236,U238,U240,U242)</f>
        <v>73200</v>
      </c>
      <c r="V225" s="98" t="n">
        <f aca="false">SUM(V227,V229,V231,V234,V236,V238,V240,V242)</f>
        <v>66900</v>
      </c>
      <c r="W225" s="98" t="n">
        <f aca="false">SUM(W227,W229,W231,W234,W236,W238,W240,W242)</f>
        <v>86500</v>
      </c>
      <c r="X225" s="99" t="n">
        <f aca="false">SUM(X227,X229,X231,X234,X236,X238,X240,X242)</f>
        <v>74900</v>
      </c>
      <c r="Y225" s="99" t="n">
        <f aca="false">SUM(Y227,Y229,Y231,Y234,Y236,Y238,Y240,Y242)</f>
        <v>73800</v>
      </c>
    </row>
    <row r="226" customFormat="false" ht="15" hidden="false" customHeight="true" outlineLevel="0" collapsed="false">
      <c r="A226" s="56"/>
      <c r="B226" s="73"/>
      <c r="C226" s="231"/>
      <c r="D226" s="231"/>
      <c r="E226" s="231"/>
      <c r="F226" s="231"/>
      <c r="G226" s="303"/>
      <c r="H226" s="347"/>
      <c r="I226" s="348"/>
      <c r="J226" s="347"/>
      <c r="K226" s="349"/>
      <c r="L226" s="134"/>
      <c r="M226" s="551"/>
      <c r="N226" s="551"/>
      <c r="O226" s="352"/>
      <c r="P226" s="117"/>
      <c r="Q226" s="553"/>
      <c r="R226" s="553"/>
      <c r="S226" s="553"/>
      <c r="T226" s="553"/>
      <c r="U226" s="553"/>
      <c r="V226" s="553"/>
      <c r="W226" s="110"/>
      <c r="X226" s="553"/>
      <c r="Y226" s="553"/>
    </row>
    <row r="227" s="3" customFormat="true" ht="15.75" hidden="false" customHeight="true" outlineLevel="0" collapsed="false">
      <c r="A227" s="613" t="s">
        <v>364</v>
      </c>
      <c r="B227" s="614" t="s">
        <v>365</v>
      </c>
      <c r="C227" s="212"/>
      <c r="D227" s="212"/>
      <c r="E227" s="212"/>
      <c r="F227" s="212"/>
      <c r="G227" s="212"/>
      <c r="H227" s="212"/>
      <c r="I227" s="212"/>
      <c r="J227" s="212"/>
      <c r="K227" s="68"/>
      <c r="L227" s="68"/>
      <c r="M227" s="69"/>
      <c r="N227" s="69"/>
      <c r="O227" s="69" t="n">
        <v>400</v>
      </c>
      <c r="P227" s="71" t="n">
        <v>400</v>
      </c>
      <c r="Q227" s="70" t="n">
        <v>3300</v>
      </c>
      <c r="R227" s="70" t="n">
        <v>5600</v>
      </c>
      <c r="S227" s="70" t="n">
        <v>3700</v>
      </c>
      <c r="T227" s="70" t="n">
        <v>1800</v>
      </c>
      <c r="U227" s="110"/>
      <c r="V227" s="110"/>
      <c r="W227" s="110"/>
      <c r="X227" s="110"/>
      <c r="Y227" s="110"/>
    </row>
    <row r="228" customFormat="false" ht="15" hidden="false" customHeight="true" outlineLevel="0" collapsed="false">
      <c r="A228" s="56"/>
      <c r="B228" s="73"/>
      <c r="C228" s="118"/>
      <c r="D228" s="119"/>
      <c r="E228" s="119"/>
      <c r="F228" s="224"/>
      <c r="G228" s="92"/>
      <c r="H228" s="209"/>
      <c r="I228" s="307"/>
      <c r="J228" s="355"/>
      <c r="K228" s="167"/>
      <c r="L228" s="304"/>
      <c r="M228" s="298"/>
      <c r="N228" s="298"/>
      <c r="O228" s="298"/>
      <c r="P228" s="308"/>
      <c r="Q228" s="298"/>
      <c r="R228" s="298"/>
      <c r="S228" s="299"/>
      <c r="T228" s="299"/>
      <c r="U228" s="555"/>
      <c r="V228" s="555"/>
      <c r="W228" s="556"/>
      <c r="X228" s="557"/>
      <c r="Y228" s="557"/>
    </row>
    <row r="229" s="3" customFormat="true" ht="15.75" hidden="false" customHeight="true" outlineLevel="0" collapsed="false">
      <c r="A229" s="613" t="s">
        <v>366</v>
      </c>
      <c r="B229" s="563" t="s">
        <v>367</v>
      </c>
      <c r="C229" s="212"/>
      <c r="D229" s="212"/>
      <c r="E229" s="212"/>
      <c r="F229" s="212"/>
      <c r="G229" s="212"/>
      <c r="H229" s="212"/>
      <c r="I229" s="212"/>
      <c r="J229" s="212"/>
      <c r="K229" s="68"/>
      <c r="L229" s="68"/>
      <c r="M229" s="69"/>
      <c r="N229" s="69"/>
      <c r="O229" s="69" t="n">
        <v>13000</v>
      </c>
      <c r="P229" s="71" t="n">
        <v>25500</v>
      </c>
      <c r="Q229" s="68" t="n">
        <v>21300</v>
      </c>
      <c r="R229" s="122" t="n">
        <f aca="false">14500-1000</f>
        <v>13500</v>
      </c>
      <c r="S229" s="122" t="n">
        <f aca="false">22500+1000+15000</f>
        <v>38500</v>
      </c>
      <c r="T229" s="109" t="n">
        <f aca="false">29000+10000</f>
        <v>39000</v>
      </c>
      <c r="U229" s="109" t="n">
        <f aca="false">20000+5000</f>
        <v>25000</v>
      </c>
      <c r="V229" s="109" t="n">
        <f aca="false">11500+5000</f>
        <v>16500</v>
      </c>
      <c r="W229" s="122" t="n">
        <f aca="false">9000+5000</f>
        <v>14000</v>
      </c>
      <c r="X229" s="109" t="n">
        <f aca="false">12500+5000</f>
        <v>17500</v>
      </c>
      <c r="Y229" s="109" t="n">
        <f aca="false">10300+5000</f>
        <v>15300</v>
      </c>
    </row>
    <row r="230" s="3" customFormat="true" ht="15.75" hidden="false" customHeight="true" outlineLevel="0" collapsed="false">
      <c r="A230" s="38"/>
      <c r="B230" s="73"/>
      <c r="C230" s="118"/>
      <c r="D230" s="119"/>
      <c r="E230" s="119"/>
      <c r="F230" s="360"/>
      <c r="G230" s="92"/>
      <c r="H230" s="209"/>
      <c r="I230" s="307"/>
      <c r="J230" s="355"/>
      <c r="K230" s="167"/>
      <c r="L230" s="102"/>
      <c r="M230" s="170"/>
      <c r="N230" s="170"/>
      <c r="O230" s="170"/>
      <c r="P230" s="251"/>
      <c r="Q230" s="170"/>
      <c r="R230" s="170"/>
      <c r="S230" s="197"/>
      <c r="T230" s="170"/>
      <c r="U230" s="170"/>
      <c r="V230" s="170"/>
      <c r="W230" s="167"/>
      <c r="X230" s="170"/>
      <c r="Y230" s="170"/>
    </row>
    <row r="231" s="3" customFormat="true" ht="15.75" hidden="false" customHeight="true" outlineLevel="0" collapsed="false">
      <c r="A231" s="613" t="s">
        <v>368</v>
      </c>
      <c r="B231" s="563" t="s">
        <v>151</v>
      </c>
      <c r="C231" s="212"/>
      <c r="D231" s="212"/>
      <c r="E231" s="212"/>
      <c r="F231" s="212"/>
      <c r="G231" s="212"/>
      <c r="H231" s="212"/>
      <c r="I231" s="212"/>
      <c r="J231" s="212"/>
      <c r="K231" s="68"/>
      <c r="L231" s="68"/>
      <c r="M231" s="69"/>
      <c r="N231" s="69"/>
      <c r="O231" s="69" t="n">
        <v>4200</v>
      </c>
      <c r="P231" s="71" t="n">
        <v>4500</v>
      </c>
      <c r="Q231" s="69" t="n">
        <v>4900</v>
      </c>
      <c r="R231" s="69" t="n">
        <f aca="false">5800-2000</f>
        <v>3800</v>
      </c>
      <c r="S231" s="69" t="n">
        <v>8100</v>
      </c>
      <c r="T231" s="69" t="n">
        <v>16400</v>
      </c>
      <c r="U231" s="69" t="n">
        <v>8500</v>
      </c>
      <c r="V231" s="69" t="n">
        <v>4800</v>
      </c>
      <c r="W231" s="68" t="n">
        <v>6000</v>
      </c>
      <c r="X231" s="69" t="n">
        <v>6400</v>
      </c>
      <c r="Y231" s="69" t="n">
        <v>6000</v>
      </c>
    </row>
    <row r="232" s="3" customFormat="true" ht="15.75" hidden="false" customHeight="true" outlineLevel="0" collapsed="false">
      <c r="A232" s="38"/>
      <c r="B232" s="73"/>
      <c r="C232" s="119"/>
      <c r="D232" s="119"/>
      <c r="E232" s="119"/>
      <c r="F232" s="360"/>
      <c r="G232" s="92"/>
      <c r="H232" s="209"/>
      <c r="I232" s="307"/>
      <c r="J232" s="355"/>
      <c r="K232" s="167"/>
      <c r="L232" s="102"/>
      <c r="M232" s="170"/>
      <c r="N232" s="170"/>
      <c r="O232" s="170"/>
      <c r="P232" s="287"/>
      <c r="Q232" s="285"/>
      <c r="R232" s="285"/>
      <c r="S232" s="286"/>
      <c r="T232" s="286"/>
      <c r="U232" s="286"/>
      <c r="V232" s="286"/>
      <c r="W232" s="288"/>
      <c r="X232" s="285"/>
      <c r="Y232" s="285"/>
    </row>
    <row r="233" s="3" customFormat="true" ht="15.75" hidden="false" customHeight="true" outlineLevel="0" collapsed="false">
      <c r="A233" s="56"/>
      <c r="B233" s="370" t="s">
        <v>3</v>
      </c>
      <c r="C233" s="231"/>
      <c r="D233" s="231"/>
      <c r="E233" s="231"/>
      <c r="F233" s="231"/>
      <c r="G233" s="231"/>
      <c r="H233" s="231"/>
      <c r="I233" s="231"/>
      <c r="J233" s="231"/>
      <c r="K233" s="126"/>
      <c r="L233" s="167"/>
      <c r="M233" s="170"/>
      <c r="N233" s="170"/>
      <c r="O233" s="170"/>
      <c r="P233" s="251"/>
      <c r="Q233" s="170"/>
      <c r="R233" s="170"/>
      <c r="S233" s="197"/>
      <c r="T233" s="197"/>
      <c r="U233" s="197"/>
      <c r="V233" s="197"/>
      <c r="W233" s="252"/>
      <c r="X233" s="170"/>
      <c r="Y233" s="170"/>
    </row>
    <row r="234" s="3" customFormat="true" ht="15.75" hidden="false" customHeight="true" outlineLevel="0" collapsed="false">
      <c r="A234" s="613" t="s">
        <v>369</v>
      </c>
      <c r="B234" s="563" t="s">
        <v>166</v>
      </c>
      <c r="C234" s="212"/>
      <c r="D234" s="212"/>
      <c r="E234" s="212"/>
      <c r="F234" s="212"/>
      <c r="G234" s="212"/>
      <c r="H234" s="212"/>
      <c r="I234" s="212"/>
      <c r="J234" s="212"/>
      <c r="K234" s="68"/>
      <c r="L234" s="68"/>
      <c r="M234" s="69"/>
      <c r="N234" s="69"/>
      <c r="O234" s="69" t="n">
        <f aca="false">14800-3200</f>
        <v>11600</v>
      </c>
      <c r="P234" s="71" t="n">
        <v>14600</v>
      </c>
      <c r="Q234" s="68" t="n">
        <v>13200</v>
      </c>
      <c r="R234" s="68" t="n">
        <v>13800</v>
      </c>
      <c r="S234" s="68" t="n">
        <v>10800</v>
      </c>
      <c r="T234" s="68" t="n">
        <v>9400</v>
      </c>
      <c r="U234" s="68" t="n">
        <v>13600</v>
      </c>
      <c r="V234" s="69" t="n">
        <v>14000</v>
      </c>
      <c r="W234" s="68" t="n">
        <v>10200</v>
      </c>
      <c r="X234" s="69" t="n">
        <v>3000</v>
      </c>
      <c r="Y234" s="69" t="n">
        <v>3500</v>
      </c>
    </row>
    <row r="235" s="3" customFormat="true" ht="15.75" hidden="false" customHeight="true" outlineLevel="0" collapsed="false">
      <c r="A235" s="38"/>
      <c r="B235" s="73"/>
      <c r="C235" s="68"/>
      <c r="D235" s="119"/>
      <c r="E235" s="119"/>
      <c r="F235" s="360"/>
      <c r="G235" s="92"/>
      <c r="H235" s="209"/>
      <c r="I235" s="307"/>
      <c r="J235" s="355"/>
      <c r="K235" s="167"/>
      <c r="L235" s="371"/>
      <c r="M235" s="285"/>
      <c r="N235" s="285"/>
      <c r="O235" s="285"/>
      <c r="P235" s="287"/>
      <c r="Q235" s="285"/>
      <c r="R235" s="285"/>
      <c r="S235" s="286"/>
      <c r="T235" s="286"/>
      <c r="U235" s="286"/>
      <c r="V235" s="286"/>
      <c r="W235" s="288"/>
      <c r="X235" s="285"/>
      <c r="Y235" s="285"/>
    </row>
    <row r="236" s="3" customFormat="true" ht="15.75" hidden="false" customHeight="true" outlineLevel="0" collapsed="false">
      <c r="A236" s="613" t="s">
        <v>370</v>
      </c>
      <c r="B236" s="563" t="s">
        <v>183</v>
      </c>
      <c r="C236" s="212"/>
      <c r="D236" s="212"/>
      <c r="E236" s="212"/>
      <c r="F236" s="212"/>
      <c r="G236" s="212"/>
      <c r="H236" s="212"/>
      <c r="I236" s="212"/>
      <c r="J236" s="212"/>
      <c r="K236" s="68"/>
      <c r="L236" s="68"/>
      <c r="M236" s="69"/>
      <c r="N236" s="69"/>
      <c r="O236" s="69" t="n">
        <v>17600</v>
      </c>
      <c r="P236" s="71" t="n">
        <v>17500</v>
      </c>
      <c r="Q236" s="230" t="n">
        <v>7300</v>
      </c>
      <c r="R236" s="69" t="n">
        <v>9000</v>
      </c>
      <c r="S236" s="69" t="n">
        <v>11800</v>
      </c>
      <c r="T236" s="69" t="n">
        <v>15700</v>
      </c>
      <c r="U236" s="69" t="n">
        <v>11500</v>
      </c>
      <c r="V236" s="69" t="n">
        <v>19000</v>
      </c>
      <c r="W236" s="68" t="n">
        <v>13500</v>
      </c>
      <c r="X236" s="69" t="n">
        <v>4000</v>
      </c>
      <c r="Y236" s="69" t="n">
        <v>2000</v>
      </c>
    </row>
    <row r="237" s="3" customFormat="true" ht="15.75" hidden="false" customHeight="true" outlineLevel="0" collapsed="false">
      <c r="A237" s="38"/>
      <c r="B237" s="73"/>
      <c r="C237" s="68"/>
      <c r="D237" s="119"/>
      <c r="E237" s="119"/>
      <c r="F237" s="360"/>
      <c r="G237" s="92"/>
      <c r="H237" s="209"/>
      <c r="I237" s="307"/>
      <c r="J237" s="355"/>
      <c r="K237" s="167"/>
      <c r="L237" s="371"/>
      <c r="M237" s="285"/>
      <c r="N237" s="285"/>
      <c r="O237" s="285"/>
      <c r="P237" s="287"/>
      <c r="Q237" s="285"/>
      <c r="R237" s="285"/>
      <c r="S237" s="286"/>
      <c r="T237" s="286"/>
      <c r="U237" s="286"/>
      <c r="V237" s="286"/>
      <c r="W237" s="288"/>
      <c r="X237" s="285"/>
      <c r="Y237" s="285"/>
    </row>
    <row r="238" s="3" customFormat="true" ht="15.75" hidden="false" customHeight="true" outlineLevel="0" collapsed="false">
      <c r="A238" s="613" t="s">
        <v>371</v>
      </c>
      <c r="B238" s="563" t="s">
        <v>199</v>
      </c>
      <c r="C238" s="212"/>
      <c r="D238" s="212"/>
      <c r="E238" s="212"/>
      <c r="F238" s="212"/>
      <c r="G238" s="212"/>
      <c r="H238" s="212"/>
      <c r="I238" s="212"/>
      <c r="J238" s="212"/>
      <c r="K238" s="68"/>
      <c r="L238" s="68"/>
      <c r="M238" s="69"/>
      <c r="N238" s="69"/>
      <c r="O238" s="69" t="n">
        <v>4000</v>
      </c>
      <c r="P238" s="71" t="n">
        <v>2100</v>
      </c>
      <c r="Q238" s="69" t="n">
        <v>4500</v>
      </c>
      <c r="R238" s="69" t="n">
        <v>3000</v>
      </c>
      <c r="S238" s="69" t="n">
        <v>3700</v>
      </c>
      <c r="T238" s="69" t="n">
        <v>1500</v>
      </c>
      <c r="U238" s="69" t="n">
        <v>100</v>
      </c>
      <c r="V238" s="69" t="n">
        <v>0</v>
      </c>
      <c r="W238" s="68" t="n">
        <v>0</v>
      </c>
      <c r="X238" s="69" t="n">
        <v>0</v>
      </c>
      <c r="Y238" s="69"/>
    </row>
    <row r="239" s="3" customFormat="true" ht="15" hidden="false" customHeight="true" outlineLevel="0" collapsed="false">
      <c r="A239" s="38"/>
      <c r="B239" s="73"/>
      <c r="C239" s="212"/>
      <c r="D239" s="212"/>
      <c r="E239" s="212"/>
      <c r="F239" s="212"/>
      <c r="G239" s="303"/>
      <c r="H239" s="381"/>
      <c r="I239" s="229"/>
      <c r="J239" s="248"/>
      <c r="K239" s="167"/>
      <c r="L239" s="102"/>
      <c r="M239" s="170"/>
      <c r="N239" s="170"/>
      <c r="O239" s="170"/>
      <c r="P239" s="251"/>
      <c r="Q239" s="170"/>
      <c r="R239" s="170"/>
      <c r="S239" s="170"/>
      <c r="T239" s="170"/>
      <c r="U239" s="170"/>
      <c r="V239" s="170"/>
      <c r="W239" s="167"/>
      <c r="X239" s="170"/>
      <c r="Y239" s="170"/>
    </row>
    <row r="240" s="3" customFormat="true" ht="15.75" hidden="false" customHeight="true" outlineLevel="0" collapsed="false">
      <c r="A240" s="634" t="s">
        <v>372</v>
      </c>
      <c r="B240" s="563" t="s">
        <v>344</v>
      </c>
      <c r="C240" s="212"/>
      <c r="D240" s="212"/>
      <c r="E240" s="212"/>
      <c r="F240" s="212"/>
      <c r="G240" s="212"/>
      <c r="H240" s="212"/>
      <c r="I240" s="212"/>
      <c r="J240" s="212"/>
      <c r="K240" s="68"/>
      <c r="L240" s="383"/>
      <c r="M240" s="281"/>
      <c r="N240" s="281"/>
      <c r="O240" s="281" t="n">
        <v>500</v>
      </c>
      <c r="P240" s="283" t="n">
        <v>1700</v>
      </c>
      <c r="Q240" s="281" t="n">
        <v>2800</v>
      </c>
      <c r="R240" s="281" t="n">
        <v>3000</v>
      </c>
      <c r="S240" s="282" t="n">
        <v>15500</v>
      </c>
      <c r="T240" s="282" t="n">
        <v>19000</v>
      </c>
      <c r="U240" s="282" t="n">
        <v>12000</v>
      </c>
      <c r="V240" s="282" t="n">
        <v>7600</v>
      </c>
      <c r="W240" s="284" t="n">
        <v>35800</v>
      </c>
      <c r="X240" s="281" t="n">
        <v>38000</v>
      </c>
      <c r="Y240" s="281" t="n">
        <v>40000</v>
      </c>
    </row>
    <row r="241" s="3" customFormat="true" ht="15.75" hidden="false" customHeight="true" outlineLevel="0" collapsed="false">
      <c r="A241" s="38"/>
      <c r="B241" s="73"/>
      <c r="C241" s="212"/>
      <c r="D241" s="212"/>
      <c r="E241" s="212"/>
      <c r="F241" s="212"/>
      <c r="G241" s="212"/>
      <c r="H241" s="212"/>
      <c r="I241" s="212"/>
      <c r="J241" s="248"/>
      <c r="K241" s="68"/>
      <c r="L241" s="371"/>
      <c r="M241" s="281"/>
      <c r="N241" s="281"/>
      <c r="O241" s="281"/>
      <c r="P241" s="283"/>
      <c r="Q241" s="281"/>
      <c r="R241" s="281"/>
      <c r="S241" s="282"/>
      <c r="T241" s="282"/>
      <c r="U241" s="282"/>
      <c r="V241" s="282"/>
      <c r="W241" s="284"/>
      <c r="X241" s="281"/>
      <c r="Y241" s="281"/>
    </row>
    <row r="242" s="3" customFormat="true" ht="15.75" hidden="false" customHeight="true" outlineLevel="0" collapsed="false">
      <c r="A242" s="634" t="s">
        <v>373</v>
      </c>
      <c r="B242" s="563" t="s">
        <v>208</v>
      </c>
      <c r="C242" s="212"/>
      <c r="D242" s="212"/>
      <c r="E242" s="212"/>
      <c r="F242" s="212"/>
      <c r="G242" s="212"/>
      <c r="H242" s="212"/>
      <c r="I242" s="212"/>
      <c r="J242" s="248"/>
      <c r="K242" s="68"/>
      <c r="L242" s="371"/>
      <c r="M242" s="281"/>
      <c r="N242" s="281"/>
      <c r="O242" s="281" t="n">
        <v>1200</v>
      </c>
      <c r="P242" s="283" t="n">
        <v>2500</v>
      </c>
      <c r="Q242" s="281" t="n">
        <v>3000</v>
      </c>
      <c r="R242" s="281" t="n">
        <v>5300</v>
      </c>
      <c r="S242" s="282" t="n">
        <v>9000</v>
      </c>
      <c r="T242" s="282" t="n">
        <v>5800</v>
      </c>
      <c r="U242" s="282" t="n">
        <v>2500</v>
      </c>
      <c r="V242" s="282" t="n">
        <v>5000</v>
      </c>
      <c r="W242" s="284" t="n">
        <v>7000</v>
      </c>
      <c r="X242" s="281" t="n">
        <v>6000</v>
      </c>
      <c r="Y242" s="281" t="n">
        <v>7000</v>
      </c>
    </row>
    <row r="243" s="3" customFormat="true" ht="15.75" hidden="false" customHeight="true" outlineLevel="0" collapsed="false">
      <c r="A243" s="40"/>
      <c r="B243" s="107"/>
      <c r="C243" s="212"/>
      <c r="D243" s="212"/>
      <c r="E243" s="212"/>
      <c r="F243" s="249"/>
      <c r="G243" s="212"/>
      <c r="H243" s="212"/>
      <c r="I243" s="212"/>
      <c r="J243" s="248"/>
      <c r="K243" s="68"/>
      <c r="L243" s="371"/>
      <c r="M243" s="281"/>
      <c r="N243" s="281"/>
      <c r="O243" s="281"/>
      <c r="P243" s="283"/>
      <c r="Q243" s="383"/>
      <c r="R243" s="383"/>
      <c r="S243" s="383"/>
      <c r="T243" s="383"/>
      <c r="U243" s="383"/>
      <c r="V243" s="383"/>
      <c r="W243" s="383"/>
      <c r="X243" s="281"/>
      <c r="Y243" s="281"/>
    </row>
    <row r="244" customFormat="false" ht="15.75" hidden="false" customHeight="false" outlineLevel="0" collapsed="false">
      <c r="A244" s="246" t="s">
        <v>374</v>
      </c>
      <c r="B244" s="564" t="s">
        <v>287</v>
      </c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9"/>
      <c r="N244" s="99"/>
      <c r="O244" s="99" t="e">
        <f aca="false">O248+O250+O252+O254+O256+O258+O260+#REF!</f>
        <v>#REF!</v>
      </c>
      <c r="P244" s="101" t="n">
        <f aca="false">P248+P250+P252+P254+P256+P258+P260</f>
        <v>7800</v>
      </c>
      <c r="Q244" s="98" t="n">
        <f aca="false">Q248+Q250+Q252+Q254+Q256+Q258+Q260</f>
        <v>10100</v>
      </c>
      <c r="R244" s="98" t="n">
        <f aca="false">R248+R250+R252+R254+R256+R258+R260</f>
        <v>10700</v>
      </c>
      <c r="S244" s="98" t="n">
        <f aca="false">S248+S250+S252+S254+S256+S258+S260</f>
        <v>11400</v>
      </c>
      <c r="T244" s="98" t="n">
        <f aca="false">T248+T250+T252+T254+T256+T258+T260</f>
        <v>11600</v>
      </c>
      <c r="U244" s="98" t="n">
        <f aca="false">U248+U250+U252+U254+U256+U258+U260</f>
        <v>11600</v>
      </c>
      <c r="V244" s="98" t="n">
        <f aca="false">V248+V250+V252+V254+V256+V258+V260</f>
        <v>11400</v>
      </c>
      <c r="W244" s="98" t="n">
        <f aca="false">W248+W250+W252+W254+W256+W258+W260</f>
        <v>11000</v>
      </c>
      <c r="X244" s="99" t="n">
        <f aca="false">X248+X250+X252+X254+X256+X258+X260</f>
        <v>11000</v>
      </c>
      <c r="Y244" s="99" t="n">
        <f aca="false">Y248+Y250+Y252+Y254+Y256+Y258+Y260</f>
        <v>12000</v>
      </c>
    </row>
    <row r="245" customFormat="false" ht="15.75" hidden="false" customHeight="false" outlineLevel="0" collapsed="false">
      <c r="A245" s="38"/>
      <c r="C245" s="68"/>
      <c r="D245" s="68"/>
      <c r="E245" s="68"/>
      <c r="F245" s="68"/>
      <c r="G245" s="510"/>
      <c r="H245" s="511"/>
      <c r="I245" s="512"/>
      <c r="J245" s="181"/>
      <c r="K245" s="182"/>
      <c r="L245" s="182"/>
      <c r="M245" s="183"/>
      <c r="N245" s="183"/>
      <c r="O245" s="183" t="e">
        <f aca="false">+(O244-N244)/N244</f>
        <v>#REF!</v>
      </c>
      <c r="P245" s="185" t="e">
        <f aca="false">+(P244-O244)/O244</f>
        <v>#REF!</v>
      </c>
      <c r="Q245" s="183" t="n">
        <f aca="false">+(Q244-P244)/P244</f>
        <v>0.294871794871795</v>
      </c>
      <c r="R245" s="183" t="n">
        <f aca="false">+(R244-Q244)/Q244</f>
        <v>0.0594059405940594</v>
      </c>
      <c r="S245" s="183" t="n">
        <f aca="false">+(S244-R244)/R244</f>
        <v>0.0654205607476635</v>
      </c>
      <c r="T245" s="183" t="n">
        <f aca="false">+(T244-S244)/S244</f>
        <v>0.0175438596491228</v>
      </c>
      <c r="U245" s="183" t="n">
        <f aca="false">+(U244-T244)/T244</f>
        <v>0</v>
      </c>
      <c r="V245" s="183" t="n">
        <f aca="false">+(V244-U244)/U244</f>
        <v>-0.0172413793103448</v>
      </c>
      <c r="W245" s="182" t="n">
        <f aca="false">+(W244-V244)/V244</f>
        <v>-0.0350877192982456</v>
      </c>
      <c r="X245" s="183" t="n">
        <f aca="false">+(X244-W244)/W244</f>
        <v>0</v>
      </c>
      <c r="Y245" s="183" t="n">
        <f aca="false">+(Y244-X244)/X244</f>
        <v>0.0909090909090909</v>
      </c>
    </row>
    <row r="246" customFormat="false" ht="15.75" hidden="false" customHeight="false" outlineLevel="0" collapsed="false">
      <c r="A246" s="613" t="s">
        <v>375</v>
      </c>
      <c r="B246" s="563" t="s">
        <v>376</v>
      </c>
      <c r="C246" s="182"/>
      <c r="D246" s="80"/>
      <c r="E246" s="80"/>
      <c r="F246" s="80"/>
      <c r="G246" s="68"/>
      <c r="H246" s="68"/>
      <c r="I246" s="68"/>
      <c r="J246" s="68"/>
      <c r="K246" s="68"/>
      <c r="L246" s="68"/>
      <c r="M246" s="69"/>
      <c r="N246" s="69"/>
      <c r="O246" s="69"/>
      <c r="P246" s="71"/>
      <c r="Q246" s="69"/>
      <c r="R246" s="69"/>
      <c r="S246" s="69"/>
      <c r="T246" s="69"/>
      <c r="U246" s="69"/>
      <c r="V246" s="69"/>
      <c r="W246" s="68"/>
      <c r="X246" s="69"/>
      <c r="Y246" s="69"/>
    </row>
    <row r="247" customFormat="false" ht="15.75" hidden="false" customHeight="false" outlineLevel="0" collapsed="false">
      <c r="A247" s="38"/>
      <c r="B247" s="73"/>
      <c r="C247" s="88"/>
      <c r="D247" s="118"/>
      <c r="E247" s="119"/>
      <c r="F247" s="224"/>
      <c r="G247" s="92"/>
      <c r="H247" s="209"/>
      <c r="I247" s="307"/>
      <c r="J247" s="355"/>
      <c r="K247" s="167"/>
      <c r="L247" s="380"/>
      <c r="M247" s="322"/>
      <c r="N247" s="322"/>
      <c r="O247" s="322"/>
      <c r="P247" s="323"/>
      <c r="Q247" s="322"/>
      <c r="R247" s="322"/>
      <c r="S247" s="324"/>
      <c r="T247" s="324"/>
      <c r="U247" s="324"/>
      <c r="V247" s="324"/>
      <c r="W247" s="325"/>
      <c r="X247" s="322"/>
      <c r="Y247" s="322"/>
    </row>
    <row r="248" s="525" customFormat="true" ht="15.75" hidden="false" customHeight="false" outlineLevel="0" collapsed="false">
      <c r="A248" s="613" t="s">
        <v>377</v>
      </c>
      <c r="B248" s="614" t="s">
        <v>367</v>
      </c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9"/>
      <c r="N248" s="69"/>
      <c r="O248" s="69" t="n">
        <v>1000</v>
      </c>
      <c r="P248" s="71" t="n">
        <v>1500</v>
      </c>
      <c r="Q248" s="69" t="n">
        <v>4600</v>
      </c>
      <c r="R248" s="69" t="n">
        <v>3700</v>
      </c>
      <c r="S248" s="69" t="n">
        <v>5200</v>
      </c>
      <c r="T248" s="69" t="n">
        <v>6100</v>
      </c>
      <c r="U248" s="69" t="n">
        <v>2100</v>
      </c>
      <c r="V248" s="69" t="n">
        <v>1500</v>
      </c>
      <c r="W248" s="68" t="n">
        <v>2800</v>
      </c>
      <c r="X248" s="69" t="n">
        <v>3100</v>
      </c>
      <c r="Y248" s="69" t="n">
        <v>3000</v>
      </c>
    </row>
    <row r="249" customFormat="false" ht="15.75" hidden="false" customHeight="false" outlineLevel="0" collapsed="false">
      <c r="A249" s="38"/>
      <c r="B249" s="73"/>
      <c r="C249" s="119"/>
      <c r="D249" s="119"/>
      <c r="E249" s="119"/>
      <c r="F249" s="224"/>
      <c r="G249" s="92"/>
      <c r="H249" s="209"/>
      <c r="I249" s="307"/>
      <c r="J249" s="119"/>
      <c r="K249" s="167"/>
      <c r="L249" s="380"/>
      <c r="M249" s="322"/>
      <c r="N249" s="322"/>
      <c r="O249" s="322"/>
      <c r="P249" s="323"/>
      <c r="Q249" s="322"/>
      <c r="R249" s="322"/>
      <c r="S249" s="324"/>
      <c r="T249" s="324"/>
      <c r="U249" s="324"/>
      <c r="V249" s="324"/>
      <c r="W249" s="325"/>
      <c r="X249" s="322"/>
      <c r="Y249" s="322"/>
    </row>
    <row r="250" s="525" customFormat="true" ht="15.75" hidden="false" customHeight="false" outlineLevel="0" collapsed="false">
      <c r="A250" s="613" t="s">
        <v>378</v>
      </c>
      <c r="B250" s="614" t="s">
        <v>151</v>
      </c>
      <c r="C250" s="68"/>
      <c r="D250" s="68"/>
      <c r="E250" s="68"/>
      <c r="F250" s="68"/>
      <c r="G250" s="68"/>
      <c r="H250" s="68"/>
      <c r="I250" s="68"/>
      <c r="J250" s="68"/>
      <c r="K250" s="68"/>
      <c r="L250" s="383"/>
      <c r="M250" s="281"/>
      <c r="N250" s="281"/>
      <c r="O250" s="281" t="n">
        <v>1100</v>
      </c>
      <c r="P250" s="565" t="n">
        <f aca="false">900+500</f>
        <v>1400</v>
      </c>
      <c r="Q250" s="281" t="n">
        <v>1800</v>
      </c>
      <c r="R250" s="281" t="n">
        <v>500</v>
      </c>
      <c r="S250" s="282" t="n">
        <v>1000</v>
      </c>
      <c r="T250" s="282" t="n">
        <v>1000</v>
      </c>
      <c r="U250" s="282" t="n">
        <v>2000</v>
      </c>
      <c r="V250" s="282" t="n">
        <v>2000</v>
      </c>
      <c r="W250" s="284" t="n">
        <v>1000</v>
      </c>
      <c r="X250" s="281" t="n">
        <v>1200</v>
      </c>
      <c r="Y250" s="281" t="n">
        <v>1500</v>
      </c>
    </row>
    <row r="251" customFormat="false" ht="15.75" hidden="false" customHeight="false" outlineLevel="0" collapsed="false">
      <c r="A251" s="38"/>
      <c r="B251" s="73"/>
      <c r="C251" s="119"/>
      <c r="D251" s="119"/>
      <c r="E251" s="119"/>
      <c r="F251" s="360"/>
      <c r="G251" s="92"/>
      <c r="H251" s="526"/>
      <c r="I251" s="307"/>
      <c r="J251" s="119"/>
      <c r="K251" s="167"/>
      <c r="L251" s="380"/>
      <c r="M251" s="314"/>
      <c r="N251" s="314"/>
      <c r="O251" s="314"/>
      <c r="P251" s="316"/>
      <c r="Q251" s="314"/>
      <c r="R251" s="314"/>
      <c r="S251" s="315"/>
      <c r="T251" s="315"/>
      <c r="U251" s="315"/>
      <c r="V251" s="315"/>
      <c r="W251" s="317"/>
      <c r="X251" s="314"/>
      <c r="Y251" s="314"/>
    </row>
    <row r="252" customFormat="false" ht="15.75" hidden="false" customHeight="false" outlineLevel="0" collapsed="false">
      <c r="A252" s="613" t="s">
        <v>379</v>
      </c>
      <c r="B252" s="614" t="s">
        <v>166</v>
      </c>
      <c r="C252" s="68"/>
      <c r="D252" s="68"/>
      <c r="E252" s="68"/>
      <c r="F252" s="68"/>
      <c r="G252" s="68"/>
      <c r="H252" s="68"/>
      <c r="I252" s="68"/>
      <c r="J252" s="68"/>
      <c r="K252" s="68"/>
      <c r="L252" s="383"/>
      <c r="M252" s="281"/>
      <c r="N252" s="281"/>
      <c r="O252" s="281" t="n">
        <v>1800</v>
      </c>
      <c r="P252" s="565" t="n">
        <f aca="false">1700-100</f>
        <v>1600</v>
      </c>
      <c r="Q252" s="386" t="n">
        <f aca="false">700-600</f>
        <v>100</v>
      </c>
      <c r="R252" s="386" t="n">
        <f aca="false">1200-600</f>
        <v>600</v>
      </c>
      <c r="S252" s="387" t="n">
        <f aca="false">1000+100</f>
        <v>1100</v>
      </c>
      <c r="T252" s="387" t="n">
        <f aca="false">1050+600</f>
        <v>1650</v>
      </c>
      <c r="U252" s="387" t="n">
        <f aca="false">1800+600</f>
        <v>2400</v>
      </c>
      <c r="V252" s="282" t="n">
        <v>2800</v>
      </c>
      <c r="W252" s="284" t="n">
        <v>1300</v>
      </c>
      <c r="X252" s="281" t="n">
        <v>2200</v>
      </c>
      <c r="Y252" s="281" t="n">
        <v>500</v>
      </c>
    </row>
    <row r="253" customFormat="false" ht="15.75" hidden="false" customHeight="false" outlineLevel="0" collapsed="false">
      <c r="A253" s="38"/>
      <c r="B253" s="73"/>
      <c r="C253" s="119"/>
      <c r="D253" s="119"/>
      <c r="E253" s="119"/>
      <c r="F253" s="360"/>
      <c r="G253" s="92"/>
      <c r="H253" s="119"/>
      <c r="I253" s="307"/>
      <c r="J253" s="119"/>
      <c r="K253" s="119"/>
      <c r="L253" s="372"/>
      <c r="M253" s="314"/>
      <c r="N253" s="314"/>
      <c r="O253" s="314"/>
      <c r="P253" s="316"/>
      <c r="Q253" s="314"/>
      <c r="R253" s="314"/>
      <c r="S253" s="315"/>
      <c r="T253" s="315"/>
      <c r="U253" s="315"/>
      <c r="V253" s="315"/>
      <c r="W253" s="317"/>
      <c r="X253" s="314"/>
      <c r="Y253" s="314"/>
    </row>
    <row r="254" customFormat="false" ht="15.75" hidden="false" customHeight="false" outlineLevel="0" collapsed="false">
      <c r="A254" s="613" t="s">
        <v>380</v>
      </c>
      <c r="B254" s="563" t="s">
        <v>183</v>
      </c>
      <c r="C254" s="119"/>
      <c r="D254" s="119"/>
      <c r="E254" s="68"/>
      <c r="F254" s="212"/>
      <c r="G254" s="68"/>
      <c r="H254" s="68"/>
      <c r="I254" s="68"/>
      <c r="J254" s="68"/>
      <c r="K254" s="68"/>
      <c r="L254" s="383"/>
      <c r="M254" s="281"/>
      <c r="N254" s="281"/>
      <c r="O254" s="281" t="n">
        <v>150</v>
      </c>
      <c r="P254" s="283" t="n">
        <v>100</v>
      </c>
      <c r="Q254" s="281" t="n">
        <v>500</v>
      </c>
      <c r="R254" s="281" t="n">
        <v>800</v>
      </c>
      <c r="S254" s="282" t="n">
        <v>250</v>
      </c>
      <c r="T254" s="282" t="n">
        <v>200</v>
      </c>
      <c r="U254" s="282" t="n">
        <v>1000</v>
      </c>
      <c r="V254" s="282" t="n">
        <v>1000</v>
      </c>
      <c r="W254" s="284" t="n">
        <v>1000</v>
      </c>
      <c r="X254" s="281" t="n">
        <v>200</v>
      </c>
      <c r="Y254" s="281" t="n">
        <v>500</v>
      </c>
    </row>
    <row r="255" customFormat="false" ht="15.75" hidden="false" customHeight="false" outlineLevel="0" collapsed="false">
      <c r="A255" s="38"/>
      <c r="B255" s="73"/>
      <c r="C255" s="119"/>
      <c r="D255" s="119"/>
      <c r="E255" s="98"/>
      <c r="F255" s="177"/>
      <c r="G255" s="92"/>
      <c r="H255" s="98"/>
      <c r="I255" s="527"/>
      <c r="J255" s="355"/>
      <c r="K255" s="98"/>
      <c r="L255" s="528"/>
      <c r="M255" s="529"/>
      <c r="N255" s="529"/>
      <c r="O255" s="529"/>
      <c r="P255" s="531"/>
      <c r="Q255" s="529"/>
      <c r="R255" s="529"/>
      <c r="S255" s="530"/>
      <c r="T255" s="530"/>
      <c r="U255" s="530"/>
      <c r="V255" s="530"/>
      <c r="W255" s="532"/>
      <c r="X255" s="529"/>
      <c r="Y255" s="529"/>
    </row>
    <row r="256" customFormat="false" ht="15.75" hidden="false" customHeight="false" outlineLevel="0" collapsed="false">
      <c r="A256" s="613" t="s">
        <v>381</v>
      </c>
      <c r="B256" s="563" t="s">
        <v>199</v>
      </c>
      <c r="C256" s="119"/>
      <c r="D256" s="119"/>
      <c r="E256" s="68"/>
      <c r="F256" s="212"/>
      <c r="G256" s="68"/>
      <c r="H256" s="68"/>
      <c r="I256" s="68"/>
      <c r="J256" s="68"/>
      <c r="K256" s="68"/>
      <c r="L256" s="68"/>
      <c r="M256" s="281"/>
      <c r="N256" s="281"/>
      <c r="O256" s="281" t="n">
        <v>1300</v>
      </c>
      <c r="P256" s="565" t="n">
        <f aca="false">1500+1000</f>
        <v>2500</v>
      </c>
      <c r="Q256" s="281" t="n">
        <v>1600</v>
      </c>
      <c r="R256" s="281" t="n">
        <v>2000</v>
      </c>
      <c r="S256" s="281" t="n">
        <v>1350</v>
      </c>
      <c r="T256" s="282" t="n">
        <v>50</v>
      </c>
      <c r="U256" s="282" t="n">
        <v>100</v>
      </c>
      <c r="V256" s="282" t="n">
        <v>0</v>
      </c>
      <c r="W256" s="284" t="n">
        <v>0</v>
      </c>
      <c r="X256" s="281" t="n">
        <v>0</v>
      </c>
      <c r="Y256" s="281"/>
    </row>
    <row r="257" customFormat="false" ht="15.75" hidden="false" customHeight="false" outlineLevel="0" collapsed="false">
      <c r="A257" s="38"/>
      <c r="B257" s="73"/>
      <c r="C257" s="68"/>
      <c r="D257" s="68"/>
      <c r="E257" s="68"/>
      <c r="F257" s="306"/>
      <c r="G257" s="92"/>
      <c r="H257" s="119"/>
      <c r="I257" s="307"/>
      <c r="J257" s="204"/>
      <c r="K257" s="167"/>
      <c r="L257" s="380"/>
      <c r="M257" s="285"/>
      <c r="N257" s="285"/>
      <c r="O257" s="285"/>
      <c r="P257" s="287"/>
      <c r="Q257" s="285"/>
      <c r="R257" s="285"/>
      <c r="S257" s="285"/>
      <c r="T257" s="286"/>
      <c r="U257" s="286"/>
      <c r="V257" s="286"/>
      <c r="W257" s="288"/>
      <c r="X257" s="285"/>
      <c r="Y257" s="285"/>
    </row>
    <row r="258" customFormat="false" ht="15.75" hidden="false" customHeight="false" outlineLevel="0" collapsed="false">
      <c r="A258" s="613" t="s">
        <v>382</v>
      </c>
      <c r="B258" s="563" t="s">
        <v>344</v>
      </c>
      <c r="C258" s="230"/>
      <c r="D258" s="68"/>
      <c r="E258" s="230"/>
      <c r="F258" s="126"/>
      <c r="G258" s="126"/>
      <c r="H258" s="126"/>
      <c r="I258" s="126"/>
      <c r="J258" s="126"/>
      <c r="K258" s="126"/>
      <c r="L258" s="313"/>
      <c r="M258" s="314"/>
      <c r="N258" s="314"/>
      <c r="O258" s="314" t="n">
        <v>0</v>
      </c>
      <c r="P258" s="316" t="n">
        <v>0</v>
      </c>
      <c r="Q258" s="314" t="n">
        <v>0</v>
      </c>
      <c r="R258" s="281" t="n">
        <v>0</v>
      </c>
      <c r="S258" s="281" t="n">
        <v>1000</v>
      </c>
      <c r="T258" s="282" t="n">
        <v>1200</v>
      </c>
      <c r="U258" s="282" t="n">
        <v>2000</v>
      </c>
      <c r="V258" s="282" t="n">
        <v>3000</v>
      </c>
      <c r="W258" s="284" t="n">
        <v>2500</v>
      </c>
      <c r="X258" s="281" t="n">
        <v>2700</v>
      </c>
      <c r="Y258" s="281" t="n">
        <v>3000</v>
      </c>
    </row>
    <row r="259" customFormat="false" ht="15.75" hidden="false" customHeight="false" outlineLevel="0" collapsed="false">
      <c r="A259" s="38"/>
      <c r="B259" s="566"/>
      <c r="C259" s="230"/>
      <c r="D259" s="68"/>
      <c r="E259" s="230"/>
      <c r="F259" s="126"/>
      <c r="G259" s="126"/>
      <c r="H259" s="126"/>
      <c r="I259" s="126"/>
      <c r="J259" s="126"/>
      <c r="K259" s="126"/>
      <c r="L259" s="313"/>
      <c r="M259" s="314"/>
      <c r="N259" s="314"/>
      <c r="O259" s="314"/>
      <c r="P259" s="316"/>
      <c r="Q259" s="314"/>
      <c r="R259" s="314"/>
      <c r="S259" s="314"/>
      <c r="T259" s="315"/>
      <c r="U259" s="315"/>
      <c r="V259" s="315"/>
      <c r="W259" s="317"/>
      <c r="X259" s="314"/>
      <c r="Y259" s="314"/>
    </row>
    <row r="260" customFormat="false" ht="15" hidden="false" customHeight="true" outlineLevel="0" collapsed="false">
      <c r="A260" s="613" t="s">
        <v>383</v>
      </c>
      <c r="B260" s="649" t="s">
        <v>208</v>
      </c>
      <c r="C260" s="230"/>
      <c r="D260" s="68"/>
      <c r="E260" s="230"/>
      <c r="F260" s="68"/>
      <c r="G260" s="68"/>
      <c r="H260" s="68"/>
      <c r="I260" s="68"/>
      <c r="J260" s="68"/>
      <c r="K260" s="68"/>
      <c r="L260" s="383"/>
      <c r="M260" s="281"/>
      <c r="N260" s="281"/>
      <c r="O260" s="281" t="n">
        <v>650</v>
      </c>
      <c r="P260" s="283" t="n">
        <v>700</v>
      </c>
      <c r="Q260" s="281" t="n">
        <v>1500</v>
      </c>
      <c r="R260" s="281" t="n">
        <v>3100</v>
      </c>
      <c r="S260" s="281" t="n">
        <v>1500</v>
      </c>
      <c r="T260" s="282" t="n">
        <v>1400</v>
      </c>
      <c r="U260" s="282" t="n">
        <v>2000</v>
      </c>
      <c r="V260" s="282" t="n">
        <v>1100</v>
      </c>
      <c r="W260" s="284" t="n">
        <v>2400</v>
      </c>
      <c r="X260" s="281" t="n">
        <v>1600</v>
      </c>
      <c r="Y260" s="281" t="n">
        <v>3500</v>
      </c>
    </row>
    <row r="261" customFormat="false" ht="15" hidden="false" customHeight="true" outlineLevel="0" collapsed="false">
      <c r="A261" s="650"/>
      <c r="B261" s="73"/>
      <c r="C261" s="77"/>
      <c r="D261" s="77"/>
      <c r="E261" s="3"/>
      <c r="F261" s="78"/>
      <c r="G261" s="78"/>
      <c r="H261" s="78"/>
      <c r="I261" s="78"/>
      <c r="J261" s="78"/>
      <c r="K261" s="79"/>
      <c r="L261" s="80"/>
      <c r="M261" s="81"/>
      <c r="N261" s="81"/>
      <c r="O261" s="567"/>
      <c r="P261" s="568"/>
      <c r="Q261" s="567"/>
      <c r="R261" s="567"/>
      <c r="S261" s="567"/>
      <c r="T261" s="567"/>
      <c r="U261" s="567"/>
      <c r="V261" s="567"/>
      <c r="W261" s="80"/>
      <c r="X261" s="567"/>
      <c r="Y261" s="567"/>
    </row>
    <row r="262" customFormat="false" ht="15" hidden="false" customHeight="true" outlineLevel="0" collapsed="false">
      <c r="A262" s="610" t="s">
        <v>288</v>
      </c>
      <c r="B262" s="577" t="s">
        <v>289</v>
      </c>
      <c r="C262" s="77"/>
      <c r="D262" s="77"/>
      <c r="E262" s="3"/>
      <c r="F262" s="78"/>
      <c r="G262" s="78"/>
      <c r="H262" s="78"/>
      <c r="I262" s="78"/>
      <c r="J262" s="78"/>
      <c r="K262" s="79"/>
      <c r="L262" s="80"/>
      <c r="M262" s="81"/>
      <c r="N262" s="81"/>
      <c r="O262" s="567" t="n">
        <f aca="false">O264+O278+O291</f>
        <v>7500</v>
      </c>
      <c r="P262" s="568" t="n">
        <f aca="false">P264+P278+P291</f>
        <v>9100</v>
      </c>
      <c r="Q262" s="568" t="n">
        <f aca="false">Q264+Q278+Q291</f>
        <v>12000</v>
      </c>
      <c r="R262" s="568" t="n">
        <f aca="false">R264+R278+R291</f>
        <v>12000</v>
      </c>
      <c r="S262" s="568" t="n">
        <f aca="false">S264+S278+S291</f>
        <v>11500</v>
      </c>
      <c r="T262" s="568" t="n">
        <f aca="false">T264+T278+T291</f>
        <v>12600</v>
      </c>
      <c r="U262" s="568" t="n">
        <f aca="false">U264+U278+U291</f>
        <v>16150</v>
      </c>
      <c r="V262" s="568" t="n">
        <f aca="false">V264+V278+V291</f>
        <v>13500</v>
      </c>
      <c r="W262" s="568" t="n">
        <f aca="false">W264+W278+W291</f>
        <v>14350</v>
      </c>
      <c r="X262" s="568" t="n">
        <f aca="false">X264+X278+X291</f>
        <v>14200</v>
      </c>
      <c r="Y262" s="568" t="n">
        <f aca="false">Y264+Y278+Y291</f>
        <v>14000</v>
      </c>
    </row>
    <row r="263" customFormat="false" ht="15" hidden="false" customHeight="true" outlineLevel="0" collapsed="false">
      <c r="A263" s="38"/>
      <c r="B263" s="578"/>
      <c r="C263" s="77"/>
      <c r="D263" s="77"/>
      <c r="E263" s="3"/>
      <c r="F263" s="78"/>
      <c r="G263" s="78"/>
      <c r="H263" s="78"/>
      <c r="I263" s="78"/>
      <c r="J263" s="78"/>
      <c r="K263" s="79"/>
      <c r="L263" s="80"/>
      <c r="M263" s="81"/>
      <c r="N263" s="81"/>
      <c r="O263" s="567"/>
      <c r="P263" s="187"/>
      <c r="Q263" s="188"/>
      <c r="R263" s="188"/>
      <c r="S263" s="188"/>
      <c r="T263" s="188"/>
      <c r="U263" s="188"/>
      <c r="V263" s="188"/>
      <c r="W263" s="189"/>
      <c r="X263" s="188"/>
      <c r="Y263" s="188"/>
    </row>
    <row r="264" customFormat="false" ht="15" hidden="false" customHeight="true" outlineLevel="0" collapsed="false">
      <c r="A264" s="246" t="s">
        <v>384</v>
      </c>
      <c r="B264" s="580" t="s">
        <v>291</v>
      </c>
      <c r="C264" s="77"/>
      <c r="D264" s="77"/>
      <c r="E264" s="3"/>
      <c r="F264" s="78"/>
      <c r="G264" s="78"/>
      <c r="H264" s="78"/>
      <c r="I264" s="78"/>
      <c r="J264" s="78"/>
      <c r="K264" s="79"/>
      <c r="L264" s="80"/>
      <c r="M264" s="81"/>
      <c r="N264" s="81"/>
      <c r="O264" s="567" t="n">
        <f aca="false">SUM(O266,O268,O272)</f>
        <v>2400</v>
      </c>
      <c r="P264" s="568" t="n">
        <f aca="false">SUM(P266,P268,P272)</f>
        <v>2800</v>
      </c>
      <c r="Q264" s="567" t="n">
        <f aca="false">SUM(Q266,Q268,Q272)</f>
        <v>4800</v>
      </c>
      <c r="R264" s="567" t="n">
        <f aca="false">SUM(R266,R268,R272)</f>
        <v>1200</v>
      </c>
      <c r="S264" s="567" t="n">
        <f aca="false">SUM(S266,S268,S272)</f>
        <v>1700</v>
      </c>
      <c r="T264" s="567" t="n">
        <f aca="false">SUM(T266,T268,T272)</f>
        <v>2600</v>
      </c>
      <c r="U264" s="567" t="n">
        <f aca="false">SUM(U266,U268,U272)</f>
        <v>2200</v>
      </c>
      <c r="V264" s="567" t="n">
        <f aca="false">SUM(V266,V268,V272)</f>
        <v>2600</v>
      </c>
      <c r="W264" s="80" t="n">
        <f aca="false">SUM(W266,W268,W272)</f>
        <v>5200</v>
      </c>
      <c r="X264" s="567" t="n">
        <f aca="false">SUM(X266,X268,X272)</f>
        <v>3900</v>
      </c>
      <c r="Y264" s="567" t="n">
        <f aca="false">SUM(Y266,Y268,Y272)</f>
        <v>2600</v>
      </c>
    </row>
    <row r="265" s="1" customFormat="true" ht="15" hidden="false" customHeight="true" outlineLevel="0" collapsed="false">
      <c r="A265" s="38"/>
      <c r="B265" s="533"/>
      <c r="C265" s="77"/>
      <c r="D265" s="77"/>
      <c r="E265" s="3"/>
      <c r="F265" s="78"/>
      <c r="G265" s="78"/>
      <c r="H265" s="78"/>
      <c r="I265" s="78"/>
      <c r="J265" s="78"/>
      <c r="K265" s="79"/>
      <c r="L265" s="80"/>
      <c r="M265" s="81"/>
      <c r="N265" s="81"/>
      <c r="O265" s="567"/>
      <c r="P265" s="651"/>
      <c r="Q265" s="567"/>
      <c r="R265" s="567"/>
      <c r="S265" s="567"/>
      <c r="T265" s="567"/>
      <c r="U265" s="567"/>
      <c r="V265" s="567"/>
      <c r="W265" s="80"/>
      <c r="X265" s="567"/>
      <c r="Y265" s="567"/>
    </row>
    <row r="266" customFormat="false" ht="15" hidden="false" customHeight="true" outlineLevel="0" collapsed="false">
      <c r="A266" s="613" t="s">
        <v>385</v>
      </c>
      <c r="B266" s="563" t="s">
        <v>292</v>
      </c>
      <c r="C266" s="77"/>
      <c r="D266" s="77"/>
      <c r="E266" s="3"/>
      <c r="F266" s="78"/>
      <c r="G266" s="78"/>
      <c r="H266" s="78"/>
      <c r="I266" s="78"/>
      <c r="J266" s="78"/>
      <c r="K266" s="79"/>
      <c r="L266" s="80"/>
      <c r="M266" s="81"/>
      <c r="N266" s="81"/>
      <c r="O266" s="567" t="n">
        <v>500</v>
      </c>
      <c r="P266" s="568" t="n">
        <v>1200</v>
      </c>
      <c r="Q266" s="567" t="n">
        <v>3100</v>
      </c>
      <c r="R266" s="567" t="n">
        <v>600</v>
      </c>
      <c r="S266" s="567" t="n">
        <v>500</v>
      </c>
      <c r="T266" s="567" t="n">
        <v>500</v>
      </c>
      <c r="U266" s="567" t="n">
        <v>500</v>
      </c>
      <c r="V266" s="567" t="n">
        <v>500</v>
      </c>
      <c r="W266" s="80" t="n">
        <v>500</v>
      </c>
      <c r="X266" s="567" t="n">
        <v>500</v>
      </c>
      <c r="Y266" s="567" t="n">
        <v>500</v>
      </c>
    </row>
    <row r="267" s="1" customFormat="true" ht="15" hidden="false" customHeight="true" outlineLevel="0" collapsed="false">
      <c r="A267" s="38"/>
      <c r="B267" s="107"/>
      <c r="C267" s="77"/>
      <c r="D267" s="77"/>
      <c r="E267" s="3"/>
      <c r="F267" s="78"/>
      <c r="G267" s="78"/>
      <c r="H267" s="78"/>
      <c r="I267" s="78"/>
      <c r="J267" s="78"/>
      <c r="K267" s="79"/>
      <c r="L267" s="80"/>
      <c r="M267" s="81"/>
      <c r="N267" s="81"/>
      <c r="O267" s="567"/>
      <c r="P267" s="651"/>
      <c r="Q267" s="567"/>
      <c r="R267" s="567"/>
      <c r="S267" s="567"/>
      <c r="T267" s="567"/>
      <c r="U267" s="567"/>
      <c r="V267" s="567"/>
      <c r="W267" s="80"/>
      <c r="X267" s="567"/>
      <c r="Y267" s="567"/>
    </row>
    <row r="268" customFormat="false" ht="15" hidden="false" customHeight="true" outlineLevel="0" collapsed="false">
      <c r="A268" s="613" t="s">
        <v>386</v>
      </c>
      <c r="B268" s="563" t="s">
        <v>387</v>
      </c>
      <c r="C268" s="77"/>
      <c r="D268" s="77"/>
      <c r="E268" s="3"/>
      <c r="F268" s="78"/>
      <c r="G268" s="78"/>
      <c r="H268" s="78"/>
      <c r="I268" s="78"/>
      <c r="J268" s="78"/>
      <c r="K268" s="79"/>
      <c r="L268" s="80"/>
      <c r="M268" s="81"/>
      <c r="N268" s="81"/>
      <c r="O268" s="567" t="n">
        <f aca="false">SUM(O269,O270)</f>
        <v>1100</v>
      </c>
      <c r="P268" s="568" t="n">
        <f aca="false">SUM(P269,P270)</f>
        <v>1600</v>
      </c>
      <c r="Q268" s="567" t="n">
        <f aca="false">SUM(Q269,Q270)</f>
        <v>1300</v>
      </c>
      <c r="R268" s="567" t="n">
        <f aca="false">SUM(R269,R270)</f>
        <v>600</v>
      </c>
      <c r="S268" s="567" t="n">
        <f aca="false">SUM(S269,S270)</f>
        <v>200</v>
      </c>
      <c r="T268" s="583" t="n">
        <f aca="false">SUM(T269,T270)</f>
        <v>1600</v>
      </c>
      <c r="U268" s="583" t="n">
        <f aca="false">SUM(U269,U270)</f>
        <v>1700</v>
      </c>
      <c r="V268" s="583" t="n">
        <f aca="false">SUM(V269,V270)</f>
        <v>2000</v>
      </c>
      <c r="W268" s="523" t="n">
        <f aca="false">SUM(W269,W270)</f>
        <v>3000</v>
      </c>
      <c r="X268" s="583" t="n">
        <f aca="false">SUM(X269,X270)</f>
        <v>2700</v>
      </c>
      <c r="Y268" s="583" t="n">
        <f aca="false">SUM(Y269,Y270)</f>
        <v>1600</v>
      </c>
    </row>
    <row r="269" s="3" customFormat="true" ht="15" hidden="false" customHeight="true" outlineLevel="0" collapsed="false">
      <c r="A269" s="56"/>
      <c r="B269" s="617" t="s">
        <v>388</v>
      </c>
      <c r="C269" s="77"/>
      <c r="D269" s="77"/>
      <c r="F269" s="78"/>
      <c r="G269" s="78"/>
      <c r="H269" s="78"/>
      <c r="I269" s="78"/>
      <c r="J269" s="78"/>
      <c r="K269" s="79"/>
      <c r="L269" s="291"/>
      <c r="M269" s="581"/>
      <c r="N269" s="581"/>
      <c r="O269" s="292" t="n">
        <v>200</v>
      </c>
      <c r="P269" s="483" t="n">
        <v>1000</v>
      </c>
      <c r="Q269" s="292" t="n">
        <v>850</v>
      </c>
      <c r="R269" s="292" t="n">
        <v>500</v>
      </c>
      <c r="S269" s="292" t="n">
        <v>200</v>
      </c>
      <c r="T269" s="292" t="n">
        <v>1600</v>
      </c>
      <c r="U269" s="292" t="n">
        <v>1700</v>
      </c>
      <c r="V269" s="292" t="n">
        <v>1800</v>
      </c>
      <c r="W269" s="291" t="n">
        <v>2000</v>
      </c>
      <c r="X269" s="292" t="n">
        <v>2000</v>
      </c>
      <c r="Y269" s="292" t="n">
        <v>1600</v>
      </c>
    </row>
    <row r="270" s="3" customFormat="true" ht="15" hidden="false" customHeight="true" outlineLevel="0" collapsed="false">
      <c r="A270" s="56"/>
      <c r="B270" s="617" t="s">
        <v>389</v>
      </c>
      <c r="C270" s="77"/>
      <c r="D270" s="77"/>
      <c r="F270" s="78"/>
      <c r="G270" s="78"/>
      <c r="H270" s="78"/>
      <c r="I270" s="78"/>
      <c r="J270" s="78"/>
      <c r="K270" s="79"/>
      <c r="L270" s="291"/>
      <c r="M270" s="581"/>
      <c r="N270" s="581"/>
      <c r="O270" s="292" t="n">
        <v>900</v>
      </c>
      <c r="P270" s="483" t="n">
        <v>600</v>
      </c>
      <c r="Q270" s="292" t="n">
        <v>450</v>
      </c>
      <c r="R270" s="292" t="n">
        <v>100</v>
      </c>
      <c r="S270" s="292" t="n">
        <v>0</v>
      </c>
      <c r="T270" s="292" t="n">
        <v>0</v>
      </c>
      <c r="U270" s="292" t="n">
        <v>0</v>
      </c>
      <c r="V270" s="292" t="n">
        <v>200</v>
      </c>
      <c r="W270" s="291" t="n">
        <v>1000</v>
      </c>
      <c r="X270" s="292" t="n">
        <v>700</v>
      </c>
      <c r="Y270" s="292"/>
    </row>
    <row r="271" s="3" customFormat="true" ht="15" hidden="false" customHeight="true" outlineLevel="0" collapsed="false">
      <c r="A271" s="56"/>
      <c r="B271" s="95"/>
      <c r="C271" s="77"/>
      <c r="D271" s="77"/>
      <c r="F271" s="78"/>
      <c r="G271" s="78"/>
      <c r="H271" s="78"/>
      <c r="I271" s="78"/>
      <c r="J271" s="78"/>
      <c r="K271" s="79"/>
      <c r="L271" s="291"/>
      <c r="M271" s="581"/>
      <c r="N271" s="581"/>
      <c r="O271" s="292"/>
      <c r="P271" s="483"/>
      <c r="Q271" s="292"/>
      <c r="R271" s="292"/>
      <c r="S271" s="292"/>
      <c r="T271" s="292"/>
      <c r="U271" s="292"/>
      <c r="V271" s="292"/>
      <c r="W271" s="291"/>
      <c r="X271" s="292"/>
      <c r="Y271" s="292"/>
    </row>
    <row r="272" customFormat="false" ht="15" hidden="false" customHeight="true" outlineLevel="0" collapsed="false">
      <c r="A272" s="613" t="s">
        <v>390</v>
      </c>
      <c r="B272" s="563" t="s">
        <v>391</v>
      </c>
      <c r="C272" s="77"/>
      <c r="D272" s="77"/>
      <c r="E272" s="3"/>
      <c r="F272" s="78"/>
      <c r="G272" s="78"/>
      <c r="H272" s="78"/>
      <c r="I272" s="78"/>
      <c r="J272" s="78"/>
      <c r="K272" s="79"/>
      <c r="L272" s="80"/>
      <c r="M272" s="81"/>
      <c r="N272" s="81"/>
      <c r="O272" s="567" t="n">
        <f aca="false">SUM(O273,O276)</f>
        <v>800</v>
      </c>
      <c r="P272" s="568" t="n">
        <f aca="false">SUM(P273,P276)</f>
        <v>0</v>
      </c>
      <c r="Q272" s="567" t="n">
        <f aca="false">SUM(Q273,Q276)</f>
        <v>400</v>
      </c>
      <c r="R272" s="567" t="n">
        <f aca="false">SUM(R273,R276)</f>
        <v>0</v>
      </c>
      <c r="S272" s="583" t="n">
        <f aca="false">SUM(S273,S276)</f>
        <v>1000</v>
      </c>
      <c r="T272" s="567" t="n">
        <f aca="false">SUM(T273,T276)</f>
        <v>500</v>
      </c>
      <c r="U272" s="567" t="n">
        <f aca="false">SUM(U273,U276)</f>
        <v>0</v>
      </c>
      <c r="V272" s="567" t="n">
        <f aca="false">SUM(V273,V276)</f>
        <v>100</v>
      </c>
      <c r="W272" s="523" t="n">
        <f aca="false">SUM(W273,W276)</f>
        <v>1700</v>
      </c>
      <c r="X272" s="583" t="n">
        <f aca="false">SUM(X273,X276)</f>
        <v>700</v>
      </c>
      <c r="Y272" s="583" t="n">
        <v>500</v>
      </c>
    </row>
    <row r="273" customFormat="false" ht="15" hidden="false" customHeight="true" outlineLevel="0" collapsed="false">
      <c r="A273" s="38"/>
      <c r="B273" s="617" t="s">
        <v>392</v>
      </c>
      <c r="C273" s="77"/>
      <c r="D273" s="77"/>
      <c r="E273" s="3"/>
      <c r="F273" s="78"/>
      <c r="G273" s="78"/>
      <c r="H273" s="78"/>
      <c r="I273" s="78"/>
      <c r="J273" s="78"/>
      <c r="K273" s="79"/>
      <c r="L273" s="80"/>
      <c r="M273" s="81"/>
      <c r="N273" s="81"/>
      <c r="O273" s="567" t="n">
        <v>800</v>
      </c>
      <c r="P273" s="483" t="n">
        <f aca="false">P274+P275</f>
        <v>0</v>
      </c>
      <c r="Q273" s="292" t="n">
        <f aca="false">Q274+Q275</f>
        <v>400</v>
      </c>
      <c r="R273" s="292" t="n">
        <f aca="false">R274+R275</f>
        <v>0</v>
      </c>
      <c r="S273" s="292" t="n">
        <f aca="false">S274+S275</f>
        <v>0</v>
      </c>
      <c r="T273" s="292" t="n">
        <f aca="false">T274+T275</f>
        <v>500</v>
      </c>
      <c r="U273" s="292" t="n">
        <f aca="false">U274+U275</f>
        <v>0</v>
      </c>
      <c r="V273" s="292" t="n">
        <f aca="false">V274+V275</f>
        <v>100</v>
      </c>
      <c r="W273" s="291" t="n">
        <f aca="false">W274+W275</f>
        <v>700</v>
      </c>
      <c r="X273" s="292" t="n">
        <f aca="false">X274+X275</f>
        <v>700</v>
      </c>
      <c r="Y273" s="292" t="n">
        <f aca="false">Y274+Y275</f>
        <v>200</v>
      </c>
    </row>
    <row r="274" customFormat="false" ht="15" hidden="false" customHeight="true" outlineLevel="0" collapsed="false">
      <c r="A274" s="38"/>
      <c r="B274" s="618" t="s">
        <v>393</v>
      </c>
      <c r="C274" s="77"/>
      <c r="D274" s="77"/>
      <c r="E274" s="3"/>
      <c r="F274" s="78"/>
      <c r="G274" s="78"/>
      <c r="H274" s="78"/>
      <c r="I274" s="78"/>
      <c r="J274" s="78"/>
      <c r="K274" s="79"/>
      <c r="L274" s="80"/>
      <c r="M274" s="81"/>
      <c r="N274" s="81"/>
      <c r="O274" s="567" t="n">
        <v>100</v>
      </c>
      <c r="P274" s="483" t="n">
        <v>0</v>
      </c>
      <c r="Q274" s="292" t="n">
        <v>400</v>
      </c>
      <c r="R274" s="292" t="n">
        <v>0</v>
      </c>
      <c r="S274" s="292" t="n">
        <v>0</v>
      </c>
      <c r="T274" s="292" t="n">
        <v>500</v>
      </c>
      <c r="U274" s="292" t="n">
        <v>0</v>
      </c>
      <c r="V274" s="292" t="n">
        <v>0</v>
      </c>
      <c r="W274" s="291" t="n">
        <v>0</v>
      </c>
      <c r="X274" s="292" t="n">
        <v>0</v>
      </c>
      <c r="Y274" s="292"/>
    </row>
    <row r="275" customFormat="false" ht="15" hidden="false" customHeight="true" outlineLevel="0" collapsed="false">
      <c r="A275" s="38"/>
      <c r="B275" s="618" t="s">
        <v>389</v>
      </c>
      <c r="C275" s="77"/>
      <c r="D275" s="77"/>
      <c r="E275" s="3"/>
      <c r="F275" s="78"/>
      <c r="G275" s="78"/>
      <c r="H275" s="78"/>
      <c r="I275" s="78"/>
      <c r="J275" s="78"/>
      <c r="K275" s="79"/>
      <c r="L275" s="80"/>
      <c r="M275" s="81"/>
      <c r="N275" s="81"/>
      <c r="O275" s="567" t="n">
        <v>700</v>
      </c>
      <c r="P275" s="483" t="n">
        <v>0</v>
      </c>
      <c r="Q275" s="292" t="n">
        <v>0</v>
      </c>
      <c r="R275" s="292" t="n">
        <v>0</v>
      </c>
      <c r="S275" s="292" t="n">
        <v>0</v>
      </c>
      <c r="T275" s="292" t="n">
        <v>0</v>
      </c>
      <c r="U275" s="292" t="n">
        <v>0</v>
      </c>
      <c r="V275" s="292" t="n">
        <v>100</v>
      </c>
      <c r="W275" s="291" t="n">
        <v>700</v>
      </c>
      <c r="X275" s="292" t="n">
        <v>700</v>
      </c>
      <c r="Y275" s="292" t="n">
        <v>200</v>
      </c>
    </row>
    <row r="276" customFormat="false" ht="15" hidden="false" customHeight="true" outlineLevel="0" collapsed="false">
      <c r="A276" s="38"/>
      <c r="B276" s="617" t="s">
        <v>297</v>
      </c>
      <c r="C276" s="77"/>
      <c r="D276" s="77"/>
      <c r="E276" s="3"/>
      <c r="F276" s="78"/>
      <c r="G276" s="78"/>
      <c r="H276" s="78"/>
      <c r="I276" s="78"/>
      <c r="J276" s="78"/>
      <c r="K276" s="79"/>
      <c r="L276" s="80"/>
      <c r="M276" s="81"/>
      <c r="N276" s="81"/>
      <c r="O276" s="567" t="n">
        <v>0</v>
      </c>
      <c r="P276" s="483" t="n">
        <v>0</v>
      </c>
      <c r="Q276" s="292" t="n">
        <v>0</v>
      </c>
      <c r="R276" s="292" t="n">
        <v>0</v>
      </c>
      <c r="S276" s="491" t="n">
        <v>1000</v>
      </c>
      <c r="T276" s="292" t="n">
        <v>0</v>
      </c>
      <c r="U276" s="292" t="n">
        <v>0</v>
      </c>
      <c r="V276" s="292" t="n">
        <v>0</v>
      </c>
      <c r="W276" s="291" t="n">
        <v>1000</v>
      </c>
      <c r="X276" s="292" t="n">
        <v>0</v>
      </c>
      <c r="Y276" s="292"/>
    </row>
    <row r="277" customFormat="false" ht="15" hidden="false" customHeight="true" outlineLevel="0" collapsed="false">
      <c r="A277" s="38"/>
      <c r="B277" s="566"/>
      <c r="C277" s="77"/>
      <c r="D277" s="77"/>
      <c r="E277" s="3"/>
      <c r="F277" s="78"/>
      <c r="G277" s="78"/>
      <c r="H277" s="78"/>
      <c r="I277" s="78"/>
      <c r="J277" s="78"/>
      <c r="K277" s="79"/>
      <c r="L277" s="80"/>
      <c r="M277" s="81"/>
      <c r="N277" s="81"/>
      <c r="O277" s="567"/>
      <c r="P277" s="568"/>
      <c r="Q277" s="567"/>
      <c r="R277" s="567"/>
      <c r="S277" s="567"/>
      <c r="T277" s="567"/>
      <c r="U277" s="567"/>
      <c r="V277" s="567"/>
      <c r="W277" s="80"/>
      <c r="X277" s="567"/>
      <c r="Y277" s="567"/>
    </row>
    <row r="278" customFormat="false" ht="15" hidden="false" customHeight="true" outlineLevel="0" collapsed="false">
      <c r="A278" s="246" t="s">
        <v>394</v>
      </c>
      <c r="B278" s="580" t="s">
        <v>284</v>
      </c>
      <c r="C278" s="77"/>
      <c r="D278" s="77"/>
      <c r="E278" s="3"/>
      <c r="F278" s="78"/>
      <c r="G278" s="78"/>
      <c r="H278" s="78"/>
      <c r="I278" s="78"/>
      <c r="J278" s="78"/>
      <c r="K278" s="79"/>
      <c r="L278" s="80"/>
      <c r="M278" s="81"/>
      <c r="N278" s="81"/>
      <c r="O278" s="567" t="n">
        <f aca="false">SUM(O280:O285)</f>
        <v>2500</v>
      </c>
      <c r="P278" s="568" t="n">
        <f aca="false">SUM(P280:P285)</f>
        <v>3400</v>
      </c>
      <c r="Q278" s="567" t="n">
        <f aca="false">SUM(Q280:Q285)</f>
        <v>3200</v>
      </c>
      <c r="R278" s="567" t="n">
        <f aca="false">SUM(R280:R285)</f>
        <v>4200</v>
      </c>
      <c r="S278" s="567" t="n">
        <f aca="false">SUM(S280:S285)</f>
        <v>4700</v>
      </c>
      <c r="T278" s="567" t="n">
        <f aca="false">SUM(T280:T285)</f>
        <v>3000</v>
      </c>
      <c r="U278" s="567" t="n">
        <f aca="false">SUM(U280:U285)</f>
        <v>4650</v>
      </c>
      <c r="V278" s="567" t="n">
        <f aca="false">SUM(V280:V285)</f>
        <v>5400</v>
      </c>
      <c r="W278" s="80" t="n">
        <f aca="false">SUM(W280:W285)</f>
        <v>3550</v>
      </c>
      <c r="X278" s="567" t="n">
        <f aca="false">SUM(X280:X285)</f>
        <v>5200</v>
      </c>
      <c r="Y278" s="567" t="n">
        <f aca="false">SUM(Y280:Y285)</f>
        <v>6000</v>
      </c>
    </row>
    <row r="279" s="1" customFormat="true" ht="15" hidden="false" customHeight="true" outlineLevel="0" collapsed="false">
      <c r="A279" s="38"/>
      <c r="B279" s="533"/>
      <c r="C279" s="77"/>
      <c r="D279" s="77"/>
      <c r="E279" s="3"/>
      <c r="F279" s="78"/>
      <c r="G279" s="78"/>
      <c r="H279" s="78"/>
      <c r="I279" s="78"/>
      <c r="J279" s="78"/>
      <c r="K279" s="79"/>
      <c r="L279" s="80"/>
      <c r="M279" s="81"/>
      <c r="N279" s="81"/>
      <c r="O279" s="567"/>
      <c r="P279" s="651"/>
      <c r="Q279" s="567"/>
      <c r="R279" s="567"/>
      <c r="S279" s="567"/>
      <c r="T279" s="567"/>
      <c r="U279" s="567"/>
      <c r="V279" s="567"/>
      <c r="W279" s="80"/>
      <c r="X279" s="567"/>
      <c r="Y279" s="567"/>
    </row>
    <row r="280" customFormat="false" ht="15" hidden="false" customHeight="true" outlineLevel="0" collapsed="false">
      <c r="A280" s="613" t="s">
        <v>395</v>
      </c>
      <c r="B280" s="563" t="s">
        <v>292</v>
      </c>
      <c r="C280" s="77"/>
      <c r="D280" s="77"/>
      <c r="E280" s="3"/>
      <c r="F280" s="78"/>
      <c r="G280" s="78"/>
      <c r="H280" s="78"/>
      <c r="I280" s="78"/>
      <c r="J280" s="78"/>
      <c r="K280" s="79"/>
      <c r="L280" s="80"/>
      <c r="M280" s="81"/>
      <c r="N280" s="81"/>
      <c r="O280" s="567" t="n">
        <v>150</v>
      </c>
      <c r="P280" s="568" t="n">
        <v>400</v>
      </c>
      <c r="Q280" s="567" t="n">
        <v>500</v>
      </c>
      <c r="R280" s="567" t="n">
        <v>1000</v>
      </c>
      <c r="S280" s="583" t="n">
        <f aca="false">1600+1000</f>
        <v>2600</v>
      </c>
      <c r="T280" s="583" t="n">
        <f aca="false">500+1000</f>
        <v>1500</v>
      </c>
      <c r="U280" s="583" t="n">
        <f aca="false">500+1000</f>
        <v>1500</v>
      </c>
      <c r="V280" s="567" t="n">
        <v>500</v>
      </c>
      <c r="W280" s="80" t="n">
        <v>500</v>
      </c>
      <c r="X280" s="567" t="n">
        <v>500</v>
      </c>
      <c r="Y280" s="567" t="n">
        <v>2000</v>
      </c>
    </row>
    <row r="281" s="1" customFormat="true" ht="15" hidden="false" customHeight="true" outlineLevel="0" collapsed="false">
      <c r="A281" s="38"/>
      <c r="B281" s="107"/>
      <c r="C281" s="77"/>
      <c r="D281" s="77"/>
      <c r="E281" s="3"/>
      <c r="F281" s="78"/>
      <c r="G281" s="78"/>
      <c r="H281" s="78"/>
      <c r="I281" s="78"/>
      <c r="J281" s="78"/>
      <c r="K281" s="79"/>
      <c r="L281" s="80"/>
      <c r="M281" s="81"/>
      <c r="N281" s="81"/>
      <c r="O281" s="567"/>
      <c r="P281" s="651"/>
      <c r="Q281" s="567"/>
      <c r="R281" s="567"/>
      <c r="S281" s="583"/>
      <c r="T281" s="583"/>
      <c r="U281" s="583"/>
      <c r="V281" s="567"/>
      <c r="W281" s="80"/>
      <c r="X281" s="567"/>
      <c r="Y281" s="567"/>
    </row>
    <row r="282" customFormat="false" ht="15" hidden="false" customHeight="true" outlineLevel="0" collapsed="false">
      <c r="A282" s="613" t="s">
        <v>396</v>
      </c>
      <c r="B282" s="563" t="s">
        <v>387</v>
      </c>
      <c r="C282" s="77"/>
      <c r="D282" s="77"/>
      <c r="E282" s="3"/>
      <c r="F282" s="78"/>
      <c r="G282" s="78"/>
      <c r="H282" s="78"/>
      <c r="I282" s="78"/>
      <c r="J282" s="78"/>
      <c r="K282" s="79"/>
      <c r="L282" s="80"/>
      <c r="M282" s="81"/>
      <c r="N282" s="81"/>
      <c r="O282" s="567" t="n">
        <v>1600</v>
      </c>
      <c r="P282" s="568" t="n">
        <v>1800</v>
      </c>
      <c r="Q282" s="567" t="n">
        <v>1600</v>
      </c>
      <c r="R282" s="567" t="n">
        <f aca="false">1500+700</f>
        <v>2200</v>
      </c>
      <c r="S282" s="567" t="n">
        <v>700</v>
      </c>
      <c r="T282" s="567" t="n">
        <v>400</v>
      </c>
      <c r="U282" s="567" t="n">
        <v>1050</v>
      </c>
      <c r="V282" s="583" t="n">
        <v>2500</v>
      </c>
      <c r="W282" s="523" t="n">
        <f aca="false">2050+500</f>
        <v>2550</v>
      </c>
      <c r="X282" s="583" t="n">
        <f aca="false">2000+1000</f>
        <v>3000</v>
      </c>
      <c r="Y282" s="583" t="n">
        <f aca="false">2000+1000</f>
        <v>3000</v>
      </c>
    </row>
    <row r="283" customFormat="false" ht="15" hidden="false" customHeight="true" outlineLevel="0" collapsed="false">
      <c r="A283" s="38"/>
      <c r="B283" s="617" t="s">
        <v>388</v>
      </c>
      <c r="C283" s="77"/>
      <c r="D283" s="77"/>
      <c r="E283" s="3"/>
      <c r="F283" s="78"/>
      <c r="G283" s="78"/>
      <c r="H283" s="78"/>
      <c r="I283" s="78"/>
      <c r="J283" s="78"/>
      <c r="K283" s="79"/>
      <c r="L283" s="80"/>
      <c r="M283" s="81"/>
      <c r="N283" s="81"/>
      <c r="O283" s="567"/>
      <c r="P283" s="568"/>
      <c r="Q283" s="567"/>
      <c r="R283" s="567"/>
      <c r="S283" s="567"/>
      <c r="T283" s="567"/>
      <c r="U283" s="567"/>
      <c r="V283" s="583"/>
      <c r="W283" s="523"/>
      <c r="X283" s="583"/>
      <c r="Y283" s="583"/>
    </row>
    <row r="284" customFormat="false" ht="15" hidden="false" customHeight="true" outlineLevel="0" collapsed="false">
      <c r="A284" s="38"/>
      <c r="B284" s="617" t="s">
        <v>389</v>
      </c>
      <c r="C284" s="77"/>
      <c r="D284" s="77"/>
      <c r="E284" s="3"/>
      <c r="F284" s="78"/>
      <c r="G284" s="78"/>
      <c r="H284" s="78"/>
      <c r="I284" s="78"/>
      <c r="J284" s="78"/>
      <c r="K284" s="79"/>
      <c r="L284" s="80"/>
      <c r="M284" s="81"/>
      <c r="N284" s="81"/>
      <c r="O284" s="567"/>
      <c r="P284" s="568"/>
      <c r="Q284" s="567"/>
      <c r="R284" s="567"/>
      <c r="S284" s="567"/>
      <c r="T284" s="567"/>
      <c r="U284" s="567"/>
      <c r="V284" s="583"/>
      <c r="W284" s="523"/>
      <c r="X284" s="583"/>
      <c r="Y284" s="583"/>
    </row>
    <row r="285" customFormat="false" ht="15" hidden="false" customHeight="true" outlineLevel="0" collapsed="false">
      <c r="A285" s="613" t="s">
        <v>397</v>
      </c>
      <c r="B285" s="563" t="s">
        <v>391</v>
      </c>
      <c r="C285" s="77"/>
      <c r="D285" s="77"/>
      <c r="E285" s="3"/>
      <c r="F285" s="78"/>
      <c r="G285" s="78"/>
      <c r="H285" s="78"/>
      <c r="I285" s="78"/>
      <c r="J285" s="78"/>
      <c r="K285" s="79"/>
      <c r="L285" s="80"/>
      <c r="M285" s="81"/>
      <c r="N285" s="81"/>
      <c r="O285" s="567" t="n">
        <f aca="false">SUM(O286,O289)</f>
        <v>750</v>
      </c>
      <c r="P285" s="584" t="n">
        <f aca="false">P286+P289</f>
        <v>1200</v>
      </c>
      <c r="Q285" s="567" t="n">
        <f aca="false">Q286+Q289</f>
        <v>1100</v>
      </c>
      <c r="R285" s="567" t="n">
        <f aca="false">R286+R289</f>
        <v>1000</v>
      </c>
      <c r="S285" s="567" t="n">
        <f aca="false">S286+S289</f>
        <v>1400</v>
      </c>
      <c r="T285" s="567" t="n">
        <f aca="false">T286+T289</f>
        <v>1100</v>
      </c>
      <c r="U285" s="567" t="n">
        <f aca="false">U286+U289</f>
        <v>2100</v>
      </c>
      <c r="V285" s="583" t="n">
        <f aca="false">V286+V289</f>
        <v>2400</v>
      </c>
      <c r="W285" s="523" t="n">
        <f aca="false">W286+W289</f>
        <v>500</v>
      </c>
      <c r="X285" s="567" t="n">
        <f aca="false">X286+X289</f>
        <v>1700</v>
      </c>
      <c r="Y285" s="567" t="n">
        <f aca="false">Y286+Y289</f>
        <v>1000</v>
      </c>
    </row>
    <row r="286" customFormat="false" ht="15" hidden="false" customHeight="true" outlineLevel="0" collapsed="false">
      <c r="A286" s="38"/>
      <c r="B286" s="617" t="s">
        <v>392</v>
      </c>
      <c r="C286" s="77"/>
      <c r="D286" s="77"/>
      <c r="E286" s="3"/>
      <c r="F286" s="78"/>
      <c r="G286" s="78"/>
      <c r="H286" s="78"/>
      <c r="I286" s="78"/>
      <c r="J286" s="78"/>
      <c r="K286" s="79"/>
      <c r="L286" s="80"/>
      <c r="M286" s="81"/>
      <c r="N286" s="81"/>
      <c r="O286" s="567" t="n">
        <v>750</v>
      </c>
      <c r="P286" s="483" t="n">
        <f aca="false">P287+P288</f>
        <v>1200</v>
      </c>
      <c r="Q286" s="292" t="n">
        <f aca="false">Q287+Q288</f>
        <v>1100</v>
      </c>
      <c r="R286" s="292" t="n">
        <f aca="false">R287+R288</f>
        <v>1000</v>
      </c>
      <c r="S286" s="292" t="n">
        <f aca="false">S287+S288</f>
        <v>1400</v>
      </c>
      <c r="T286" s="292" t="n">
        <f aca="false">T287+T288</f>
        <v>0</v>
      </c>
      <c r="U286" s="292" t="n">
        <f aca="false">U287+U288</f>
        <v>0</v>
      </c>
      <c r="V286" s="292" t="n">
        <f aca="false">V287+V288</f>
        <v>500</v>
      </c>
      <c r="W286" s="292" t="n">
        <f aca="false">W287+W288</f>
        <v>500</v>
      </c>
      <c r="X286" s="292" t="n">
        <f aca="false">X287+X288</f>
        <v>1700</v>
      </c>
      <c r="Y286" s="292" t="n">
        <v>1000</v>
      </c>
    </row>
    <row r="287" customFormat="false" ht="15" hidden="false" customHeight="true" outlineLevel="0" collapsed="false">
      <c r="A287" s="38"/>
      <c r="B287" s="618" t="s">
        <v>393</v>
      </c>
      <c r="C287" s="77"/>
      <c r="D287" s="77"/>
      <c r="E287" s="3"/>
      <c r="F287" s="78"/>
      <c r="G287" s="78"/>
      <c r="H287" s="78"/>
      <c r="I287" s="78"/>
      <c r="J287" s="78"/>
      <c r="K287" s="79"/>
      <c r="L287" s="80"/>
      <c r="M287" s="81"/>
      <c r="N287" s="81"/>
      <c r="O287" s="567" t="n">
        <v>250</v>
      </c>
      <c r="P287" s="652" t="n">
        <f aca="false">400+500</f>
        <v>900</v>
      </c>
      <c r="Q287" s="292" t="n">
        <v>300</v>
      </c>
      <c r="R287" s="292" t="n">
        <v>1000</v>
      </c>
      <c r="S287" s="292" t="n">
        <v>0</v>
      </c>
      <c r="T287" s="292" t="n">
        <v>0</v>
      </c>
      <c r="U287" s="292" t="n">
        <v>0</v>
      </c>
      <c r="V287" s="292" t="n">
        <v>0</v>
      </c>
      <c r="W287" s="291" t="n">
        <v>0</v>
      </c>
      <c r="X287" s="292" t="n">
        <v>0</v>
      </c>
      <c r="Y287" s="292"/>
    </row>
    <row r="288" customFormat="false" ht="15" hidden="false" customHeight="true" outlineLevel="0" collapsed="false">
      <c r="A288" s="38"/>
      <c r="B288" s="618" t="s">
        <v>389</v>
      </c>
      <c r="C288" s="77"/>
      <c r="D288" s="77"/>
      <c r="E288" s="3"/>
      <c r="F288" s="78"/>
      <c r="G288" s="78"/>
      <c r="H288" s="78"/>
      <c r="I288" s="78"/>
      <c r="J288" s="78"/>
      <c r="K288" s="79"/>
      <c r="L288" s="80"/>
      <c r="M288" s="81"/>
      <c r="N288" s="81"/>
      <c r="O288" s="567" t="n">
        <v>500</v>
      </c>
      <c r="P288" s="483" t="n">
        <f aca="false">300</f>
        <v>300</v>
      </c>
      <c r="Q288" s="292" t="n">
        <v>800</v>
      </c>
      <c r="R288" s="292" t="n">
        <v>0</v>
      </c>
      <c r="S288" s="292" t="n">
        <v>1400</v>
      </c>
      <c r="T288" s="292" t="n">
        <v>0</v>
      </c>
      <c r="U288" s="292" t="n">
        <v>0</v>
      </c>
      <c r="V288" s="292" t="n">
        <v>500</v>
      </c>
      <c r="W288" s="291" t="n">
        <v>500</v>
      </c>
      <c r="X288" s="292" t="n">
        <v>1700</v>
      </c>
      <c r="Y288" s="292"/>
    </row>
    <row r="289" customFormat="false" ht="15" hidden="false" customHeight="true" outlineLevel="0" collapsed="false">
      <c r="A289" s="38"/>
      <c r="B289" s="617" t="s">
        <v>297</v>
      </c>
      <c r="C289" s="77"/>
      <c r="D289" s="77"/>
      <c r="E289" s="3"/>
      <c r="F289" s="78"/>
      <c r="G289" s="78"/>
      <c r="H289" s="78"/>
      <c r="I289" s="78"/>
      <c r="J289" s="78"/>
      <c r="K289" s="79"/>
      <c r="L289" s="80"/>
      <c r="M289" s="81"/>
      <c r="N289" s="81"/>
      <c r="O289" s="567" t="n">
        <v>0</v>
      </c>
      <c r="P289" s="483" t="n">
        <v>0</v>
      </c>
      <c r="Q289" s="292" t="n">
        <v>0</v>
      </c>
      <c r="R289" s="292" t="n">
        <v>0</v>
      </c>
      <c r="S289" s="292" t="n">
        <v>0</v>
      </c>
      <c r="T289" s="292" t="n">
        <v>1100</v>
      </c>
      <c r="U289" s="292" t="n">
        <v>2100</v>
      </c>
      <c r="V289" s="292" t="n">
        <v>1900</v>
      </c>
      <c r="W289" s="291" t="n">
        <v>0</v>
      </c>
      <c r="X289" s="292" t="n">
        <v>0</v>
      </c>
      <c r="Y289" s="292"/>
    </row>
    <row r="290" customFormat="false" ht="15" hidden="false" customHeight="true" outlineLevel="0" collapsed="false">
      <c r="A290" s="38"/>
      <c r="B290" s="566"/>
      <c r="C290" s="77"/>
      <c r="D290" s="77"/>
      <c r="E290" s="3"/>
      <c r="F290" s="78"/>
      <c r="G290" s="78"/>
      <c r="H290" s="78"/>
      <c r="I290" s="78"/>
      <c r="J290" s="78"/>
      <c r="K290" s="79"/>
      <c r="L290" s="80"/>
      <c r="M290" s="81"/>
      <c r="N290" s="81"/>
      <c r="O290" s="567"/>
      <c r="P290" s="568"/>
      <c r="Q290" s="567"/>
      <c r="R290" s="567"/>
      <c r="S290" s="567"/>
      <c r="T290" s="567"/>
      <c r="U290" s="567"/>
      <c r="V290" s="567"/>
      <c r="W290" s="80" t="s">
        <v>3</v>
      </c>
      <c r="X290" s="567"/>
      <c r="Y290" s="567"/>
    </row>
    <row r="291" customFormat="false" ht="15" hidden="false" customHeight="true" outlineLevel="0" collapsed="false">
      <c r="A291" s="246" t="s">
        <v>398</v>
      </c>
      <c r="B291" s="580" t="s">
        <v>298</v>
      </c>
      <c r="C291" s="77"/>
      <c r="D291" s="77"/>
      <c r="E291" s="3"/>
      <c r="F291" s="78"/>
      <c r="G291" s="78"/>
      <c r="H291" s="78"/>
      <c r="I291" s="78"/>
      <c r="J291" s="78"/>
      <c r="K291" s="79"/>
      <c r="L291" s="80"/>
      <c r="M291" s="81"/>
      <c r="N291" s="81"/>
      <c r="O291" s="567" t="n">
        <f aca="false">SUM(O293:O298)</f>
        <v>2600</v>
      </c>
      <c r="P291" s="568" t="n">
        <f aca="false">SUM(P293:P298)</f>
        <v>2900</v>
      </c>
      <c r="Q291" s="567" t="n">
        <f aca="false">SUM(Q293:Q298)</f>
        <v>4000</v>
      </c>
      <c r="R291" s="567" t="n">
        <f aca="false">SUM(R293:R298)</f>
        <v>6600</v>
      </c>
      <c r="S291" s="567" t="n">
        <f aca="false">SUM(S293:S298)</f>
        <v>5100</v>
      </c>
      <c r="T291" s="567" t="n">
        <f aca="false">SUM(T293:T298)</f>
        <v>7000</v>
      </c>
      <c r="U291" s="567" t="n">
        <f aca="false">SUM(U293:U298)</f>
        <v>9300</v>
      </c>
      <c r="V291" s="567" t="n">
        <f aca="false">SUM(V293:V298)</f>
        <v>5500</v>
      </c>
      <c r="W291" s="80" t="n">
        <f aca="false">SUM(W293:W298)</f>
        <v>5600</v>
      </c>
      <c r="X291" s="567" t="n">
        <f aca="false">SUM(X293:X298)</f>
        <v>5100</v>
      </c>
      <c r="Y291" s="567" t="n">
        <f aca="false">SUM(Y293:Y298)</f>
        <v>5400</v>
      </c>
    </row>
    <row r="292" s="1" customFormat="true" ht="15" hidden="false" customHeight="true" outlineLevel="0" collapsed="false">
      <c r="A292" s="38"/>
      <c r="B292" s="533"/>
      <c r="C292" s="77"/>
      <c r="D292" s="77"/>
      <c r="E292" s="3"/>
      <c r="F292" s="78"/>
      <c r="G292" s="78"/>
      <c r="H292" s="78"/>
      <c r="I292" s="78"/>
      <c r="J292" s="78"/>
      <c r="K292" s="79"/>
      <c r="L292" s="80"/>
      <c r="M292" s="81"/>
      <c r="N292" s="81"/>
      <c r="O292" s="567"/>
      <c r="P292" s="651"/>
      <c r="Q292" s="567"/>
      <c r="R292" s="567"/>
      <c r="S292" s="567"/>
      <c r="T292" s="567"/>
      <c r="U292" s="567"/>
      <c r="V292" s="567"/>
      <c r="W292" s="80"/>
      <c r="X292" s="567"/>
      <c r="Y292" s="567"/>
    </row>
    <row r="293" customFormat="false" ht="15" hidden="false" customHeight="true" outlineLevel="0" collapsed="false">
      <c r="A293" s="613" t="s">
        <v>399</v>
      </c>
      <c r="B293" s="563" t="s">
        <v>292</v>
      </c>
      <c r="C293" s="77"/>
      <c r="D293" s="77"/>
      <c r="E293" s="3"/>
      <c r="F293" s="78"/>
      <c r="G293" s="78"/>
      <c r="H293" s="78"/>
      <c r="I293" s="78"/>
      <c r="J293" s="78"/>
      <c r="K293" s="79"/>
      <c r="L293" s="80"/>
      <c r="M293" s="81"/>
      <c r="N293" s="81"/>
      <c r="O293" s="567" t="n">
        <v>350</v>
      </c>
      <c r="P293" s="568" t="n">
        <v>400</v>
      </c>
      <c r="Q293" s="567" t="n">
        <v>1200</v>
      </c>
      <c r="R293" s="567" t="n">
        <v>2000</v>
      </c>
      <c r="S293" s="583" t="n">
        <v>3000</v>
      </c>
      <c r="T293" s="583" t="n">
        <v>2800</v>
      </c>
      <c r="U293" s="583" t="n">
        <v>2100</v>
      </c>
      <c r="V293" s="567" t="n">
        <v>500</v>
      </c>
      <c r="W293" s="523" t="n">
        <v>1000</v>
      </c>
      <c r="X293" s="583" t="n">
        <v>1000</v>
      </c>
      <c r="Y293" s="583" t="n">
        <v>1000</v>
      </c>
    </row>
    <row r="294" s="1" customFormat="true" ht="15" hidden="false" customHeight="true" outlineLevel="0" collapsed="false">
      <c r="A294" s="38"/>
      <c r="B294" s="107"/>
      <c r="C294" s="77"/>
      <c r="D294" s="77"/>
      <c r="E294" s="3"/>
      <c r="F294" s="78"/>
      <c r="G294" s="78"/>
      <c r="H294" s="78"/>
      <c r="I294" s="78"/>
      <c r="J294" s="78"/>
      <c r="K294" s="79"/>
      <c r="L294" s="80"/>
      <c r="M294" s="81"/>
      <c r="N294" s="81"/>
      <c r="O294" s="567"/>
      <c r="P294" s="651"/>
      <c r="Q294" s="567"/>
      <c r="R294" s="567"/>
      <c r="S294" s="583"/>
      <c r="T294" s="583"/>
      <c r="U294" s="583"/>
      <c r="V294" s="567"/>
      <c r="W294" s="523"/>
      <c r="X294" s="583"/>
      <c r="Y294" s="583"/>
    </row>
    <row r="295" customFormat="false" ht="15" hidden="false" customHeight="true" outlineLevel="0" collapsed="false">
      <c r="A295" s="613" t="s">
        <v>400</v>
      </c>
      <c r="B295" s="563" t="s">
        <v>387</v>
      </c>
      <c r="C295" s="77"/>
      <c r="D295" s="77"/>
      <c r="E295" s="3"/>
      <c r="F295" s="78"/>
      <c r="G295" s="78"/>
      <c r="H295" s="78"/>
      <c r="I295" s="78"/>
      <c r="J295" s="78"/>
      <c r="K295" s="79"/>
      <c r="L295" s="80"/>
      <c r="M295" s="81"/>
      <c r="N295" s="81"/>
      <c r="O295" s="567" t="n">
        <v>1100</v>
      </c>
      <c r="P295" s="568" t="n">
        <v>600</v>
      </c>
      <c r="Q295" s="567" t="n">
        <v>2300</v>
      </c>
      <c r="R295" s="567" t="n">
        <v>4300</v>
      </c>
      <c r="S295" s="567" t="n">
        <v>2000</v>
      </c>
      <c r="T295" s="567" t="n">
        <v>3400</v>
      </c>
      <c r="U295" s="567" t="n">
        <v>3500</v>
      </c>
      <c r="V295" s="583" t="n">
        <v>1200</v>
      </c>
      <c r="W295" s="523" t="n">
        <v>2100</v>
      </c>
      <c r="X295" s="583" t="n">
        <v>2500</v>
      </c>
      <c r="Y295" s="583" t="n">
        <v>1900</v>
      </c>
    </row>
    <row r="296" customFormat="false" ht="15" hidden="false" customHeight="true" outlineLevel="0" collapsed="false">
      <c r="A296" s="38"/>
      <c r="B296" s="617" t="s">
        <v>388</v>
      </c>
      <c r="C296" s="77"/>
      <c r="D296" s="77"/>
      <c r="E296" s="3"/>
      <c r="F296" s="78"/>
      <c r="G296" s="78"/>
      <c r="H296" s="78"/>
      <c r="I296" s="78"/>
      <c r="J296" s="78"/>
      <c r="K296" s="79"/>
      <c r="L296" s="80"/>
      <c r="M296" s="81"/>
      <c r="N296" s="81"/>
      <c r="O296" s="567"/>
      <c r="P296" s="568"/>
      <c r="Q296" s="567"/>
      <c r="R296" s="567"/>
      <c r="S296" s="567"/>
      <c r="T296" s="567"/>
      <c r="U296" s="567"/>
      <c r="V296" s="583"/>
      <c r="W296" s="523"/>
      <c r="X296" s="583"/>
      <c r="Y296" s="583"/>
    </row>
    <row r="297" customFormat="false" ht="15" hidden="false" customHeight="true" outlineLevel="0" collapsed="false">
      <c r="A297" s="38"/>
      <c r="B297" s="617" t="s">
        <v>389</v>
      </c>
      <c r="C297" s="77"/>
      <c r="D297" s="77"/>
      <c r="E297" s="3"/>
      <c r="F297" s="78"/>
      <c r="G297" s="78"/>
      <c r="H297" s="78"/>
      <c r="I297" s="78"/>
      <c r="J297" s="78"/>
      <c r="K297" s="79"/>
      <c r="L297" s="80"/>
      <c r="M297" s="81"/>
      <c r="N297" s="81"/>
      <c r="O297" s="567"/>
      <c r="P297" s="568"/>
      <c r="Q297" s="567"/>
      <c r="R297" s="567"/>
      <c r="S297" s="567"/>
      <c r="T297" s="567"/>
      <c r="U297" s="567"/>
      <c r="V297" s="583"/>
      <c r="W297" s="523"/>
      <c r="X297" s="583"/>
      <c r="Y297" s="583"/>
    </row>
    <row r="298" customFormat="false" ht="15" hidden="false" customHeight="true" outlineLevel="0" collapsed="false">
      <c r="A298" s="613" t="s">
        <v>401</v>
      </c>
      <c r="B298" s="563" t="s">
        <v>391</v>
      </c>
      <c r="C298" s="77"/>
      <c r="D298" s="77"/>
      <c r="E298" s="3"/>
      <c r="F298" s="78"/>
      <c r="G298" s="78"/>
      <c r="H298" s="78"/>
      <c r="I298" s="78"/>
      <c r="J298" s="78"/>
      <c r="K298" s="79"/>
      <c r="L298" s="80"/>
      <c r="M298" s="81"/>
      <c r="N298" s="81"/>
      <c r="O298" s="567" t="n">
        <f aca="false">SUM(O299,O302)</f>
        <v>1150</v>
      </c>
      <c r="P298" s="568" t="n">
        <f aca="false">SUM(P299,P302)</f>
        <v>1900</v>
      </c>
      <c r="Q298" s="567" t="n">
        <f aca="false">SUM(Q299,Q302)</f>
        <v>500</v>
      </c>
      <c r="R298" s="567" t="n">
        <f aca="false">SUM(R299,R302)</f>
        <v>300</v>
      </c>
      <c r="S298" s="567" t="n">
        <f aca="false">SUM(S299,S302)</f>
        <v>100</v>
      </c>
      <c r="T298" s="567" t="n">
        <f aca="false">SUM(T299,T302)</f>
        <v>800</v>
      </c>
      <c r="U298" s="567" t="n">
        <f aca="false">SUM(U299,U302)</f>
        <v>3700</v>
      </c>
      <c r="V298" s="567" t="n">
        <f aca="false">SUM(V299,V302)</f>
        <v>3800</v>
      </c>
      <c r="W298" s="80" t="n">
        <f aca="false">SUM(W299,W302)</f>
        <v>2500</v>
      </c>
      <c r="X298" s="567" t="n">
        <f aca="false">SUM(X299,X302)</f>
        <v>1600</v>
      </c>
      <c r="Y298" s="567" t="n">
        <f aca="false">SUM(Y299,Y302)</f>
        <v>2500</v>
      </c>
    </row>
    <row r="299" customFormat="false" ht="15" hidden="false" customHeight="true" outlineLevel="0" collapsed="false">
      <c r="A299" s="38"/>
      <c r="B299" s="617" t="s">
        <v>392</v>
      </c>
      <c r="C299" s="77"/>
      <c r="D299" s="77"/>
      <c r="E299" s="3"/>
      <c r="F299" s="78"/>
      <c r="G299" s="78"/>
      <c r="H299" s="78"/>
      <c r="I299" s="78"/>
      <c r="J299" s="78"/>
      <c r="K299" s="79"/>
      <c r="L299" s="80"/>
      <c r="M299" s="81"/>
      <c r="N299" s="81"/>
      <c r="O299" s="567" t="n">
        <f aca="false">O300+O301</f>
        <v>1150</v>
      </c>
      <c r="P299" s="483" t="n">
        <f aca="false">P300+P301</f>
        <v>400</v>
      </c>
      <c r="Q299" s="292" t="n">
        <f aca="false">Q300+Q301</f>
        <v>0</v>
      </c>
      <c r="R299" s="292" t="n">
        <f aca="false">R300+R301</f>
        <v>0</v>
      </c>
      <c r="S299" s="292" t="n">
        <f aca="false">S300+S301</f>
        <v>100</v>
      </c>
      <c r="T299" s="292" t="n">
        <f aca="false">T300+T301</f>
        <v>0</v>
      </c>
      <c r="U299" s="292" t="n">
        <f aca="false">U300+U301</f>
        <v>750</v>
      </c>
      <c r="V299" s="292" t="n">
        <f aca="false">V300+V301</f>
        <v>1000</v>
      </c>
      <c r="W299" s="292" t="n">
        <f aca="false">W300+W301</f>
        <v>700</v>
      </c>
      <c r="X299" s="292" t="n">
        <f aca="false">X300+X301</f>
        <v>400</v>
      </c>
      <c r="Y299" s="292"/>
    </row>
    <row r="300" customFormat="false" ht="15" hidden="false" customHeight="true" outlineLevel="0" collapsed="false">
      <c r="A300" s="38"/>
      <c r="B300" s="618" t="s">
        <v>393</v>
      </c>
      <c r="C300" s="77"/>
      <c r="D300" s="77"/>
      <c r="E300" s="3"/>
      <c r="F300" s="78"/>
      <c r="G300" s="78"/>
      <c r="H300" s="78"/>
      <c r="I300" s="78"/>
      <c r="J300" s="78"/>
      <c r="K300" s="79"/>
      <c r="L300" s="80"/>
      <c r="M300" s="81"/>
      <c r="N300" s="81"/>
      <c r="O300" s="567" t="n">
        <v>30</v>
      </c>
      <c r="P300" s="483" t="n">
        <v>0</v>
      </c>
      <c r="Q300" s="292" t="n">
        <v>0</v>
      </c>
      <c r="R300" s="292" t="n">
        <v>0</v>
      </c>
      <c r="S300" s="292" t="n">
        <v>100</v>
      </c>
      <c r="T300" s="292" t="n">
        <v>0</v>
      </c>
      <c r="U300" s="292" t="n">
        <v>750</v>
      </c>
      <c r="V300" s="292" t="n">
        <v>1000</v>
      </c>
      <c r="W300" s="291" t="n">
        <v>700</v>
      </c>
      <c r="X300" s="292" t="n">
        <v>0</v>
      </c>
      <c r="Y300" s="292" t="n">
        <v>0</v>
      </c>
    </row>
    <row r="301" customFormat="false" ht="15" hidden="false" customHeight="true" outlineLevel="0" collapsed="false">
      <c r="A301" s="38"/>
      <c r="B301" s="618" t="s">
        <v>389</v>
      </c>
      <c r="C301" s="77"/>
      <c r="D301" s="77"/>
      <c r="E301" s="3"/>
      <c r="F301" s="78"/>
      <c r="G301" s="78"/>
      <c r="H301" s="78"/>
      <c r="I301" s="78"/>
      <c r="J301" s="78"/>
      <c r="K301" s="79"/>
      <c r="L301" s="80"/>
      <c r="M301" s="81"/>
      <c r="N301" s="81"/>
      <c r="O301" s="567" t="n">
        <v>1120</v>
      </c>
      <c r="P301" s="483" t="n">
        <v>400</v>
      </c>
      <c r="Q301" s="292" t="n">
        <v>0</v>
      </c>
      <c r="R301" s="292" t="n">
        <v>0</v>
      </c>
      <c r="S301" s="292" t="n">
        <v>0</v>
      </c>
      <c r="T301" s="292" t="n">
        <v>0</v>
      </c>
      <c r="U301" s="292" t="n">
        <v>0</v>
      </c>
      <c r="V301" s="292" t="n">
        <v>0</v>
      </c>
      <c r="W301" s="291" t="n">
        <v>0</v>
      </c>
      <c r="X301" s="292" t="n">
        <v>400</v>
      </c>
      <c r="Y301" s="292"/>
    </row>
    <row r="302" customFormat="false" ht="15" hidden="false" customHeight="true" outlineLevel="0" collapsed="false">
      <c r="A302" s="38"/>
      <c r="B302" s="617" t="s">
        <v>297</v>
      </c>
      <c r="C302" s="77"/>
      <c r="D302" s="77"/>
      <c r="E302" s="3"/>
      <c r="F302" s="78"/>
      <c r="G302" s="78"/>
      <c r="H302" s="78"/>
      <c r="I302" s="78"/>
      <c r="J302" s="78"/>
      <c r="K302" s="79"/>
      <c r="L302" s="80"/>
      <c r="M302" s="81"/>
      <c r="N302" s="81"/>
      <c r="O302" s="567" t="n">
        <v>0</v>
      </c>
      <c r="P302" s="652" t="n">
        <f aca="false">1000+500</f>
        <v>1500</v>
      </c>
      <c r="Q302" s="292" t="n">
        <v>500</v>
      </c>
      <c r="R302" s="292" t="n">
        <v>300</v>
      </c>
      <c r="S302" s="292" t="n">
        <v>0</v>
      </c>
      <c r="T302" s="292" t="n">
        <v>800</v>
      </c>
      <c r="U302" s="292" t="n">
        <v>2950</v>
      </c>
      <c r="V302" s="292" t="n">
        <v>2800</v>
      </c>
      <c r="W302" s="291" t="n">
        <v>1800</v>
      </c>
      <c r="X302" s="292" t="n">
        <v>1200</v>
      </c>
      <c r="Y302" s="292" t="n">
        <v>2500</v>
      </c>
    </row>
    <row r="303" customFormat="false" ht="15" hidden="false" customHeight="true" outlineLevel="0" collapsed="false">
      <c r="A303" s="38"/>
      <c r="B303" s="107"/>
      <c r="C303" s="77"/>
      <c r="D303" s="77"/>
      <c r="E303" s="3"/>
      <c r="F303" s="78"/>
      <c r="G303" s="78"/>
      <c r="H303" s="78"/>
      <c r="I303" s="78"/>
      <c r="J303" s="78"/>
      <c r="K303" s="79"/>
      <c r="L303" s="80"/>
      <c r="M303" s="81"/>
      <c r="N303" s="81"/>
      <c r="O303" s="567"/>
      <c r="P303" s="568"/>
      <c r="Q303" s="567"/>
      <c r="R303" s="567"/>
      <c r="S303" s="567"/>
      <c r="T303" s="567"/>
      <c r="U303" s="567"/>
      <c r="V303" s="567"/>
      <c r="W303" s="80"/>
      <c r="X303" s="567"/>
      <c r="Y303" s="567"/>
    </row>
    <row r="304" customFormat="false" ht="15" hidden="false" customHeight="true" outlineLevel="0" collapsed="false">
      <c r="A304" s="610" t="s">
        <v>299</v>
      </c>
      <c r="B304" s="585" t="s">
        <v>300</v>
      </c>
      <c r="C304" s="77"/>
      <c r="D304" s="77"/>
      <c r="E304" s="3"/>
      <c r="F304" s="78"/>
      <c r="G304" s="78"/>
      <c r="H304" s="78"/>
      <c r="I304" s="78"/>
      <c r="J304" s="78"/>
      <c r="K304" s="79"/>
      <c r="L304" s="80"/>
      <c r="M304" s="81"/>
      <c r="N304" s="81"/>
      <c r="O304" s="567" t="n">
        <f aca="false">O306+O311+O315</f>
        <v>163500</v>
      </c>
      <c r="P304" s="568" t="e">
        <f aca="false">P306+P311+P315</f>
        <v>#REF!</v>
      </c>
      <c r="Q304" s="567" t="e">
        <f aca="false">Q306+Q311+Q315</f>
        <v>#REF!</v>
      </c>
      <c r="R304" s="567" t="e">
        <f aca="false">R306+R311+R315</f>
        <v>#REF!</v>
      </c>
      <c r="S304" s="567" t="e">
        <f aca="false">S306+S311+S315</f>
        <v>#REF!</v>
      </c>
      <c r="T304" s="567" t="e">
        <f aca="false">T306+T311+T315</f>
        <v>#REF!</v>
      </c>
      <c r="U304" s="567" t="e">
        <f aca="false">U306+U311+U315</f>
        <v>#REF!</v>
      </c>
      <c r="V304" s="567" t="e">
        <f aca="false">V306+V311+V315</f>
        <v>#REF!</v>
      </c>
      <c r="W304" s="80" t="e">
        <f aca="false">W306+W311+W315</f>
        <v>#REF!</v>
      </c>
      <c r="X304" s="567" t="e">
        <f aca="false">X306+X311+X315</f>
        <v>#REF!</v>
      </c>
      <c r="Y304" s="567" t="n">
        <f aca="false">Y306+Y311+Y315</f>
        <v>20000</v>
      </c>
    </row>
    <row r="305" customFormat="false" ht="15" hidden="false" customHeight="true" outlineLevel="0" collapsed="false">
      <c r="A305" s="38"/>
      <c r="B305" s="107"/>
      <c r="C305" s="77"/>
      <c r="D305" s="77"/>
      <c r="E305" s="3"/>
      <c r="F305" s="78"/>
      <c r="G305" s="78"/>
      <c r="H305" s="78"/>
      <c r="I305" s="78"/>
      <c r="J305" s="78"/>
      <c r="K305" s="79"/>
      <c r="L305" s="80"/>
      <c r="M305" s="81"/>
      <c r="N305" s="81"/>
      <c r="O305" s="82"/>
      <c r="P305" s="187"/>
      <c r="Q305" s="188"/>
      <c r="R305" s="188"/>
      <c r="S305" s="188"/>
      <c r="T305" s="188"/>
      <c r="U305" s="188"/>
      <c r="V305" s="188"/>
      <c r="W305" s="189"/>
      <c r="X305" s="188"/>
      <c r="Y305" s="188"/>
    </row>
    <row r="306" customFormat="false" ht="15" hidden="false" customHeight="true" outlineLevel="0" collapsed="false">
      <c r="A306" s="246" t="s">
        <v>402</v>
      </c>
      <c r="B306" s="496" t="s">
        <v>301</v>
      </c>
      <c r="C306" s="77"/>
      <c r="D306" s="77"/>
      <c r="E306" s="3"/>
      <c r="F306" s="78"/>
      <c r="G306" s="78"/>
      <c r="H306" s="78"/>
      <c r="I306" s="78"/>
      <c r="J306" s="78"/>
      <c r="K306" s="79"/>
      <c r="L306" s="80"/>
      <c r="M306" s="81"/>
      <c r="N306" s="281"/>
      <c r="O306" s="567" t="n">
        <f aca="false">SUM(O307:O309)</f>
        <v>99400</v>
      </c>
      <c r="P306" s="568" t="e">
        <f aca="false">SUM(P307:P309)</f>
        <v>#REF!</v>
      </c>
      <c r="Q306" s="567" t="e">
        <f aca="false">SUM(Q307:Q309)</f>
        <v>#REF!</v>
      </c>
      <c r="R306" s="567" t="e">
        <f aca="false">SUM(R307:R309)</f>
        <v>#REF!</v>
      </c>
      <c r="S306" s="567" t="e">
        <f aca="false">SUM(S307:S309)</f>
        <v>#REF!</v>
      </c>
      <c r="T306" s="567" t="e">
        <f aca="false">SUM(T307:T309)</f>
        <v>#REF!</v>
      </c>
      <c r="U306" s="567" t="e">
        <f aca="false">SUM(U307:U309)</f>
        <v>#REF!</v>
      </c>
      <c r="V306" s="567" t="e">
        <f aca="false">SUM(V307:V309)</f>
        <v>#REF!</v>
      </c>
      <c r="W306" s="80" t="e">
        <f aca="false">SUM(W307:W309)</f>
        <v>#REF!</v>
      </c>
      <c r="X306" s="567" t="e">
        <f aca="false">SUM(X307:X309)</f>
        <v>#REF!</v>
      </c>
      <c r="Y306" s="567"/>
    </row>
    <row r="307" customFormat="false" ht="15" hidden="false" customHeight="true" outlineLevel="0" collapsed="false">
      <c r="A307" s="613" t="s">
        <v>403</v>
      </c>
      <c r="B307" s="563" t="s">
        <v>302</v>
      </c>
      <c r="C307" s="77"/>
      <c r="D307" s="77"/>
      <c r="E307" s="3"/>
      <c r="F307" s="78"/>
      <c r="G307" s="78"/>
      <c r="H307" s="78"/>
      <c r="I307" s="78"/>
      <c r="J307" s="78"/>
      <c r="K307" s="79"/>
      <c r="L307" s="80"/>
      <c r="M307" s="81"/>
      <c r="N307" s="281"/>
      <c r="O307" s="567" t="n">
        <v>33300</v>
      </c>
      <c r="P307" s="568" t="n">
        <v>28000</v>
      </c>
      <c r="Q307" s="586" t="n">
        <v>15600</v>
      </c>
      <c r="R307" s="586" t="n">
        <v>9600</v>
      </c>
      <c r="S307" s="567" t="n">
        <v>1500</v>
      </c>
      <c r="T307" s="567" t="n">
        <v>300</v>
      </c>
      <c r="U307" s="567" t="n">
        <v>200</v>
      </c>
      <c r="V307" s="567" t="n">
        <v>200</v>
      </c>
      <c r="W307" s="80" t="n">
        <v>200</v>
      </c>
      <c r="X307" s="567" t="n">
        <v>200</v>
      </c>
      <c r="Y307" s="567"/>
    </row>
    <row r="308" customFormat="false" ht="15" hidden="false" customHeight="true" outlineLevel="0" collapsed="false">
      <c r="A308" s="613" t="s">
        <v>404</v>
      </c>
      <c r="B308" s="563" t="s">
        <v>303</v>
      </c>
      <c r="C308" s="77"/>
      <c r="D308" s="77"/>
      <c r="E308" s="3"/>
      <c r="F308" s="78"/>
      <c r="G308" s="78"/>
      <c r="H308" s="78"/>
      <c r="I308" s="78"/>
      <c r="J308" s="78"/>
      <c r="K308" s="79"/>
      <c r="L308" s="80"/>
      <c r="M308" s="81"/>
      <c r="N308" s="281"/>
      <c r="O308" s="567" t="n">
        <v>28300</v>
      </c>
      <c r="P308" s="568" t="n">
        <f aca="false">15400+1400-200</f>
        <v>16600</v>
      </c>
      <c r="Q308" s="586" t="n">
        <f aca="false">25600+0</f>
        <v>25600</v>
      </c>
      <c r="R308" s="586" t="n">
        <f aca="false">12100+1600</f>
        <v>13700</v>
      </c>
      <c r="S308" s="567" t="n">
        <f aca="false">3100+100</f>
        <v>3200</v>
      </c>
      <c r="T308" s="567" t="n">
        <v>600</v>
      </c>
      <c r="U308" s="567" t="n">
        <v>300</v>
      </c>
      <c r="V308" s="567" t="n">
        <v>300</v>
      </c>
      <c r="W308" s="80" t="n">
        <v>200</v>
      </c>
      <c r="X308" s="567" t="n">
        <v>600</v>
      </c>
      <c r="Y308" s="567"/>
    </row>
    <row r="309" customFormat="false" ht="15" hidden="false" customHeight="true" outlineLevel="0" collapsed="false">
      <c r="A309" s="613" t="s">
        <v>405</v>
      </c>
      <c r="B309" s="563" t="s">
        <v>304</v>
      </c>
      <c r="C309" s="77"/>
      <c r="D309" s="77"/>
      <c r="E309" s="3"/>
      <c r="F309" s="78"/>
      <c r="G309" s="78"/>
      <c r="H309" s="78"/>
      <c r="I309" s="78"/>
      <c r="J309" s="78"/>
      <c r="K309" s="79"/>
      <c r="L309" s="80"/>
      <c r="M309" s="81"/>
      <c r="N309" s="281"/>
      <c r="O309" s="567" t="n">
        <v>37800</v>
      </c>
      <c r="P309" s="568" t="e">
        <f aca="false">P310+#REF!</f>
        <v>#REF!</v>
      </c>
      <c r="Q309" s="586" t="e">
        <f aca="false">Q310+#REF!</f>
        <v>#REF!</v>
      </c>
      <c r="R309" s="586" t="e">
        <f aca="false">R310+#REF!</f>
        <v>#REF!</v>
      </c>
      <c r="S309" s="586" t="e">
        <f aca="false">S310+#REF!+#REF!</f>
        <v>#REF!</v>
      </c>
      <c r="T309" s="586" t="e">
        <f aca="false">T310+#REF!+#REF!</f>
        <v>#REF!</v>
      </c>
      <c r="U309" s="586" t="e">
        <f aca="false">U310+#REF!+#REF!</f>
        <v>#REF!</v>
      </c>
      <c r="V309" s="586" t="e">
        <f aca="false">V310+#REF!+#REF!</f>
        <v>#REF!</v>
      </c>
      <c r="W309" s="587" t="e">
        <f aca="false">W310+#REF!+#REF!</f>
        <v>#REF!</v>
      </c>
      <c r="X309" s="586" t="e">
        <f aca="false">X310+#REF!+#REF!</f>
        <v>#REF!</v>
      </c>
      <c r="Y309" s="567" t="e">
        <f aca="false">Y310+#REF!+#REF!</f>
        <v>#REF!</v>
      </c>
    </row>
    <row r="310" customFormat="false" ht="15" hidden="false" customHeight="true" outlineLevel="0" collapsed="false">
      <c r="A310" s="38"/>
      <c r="B310" s="95"/>
      <c r="C310" s="77"/>
      <c r="D310" s="77"/>
      <c r="E310" s="3"/>
      <c r="F310" s="78"/>
      <c r="G310" s="78"/>
      <c r="H310" s="78"/>
      <c r="I310" s="78"/>
      <c r="J310" s="78"/>
      <c r="K310" s="79"/>
      <c r="L310" s="80"/>
      <c r="M310" s="81"/>
      <c r="N310" s="281"/>
      <c r="O310" s="567"/>
      <c r="P310" s="483" t="n">
        <v>31000</v>
      </c>
      <c r="Q310" s="292" t="n">
        <v>33300</v>
      </c>
      <c r="R310" s="292" t="n">
        <v>19200</v>
      </c>
      <c r="S310" s="292" t="n">
        <v>4700</v>
      </c>
      <c r="T310" s="292" t="n">
        <v>500</v>
      </c>
      <c r="U310" s="292" t="n">
        <v>400</v>
      </c>
      <c r="V310" s="292" t="n">
        <v>400</v>
      </c>
      <c r="W310" s="291" t="n">
        <v>300</v>
      </c>
      <c r="X310" s="292" t="n">
        <v>800</v>
      </c>
      <c r="Y310" s="567"/>
    </row>
    <row r="311" customFormat="false" ht="15" hidden="false" customHeight="true" outlineLevel="0" collapsed="false">
      <c r="A311" s="246" t="s">
        <v>406</v>
      </c>
      <c r="B311" s="496" t="s">
        <v>305</v>
      </c>
      <c r="C311" s="77"/>
      <c r="D311" s="77"/>
      <c r="E311" s="3"/>
      <c r="F311" s="78"/>
      <c r="G311" s="78"/>
      <c r="H311" s="78"/>
      <c r="I311" s="78"/>
      <c r="J311" s="78"/>
      <c r="K311" s="79"/>
      <c r="L311" s="80"/>
      <c r="M311" s="81"/>
      <c r="N311" s="281"/>
      <c r="O311" s="567" t="n">
        <f aca="false">SUM(O312:O313)</f>
        <v>50900</v>
      </c>
      <c r="P311" s="568" t="n">
        <f aca="false">SUM(P312:P313)</f>
        <v>43500</v>
      </c>
      <c r="Q311" s="567" t="n">
        <f aca="false">SUM(Q312:Q313)</f>
        <v>8600</v>
      </c>
      <c r="R311" s="567" t="n">
        <f aca="false">SUM(R312:R313)</f>
        <v>1500</v>
      </c>
      <c r="S311" s="567" t="n">
        <v>0</v>
      </c>
      <c r="T311" s="567" t="n">
        <v>0</v>
      </c>
      <c r="U311" s="567" t="n">
        <v>0</v>
      </c>
      <c r="V311" s="567" t="n">
        <v>0</v>
      </c>
      <c r="W311" s="567" t="n">
        <v>0</v>
      </c>
      <c r="X311" s="567" t="n">
        <v>0</v>
      </c>
      <c r="Y311" s="567"/>
    </row>
    <row r="312" customFormat="false" ht="15" hidden="false" customHeight="true" outlineLevel="0" collapsed="false">
      <c r="A312" s="613" t="s">
        <v>407</v>
      </c>
      <c r="B312" s="563" t="s">
        <v>303</v>
      </c>
      <c r="C312" s="77"/>
      <c r="D312" s="77"/>
      <c r="E312" s="3"/>
      <c r="F312" s="78"/>
      <c r="G312" s="78"/>
      <c r="H312" s="78"/>
      <c r="I312" s="78"/>
      <c r="J312" s="78"/>
      <c r="K312" s="79"/>
      <c r="L312" s="80"/>
      <c r="M312" s="81"/>
      <c r="N312" s="281"/>
      <c r="O312" s="567" t="n">
        <v>10500</v>
      </c>
      <c r="P312" s="568" t="n">
        <v>2900</v>
      </c>
      <c r="Q312" s="567" t="n">
        <v>400</v>
      </c>
      <c r="R312" s="567" t="n">
        <v>0</v>
      </c>
      <c r="S312" s="567" t="n">
        <v>0</v>
      </c>
      <c r="T312" s="567" t="n">
        <v>0</v>
      </c>
      <c r="U312" s="567" t="n">
        <v>0</v>
      </c>
      <c r="V312" s="567" t="n">
        <v>0</v>
      </c>
      <c r="W312" s="567" t="n">
        <v>0</v>
      </c>
      <c r="X312" s="567" t="n">
        <v>0</v>
      </c>
      <c r="Y312" s="567"/>
    </row>
    <row r="313" customFormat="false" ht="15" hidden="false" customHeight="true" outlineLevel="0" collapsed="false">
      <c r="A313" s="613" t="s">
        <v>408</v>
      </c>
      <c r="B313" s="563" t="s">
        <v>304</v>
      </c>
      <c r="C313" s="77"/>
      <c r="D313" s="77"/>
      <c r="E313" s="3"/>
      <c r="F313" s="78"/>
      <c r="G313" s="78"/>
      <c r="H313" s="78"/>
      <c r="I313" s="78"/>
      <c r="J313" s="78"/>
      <c r="K313" s="79"/>
      <c r="L313" s="80"/>
      <c r="M313" s="81"/>
      <c r="N313" s="281"/>
      <c r="O313" s="567" t="n">
        <v>40400</v>
      </c>
      <c r="P313" s="568" t="n">
        <v>40600</v>
      </c>
      <c r="Q313" s="567" t="n">
        <v>8200</v>
      </c>
      <c r="R313" s="567" t="n">
        <v>1500</v>
      </c>
      <c r="S313" s="567" t="n">
        <v>0</v>
      </c>
      <c r="T313" s="567" t="n">
        <v>0</v>
      </c>
      <c r="U313" s="567" t="n">
        <v>0</v>
      </c>
      <c r="V313" s="567" t="n">
        <v>0</v>
      </c>
      <c r="W313" s="567" t="n">
        <v>0</v>
      </c>
      <c r="X313" s="567" t="n">
        <v>0</v>
      </c>
      <c r="Y313" s="567"/>
    </row>
    <row r="314" customFormat="false" ht="15" hidden="false" customHeight="true" outlineLevel="0" collapsed="false">
      <c r="A314" s="38"/>
      <c r="B314" s="107"/>
      <c r="C314" s="77"/>
      <c r="D314" s="77"/>
      <c r="E314" s="3"/>
      <c r="F314" s="78"/>
      <c r="G314" s="78"/>
      <c r="H314" s="78"/>
      <c r="I314" s="78"/>
      <c r="J314" s="78"/>
      <c r="K314" s="79"/>
      <c r="L314" s="80"/>
      <c r="M314" s="81"/>
      <c r="N314" s="281"/>
      <c r="O314" s="567"/>
      <c r="P314" s="568"/>
      <c r="Q314" s="567"/>
      <c r="R314" s="567"/>
      <c r="S314" s="567"/>
      <c r="T314" s="567"/>
      <c r="U314" s="567"/>
      <c r="V314" s="567"/>
      <c r="W314" s="80"/>
      <c r="X314" s="567"/>
      <c r="Y314" s="567"/>
    </row>
    <row r="315" customFormat="false" ht="15" hidden="false" customHeight="true" outlineLevel="0" collapsed="false">
      <c r="A315" s="246" t="s">
        <v>409</v>
      </c>
      <c r="B315" s="496" t="s">
        <v>306</v>
      </c>
      <c r="C315" s="77"/>
      <c r="D315" s="77"/>
      <c r="E315" s="3"/>
      <c r="F315" s="78"/>
      <c r="G315" s="78"/>
      <c r="H315" s="78"/>
      <c r="I315" s="78"/>
      <c r="J315" s="78"/>
      <c r="K315" s="79"/>
      <c r="L315" s="80"/>
      <c r="M315" s="81"/>
      <c r="N315" s="281"/>
      <c r="O315" s="567" t="n">
        <v>13200</v>
      </c>
      <c r="P315" s="568" t="n">
        <f aca="false">20500</f>
        <v>20500</v>
      </c>
      <c r="Q315" s="567" t="n">
        <v>8700</v>
      </c>
      <c r="R315" s="567" t="n">
        <v>800</v>
      </c>
      <c r="S315" s="567" t="n">
        <v>0</v>
      </c>
      <c r="T315" s="567" t="n">
        <v>0</v>
      </c>
      <c r="U315" s="567" t="n">
        <v>0</v>
      </c>
      <c r="V315" s="567" t="n">
        <v>0</v>
      </c>
      <c r="W315" s="80" t="n">
        <v>1000</v>
      </c>
      <c r="X315" s="567" t="n">
        <v>15000</v>
      </c>
      <c r="Y315" s="567" t="n">
        <v>20000</v>
      </c>
    </row>
    <row r="316" customFormat="false" ht="15" hidden="false" customHeight="true" outlineLevel="0" collapsed="false">
      <c r="A316" s="650"/>
      <c r="B316" s="95"/>
      <c r="C316" s="77"/>
      <c r="D316" s="77"/>
      <c r="E316" s="3"/>
      <c r="F316" s="78"/>
      <c r="G316" s="78"/>
      <c r="H316" s="78"/>
      <c r="I316" s="78"/>
      <c r="J316" s="78"/>
      <c r="K316" s="79"/>
      <c r="L316" s="80"/>
      <c r="M316" s="81"/>
      <c r="N316" s="81"/>
      <c r="O316" s="567"/>
      <c r="P316" s="568"/>
      <c r="Q316" s="567"/>
      <c r="R316" s="567"/>
      <c r="S316" s="567"/>
      <c r="T316" s="567"/>
      <c r="U316" s="567"/>
      <c r="V316" s="567"/>
      <c r="W316" s="80"/>
      <c r="X316" s="567"/>
      <c r="Y316" s="567"/>
    </row>
    <row r="317" customFormat="false" ht="15" hidden="false" customHeight="true" outlineLevel="0" collapsed="false">
      <c r="A317" s="650"/>
      <c r="B317" s="144"/>
      <c r="C317" s="77"/>
      <c r="D317" s="77"/>
      <c r="E317" s="3"/>
      <c r="F317" s="78"/>
      <c r="G317" s="78"/>
      <c r="H317" s="78"/>
      <c r="I317" s="78"/>
      <c r="J317" s="78"/>
      <c r="K317" s="79"/>
      <c r="L317" s="80"/>
      <c r="M317" s="81"/>
      <c r="N317" s="81"/>
      <c r="O317" s="567"/>
      <c r="P317" s="568"/>
      <c r="Q317" s="567"/>
      <c r="R317" s="567"/>
      <c r="S317" s="567"/>
      <c r="T317" s="567"/>
      <c r="U317" s="567"/>
      <c r="V317" s="567"/>
      <c r="W317" s="80"/>
      <c r="X317" s="567"/>
      <c r="Y317" s="567"/>
    </row>
    <row r="318" customFormat="false" ht="15" hidden="false" customHeight="true" outlineLevel="0" collapsed="false">
      <c r="A318" s="650"/>
      <c r="B318" s="144"/>
      <c r="C318" s="77"/>
      <c r="D318" s="77"/>
      <c r="E318" s="3"/>
      <c r="F318" s="78"/>
      <c r="G318" s="78"/>
      <c r="H318" s="78"/>
      <c r="I318" s="78"/>
      <c r="J318" s="78"/>
      <c r="K318" s="79"/>
      <c r="L318" s="80"/>
      <c r="M318" s="81"/>
      <c r="N318" s="81"/>
      <c r="O318" s="567"/>
      <c r="P318" s="568"/>
      <c r="Q318" s="567"/>
      <c r="R318" s="567"/>
      <c r="S318" s="567"/>
      <c r="T318" s="567"/>
      <c r="U318" s="567"/>
      <c r="V318" s="567"/>
      <c r="W318" s="80"/>
      <c r="X318" s="567"/>
      <c r="Y318" s="567"/>
    </row>
    <row r="319" customFormat="false" ht="15" hidden="false" customHeight="true" outlineLevel="0" collapsed="false">
      <c r="A319" s="650"/>
      <c r="B319" s="144"/>
      <c r="C319" s="77"/>
      <c r="D319" s="77"/>
      <c r="E319" s="3"/>
      <c r="F319" s="78"/>
      <c r="G319" s="78"/>
      <c r="H319" s="78"/>
      <c r="I319" s="78"/>
      <c r="J319" s="78"/>
      <c r="K319" s="79"/>
      <c r="L319" s="80"/>
      <c r="M319" s="81"/>
      <c r="N319" s="81"/>
      <c r="O319" s="567"/>
      <c r="P319" s="568"/>
      <c r="Q319" s="567"/>
      <c r="R319" s="567"/>
      <c r="S319" s="567"/>
      <c r="T319" s="567"/>
      <c r="U319" s="567"/>
      <c r="V319" s="567"/>
      <c r="W319" s="80"/>
      <c r="X319" s="567"/>
      <c r="Y319" s="567"/>
    </row>
    <row r="320" customFormat="false" ht="15" hidden="false" customHeight="true" outlineLevel="0" collapsed="false">
      <c r="A320" s="650"/>
      <c r="B320" s="144"/>
      <c r="C320" s="77"/>
      <c r="D320" s="77"/>
      <c r="E320" s="3"/>
      <c r="F320" s="78"/>
      <c r="G320" s="78"/>
      <c r="H320" s="78"/>
      <c r="I320" s="78"/>
      <c r="J320" s="78"/>
      <c r="K320" s="79"/>
      <c r="L320" s="80"/>
      <c r="M320" s="81"/>
      <c r="N320" s="81"/>
      <c r="O320" s="567"/>
      <c r="P320" s="568"/>
      <c r="Q320" s="567"/>
      <c r="R320" s="567"/>
      <c r="S320" s="567"/>
      <c r="T320" s="567"/>
      <c r="U320" s="567"/>
      <c r="V320" s="567"/>
      <c r="W320" s="80"/>
      <c r="X320" s="567"/>
      <c r="Y320" s="567"/>
    </row>
    <row r="321" customFormat="false" ht="15" hidden="false" customHeight="true" outlineLevel="0" collapsed="false">
      <c r="A321" s="650"/>
      <c r="B321" s="144"/>
      <c r="C321" s="77"/>
      <c r="D321" s="77"/>
      <c r="E321" s="3"/>
      <c r="F321" s="78"/>
      <c r="G321" s="78"/>
      <c r="H321" s="78"/>
      <c r="I321" s="78"/>
      <c r="J321" s="78"/>
      <c r="K321" s="79"/>
      <c r="L321" s="80"/>
      <c r="M321" s="81"/>
      <c r="N321" s="81"/>
      <c r="O321" s="567"/>
      <c r="P321" s="568"/>
      <c r="Q321" s="567"/>
      <c r="R321" s="567"/>
      <c r="S321" s="567"/>
      <c r="T321" s="567"/>
      <c r="U321" s="567"/>
      <c r="V321" s="567"/>
      <c r="W321" s="80"/>
      <c r="X321" s="567"/>
      <c r="Y321" s="567"/>
    </row>
    <row r="322" customFormat="false" ht="15" hidden="false" customHeight="true" outlineLevel="0" collapsed="false">
      <c r="A322" s="650"/>
      <c r="B322" s="144"/>
      <c r="C322" s="77"/>
      <c r="D322" s="77"/>
      <c r="E322" s="3"/>
      <c r="F322" s="78"/>
      <c r="G322" s="78"/>
      <c r="H322" s="78"/>
      <c r="I322" s="78"/>
      <c r="J322" s="78"/>
      <c r="K322" s="79"/>
      <c r="L322" s="80"/>
      <c r="M322" s="81"/>
      <c r="N322" s="81"/>
      <c r="O322" s="567"/>
      <c r="P322" s="568"/>
      <c r="Q322" s="567"/>
      <c r="R322" s="567"/>
      <c r="S322" s="567"/>
      <c r="T322" s="567"/>
      <c r="U322" s="567"/>
      <c r="V322" s="567"/>
      <c r="W322" s="80"/>
      <c r="X322" s="567"/>
      <c r="Y322" s="567"/>
    </row>
    <row r="323" customFormat="false" ht="15" hidden="false" customHeight="true" outlineLevel="0" collapsed="false">
      <c r="A323" s="29"/>
      <c r="B323" s="589"/>
      <c r="C323" s="590"/>
      <c r="D323" s="590"/>
      <c r="E323" s="419"/>
      <c r="F323" s="591"/>
      <c r="G323" s="591"/>
      <c r="H323" s="591"/>
      <c r="I323" s="591"/>
      <c r="J323" s="591"/>
      <c r="K323" s="592"/>
      <c r="L323" s="592"/>
      <c r="M323" s="593"/>
      <c r="N323" s="593"/>
      <c r="O323" s="593"/>
      <c r="P323" s="594"/>
      <c r="Q323" s="593"/>
      <c r="R323" s="593"/>
      <c r="S323" s="593"/>
      <c r="T323" s="593"/>
      <c r="U323" s="593"/>
      <c r="V323" s="593"/>
      <c r="W323" s="592"/>
      <c r="X323" s="593"/>
      <c r="Y323" s="593"/>
    </row>
    <row r="324" customFormat="false" ht="15" hidden="false" customHeight="true" outlineLevel="0" collapsed="false">
      <c r="A324" s="653"/>
      <c r="B324" s="596"/>
      <c r="C324" s="597"/>
      <c r="D324" s="597"/>
      <c r="E324" s="598"/>
      <c r="F324" s="599"/>
      <c r="G324" s="599"/>
      <c r="H324" s="599"/>
      <c r="I324" s="599"/>
      <c r="J324" s="599"/>
      <c r="K324" s="600"/>
      <c r="L324" s="600"/>
      <c r="M324" s="601"/>
      <c r="N324" s="601"/>
      <c r="O324" s="601"/>
      <c r="P324" s="602"/>
      <c r="Q324" s="603"/>
      <c r="R324" s="603"/>
      <c r="S324" s="603"/>
      <c r="T324" s="603"/>
      <c r="U324" s="603"/>
      <c r="V324" s="603"/>
      <c r="W324" s="604"/>
      <c r="X324" s="601"/>
      <c r="Y324" s="601"/>
    </row>
    <row r="326" customFormat="false" ht="12.75" hidden="false" customHeight="false" outlineLevel="0" collapsed="false">
      <c r="P326" s="605"/>
      <c r="Q326" s="605"/>
      <c r="R326" s="605"/>
      <c r="S326" s="605"/>
      <c r="T326" s="605"/>
      <c r="U326" s="605"/>
      <c r="V326" s="605"/>
      <c r="W326" s="605"/>
      <c r="X326" s="605"/>
    </row>
    <row r="327" customFormat="false" ht="12.75" hidden="false" customHeight="false" outlineLevel="0" collapsed="false">
      <c r="P327" s="605"/>
      <c r="Q327" s="605"/>
      <c r="R327" s="605"/>
      <c r="S327" s="605"/>
      <c r="T327" s="605"/>
      <c r="U327" s="605"/>
      <c r="V327" s="605"/>
      <c r="W327" s="605"/>
      <c r="X327" s="605"/>
      <c r="Y327" s="605"/>
    </row>
    <row r="328" customFormat="false" ht="12.75" hidden="false" customHeight="false" outlineLevel="0" collapsed="false">
      <c r="O328" s="295"/>
      <c r="P328" s="605"/>
      <c r="Q328" s="605"/>
      <c r="R328" s="605"/>
      <c r="S328" s="605"/>
      <c r="T328" s="605"/>
      <c r="U328" s="605"/>
      <c r="V328" s="605"/>
      <c r="W328" s="605"/>
      <c r="X328" s="605"/>
      <c r="Y328" s="605"/>
    </row>
    <row r="329" customFormat="false" ht="12.75" hidden="false" customHeight="false" outlineLevel="0" collapsed="false">
      <c r="P329" s="605"/>
      <c r="Q329" s="605"/>
      <c r="R329" s="605"/>
      <c r="S329" s="605"/>
      <c r="T329" s="605"/>
      <c r="U329" s="605"/>
      <c r="V329" s="605"/>
      <c r="W329" s="605"/>
      <c r="X329" s="605"/>
      <c r="Y329" s="605"/>
    </row>
    <row r="330" customFormat="false" ht="12.75" hidden="false" customHeight="false" outlineLevel="0" collapsed="false">
      <c r="B330" s="201"/>
      <c r="P330" s="606"/>
      <c r="Q330" s="606"/>
      <c r="R330" s="606"/>
      <c r="S330" s="606"/>
      <c r="T330" s="606"/>
      <c r="U330" s="606"/>
      <c r="V330" s="606"/>
      <c r="W330" s="606"/>
      <c r="X330" s="606"/>
      <c r="Y330" s="606"/>
    </row>
    <row r="331" customFormat="false" ht="12.75" hidden="false" customHeight="false" outlineLevel="0" collapsed="false">
      <c r="B331" s="3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</row>
    <row r="332" customFormat="false" ht="12.75" hidden="false" customHeight="false" outlineLevel="0" collapsed="false">
      <c r="B332" s="3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</row>
    <row r="333" customFormat="false" ht="12.75" hidden="false" customHeight="false" outlineLevel="0" collapsed="false">
      <c r="M333" s="17"/>
      <c r="N333" s="17"/>
      <c r="O333" s="17"/>
      <c r="P333" s="606"/>
      <c r="Q333" s="606"/>
      <c r="R333" s="606"/>
      <c r="S333" s="606"/>
      <c r="T333" s="606"/>
      <c r="U333" s="606"/>
      <c r="V333" s="606"/>
      <c r="W333" s="606"/>
      <c r="X333" s="606"/>
      <c r="Y333" s="606"/>
    </row>
    <row r="334" customFormat="false" ht="12.75" hidden="false" customHeight="false" outlineLevel="0" collapsed="false">
      <c r="B334" s="201"/>
      <c r="E334" s="607"/>
      <c r="F334" s="607"/>
      <c r="G334" s="607"/>
      <c r="H334" s="607"/>
      <c r="I334" s="607"/>
      <c r="J334" s="607"/>
      <c r="K334" s="607"/>
      <c r="L334" s="607"/>
      <c r="M334" s="607"/>
      <c r="N334" s="607"/>
      <c r="O334" s="607"/>
      <c r="P334" s="607"/>
      <c r="Q334" s="607"/>
      <c r="R334" s="607"/>
      <c r="S334" s="607"/>
      <c r="T334" s="607"/>
      <c r="U334" s="607"/>
      <c r="V334" s="607"/>
      <c r="W334" s="607"/>
      <c r="X334" s="607"/>
      <c r="Y334" s="607"/>
    </row>
    <row r="335" customFormat="false" ht="12.75" hidden="false" customHeight="false" outlineLevel="0" collapsed="false"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</row>
    <row r="336" customFormat="false" ht="12.75" hidden="false" customHeight="false" outlineLevel="0" collapsed="false"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</row>
    <row r="337" customFormat="false" ht="12.75" hidden="false" customHeight="false" outlineLevel="0" collapsed="false">
      <c r="B337" s="3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</row>
    <row r="338" customFormat="false" ht="12.75" hidden="false" customHeight="false" outlineLevel="0" collapsed="false">
      <c r="B338" s="3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</row>
    <row r="339" s="201" customFormat="true" ht="12.75" hidden="false" customHeight="false" outlineLevel="0" collapsed="false">
      <c r="A339" s="654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</row>
    <row r="340" customFormat="false" ht="12.75" hidden="false" customHeight="false" outlineLevel="0" collapsed="false">
      <c r="B340" s="3"/>
      <c r="M340" s="484"/>
      <c r="N340" s="484"/>
      <c r="O340" s="484"/>
      <c r="P340" s="484"/>
      <c r="Q340" s="484"/>
      <c r="R340" s="484"/>
      <c r="S340" s="484"/>
      <c r="T340" s="484"/>
      <c r="U340" s="484"/>
      <c r="V340" s="484"/>
      <c r="W340" s="484"/>
      <c r="X340" s="484"/>
      <c r="Y340" s="484"/>
    </row>
    <row r="341" customFormat="false" ht="12.75" hidden="false" customHeight="false" outlineLevel="0" collapsed="false">
      <c r="B341" s="3"/>
      <c r="M341" s="484"/>
      <c r="N341" s="484"/>
      <c r="O341" s="484"/>
      <c r="P341" s="484"/>
      <c r="Q341" s="484"/>
      <c r="R341" s="484"/>
      <c r="S341" s="484"/>
      <c r="T341" s="484"/>
      <c r="U341" s="484"/>
      <c r="V341" s="484"/>
      <c r="W341" s="484"/>
      <c r="X341" s="484"/>
      <c r="Y341" s="484"/>
    </row>
    <row r="342" customFormat="false" ht="12.75" hidden="false" customHeight="false" outlineLevel="0" collapsed="false">
      <c r="B342" s="3"/>
      <c r="M342" s="484"/>
      <c r="N342" s="484"/>
      <c r="O342" s="484"/>
      <c r="P342" s="484"/>
      <c r="Q342" s="484"/>
      <c r="R342" s="484"/>
      <c r="S342" s="484"/>
      <c r="T342" s="484"/>
      <c r="U342" s="484"/>
      <c r="V342" s="484"/>
      <c r="W342" s="484"/>
      <c r="X342" s="484"/>
      <c r="Y342" s="484"/>
    </row>
    <row r="343" customFormat="false" ht="12.75" hidden="false" customHeight="false" outlineLevel="0" collapsed="false">
      <c r="B343" s="3"/>
    </row>
    <row r="344" customFormat="false" ht="12.75" hidden="false" customHeight="false" outlineLevel="0" collapsed="false">
      <c r="B344" s="201"/>
      <c r="P344" s="607"/>
      <c r="Q344" s="607"/>
      <c r="R344" s="607"/>
      <c r="S344" s="607"/>
      <c r="T344" s="607"/>
      <c r="U344" s="607"/>
      <c r="V344" s="607"/>
      <c r="W344" s="607"/>
      <c r="X344" s="607"/>
      <c r="Y344" s="607"/>
    </row>
    <row r="345" customFormat="false" ht="12.75" hidden="false" customHeight="false" outlineLevel="0" collapsed="false">
      <c r="B345" s="3"/>
      <c r="P345" s="605"/>
      <c r="Q345" s="605"/>
      <c r="R345" s="605"/>
      <c r="S345" s="605"/>
      <c r="T345" s="605"/>
      <c r="U345" s="605"/>
      <c r="V345" s="605"/>
      <c r="W345" s="605"/>
      <c r="X345" s="605"/>
      <c r="Y345" s="605"/>
    </row>
    <row r="346" customFormat="false" ht="12.75" hidden="false" customHeight="false" outlineLevel="0" collapsed="false">
      <c r="B346" s="3"/>
      <c r="P346" s="605"/>
      <c r="Q346" s="605"/>
      <c r="R346" s="605"/>
      <c r="S346" s="605"/>
      <c r="T346" s="605"/>
      <c r="U346" s="605"/>
      <c r="V346" s="605"/>
      <c r="W346" s="605"/>
      <c r="X346" s="605"/>
      <c r="Y346" s="605"/>
    </row>
    <row r="347" s="201" customFormat="true" ht="12.75" hidden="false" customHeight="false" outlineLevel="0" collapsed="false">
      <c r="A347" s="654"/>
      <c r="E347" s="403"/>
      <c r="K347" s="17"/>
      <c r="L347" s="17"/>
      <c r="M347" s="12"/>
      <c r="N347" s="12"/>
      <c r="O347" s="17"/>
      <c r="P347" s="606"/>
      <c r="Q347" s="606"/>
      <c r="R347" s="606"/>
      <c r="S347" s="606"/>
      <c r="T347" s="606"/>
      <c r="U347" s="606"/>
      <c r="V347" s="606"/>
      <c r="W347" s="606"/>
      <c r="X347" s="606"/>
      <c r="Y347" s="606"/>
    </row>
    <row r="349" customFormat="false" ht="15" hidden="false" customHeight="false" outlineLevel="0" collapsed="false">
      <c r="B349" s="608"/>
      <c r="P349" s="607"/>
      <c r="Q349" s="607"/>
      <c r="R349" s="607"/>
      <c r="S349" s="607"/>
      <c r="T349" s="607"/>
      <c r="U349" s="607"/>
      <c r="V349" s="607"/>
      <c r="W349" s="607"/>
      <c r="X349" s="607"/>
      <c r="Y349" s="607"/>
    </row>
    <row r="350" customFormat="false" ht="12.75" hidden="false" customHeight="false" outlineLevel="0" collapsed="false">
      <c r="P350" s="605"/>
      <c r="Q350" s="605"/>
      <c r="R350" s="605"/>
      <c r="S350" s="605"/>
      <c r="T350" s="605"/>
      <c r="U350" s="605"/>
      <c r="V350" s="605"/>
      <c r="W350" s="605"/>
      <c r="X350" s="605"/>
      <c r="Y350" s="605"/>
    </row>
    <row r="351" customFormat="false" ht="12.75" hidden="false" customHeight="false" outlineLevel="0" collapsed="false">
      <c r="P351" s="605"/>
      <c r="Q351" s="605"/>
      <c r="R351" s="605"/>
      <c r="S351" s="605"/>
      <c r="T351" s="605"/>
      <c r="U351" s="605"/>
      <c r="V351" s="605"/>
      <c r="W351" s="605"/>
      <c r="X351" s="605"/>
      <c r="Y351" s="605"/>
    </row>
    <row r="352" customFormat="false" ht="12.75" hidden="false" customHeight="false" outlineLevel="0" collapsed="false">
      <c r="P352" s="605"/>
      <c r="Q352" s="605"/>
      <c r="R352" s="605"/>
      <c r="S352" s="605"/>
      <c r="T352" s="605"/>
      <c r="U352" s="605"/>
      <c r="V352" s="605"/>
      <c r="W352" s="605"/>
      <c r="X352" s="605"/>
      <c r="Y352" s="605"/>
    </row>
    <row r="353" customFormat="false" ht="12.75" hidden="false" customHeight="false" outlineLevel="0" collapsed="false"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</row>
    <row r="355" customFormat="false" ht="12.75" hidden="false" customHeight="false" outlineLevel="0" collapsed="false">
      <c r="B355" s="201"/>
      <c r="P355" s="607"/>
      <c r="Q355" s="607"/>
      <c r="R355" s="607"/>
      <c r="S355" s="607"/>
      <c r="T355" s="607"/>
      <c r="U355" s="607"/>
      <c r="V355" s="607"/>
      <c r="W355" s="607"/>
      <c r="X355" s="607"/>
      <c r="Y355" s="607"/>
    </row>
    <row r="356" customFormat="false" ht="12.75" hidden="false" customHeight="false" outlineLevel="0" collapsed="false">
      <c r="B356" s="3"/>
    </row>
    <row r="357" customFormat="false" ht="12.75" hidden="false" customHeight="false" outlineLevel="0" collapsed="false">
      <c r="B357" s="3"/>
    </row>
    <row r="358" customFormat="false" ht="12.75" hidden="false" customHeight="false" outlineLevel="0" collapsed="false">
      <c r="B358" s="3"/>
    </row>
    <row r="359" customFormat="false" ht="12.75" hidden="false" customHeight="false" outlineLevel="0" collapsed="false">
      <c r="B35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399"/>
  <sheetViews>
    <sheetView showFormulas="false" showGridLines="true" showRowColHeaders="true" showZeros="true" rightToLeft="false" tabSelected="true" showOutlineSymbols="true" defaultGridColor="true" view="normal" topLeftCell="A127" colorId="64" zoomScale="55" zoomScaleNormal="55" zoomScalePageLayoutView="100" workbookViewId="0">
      <selection pane="topLeft" activeCell="F169" activeCellId="0" sqref="F169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82.14"/>
    <col collapsed="false" customWidth="true" hidden="false" outlineLevel="0" max="3" min="3" style="1" width="18"/>
    <col collapsed="false" customWidth="true" hidden="false" outlineLevel="0" max="4" min="4" style="1" width="21.29"/>
    <col collapsed="false" customWidth="true" hidden="false" outlineLevel="0" max="5" min="5" style="1" width="8.71"/>
    <col collapsed="false" customWidth="true" hidden="false" outlineLevel="0" max="6" min="6" style="116" width="15.29"/>
    <col collapsed="false" customWidth="true" hidden="false" outlineLevel="0" max="7" min="7" style="1" width="94.15"/>
    <col collapsed="false" customWidth="true" hidden="false" outlineLevel="0" max="12" min="8" style="1" width="8.71"/>
  </cols>
  <sheetData>
    <row r="2" s="655" customFormat="true" ht="56.1" hidden="false" customHeight="false" outlineLevel="0" collapsed="false">
      <c r="B2" s="655" t="s">
        <v>410</v>
      </c>
      <c r="D2" s="656" t="s">
        <v>411</v>
      </c>
      <c r="F2" s="657"/>
      <c r="G2" s="655" t="s">
        <v>412</v>
      </c>
    </row>
    <row r="3" customFormat="false" ht="15.75" hidden="false" customHeight="false" outlineLevel="0" collapsed="false">
      <c r="A3" s="65" t="s">
        <v>3</v>
      </c>
      <c r="B3" s="55"/>
      <c r="F3" s="106" t="s">
        <v>3</v>
      </c>
      <c r="G3" s="55"/>
    </row>
    <row r="4" customFormat="false" ht="15.75" hidden="false" customHeight="false" outlineLevel="0" collapsed="false">
      <c r="A4" s="66" t="s">
        <v>16</v>
      </c>
      <c r="B4" s="67" t="s">
        <v>17</v>
      </c>
      <c r="C4" s="658"/>
      <c r="D4" s="658"/>
      <c r="E4" s="658"/>
      <c r="F4" s="610" t="s">
        <v>16</v>
      </c>
      <c r="G4" s="67" t="s">
        <v>17</v>
      </c>
    </row>
    <row r="5" customFormat="false" ht="15.75" hidden="false" customHeight="false" outlineLevel="0" collapsed="false">
      <c r="A5" s="54"/>
      <c r="B5" s="86"/>
      <c r="F5" s="611"/>
      <c r="G5" s="326"/>
    </row>
    <row r="6" customFormat="false" ht="15" hidden="false" customHeight="false" outlineLevel="0" collapsed="false">
      <c r="A6" s="93"/>
      <c r="B6" s="94"/>
      <c r="C6" s="659"/>
      <c r="D6" s="659"/>
      <c r="E6" s="659"/>
      <c r="F6" s="612" t="s">
        <v>21</v>
      </c>
      <c r="G6" s="112" t="s">
        <v>22</v>
      </c>
    </row>
    <row r="7" customFormat="false" ht="15" hidden="false" customHeight="false" outlineLevel="0" collapsed="false">
      <c r="A7" s="54"/>
      <c r="B7" s="95"/>
      <c r="F7" s="56"/>
      <c r="G7" s="95"/>
    </row>
    <row r="8" customFormat="false" ht="15" hidden="false" customHeight="false" outlineLevel="0" collapsed="false">
      <c r="A8" s="93"/>
      <c r="B8" s="37"/>
      <c r="C8" s="659"/>
      <c r="D8" s="659"/>
      <c r="E8" s="659"/>
      <c r="F8" s="612" t="s">
        <v>24</v>
      </c>
      <c r="G8" s="112" t="s">
        <v>25</v>
      </c>
    </row>
    <row r="9" customFormat="false" ht="15.75" hidden="false" customHeight="false" outlineLevel="0" collapsed="false">
      <c r="A9" s="38"/>
      <c r="B9" s="104"/>
      <c r="F9" s="38"/>
      <c r="G9" s="73"/>
    </row>
    <row r="10" customFormat="false" ht="15.75" hidden="false" customHeight="false" outlineLevel="0" collapsed="false">
      <c r="A10" s="38"/>
      <c r="B10" s="37"/>
      <c r="F10" s="613" t="s">
        <v>27</v>
      </c>
      <c r="G10" s="614" t="s">
        <v>28</v>
      </c>
    </row>
    <row r="11" customFormat="false" ht="15.75" hidden="false" customHeight="false" outlineLevel="0" collapsed="false">
      <c r="A11" s="38"/>
      <c r="B11" s="73"/>
      <c r="F11" s="38"/>
      <c r="G11" s="73"/>
    </row>
    <row r="12" customFormat="false" ht="15.75" hidden="false" customHeight="false" outlineLevel="0" collapsed="false">
      <c r="A12" s="38"/>
      <c r="B12" s="37"/>
      <c r="F12" s="613" t="s">
        <v>29</v>
      </c>
      <c r="G12" s="614" t="s">
        <v>30</v>
      </c>
    </row>
    <row r="13" customFormat="false" ht="15.75" hidden="false" customHeight="false" outlineLevel="0" collapsed="false">
      <c r="A13" s="38"/>
      <c r="B13" s="73"/>
      <c r="F13" s="38"/>
      <c r="G13" s="73"/>
    </row>
    <row r="14" customFormat="false" ht="15.75" hidden="false" customHeight="false" outlineLevel="0" collapsed="false">
      <c r="A14" s="38"/>
      <c r="B14" s="37"/>
      <c r="F14" s="613" t="s">
        <v>31</v>
      </c>
      <c r="G14" s="614" t="s">
        <v>32</v>
      </c>
    </row>
    <row r="15" customFormat="false" ht="15.75" hidden="false" customHeight="false" outlineLevel="0" collapsed="false">
      <c r="A15" s="38"/>
      <c r="B15" s="73"/>
      <c r="F15" s="38"/>
      <c r="G15" s="73"/>
    </row>
    <row r="16" customFormat="false" ht="15.75" hidden="false" customHeight="false" outlineLevel="0" collapsed="false">
      <c r="A16" s="38"/>
      <c r="B16" s="37"/>
      <c r="F16" s="613" t="s">
        <v>33</v>
      </c>
      <c r="G16" s="614" t="s">
        <v>34</v>
      </c>
    </row>
    <row r="17" customFormat="false" ht="15.75" hidden="false" customHeight="false" outlineLevel="0" collapsed="false">
      <c r="A17" s="38"/>
      <c r="B17" s="73"/>
      <c r="F17" s="38"/>
      <c r="G17" s="73"/>
    </row>
    <row r="18" customFormat="false" ht="15.75" hidden="false" customHeight="false" outlineLevel="0" collapsed="false">
      <c r="A18" s="38"/>
      <c r="B18" s="37"/>
      <c r="F18" s="613" t="s">
        <v>35</v>
      </c>
      <c r="G18" s="614" t="s">
        <v>36</v>
      </c>
    </row>
    <row r="19" customFormat="false" ht="15.75" hidden="false" customHeight="false" outlineLevel="0" collapsed="false">
      <c r="A19" s="38"/>
      <c r="B19" s="73"/>
      <c r="F19" s="38" t="s">
        <v>3</v>
      </c>
      <c r="G19" s="73"/>
    </row>
    <row r="20" customFormat="false" ht="15.75" hidden="false" customHeight="false" outlineLevel="0" collapsed="false">
      <c r="A20" s="38"/>
      <c r="B20" s="37"/>
      <c r="F20" s="613" t="s">
        <v>37</v>
      </c>
      <c r="G20" s="614" t="s">
        <v>38</v>
      </c>
    </row>
    <row r="21" customFormat="false" ht="15.75" hidden="false" customHeight="false" outlineLevel="0" collapsed="false">
      <c r="A21" s="38"/>
      <c r="B21" s="73"/>
      <c r="F21" s="38"/>
      <c r="G21" s="73"/>
    </row>
    <row r="22" customFormat="false" ht="15.75" hidden="false" customHeight="false" outlineLevel="0" collapsed="false">
      <c r="A22" s="38"/>
      <c r="B22" s="37"/>
      <c r="F22" s="613" t="s">
        <v>39</v>
      </c>
      <c r="G22" s="614" t="s">
        <v>40</v>
      </c>
    </row>
    <row r="23" customFormat="false" ht="15.75" hidden="false" customHeight="false" outlineLevel="0" collapsed="false">
      <c r="A23" s="38"/>
      <c r="B23" s="73"/>
      <c r="F23" s="38"/>
      <c r="G23" s="73"/>
    </row>
    <row r="24" customFormat="false" ht="15.75" hidden="false" customHeight="false" outlineLevel="0" collapsed="false">
      <c r="A24" s="38"/>
      <c r="B24" s="107"/>
      <c r="F24" s="613" t="s">
        <v>41</v>
      </c>
      <c r="G24" s="563" t="s">
        <v>42</v>
      </c>
    </row>
    <row r="25" customFormat="false" ht="15.75" hidden="false" customHeight="false" outlineLevel="0" collapsed="false">
      <c r="A25" s="38"/>
      <c r="B25" s="37"/>
      <c r="F25" s="38"/>
      <c r="G25" s="37"/>
    </row>
    <row r="26" customFormat="false" ht="15.75" hidden="false" customHeight="false" outlineLevel="0" collapsed="false">
      <c r="A26" s="111"/>
      <c r="B26" s="112" t="s">
        <v>43</v>
      </c>
      <c r="C26" s="658"/>
      <c r="D26" s="658"/>
      <c r="E26" s="658"/>
      <c r="F26" s="612" t="s">
        <v>334</v>
      </c>
      <c r="G26" s="112" t="s">
        <v>335</v>
      </c>
      <c r="M26" s="1"/>
    </row>
    <row r="27" customFormat="false" ht="15.75" hidden="false" customHeight="false" outlineLevel="0" collapsed="false">
      <c r="A27" s="38"/>
      <c r="B27" s="73"/>
      <c r="F27" s="38"/>
      <c r="G27" s="76"/>
      <c r="M27" s="1"/>
    </row>
    <row r="28" customFormat="false" ht="15.75" hidden="false" customHeight="false" outlineLevel="0" collapsed="false">
      <c r="A28" s="38"/>
      <c r="B28" s="120" t="s">
        <v>46</v>
      </c>
      <c r="F28" s="613" t="s">
        <v>336</v>
      </c>
      <c r="G28" s="614" t="s">
        <v>46</v>
      </c>
      <c r="M28" s="1"/>
    </row>
    <row r="29" s="3" customFormat="true" ht="15" hidden="false" customHeight="false" outlineLevel="0" collapsed="false">
      <c r="A29" s="56"/>
      <c r="B29" s="73"/>
      <c r="F29" s="56"/>
      <c r="G29" s="73"/>
    </row>
    <row r="30" customFormat="false" ht="15.75" hidden="false" customHeight="false" outlineLevel="0" collapsed="false">
      <c r="A30" s="38"/>
      <c r="B30" s="120" t="s">
        <v>48</v>
      </c>
      <c r="F30" s="613" t="s">
        <v>337</v>
      </c>
      <c r="G30" s="614" t="s">
        <v>48</v>
      </c>
      <c r="M30" s="1"/>
    </row>
    <row r="31" customFormat="false" ht="15" hidden="false" customHeight="false" outlineLevel="0" collapsed="false">
      <c r="A31" s="54"/>
      <c r="B31" s="162"/>
      <c r="E31" s="660"/>
      <c r="F31" s="56"/>
      <c r="G31" s="73"/>
      <c r="M31" s="1"/>
    </row>
    <row r="32" customFormat="false" ht="15.75" hidden="false" customHeight="false" outlineLevel="0" collapsed="false">
      <c r="A32" s="66" t="s">
        <v>56</v>
      </c>
      <c r="B32" s="67" t="s">
        <v>57</v>
      </c>
      <c r="C32" s="658"/>
      <c r="D32" s="658"/>
      <c r="E32" s="658"/>
      <c r="F32" s="610" t="s">
        <v>56</v>
      </c>
      <c r="G32" s="67" t="s">
        <v>57</v>
      </c>
      <c r="M32" s="1"/>
    </row>
    <row r="33" customFormat="false" ht="15.75" hidden="false" customHeight="false" outlineLevel="0" collapsed="false">
      <c r="A33" s="54"/>
      <c r="B33" s="190" t="s">
        <v>3</v>
      </c>
      <c r="F33" s="56"/>
      <c r="G33" s="190" t="s">
        <v>3</v>
      </c>
      <c r="M33" s="1"/>
    </row>
    <row r="34" s="201" customFormat="true" ht="15" hidden="false" customHeight="false" outlineLevel="0" collapsed="false">
      <c r="A34" s="93"/>
      <c r="B34" s="200"/>
      <c r="C34" s="661"/>
      <c r="D34" s="661"/>
      <c r="E34" s="661"/>
      <c r="F34" s="612" t="s">
        <v>60</v>
      </c>
      <c r="G34" s="112" t="s">
        <v>61</v>
      </c>
    </row>
    <row r="35" customFormat="false" ht="15.75" hidden="false" customHeight="false" outlineLevel="0" collapsed="false">
      <c r="A35" s="93"/>
      <c r="B35" s="73"/>
      <c r="F35" s="38"/>
      <c r="G35" s="73"/>
      <c r="M35" s="1"/>
    </row>
    <row r="36" customFormat="false" ht="15.75" hidden="false" customHeight="false" outlineLevel="0" collapsed="false">
      <c r="A36" s="207"/>
      <c r="B36" s="112" t="s">
        <v>64</v>
      </c>
      <c r="C36" s="658"/>
      <c r="D36" s="658"/>
      <c r="E36" s="658"/>
      <c r="F36" s="620" t="s">
        <v>338</v>
      </c>
      <c r="G36" s="614" t="s">
        <v>393</v>
      </c>
    </row>
    <row r="37" customFormat="false" ht="13.5" hidden="false" customHeight="true" outlineLevel="0" collapsed="false">
      <c r="A37" s="54"/>
      <c r="B37" s="73"/>
      <c r="F37" s="56"/>
      <c r="G37" s="73"/>
    </row>
    <row r="38" s="3" customFormat="true" ht="15" hidden="false" customHeight="false" outlineLevel="0" collapsed="false">
      <c r="A38" s="38" t="n">
        <v>1</v>
      </c>
      <c r="B38" s="120" t="s">
        <v>65</v>
      </c>
      <c r="C38" s="3" t="s">
        <v>413</v>
      </c>
      <c r="D38" s="213" t="s">
        <v>66</v>
      </c>
      <c r="F38" s="38"/>
      <c r="G38" s="621" t="s">
        <v>65</v>
      </c>
    </row>
    <row r="39" s="3" customFormat="true" ht="15" hidden="false" customHeight="false" outlineLevel="0" collapsed="false">
      <c r="A39" s="38" t="n">
        <v>2</v>
      </c>
      <c r="B39" s="120" t="s">
        <v>67</v>
      </c>
      <c r="D39" s="213" t="s">
        <v>66</v>
      </c>
      <c r="F39" s="38"/>
      <c r="G39" s="621" t="s">
        <v>67</v>
      </c>
    </row>
    <row r="40" s="3" customFormat="true" ht="15" hidden="false" customHeight="false" outlineLevel="0" collapsed="false">
      <c r="A40" s="38" t="n">
        <v>3</v>
      </c>
      <c r="B40" s="120" t="s">
        <v>68</v>
      </c>
      <c r="D40" s="213" t="s">
        <v>66</v>
      </c>
      <c r="E40" s="1"/>
      <c r="F40" s="38"/>
      <c r="G40" s="621" t="s">
        <v>68</v>
      </c>
    </row>
    <row r="41" s="3" customFormat="true" ht="15" hidden="false" customHeight="false" outlineLevel="0" collapsed="false">
      <c r="A41" s="38" t="n">
        <v>4</v>
      </c>
      <c r="B41" s="120" t="s">
        <v>69</v>
      </c>
      <c r="D41" s="213" t="s">
        <v>66</v>
      </c>
      <c r="F41" s="38"/>
      <c r="G41" s="621" t="s">
        <v>69</v>
      </c>
    </row>
    <row r="42" s="3" customFormat="true" ht="15" hidden="false" customHeight="false" outlineLevel="0" collapsed="false">
      <c r="A42" s="38" t="n">
        <v>5</v>
      </c>
      <c r="B42" s="120" t="s">
        <v>70</v>
      </c>
      <c r="D42" s="213" t="s">
        <v>66</v>
      </c>
      <c r="F42" s="38"/>
      <c r="G42" s="621" t="s">
        <v>70</v>
      </c>
    </row>
    <row r="43" s="3" customFormat="true" ht="15" hidden="false" customHeight="false" outlineLevel="0" collapsed="false">
      <c r="A43" s="38" t="n">
        <v>6</v>
      </c>
      <c r="B43" s="120" t="s">
        <v>71</v>
      </c>
      <c r="D43" s="213" t="s">
        <v>66</v>
      </c>
      <c r="F43" s="38"/>
      <c r="G43" s="621" t="s">
        <v>71</v>
      </c>
    </row>
    <row r="44" s="3" customFormat="true" ht="15" hidden="false" customHeight="false" outlineLevel="0" collapsed="false">
      <c r="A44" s="38" t="n">
        <v>7</v>
      </c>
      <c r="B44" s="120" t="s">
        <v>72</v>
      </c>
      <c r="D44" s="213" t="s">
        <v>66</v>
      </c>
      <c r="F44" s="38"/>
      <c r="G44" s="621" t="s">
        <v>72</v>
      </c>
    </row>
    <row r="45" s="3" customFormat="true" ht="15" hidden="false" customHeight="false" outlineLevel="0" collapsed="false">
      <c r="A45" s="38" t="n">
        <v>8</v>
      </c>
      <c r="B45" s="120" t="s">
        <v>73</v>
      </c>
      <c r="D45" s="213" t="s">
        <v>66</v>
      </c>
      <c r="F45" s="38"/>
      <c r="G45" s="621" t="s">
        <v>73</v>
      </c>
    </row>
    <row r="46" customFormat="false" ht="15" hidden="false" customHeight="false" outlineLevel="0" collapsed="false">
      <c r="A46" s="227"/>
      <c r="B46" s="120" t="s">
        <v>75</v>
      </c>
      <c r="C46" s="266" t="s">
        <v>76</v>
      </c>
      <c r="D46" s="213" t="s">
        <v>66</v>
      </c>
      <c r="F46" s="38"/>
      <c r="G46" s="622" t="s">
        <v>75</v>
      </c>
    </row>
    <row r="47" customFormat="false" ht="15" hidden="false" customHeight="false" outlineLevel="0" collapsed="false">
      <c r="A47" s="45"/>
      <c r="B47" s="46" t="s">
        <v>3</v>
      </c>
      <c r="F47" s="56"/>
    </row>
    <row r="48" s="3" customFormat="true" ht="15" hidden="false" customHeight="false" outlineLevel="0" collapsed="false">
      <c r="A48" s="246"/>
      <c r="B48" s="662" t="s">
        <v>87</v>
      </c>
      <c r="C48" s="663"/>
      <c r="D48" s="663"/>
      <c r="E48" s="663"/>
      <c r="F48" s="613" t="s">
        <v>339</v>
      </c>
      <c r="G48" s="614" t="s">
        <v>87</v>
      </c>
      <c r="L48" s="614" t="s">
        <v>87</v>
      </c>
    </row>
    <row r="49" customFormat="false" ht="15" hidden="false" customHeight="false" outlineLevel="0" collapsed="false">
      <c r="A49" s="54"/>
      <c r="B49" s="76"/>
    </row>
    <row r="50" customFormat="false" ht="15" hidden="false" customHeight="false" outlineLevel="0" collapsed="false">
      <c r="A50" s="36"/>
      <c r="B50" s="120" t="s">
        <v>88</v>
      </c>
      <c r="F50" s="56"/>
      <c r="G50" s="615" t="s">
        <v>88</v>
      </c>
      <c r="H50" s="1" t="s">
        <v>414</v>
      </c>
      <c r="M50" s="615" t="s">
        <v>88</v>
      </c>
    </row>
    <row r="51" customFormat="false" ht="15.75" hidden="false" customHeight="false" outlineLevel="0" collapsed="false">
      <c r="A51" s="36"/>
      <c r="B51" s="73"/>
      <c r="F51" s="38"/>
    </row>
    <row r="52" customFormat="false" ht="15" hidden="false" customHeight="false" outlineLevel="0" collapsed="false">
      <c r="A52" s="36"/>
      <c r="B52" s="664" t="s">
        <v>89</v>
      </c>
      <c r="F52" s="665"/>
      <c r="G52" s="617" t="s">
        <v>89</v>
      </c>
      <c r="H52" s="1" t="s">
        <v>415</v>
      </c>
      <c r="N52" s="617" t="s">
        <v>89</v>
      </c>
    </row>
    <row r="53" customFormat="false" ht="15" hidden="false" customHeight="true" outlineLevel="0" collapsed="false">
      <c r="A53" s="38" t="n">
        <v>1</v>
      </c>
      <c r="B53" s="256" t="s">
        <v>65</v>
      </c>
      <c r="C53" s="266" t="s">
        <v>76</v>
      </c>
      <c r="D53" s="213" t="s">
        <v>66</v>
      </c>
      <c r="F53" s="38"/>
      <c r="G53" s="621" t="s">
        <v>65</v>
      </c>
    </row>
    <row r="54" customFormat="false" ht="15" hidden="false" customHeight="true" outlineLevel="0" collapsed="false">
      <c r="A54" s="38" t="n">
        <v>2</v>
      </c>
      <c r="B54" s="256" t="s">
        <v>67</v>
      </c>
      <c r="C54" s="266" t="s">
        <v>76</v>
      </c>
      <c r="D54" s="213" t="s">
        <v>66</v>
      </c>
      <c r="F54" s="38"/>
      <c r="G54" s="621" t="s">
        <v>67</v>
      </c>
      <c r="N54" s="621" t="s">
        <v>65</v>
      </c>
    </row>
    <row r="55" customFormat="false" ht="15" hidden="false" customHeight="true" outlineLevel="0" collapsed="false">
      <c r="A55" s="38" t="n">
        <v>3</v>
      </c>
      <c r="B55" s="256" t="s">
        <v>68</v>
      </c>
      <c r="C55" s="266" t="s">
        <v>76</v>
      </c>
      <c r="D55" s="213" t="s">
        <v>66</v>
      </c>
      <c r="F55" s="38"/>
      <c r="G55" s="621" t="s">
        <v>68</v>
      </c>
    </row>
    <row r="56" customFormat="false" ht="15" hidden="false" customHeight="true" outlineLevel="0" collapsed="false">
      <c r="A56" s="38" t="n">
        <v>4</v>
      </c>
      <c r="B56" s="256" t="s">
        <v>69</v>
      </c>
      <c r="C56" s="266" t="s">
        <v>76</v>
      </c>
      <c r="D56" s="213" t="s">
        <v>66</v>
      </c>
      <c r="F56" s="38"/>
      <c r="G56" s="621" t="s">
        <v>69</v>
      </c>
      <c r="N56" s="621" t="s">
        <v>67</v>
      </c>
    </row>
    <row r="57" customFormat="false" ht="15" hidden="false" customHeight="true" outlineLevel="0" collapsed="false">
      <c r="A57" s="38" t="n">
        <v>5</v>
      </c>
      <c r="B57" s="256" t="s">
        <v>70</v>
      </c>
      <c r="C57" s="266" t="s">
        <v>76</v>
      </c>
      <c r="D57" s="213" t="s">
        <v>66</v>
      </c>
      <c r="F57" s="38"/>
      <c r="G57" s="621" t="s">
        <v>70</v>
      </c>
      <c r="N57" s="621" t="s">
        <v>68</v>
      </c>
    </row>
    <row r="58" customFormat="false" ht="15" hidden="false" customHeight="true" outlineLevel="0" collapsed="false">
      <c r="A58" s="38" t="n">
        <v>6</v>
      </c>
      <c r="B58" s="256" t="s">
        <v>71</v>
      </c>
      <c r="C58" s="266" t="s">
        <v>76</v>
      </c>
      <c r="D58" s="213" t="s">
        <v>66</v>
      </c>
      <c r="F58" s="38"/>
      <c r="G58" s="621" t="s">
        <v>71</v>
      </c>
      <c r="N58" s="621" t="s">
        <v>69</v>
      </c>
    </row>
    <row r="59" customFormat="false" ht="15" hidden="false" customHeight="true" outlineLevel="0" collapsed="false">
      <c r="A59" s="38" t="n">
        <v>7</v>
      </c>
      <c r="B59" s="256" t="s">
        <v>72</v>
      </c>
      <c r="C59" s="266" t="s">
        <v>76</v>
      </c>
      <c r="D59" s="213" t="s">
        <v>66</v>
      </c>
      <c r="F59" s="38"/>
      <c r="G59" s="621" t="s">
        <v>72</v>
      </c>
      <c r="N59" s="621" t="s">
        <v>70</v>
      </c>
    </row>
    <row r="60" customFormat="false" ht="15" hidden="false" customHeight="true" outlineLevel="0" collapsed="false">
      <c r="A60" s="38" t="n">
        <v>8</v>
      </c>
      <c r="B60" s="256" t="s">
        <v>90</v>
      </c>
      <c r="C60" s="266" t="s">
        <v>76</v>
      </c>
      <c r="D60" s="213" t="s">
        <v>66</v>
      </c>
      <c r="F60" s="38"/>
      <c r="G60" s="621" t="s">
        <v>90</v>
      </c>
      <c r="N60" s="621" t="s">
        <v>71</v>
      </c>
    </row>
    <row r="61" customFormat="false" ht="15" hidden="false" customHeight="false" outlineLevel="0" collapsed="false">
      <c r="A61" s="36"/>
      <c r="B61" s="97"/>
      <c r="F61" s="38"/>
      <c r="G61" s="95"/>
      <c r="N61" s="621" t="s">
        <v>72</v>
      </c>
    </row>
    <row r="62" customFormat="false" ht="15" hidden="false" customHeight="false" outlineLevel="0" collapsed="false">
      <c r="A62" s="36"/>
      <c r="B62" s="120" t="s">
        <v>92</v>
      </c>
      <c r="F62" s="38"/>
      <c r="G62" s="615" t="s">
        <v>92</v>
      </c>
      <c r="N62" s="621" t="s">
        <v>90</v>
      </c>
    </row>
    <row r="63" customFormat="false" ht="15.75" hidden="false" customHeight="false" outlineLevel="0" collapsed="false">
      <c r="A63" s="36"/>
      <c r="B63" s="95"/>
      <c r="F63" s="363"/>
      <c r="G63" s="627"/>
    </row>
    <row r="64" customFormat="false" ht="15" hidden="false" customHeight="false" outlineLevel="0" collapsed="false">
      <c r="A64" s="38" t="n">
        <v>1</v>
      </c>
      <c r="B64" s="256" t="s">
        <v>65</v>
      </c>
      <c r="C64" s="266" t="s">
        <v>76</v>
      </c>
      <c r="D64" s="213" t="s">
        <v>66</v>
      </c>
      <c r="G64" s="621" t="s">
        <v>65</v>
      </c>
    </row>
    <row r="65" customFormat="false" ht="15" hidden="false" customHeight="false" outlineLevel="0" collapsed="false">
      <c r="A65" s="38" t="n">
        <v>2</v>
      </c>
      <c r="B65" s="256" t="s">
        <v>67</v>
      </c>
      <c r="C65" s="266" t="s">
        <v>76</v>
      </c>
      <c r="D65" s="213" t="s">
        <v>66</v>
      </c>
      <c r="G65" s="621" t="s">
        <v>67</v>
      </c>
    </row>
    <row r="66" customFormat="false" ht="15" hidden="false" customHeight="false" outlineLevel="0" collapsed="false">
      <c r="A66" s="38" t="n">
        <v>3</v>
      </c>
      <c r="B66" s="256" t="s">
        <v>68</v>
      </c>
      <c r="C66" s="266" t="s">
        <v>76</v>
      </c>
      <c r="D66" s="213" t="s">
        <v>66</v>
      </c>
      <c r="G66" s="621" t="s">
        <v>68</v>
      </c>
    </row>
    <row r="67" customFormat="false" ht="15" hidden="false" customHeight="false" outlineLevel="0" collapsed="false">
      <c r="A67" s="38" t="n">
        <v>4</v>
      </c>
      <c r="B67" s="256" t="s">
        <v>69</v>
      </c>
      <c r="C67" s="266" t="s">
        <v>76</v>
      </c>
      <c r="D67" s="213" t="s">
        <v>66</v>
      </c>
      <c r="G67" s="621" t="s">
        <v>69</v>
      </c>
    </row>
    <row r="68" customFormat="false" ht="15" hidden="false" customHeight="false" outlineLevel="0" collapsed="false">
      <c r="A68" s="38" t="n">
        <v>5</v>
      </c>
      <c r="B68" s="256" t="s">
        <v>70</v>
      </c>
      <c r="C68" s="266" t="s">
        <v>76</v>
      </c>
      <c r="D68" s="213" t="s">
        <v>66</v>
      </c>
      <c r="G68" s="621" t="s">
        <v>70</v>
      </c>
    </row>
    <row r="69" customFormat="false" ht="15" hidden="false" customHeight="false" outlineLevel="0" collapsed="false">
      <c r="A69" s="38" t="n">
        <v>6</v>
      </c>
      <c r="B69" s="256" t="s">
        <v>71</v>
      </c>
      <c r="C69" s="266" t="s">
        <v>76</v>
      </c>
      <c r="D69" s="213" t="s">
        <v>66</v>
      </c>
      <c r="G69" s="621" t="s">
        <v>71</v>
      </c>
    </row>
    <row r="70" customFormat="false" ht="15" hidden="false" customHeight="false" outlineLevel="0" collapsed="false">
      <c r="A70" s="38" t="n">
        <v>7</v>
      </c>
      <c r="B70" s="256" t="s">
        <v>72</v>
      </c>
      <c r="C70" s="266" t="s">
        <v>76</v>
      </c>
      <c r="D70" s="213" t="s">
        <v>66</v>
      </c>
      <c r="G70" s="621" t="s">
        <v>72</v>
      </c>
    </row>
    <row r="71" customFormat="false" ht="15" hidden="false" customHeight="false" outlineLevel="0" collapsed="false">
      <c r="A71" s="38" t="n">
        <v>8</v>
      </c>
      <c r="B71" s="256" t="s">
        <v>90</v>
      </c>
      <c r="C71" s="266" t="s">
        <v>76</v>
      </c>
      <c r="D71" s="213" t="s">
        <v>66</v>
      </c>
      <c r="G71" s="621" t="s">
        <v>90</v>
      </c>
    </row>
    <row r="72" customFormat="false" ht="15.75" hidden="false" customHeight="false" outlineLevel="0" collapsed="false">
      <c r="A72" s="36"/>
      <c r="B72" s="95"/>
    </row>
    <row r="73" customFormat="false" ht="15.75" hidden="false" customHeight="false" outlineLevel="0" collapsed="false">
      <c r="A73" s="36"/>
      <c r="B73" s="120" t="s">
        <v>108</v>
      </c>
      <c r="F73" s="38"/>
      <c r="G73" s="615" t="s">
        <v>108</v>
      </c>
    </row>
    <row r="74" customFormat="false" ht="15.75" hidden="false" customHeight="false" outlineLevel="0" collapsed="false">
      <c r="A74" s="36"/>
      <c r="B74" s="55"/>
      <c r="F74" s="38"/>
      <c r="G74" s="7"/>
    </row>
    <row r="75" customFormat="false" ht="15.75" hidden="false" customHeight="false" outlineLevel="0" collapsed="false">
      <c r="A75" s="54"/>
      <c r="B75" s="120" t="s">
        <v>109</v>
      </c>
      <c r="F75" s="38"/>
      <c r="G75" s="615" t="s">
        <v>109</v>
      </c>
    </row>
    <row r="76" s="1" customFormat="true" ht="15" hidden="false" customHeight="false" outlineLevel="0" collapsed="false">
      <c r="A76" s="54"/>
      <c r="B76" s="666" t="s">
        <v>110</v>
      </c>
      <c r="F76" s="38"/>
      <c r="G76" s="7"/>
    </row>
    <row r="77" s="1" customFormat="true" ht="15" hidden="false" customHeight="false" outlineLevel="0" collapsed="false">
      <c r="A77" s="54"/>
      <c r="B77" s="666" t="s">
        <v>111</v>
      </c>
    </row>
    <row r="78" s="1" customFormat="true" ht="15" hidden="false" customHeight="false" outlineLevel="0" collapsed="false">
      <c r="A78" s="38" t="n">
        <v>1</v>
      </c>
      <c r="B78" s="256" t="s">
        <v>65</v>
      </c>
      <c r="C78" s="266" t="s">
        <v>76</v>
      </c>
      <c r="D78" s="213" t="s">
        <v>66</v>
      </c>
      <c r="G78" s="621" t="s">
        <v>65</v>
      </c>
    </row>
    <row r="79" s="1" customFormat="true" ht="15" hidden="false" customHeight="false" outlineLevel="0" collapsed="false">
      <c r="A79" s="38" t="n">
        <v>2</v>
      </c>
      <c r="B79" s="256" t="s">
        <v>67</v>
      </c>
      <c r="C79" s="266" t="s">
        <v>76</v>
      </c>
      <c r="D79" s="213" t="s">
        <v>66</v>
      </c>
      <c r="G79" s="621" t="s">
        <v>67</v>
      </c>
    </row>
    <row r="80" s="1" customFormat="true" ht="15" hidden="false" customHeight="false" outlineLevel="0" collapsed="false">
      <c r="A80" s="38" t="n">
        <v>3</v>
      </c>
      <c r="B80" s="256" t="s">
        <v>68</v>
      </c>
      <c r="C80" s="266" t="s">
        <v>76</v>
      </c>
      <c r="D80" s="213" t="s">
        <v>66</v>
      </c>
      <c r="G80" s="621" t="s">
        <v>68</v>
      </c>
    </row>
    <row r="81" s="1" customFormat="true" ht="15" hidden="false" customHeight="false" outlineLevel="0" collapsed="false">
      <c r="A81" s="38" t="n">
        <v>4</v>
      </c>
      <c r="B81" s="256" t="s">
        <v>69</v>
      </c>
      <c r="C81" s="266" t="s">
        <v>76</v>
      </c>
      <c r="D81" s="213" t="s">
        <v>66</v>
      </c>
      <c r="G81" s="621" t="s">
        <v>69</v>
      </c>
    </row>
    <row r="82" s="1" customFormat="true" ht="15" hidden="false" customHeight="false" outlineLevel="0" collapsed="false">
      <c r="A82" s="38" t="n">
        <v>5</v>
      </c>
      <c r="B82" s="256" t="s">
        <v>70</v>
      </c>
      <c r="C82" s="266" t="s">
        <v>76</v>
      </c>
      <c r="D82" s="213" t="s">
        <v>66</v>
      </c>
      <c r="G82" s="621" t="s">
        <v>70</v>
      </c>
    </row>
    <row r="83" s="1" customFormat="true" ht="15" hidden="false" customHeight="false" outlineLevel="0" collapsed="false">
      <c r="A83" s="38" t="n">
        <v>6</v>
      </c>
      <c r="B83" s="256" t="s">
        <v>71</v>
      </c>
      <c r="C83" s="266" t="s">
        <v>76</v>
      </c>
      <c r="D83" s="213" t="s">
        <v>66</v>
      </c>
      <c r="G83" s="621" t="s">
        <v>71</v>
      </c>
    </row>
    <row r="84" s="1" customFormat="true" ht="15" hidden="false" customHeight="false" outlineLevel="0" collapsed="false">
      <c r="A84" s="38" t="n">
        <v>7</v>
      </c>
      <c r="B84" s="256" t="s">
        <v>72</v>
      </c>
      <c r="C84" s="266" t="s">
        <v>76</v>
      </c>
      <c r="D84" s="213" t="s">
        <v>66</v>
      </c>
      <c r="G84" s="621" t="s">
        <v>72</v>
      </c>
    </row>
    <row r="85" s="1" customFormat="true" ht="15" hidden="false" customHeight="false" outlineLevel="0" collapsed="false">
      <c r="A85" s="38" t="n">
        <v>8</v>
      </c>
      <c r="B85" s="256" t="s">
        <v>90</v>
      </c>
      <c r="C85" s="266" t="s">
        <v>76</v>
      </c>
      <c r="D85" s="213" t="s">
        <v>66</v>
      </c>
      <c r="G85" s="621" t="s">
        <v>90</v>
      </c>
    </row>
    <row r="86" s="1" customFormat="true" ht="15.75" hidden="false" customHeight="false" outlineLevel="0" collapsed="false">
      <c r="A86" s="36"/>
      <c r="B86" s="55"/>
    </row>
    <row r="87" customFormat="false" ht="15.75" hidden="false" customHeight="false" outlineLevel="0" collapsed="false">
      <c r="A87" s="36"/>
      <c r="B87" s="120" t="s">
        <v>112</v>
      </c>
      <c r="F87" s="38"/>
      <c r="G87" s="615" t="s">
        <v>112</v>
      </c>
    </row>
    <row r="88" customFormat="false" ht="15" hidden="false" customHeight="false" outlineLevel="0" collapsed="false">
      <c r="A88" s="38" t="n">
        <v>1</v>
      </c>
      <c r="B88" s="256" t="s">
        <v>65</v>
      </c>
      <c r="C88" s="266" t="s">
        <v>76</v>
      </c>
      <c r="D88" s="213" t="s">
        <v>66</v>
      </c>
      <c r="F88" s="38"/>
      <c r="G88" s="621" t="s">
        <v>65</v>
      </c>
    </row>
    <row r="89" customFormat="false" ht="15" hidden="false" customHeight="false" outlineLevel="0" collapsed="false">
      <c r="A89" s="38" t="n">
        <v>2</v>
      </c>
      <c r="B89" s="256" t="s">
        <v>67</v>
      </c>
      <c r="C89" s="266" t="s">
        <v>76</v>
      </c>
      <c r="D89" s="213" t="s">
        <v>66</v>
      </c>
      <c r="F89" s="38"/>
      <c r="G89" s="621" t="s">
        <v>67</v>
      </c>
    </row>
    <row r="90" customFormat="false" ht="15" hidden="false" customHeight="false" outlineLevel="0" collapsed="false">
      <c r="A90" s="38" t="n">
        <v>3</v>
      </c>
      <c r="B90" s="256" t="s">
        <v>68</v>
      </c>
      <c r="C90" s="266" t="s">
        <v>76</v>
      </c>
      <c r="D90" s="213" t="s">
        <v>66</v>
      </c>
      <c r="F90" s="38"/>
      <c r="G90" s="621" t="s">
        <v>68</v>
      </c>
    </row>
    <row r="91" customFormat="false" ht="15" hidden="false" customHeight="false" outlineLevel="0" collapsed="false">
      <c r="A91" s="38" t="n">
        <v>4</v>
      </c>
      <c r="B91" s="256" t="s">
        <v>69</v>
      </c>
      <c r="C91" s="266" t="s">
        <v>76</v>
      </c>
      <c r="D91" s="213" t="s">
        <v>66</v>
      </c>
      <c r="F91" s="38"/>
      <c r="G91" s="621" t="s">
        <v>69</v>
      </c>
    </row>
    <row r="92" customFormat="false" ht="15" hidden="false" customHeight="false" outlineLevel="0" collapsed="false">
      <c r="A92" s="38" t="n">
        <v>5</v>
      </c>
      <c r="B92" s="256" t="s">
        <v>70</v>
      </c>
      <c r="C92" s="266" t="s">
        <v>76</v>
      </c>
      <c r="D92" s="213" t="s">
        <v>66</v>
      </c>
      <c r="F92" s="38"/>
      <c r="G92" s="621" t="s">
        <v>70</v>
      </c>
    </row>
    <row r="93" customFormat="false" ht="15" hidden="false" customHeight="false" outlineLevel="0" collapsed="false">
      <c r="A93" s="38" t="n">
        <v>6</v>
      </c>
      <c r="B93" s="256" t="s">
        <v>71</v>
      </c>
      <c r="C93" s="266" t="s">
        <v>76</v>
      </c>
      <c r="D93" s="213" t="s">
        <v>66</v>
      </c>
      <c r="F93" s="38"/>
      <c r="G93" s="621" t="s">
        <v>71</v>
      </c>
    </row>
    <row r="94" customFormat="false" ht="15" hidden="false" customHeight="false" outlineLevel="0" collapsed="false">
      <c r="A94" s="38" t="n">
        <v>7</v>
      </c>
      <c r="B94" s="256" t="s">
        <v>72</v>
      </c>
      <c r="C94" s="266" t="s">
        <v>76</v>
      </c>
      <c r="D94" s="213" t="s">
        <v>66</v>
      </c>
      <c r="F94" s="38"/>
      <c r="G94" s="621" t="s">
        <v>72</v>
      </c>
    </row>
    <row r="95" customFormat="false" ht="15" hidden="false" customHeight="false" outlineLevel="0" collapsed="false">
      <c r="A95" s="38" t="n">
        <v>8</v>
      </c>
      <c r="B95" s="256" t="s">
        <v>90</v>
      </c>
      <c r="C95" s="266" t="s">
        <v>76</v>
      </c>
      <c r="D95" s="213" t="s">
        <v>66</v>
      </c>
      <c r="F95" s="38"/>
      <c r="G95" s="621" t="s">
        <v>90</v>
      </c>
    </row>
    <row r="96" s="1" customFormat="true" ht="15.75" hidden="false" customHeight="false" outlineLevel="0" collapsed="false">
      <c r="A96" s="38"/>
      <c r="B96" s="95"/>
      <c r="D96" s="3"/>
      <c r="F96" s="38"/>
      <c r="G96" s="667"/>
    </row>
    <row r="97" customFormat="false" ht="15.75" hidden="false" customHeight="false" outlineLevel="0" collapsed="false">
      <c r="A97" s="36"/>
      <c r="B97" s="120" t="s">
        <v>114</v>
      </c>
      <c r="F97" s="38"/>
      <c r="G97" s="615" t="s">
        <v>114</v>
      </c>
    </row>
    <row r="98" customFormat="false" ht="16.5" hidden="false" customHeight="true" outlineLevel="0" collapsed="false">
      <c r="A98" s="36"/>
      <c r="B98" s="289"/>
      <c r="F98" s="38"/>
      <c r="G98" s="289"/>
    </row>
    <row r="99" customFormat="false" ht="16.5" hidden="false" customHeight="true" outlineLevel="0" collapsed="false">
      <c r="A99" s="38" t="n">
        <v>1</v>
      </c>
      <c r="B99" s="256" t="s">
        <v>65</v>
      </c>
      <c r="C99" s="266" t="s">
        <v>76</v>
      </c>
      <c r="D99" s="213" t="s">
        <v>66</v>
      </c>
      <c r="F99" s="38"/>
      <c r="G99" s="621" t="s">
        <v>65</v>
      </c>
    </row>
    <row r="100" customFormat="false" ht="15" hidden="false" customHeight="false" outlineLevel="0" collapsed="false">
      <c r="A100" s="38" t="n">
        <v>2</v>
      </c>
      <c r="B100" s="256" t="s">
        <v>67</v>
      </c>
      <c r="C100" s="266" t="s">
        <v>76</v>
      </c>
      <c r="D100" s="213" t="s">
        <v>66</v>
      </c>
      <c r="F100" s="38"/>
      <c r="G100" s="621" t="s">
        <v>67</v>
      </c>
    </row>
    <row r="101" customFormat="false" ht="15" hidden="false" customHeight="false" outlineLevel="0" collapsed="false">
      <c r="A101" s="38" t="n">
        <v>3</v>
      </c>
      <c r="B101" s="256" t="s">
        <v>68</v>
      </c>
      <c r="C101" s="266" t="s">
        <v>76</v>
      </c>
      <c r="D101" s="213" t="s">
        <v>66</v>
      </c>
      <c r="F101" s="38"/>
      <c r="G101" s="621" t="s">
        <v>68</v>
      </c>
    </row>
    <row r="102" customFormat="false" ht="15" hidden="false" customHeight="false" outlineLevel="0" collapsed="false">
      <c r="A102" s="38" t="n">
        <v>4</v>
      </c>
      <c r="B102" s="256" t="s">
        <v>69</v>
      </c>
      <c r="C102" s="266" t="s">
        <v>76</v>
      </c>
      <c r="D102" s="213" t="s">
        <v>66</v>
      </c>
      <c r="F102" s="38"/>
      <c r="G102" s="621" t="s">
        <v>69</v>
      </c>
    </row>
    <row r="103" customFormat="false" ht="15" hidden="false" customHeight="false" outlineLevel="0" collapsed="false">
      <c r="A103" s="38" t="n">
        <v>5</v>
      </c>
      <c r="B103" s="256" t="s">
        <v>70</v>
      </c>
      <c r="C103" s="266" t="s">
        <v>76</v>
      </c>
      <c r="D103" s="213" t="s">
        <v>66</v>
      </c>
      <c r="F103" s="38"/>
      <c r="G103" s="621" t="s">
        <v>70</v>
      </c>
    </row>
    <row r="104" customFormat="false" ht="15" hidden="false" customHeight="false" outlineLevel="0" collapsed="false">
      <c r="A104" s="38" t="n">
        <v>6</v>
      </c>
      <c r="B104" s="256" t="s">
        <v>71</v>
      </c>
      <c r="C104" s="266" t="s">
        <v>76</v>
      </c>
      <c r="D104" s="213" t="s">
        <v>66</v>
      </c>
      <c r="F104" s="38"/>
      <c r="G104" s="621" t="s">
        <v>71</v>
      </c>
    </row>
    <row r="105" customFormat="false" ht="15" hidden="false" customHeight="false" outlineLevel="0" collapsed="false">
      <c r="A105" s="38" t="n">
        <v>7</v>
      </c>
      <c r="B105" s="256" t="s">
        <v>72</v>
      </c>
      <c r="C105" s="266" t="s">
        <v>76</v>
      </c>
      <c r="D105" s="213" t="s">
        <v>66</v>
      </c>
      <c r="F105" s="38"/>
      <c r="G105" s="621" t="s">
        <v>72</v>
      </c>
    </row>
    <row r="106" customFormat="false" ht="15" hidden="false" customHeight="false" outlineLevel="0" collapsed="false">
      <c r="A106" s="38" t="n">
        <v>8</v>
      </c>
      <c r="B106" s="256" t="s">
        <v>90</v>
      </c>
      <c r="C106" s="266" t="s">
        <v>76</v>
      </c>
      <c r="D106" s="213" t="s">
        <v>66</v>
      </c>
      <c r="F106" s="38"/>
      <c r="G106" s="621" t="s">
        <v>90</v>
      </c>
    </row>
    <row r="107" s="3" customFormat="true" ht="15.75" hidden="false" customHeight="false" outlineLevel="0" collapsed="false">
      <c r="A107" s="36"/>
      <c r="B107" s="73"/>
      <c r="F107" s="665"/>
      <c r="G107" s="617" t="s">
        <v>340</v>
      </c>
    </row>
    <row r="108" s="3" customFormat="true" ht="15.75" hidden="false" customHeight="false" outlineLevel="0" collapsed="false">
      <c r="A108" s="36"/>
      <c r="B108" s="73"/>
      <c r="F108" s="38"/>
      <c r="G108" s="1"/>
    </row>
    <row r="109" s="3" customFormat="true" ht="15.75" hidden="false" customHeight="false" outlineLevel="0" collapsed="false">
      <c r="A109" s="246"/>
      <c r="B109" s="112" t="s">
        <v>125</v>
      </c>
      <c r="C109" s="663"/>
      <c r="D109" s="663"/>
      <c r="E109" s="663"/>
      <c r="F109" s="613" t="s">
        <v>341</v>
      </c>
      <c r="G109" s="614" t="s">
        <v>342</v>
      </c>
    </row>
    <row r="110" customFormat="false" ht="15.75" hidden="false" customHeight="false" outlineLevel="0" collapsed="false">
      <c r="A110" s="54"/>
      <c r="B110" s="73"/>
      <c r="F110" s="38"/>
      <c r="G110" s="629"/>
    </row>
    <row r="111" s="201" customFormat="true" ht="15.75" hidden="false" customHeight="false" outlineLevel="0" collapsed="false">
      <c r="A111" s="36"/>
      <c r="B111" s="120" t="s">
        <v>126</v>
      </c>
      <c r="F111" s="38"/>
      <c r="G111" s="615" t="s">
        <v>126</v>
      </c>
    </row>
    <row r="112" s="201" customFormat="true" ht="15.75" hidden="false" customHeight="false" outlineLevel="0" collapsed="false">
      <c r="A112" s="36"/>
      <c r="B112" s="55"/>
      <c r="F112" s="38"/>
      <c r="G112" s="7"/>
    </row>
    <row r="113" s="201" customFormat="true" ht="15.75" hidden="false" customHeight="false" outlineLevel="0" collapsed="false">
      <c r="A113" s="36"/>
      <c r="B113" s="120" t="s">
        <v>127</v>
      </c>
      <c r="F113" s="38"/>
      <c r="G113" s="615" t="s">
        <v>127</v>
      </c>
    </row>
    <row r="114" s="201" customFormat="true" ht="15.75" hidden="false" customHeight="false" outlineLevel="0" collapsed="false">
      <c r="A114" s="36"/>
      <c r="B114" s="55"/>
      <c r="F114" s="38"/>
      <c r="G114" s="7"/>
    </row>
    <row r="115" s="201" customFormat="true" ht="15.75" hidden="false" customHeight="false" outlineLevel="0" collapsed="false">
      <c r="A115" s="36"/>
      <c r="B115" s="120" t="s">
        <v>128</v>
      </c>
      <c r="F115" s="38"/>
      <c r="G115" s="615" t="s">
        <v>128</v>
      </c>
    </row>
    <row r="116" s="201" customFormat="true" ht="15.75" hidden="false" customHeight="false" outlineLevel="0" collapsed="false">
      <c r="A116" s="36"/>
      <c r="B116" s="55"/>
      <c r="F116" s="38"/>
      <c r="G116" s="7"/>
    </row>
    <row r="117" s="201" customFormat="true" ht="15.75" hidden="false" customHeight="false" outlineLevel="0" collapsed="false">
      <c r="A117" s="36"/>
      <c r="B117" s="120" t="s">
        <v>129</v>
      </c>
      <c r="F117" s="38"/>
      <c r="G117" s="615" t="s">
        <v>129</v>
      </c>
    </row>
    <row r="118" customFormat="false" ht="15" hidden="false" customHeight="false" outlineLevel="0" collapsed="false">
      <c r="A118" s="38" t="n">
        <v>1</v>
      </c>
      <c r="B118" s="256" t="s">
        <v>65</v>
      </c>
      <c r="C118" s="266" t="s">
        <v>76</v>
      </c>
      <c r="D118" s="213" t="s">
        <v>66</v>
      </c>
      <c r="G118" s="621" t="s">
        <v>65</v>
      </c>
    </row>
    <row r="119" customFormat="false" ht="15" hidden="false" customHeight="false" outlineLevel="0" collapsed="false">
      <c r="A119" s="38" t="n">
        <v>2</v>
      </c>
      <c r="B119" s="256" t="s">
        <v>67</v>
      </c>
      <c r="C119" s="266" t="s">
        <v>76</v>
      </c>
      <c r="D119" s="213" t="s">
        <v>66</v>
      </c>
      <c r="G119" s="621" t="s">
        <v>67</v>
      </c>
    </row>
    <row r="120" customFormat="false" ht="15" hidden="false" customHeight="false" outlineLevel="0" collapsed="false">
      <c r="A120" s="38" t="n">
        <v>3</v>
      </c>
      <c r="B120" s="256" t="s">
        <v>68</v>
      </c>
      <c r="C120" s="266" t="s">
        <v>76</v>
      </c>
      <c r="D120" s="213" t="s">
        <v>66</v>
      </c>
      <c r="G120" s="621" t="s">
        <v>68</v>
      </c>
    </row>
    <row r="121" customFormat="false" ht="15" hidden="false" customHeight="false" outlineLevel="0" collapsed="false">
      <c r="A121" s="38" t="n">
        <v>4</v>
      </c>
      <c r="B121" s="256" t="s">
        <v>69</v>
      </c>
      <c r="C121" s="266" t="s">
        <v>76</v>
      </c>
      <c r="D121" s="213" t="s">
        <v>66</v>
      </c>
      <c r="G121" s="621" t="s">
        <v>69</v>
      </c>
    </row>
    <row r="122" customFormat="false" ht="15" hidden="false" customHeight="false" outlineLevel="0" collapsed="false">
      <c r="A122" s="38" t="n">
        <v>5</v>
      </c>
      <c r="B122" s="256" t="s">
        <v>70</v>
      </c>
      <c r="C122" s="266" t="s">
        <v>76</v>
      </c>
      <c r="D122" s="213" t="s">
        <v>66</v>
      </c>
      <c r="G122" s="621" t="s">
        <v>70</v>
      </c>
    </row>
    <row r="123" customFormat="false" ht="15" hidden="false" customHeight="false" outlineLevel="0" collapsed="false">
      <c r="A123" s="38" t="n">
        <v>6</v>
      </c>
      <c r="B123" s="256" t="s">
        <v>71</v>
      </c>
      <c r="C123" s="266" t="s">
        <v>76</v>
      </c>
      <c r="D123" s="213" t="s">
        <v>66</v>
      </c>
      <c r="G123" s="621" t="s">
        <v>71</v>
      </c>
    </row>
    <row r="124" s="3" customFormat="true" ht="15" hidden="false" customHeight="false" outlineLevel="0" collapsed="false">
      <c r="A124" s="38" t="n">
        <v>7</v>
      </c>
      <c r="B124" s="256" t="s">
        <v>72</v>
      </c>
      <c r="C124" s="266" t="s">
        <v>76</v>
      </c>
      <c r="D124" s="213" t="s">
        <v>66</v>
      </c>
      <c r="G124" s="621" t="s">
        <v>72</v>
      </c>
    </row>
    <row r="125" s="3" customFormat="true" ht="15" hidden="false" customHeight="false" outlineLevel="0" collapsed="false">
      <c r="A125" s="38" t="n">
        <v>8</v>
      </c>
      <c r="B125" s="256" t="s">
        <v>90</v>
      </c>
      <c r="C125" s="266" t="s">
        <v>76</v>
      </c>
      <c r="D125" s="213" t="s">
        <v>66</v>
      </c>
      <c r="F125" s="38"/>
      <c r="G125" s="621" t="s">
        <v>90</v>
      </c>
    </row>
    <row r="126" s="3" customFormat="true" ht="15" hidden="false" customHeight="false" outlineLevel="0" collapsed="false">
      <c r="A126" s="54"/>
      <c r="B126" s="95"/>
      <c r="F126" s="56"/>
    </row>
    <row r="127" s="3" customFormat="true" ht="15.75" hidden="false" customHeight="false" outlineLevel="0" collapsed="false">
      <c r="A127" s="54"/>
      <c r="B127" s="95"/>
      <c r="F127" s="56"/>
      <c r="G127" s="615" t="s">
        <v>343</v>
      </c>
    </row>
    <row r="128" customFormat="false" ht="15.75" hidden="false" customHeight="false" outlineLevel="0" collapsed="false">
      <c r="A128" s="36"/>
      <c r="B128" s="73" t="s">
        <v>3</v>
      </c>
      <c r="F128" s="56"/>
    </row>
    <row r="129" customFormat="false" ht="15.75" hidden="false" customHeight="true" outlineLevel="0" collapsed="false">
      <c r="A129" s="93"/>
      <c r="B129" s="326"/>
      <c r="C129" s="659"/>
      <c r="D129" s="659"/>
      <c r="E129" s="659"/>
      <c r="F129" s="665" t="s">
        <v>130</v>
      </c>
      <c r="G129" s="668" t="s">
        <v>131</v>
      </c>
    </row>
    <row r="130" customFormat="false" ht="15" hidden="false" customHeight="true" outlineLevel="0" collapsed="false">
      <c r="A130" s="54"/>
      <c r="B130" s="346"/>
      <c r="F130" s="56"/>
      <c r="G130" s="73"/>
    </row>
    <row r="131" s="3" customFormat="true" ht="15.75" hidden="false" customHeight="true" outlineLevel="0" collapsed="false">
      <c r="A131" s="38"/>
      <c r="B131" s="37"/>
      <c r="F131" s="613" t="s">
        <v>133</v>
      </c>
      <c r="G131" s="614" t="s">
        <v>134</v>
      </c>
    </row>
    <row r="132" customFormat="false" ht="15" hidden="false" customHeight="true" outlineLevel="0" collapsed="false">
      <c r="A132" s="56"/>
      <c r="B132" s="55"/>
      <c r="F132" s="56"/>
      <c r="G132" s="73"/>
    </row>
    <row r="133" s="3" customFormat="true" ht="15.75" hidden="false" customHeight="true" outlineLevel="0" collapsed="false">
      <c r="A133" s="38"/>
      <c r="B133" s="107"/>
      <c r="F133" s="613" t="s">
        <v>139</v>
      </c>
      <c r="G133" s="614" t="s">
        <v>140</v>
      </c>
    </row>
    <row r="134" s="3" customFormat="true" ht="15" hidden="false" customHeight="true" outlineLevel="0" collapsed="false">
      <c r="A134" s="56"/>
      <c r="B134" s="95"/>
      <c r="F134" s="38"/>
      <c r="G134" s="73"/>
    </row>
    <row r="135" s="3" customFormat="true" ht="15.75" hidden="false" customHeight="true" outlineLevel="0" collapsed="false">
      <c r="A135" s="38"/>
      <c r="B135" s="107"/>
      <c r="F135" s="613" t="s">
        <v>150</v>
      </c>
      <c r="G135" s="563" t="s">
        <v>151</v>
      </c>
    </row>
    <row r="136" s="3" customFormat="true" ht="15.75" hidden="false" customHeight="true" outlineLevel="0" collapsed="false">
      <c r="A136" s="56"/>
      <c r="B136" s="370"/>
      <c r="F136" s="38"/>
      <c r="G136" s="73"/>
    </row>
    <row r="137" s="3" customFormat="true" ht="15.75" hidden="false" customHeight="true" outlineLevel="0" collapsed="false">
      <c r="A137" s="38"/>
      <c r="B137" s="107"/>
      <c r="F137" s="613" t="s">
        <v>165</v>
      </c>
      <c r="G137" s="563" t="s">
        <v>166</v>
      </c>
    </row>
    <row r="138" s="3" customFormat="true" ht="15" hidden="false" customHeight="true" outlineLevel="0" collapsed="false">
      <c r="A138" s="56"/>
      <c r="B138" s="95"/>
      <c r="F138" s="38"/>
      <c r="G138" s="73"/>
    </row>
    <row r="139" s="3" customFormat="true" ht="15.75" hidden="false" customHeight="true" outlineLevel="0" collapsed="false">
      <c r="A139" s="38"/>
      <c r="B139" s="107"/>
      <c r="F139" s="613" t="s">
        <v>182</v>
      </c>
      <c r="G139" s="563" t="s">
        <v>183</v>
      </c>
    </row>
    <row r="140" s="3" customFormat="true" ht="15.75" hidden="false" customHeight="true" outlineLevel="0" collapsed="false">
      <c r="A140" s="38"/>
      <c r="B140" s="73"/>
      <c r="F140" s="38"/>
      <c r="G140" s="73"/>
    </row>
    <row r="141" s="3" customFormat="true" ht="15.75" hidden="false" customHeight="true" outlineLevel="0" collapsed="false">
      <c r="A141" s="38"/>
      <c r="B141" s="107"/>
      <c r="F141" s="613" t="s">
        <v>198</v>
      </c>
      <c r="G141" s="563" t="s">
        <v>199</v>
      </c>
    </row>
    <row r="142" s="3" customFormat="true" ht="15.75" hidden="false" customHeight="true" outlineLevel="0" collapsed="false">
      <c r="A142" s="38"/>
      <c r="B142" s="73"/>
      <c r="F142" s="38"/>
      <c r="G142" s="73" t="s">
        <v>3</v>
      </c>
    </row>
    <row r="143" s="3" customFormat="true" ht="15.75" hidden="false" customHeight="true" outlineLevel="0" collapsed="false">
      <c r="A143" s="38"/>
      <c r="B143" s="107"/>
      <c r="F143" s="613" t="s">
        <v>202</v>
      </c>
      <c r="G143" s="563" t="s">
        <v>203</v>
      </c>
    </row>
    <row r="144" s="3" customFormat="true" ht="15.75" hidden="false" customHeight="true" outlineLevel="0" collapsed="false">
      <c r="A144" s="38"/>
      <c r="B144" s="73"/>
      <c r="F144" s="38"/>
      <c r="G144" s="73"/>
    </row>
    <row r="145" s="3" customFormat="true" ht="15.75" hidden="false" customHeight="true" outlineLevel="0" collapsed="false">
      <c r="A145" s="384"/>
      <c r="B145" s="107"/>
      <c r="F145" s="634" t="s">
        <v>204</v>
      </c>
      <c r="G145" s="563" t="s">
        <v>344</v>
      </c>
    </row>
    <row r="146" s="3" customFormat="true" ht="15.75" hidden="false" customHeight="true" outlineLevel="0" collapsed="false">
      <c r="A146" s="38"/>
      <c r="B146" s="107"/>
      <c r="F146" s="38"/>
      <c r="G146" s="73"/>
    </row>
    <row r="147" s="3" customFormat="true" ht="15.75" hidden="false" customHeight="true" outlineLevel="0" collapsed="false">
      <c r="A147" s="385"/>
      <c r="B147" s="107"/>
      <c r="F147" s="635" t="s">
        <v>207</v>
      </c>
      <c r="G147" s="563" t="s">
        <v>208</v>
      </c>
    </row>
    <row r="148" s="3" customFormat="true" ht="15.75" hidden="false" customHeight="true" outlineLevel="0" collapsed="false"/>
    <row r="149" customFormat="false" ht="15.75" hidden="false" customHeight="true" outlineLevel="0" collapsed="false">
      <c r="A149" s="111"/>
      <c r="B149" s="401" t="s">
        <v>209</v>
      </c>
      <c r="C149" s="658"/>
      <c r="D149" s="669"/>
      <c r="E149" s="658"/>
      <c r="F149" s="246" t="s">
        <v>345</v>
      </c>
      <c r="G149" s="112" t="s">
        <v>209</v>
      </c>
    </row>
    <row r="150" s="3" customFormat="true" ht="15.75" hidden="false" customHeight="false" outlineLevel="0" collapsed="false">
      <c r="A150" s="418"/>
      <c r="B150" s="418"/>
      <c r="F150" s="38"/>
      <c r="G150" s="73"/>
    </row>
    <row r="151" customFormat="false" ht="15.75" hidden="false" customHeight="false" outlineLevel="0" collapsed="false">
      <c r="A151" s="431" t="s">
        <v>232</v>
      </c>
      <c r="B151" s="432" t="s">
        <v>233</v>
      </c>
      <c r="C151" s="658"/>
      <c r="D151" s="658"/>
      <c r="E151" s="658"/>
      <c r="F151" s="637" t="s">
        <v>232</v>
      </c>
      <c r="G151" s="432" t="s">
        <v>233</v>
      </c>
    </row>
    <row r="152" customFormat="false" ht="15" hidden="false" customHeight="true" outlineLevel="0" collapsed="false">
      <c r="A152" s="36"/>
      <c r="B152" s="76"/>
      <c r="F152" s="38"/>
      <c r="G152" s="76"/>
    </row>
    <row r="153" s="2" customFormat="true" ht="15.75" hidden="false" customHeight="true" outlineLevel="0" collapsed="false">
      <c r="A153" s="447"/>
      <c r="B153" s="670"/>
      <c r="C153" s="671"/>
      <c r="D153" s="671"/>
      <c r="E153" s="671"/>
      <c r="F153" s="672" t="s">
        <v>346</v>
      </c>
      <c r="G153" s="668" t="s">
        <v>234</v>
      </c>
    </row>
    <row r="154" s="2" customFormat="true" ht="15.75" hidden="false" customHeight="false" outlineLevel="0" collapsed="false">
      <c r="A154" s="54"/>
      <c r="B154" s="452"/>
      <c r="F154" s="638"/>
      <c r="G154" s="37"/>
    </row>
    <row r="155" s="468" customFormat="true" ht="15.75" hidden="false" customHeight="false" outlineLevel="0" collapsed="false">
      <c r="A155" s="461"/>
      <c r="B155" s="673"/>
      <c r="C155" s="674"/>
      <c r="D155" s="674"/>
      <c r="E155" s="674"/>
      <c r="F155" s="640" t="s">
        <v>347</v>
      </c>
      <c r="G155" s="614" t="s">
        <v>235</v>
      </c>
    </row>
    <row r="156" s="2" customFormat="true" ht="15.75" hidden="false" customHeight="false" outlineLevel="0" collapsed="false">
      <c r="A156" s="469"/>
      <c r="B156" s="103"/>
    </row>
    <row r="157" s="2" customFormat="true" ht="15.75" hidden="false" customHeight="false" outlineLevel="0" collapsed="false">
      <c r="A157" s="479"/>
      <c r="B157" s="112" t="s">
        <v>236</v>
      </c>
      <c r="G157" s="615" t="s">
        <v>348</v>
      </c>
    </row>
    <row r="158" s="2" customFormat="true" ht="15.75" hidden="false" customHeight="false" outlineLevel="0" collapsed="false">
      <c r="A158" s="479"/>
      <c r="B158" s="37"/>
      <c r="G158" s="107"/>
    </row>
    <row r="159" s="2" customFormat="true" ht="15" hidden="false" customHeight="false" outlineLevel="0" collapsed="false">
      <c r="A159" s="38" t="n">
        <v>1</v>
      </c>
      <c r="B159" s="480" t="s">
        <v>65</v>
      </c>
      <c r="D159" s="213" t="s">
        <v>66</v>
      </c>
      <c r="G159" s="621" t="s">
        <v>65</v>
      </c>
    </row>
    <row r="160" s="2" customFormat="true" ht="15" hidden="false" customHeight="false" outlineLevel="0" collapsed="false">
      <c r="A160" s="38" t="n">
        <v>2</v>
      </c>
      <c r="B160" s="480" t="s">
        <v>67</v>
      </c>
      <c r="D160" s="213" t="s">
        <v>66</v>
      </c>
      <c r="G160" s="621" t="s">
        <v>67</v>
      </c>
    </row>
    <row r="161" s="2" customFormat="true" ht="15" hidden="false" customHeight="false" outlineLevel="0" collapsed="false">
      <c r="A161" s="38" t="n">
        <v>3</v>
      </c>
      <c r="B161" s="480" t="s">
        <v>68</v>
      </c>
      <c r="D161" s="213" t="s">
        <v>66</v>
      </c>
      <c r="G161" s="621" t="s">
        <v>68</v>
      </c>
    </row>
    <row r="162" s="2" customFormat="true" ht="15" hidden="false" customHeight="false" outlineLevel="0" collapsed="false">
      <c r="A162" s="38" t="n">
        <v>4</v>
      </c>
      <c r="B162" s="480" t="s">
        <v>69</v>
      </c>
      <c r="D162" s="213" t="s">
        <v>66</v>
      </c>
      <c r="G162" s="621" t="s">
        <v>69</v>
      </c>
    </row>
    <row r="163" s="2" customFormat="true" ht="15" hidden="false" customHeight="false" outlineLevel="0" collapsed="false">
      <c r="A163" s="38" t="n">
        <v>5</v>
      </c>
      <c r="B163" s="480" t="s">
        <v>70</v>
      </c>
      <c r="D163" s="213" t="s">
        <v>66</v>
      </c>
      <c r="G163" s="621" t="s">
        <v>70</v>
      </c>
    </row>
    <row r="164" s="2" customFormat="true" ht="15" hidden="false" customHeight="false" outlineLevel="0" collapsed="false">
      <c r="A164" s="38" t="n">
        <v>6</v>
      </c>
      <c r="B164" s="480" t="s">
        <v>71</v>
      </c>
      <c r="D164" s="213" t="s">
        <v>66</v>
      </c>
      <c r="F164" s="641"/>
      <c r="G164" s="621" t="s">
        <v>71</v>
      </c>
    </row>
    <row r="165" s="2" customFormat="true" ht="15" hidden="false" customHeight="false" outlineLevel="0" collapsed="false">
      <c r="A165" s="38" t="n">
        <v>7</v>
      </c>
      <c r="B165" s="480" t="s">
        <v>72</v>
      </c>
      <c r="D165" s="213" t="s">
        <v>66</v>
      </c>
      <c r="F165" s="642" t="s">
        <v>3</v>
      </c>
      <c r="G165" s="621" t="s">
        <v>72</v>
      </c>
    </row>
    <row r="166" s="2" customFormat="true" ht="15" hidden="false" customHeight="false" outlineLevel="0" collapsed="false">
      <c r="A166" s="38" t="n">
        <v>8</v>
      </c>
      <c r="B166" s="480" t="s">
        <v>73</v>
      </c>
      <c r="D166" s="213" t="s">
        <v>66</v>
      </c>
      <c r="F166" s="642"/>
      <c r="G166" s="621" t="s">
        <v>90</v>
      </c>
    </row>
    <row r="167" s="2" customFormat="true" ht="15.75" hidden="false" customHeight="false" outlineLevel="0" collapsed="false">
      <c r="A167" s="479"/>
      <c r="B167" s="480" t="s">
        <v>238</v>
      </c>
      <c r="F167" s="642" t="s">
        <v>3</v>
      </c>
      <c r="G167" s="617" t="s">
        <v>238</v>
      </c>
    </row>
    <row r="168" s="2" customFormat="true" ht="15.75" hidden="false" customHeight="false" outlineLevel="0" collapsed="false">
      <c r="A168" s="479"/>
      <c r="B168" s="95"/>
      <c r="F168" s="642"/>
    </row>
    <row r="169" s="2" customFormat="true" ht="15" hidden="false" customHeight="false" outlineLevel="0" collapsed="false">
      <c r="A169" s="479"/>
      <c r="B169" s="112" t="s">
        <v>239</v>
      </c>
      <c r="F169" s="642" t="s">
        <v>3</v>
      </c>
      <c r="G169" s="615" t="s">
        <v>349</v>
      </c>
    </row>
    <row r="170" s="2" customFormat="true" ht="15.75" hidden="false" customHeight="false" outlineLevel="0" collapsed="false">
      <c r="A170" s="479"/>
      <c r="B170" s="37"/>
      <c r="F170" s="642"/>
      <c r="G170" s="7"/>
    </row>
    <row r="171" s="2" customFormat="true" ht="15" hidden="false" customHeight="false" outlineLevel="0" collapsed="false">
      <c r="A171" s="38" t="n">
        <v>1</v>
      </c>
      <c r="B171" s="480" t="s">
        <v>65</v>
      </c>
      <c r="D171" s="213" t="s">
        <v>66</v>
      </c>
      <c r="F171" s="642"/>
      <c r="G171" s="621" t="s">
        <v>65</v>
      </c>
    </row>
    <row r="172" s="2" customFormat="true" ht="15" hidden="false" customHeight="false" outlineLevel="0" collapsed="false">
      <c r="A172" s="38" t="n">
        <v>2</v>
      </c>
      <c r="B172" s="480" t="s">
        <v>67</v>
      </c>
      <c r="D172" s="213" t="s">
        <v>66</v>
      </c>
      <c r="F172" s="642"/>
      <c r="G172" s="621" t="s">
        <v>67</v>
      </c>
    </row>
    <row r="173" s="2" customFormat="true" ht="15" hidden="false" customHeight="false" outlineLevel="0" collapsed="false">
      <c r="A173" s="38" t="n">
        <v>3</v>
      </c>
      <c r="B173" s="480" t="s">
        <v>68</v>
      </c>
      <c r="D173" s="213" t="s">
        <v>66</v>
      </c>
      <c r="F173" s="642"/>
      <c r="G173" s="621" t="s">
        <v>68</v>
      </c>
    </row>
    <row r="174" s="2" customFormat="true" ht="15" hidden="false" customHeight="false" outlineLevel="0" collapsed="false">
      <c r="A174" s="38" t="n">
        <v>4</v>
      </c>
      <c r="B174" s="480" t="s">
        <v>69</v>
      </c>
      <c r="D174" s="213" t="s">
        <v>66</v>
      </c>
      <c r="F174" s="642"/>
      <c r="G174" s="621" t="s">
        <v>69</v>
      </c>
    </row>
    <row r="175" s="2" customFormat="true" ht="15" hidden="false" customHeight="false" outlineLevel="0" collapsed="false">
      <c r="A175" s="38" t="n">
        <v>5</v>
      </c>
      <c r="B175" s="480" t="s">
        <v>70</v>
      </c>
      <c r="D175" s="213" t="s">
        <v>66</v>
      </c>
      <c r="F175" s="642"/>
      <c r="G175" s="621" t="s">
        <v>70</v>
      </c>
    </row>
    <row r="176" s="2" customFormat="true" ht="15" hidden="false" customHeight="false" outlineLevel="0" collapsed="false">
      <c r="A176" s="38" t="n">
        <v>6</v>
      </c>
      <c r="B176" s="480" t="s">
        <v>71</v>
      </c>
      <c r="D176" s="213" t="s">
        <v>66</v>
      </c>
      <c r="F176" s="642"/>
      <c r="G176" s="621" t="s">
        <v>71</v>
      </c>
    </row>
    <row r="177" s="2" customFormat="true" ht="15" hidden="false" customHeight="false" outlineLevel="0" collapsed="false">
      <c r="A177" s="38" t="n">
        <v>7</v>
      </c>
      <c r="B177" s="480" t="s">
        <v>72</v>
      </c>
      <c r="D177" s="213" t="s">
        <v>66</v>
      </c>
      <c r="F177" s="642"/>
      <c r="G177" s="621" t="s">
        <v>72</v>
      </c>
    </row>
    <row r="178" s="2" customFormat="true" ht="15" hidden="false" customHeight="false" outlineLevel="0" collapsed="false">
      <c r="A178" s="38" t="n">
        <v>8</v>
      </c>
      <c r="B178" s="480" t="s">
        <v>416</v>
      </c>
      <c r="D178" s="213" t="s">
        <v>66</v>
      </c>
      <c r="F178" s="642" t="s">
        <v>3</v>
      </c>
      <c r="G178" s="621" t="s">
        <v>90</v>
      </c>
    </row>
    <row r="179" s="2" customFormat="true" ht="15.75" hidden="false" customHeight="false" outlineLevel="0" collapsed="false">
      <c r="A179" s="479"/>
      <c r="B179" s="480" t="s">
        <v>238</v>
      </c>
      <c r="F179" s="642"/>
      <c r="G179" s="617" t="s">
        <v>238</v>
      </c>
    </row>
    <row r="180" s="2" customFormat="true" ht="15.75" hidden="false" customHeight="false" outlineLevel="0" collapsed="false">
      <c r="A180" s="479"/>
      <c r="B180" s="299"/>
      <c r="F180" s="675"/>
      <c r="G180" s="676" t="s">
        <v>350</v>
      </c>
    </row>
    <row r="181" s="2" customFormat="true" ht="15.75" hidden="false" customHeight="false" outlineLevel="0" collapsed="false">
      <c r="A181" s="479"/>
      <c r="B181" s="299"/>
      <c r="F181" s="642"/>
      <c r="G181" s="1"/>
    </row>
    <row r="182" s="2" customFormat="true" ht="15.75" hidden="false" customHeight="false" outlineLevel="0" collapsed="false">
      <c r="A182" s="36"/>
      <c r="B182" s="107"/>
      <c r="C182" s="671"/>
      <c r="D182" s="671"/>
      <c r="E182" s="671"/>
      <c r="F182" s="640" t="s">
        <v>351</v>
      </c>
      <c r="G182" s="614" t="s">
        <v>240</v>
      </c>
    </row>
    <row r="183" s="2" customFormat="true" ht="15.75" hidden="false" customHeight="false" outlineLevel="0" collapsed="false">
      <c r="A183" s="36"/>
      <c r="B183" s="107"/>
      <c r="F183" s="642"/>
    </row>
    <row r="184" customFormat="false" ht="15.75" hidden="false" customHeight="false" outlineLevel="0" collapsed="false">
      <c r="A184" s="36"/>
      <c r="B184" s="496" t="s">
        <v>241</v>
      </c>
      <c r="F184" s="642"/>
      <c r="G184" s="615" t="s">
        <v>241</v>
      </c>
    </row>
    <row r="185" customFormat="false" ht="15.75" hidden="false" customHeight="false" outlineLevel="0" collapsed="false">
      <c r="A185" s="36"/>
      <c r="B185" s="107"/>
      <c r="F185" s="642"/>
      <c r="G185" s="7"/>
    </row>
    <row r="186" customFormat="false" ht="15.75" hidden="false" customHeight="false" outlineLevel="0" collapsed="false">
      <c r="A186" s="36"/>
      <c r="B186" s="480" t="s">
        <v>242</v>
      </c>
      <c r="F186" s="642"/>
      <c r="G186" s="617" t="s">
        <v>242</v>
      </c>
    </row>
    <row r="187" customFormat="false" ht="15.75" hidden="false" customHeight="false" outlineLevel="0" collapsed="false">
      <c r="A187" s="36"/>
      <c r="B187" s="480" t="s">
        <v>243</v>
      </c>
      <c r="F187" s="642"/>
      <c r="G187" s="617" t="s">
        <v>243</v>
      </c>
    </row>
    <row r="188" customFormat="false" ht="15.75" hidden="false" customHeight="false" outlineLevel="0" collapsed="false">
      <c r="A188" s="36"/>
      <c r="B188" s="97"/>
      <c r="F188" s="642"/>
    </row>
    <row r="189" customFormat="false" ht="15.75" hidden="false" customHeight="false" outlineLevel="0" collapsed="false">
      <c r="A189" s="36"/>
      <c r="B189" s="496" t="s">
        <v>244</v>
      </c>
      <c r="F189" s="642"/>
      <c r="G189" s="615" t="s">
        <v>244</v>
      </c>
    </row>
    <row r="190" customFormat="false" ht="15.75" hidden="false" customHeight="false" outlineLevel="0" collapsed="false">
      <c r="A190" s="36"/>
      <c r="B190" s="107"/>
      <c r="F190" s="642"/>
      <c r="G190" s="7"/>
    </row>
    <row r="191" customFormat="false" ht="15.75" hidden="false" customHeight="false" outlineLevel="0" collapsed="false">
      <c r="A191" s="36"/>
      <c r="B191" s="480" t="s">
        <v>245</v>
      </c>
      <c r="F191" s="642"/>
      <c r="G191" s="617" t="s">
        <v>245</v>
      </c>
    </row>
    <row r="192" customFormat="false" ht="15.75" hidden="false" customHeight="false" outlineLevel="0" collapsed="false">
      <c r="A192" s="36"/>
      <c r="B192" s="480" t="s">
        <v>246</v>
      </c>
      <c r="F192" s="642"/>
      <c r="G192" s="617" t="s">
        <v>246</v>
      </c>
    </row>
    <row r="193" customFormat="false" ht="15.75" hidden="false" customHeight="false" outlineLevel="0" collapsed="false">
      <c r="A193" s="36"/>
      <c r="B193" s="480" t="s">
        <v>247</v>
      </c>
      <c r="F193" s="642"/>
      <c r="G193" s="617" t="s">
        <v>247</v>
      </c>
    </row>
    <row r="194" customFormat="false" ht="15.75" hidden="false" customHeight="false" outlineLevel="0" collapsed="false">
      <c r="A194" s="36"/>
      <c r="B194" s="480" t="s">
        <v>248</v>
      </c>
      <c r="F194" s="642"/>
      <c r="G194" s="617" t="s">
        <v>248</v>
      </c>
    </row>
    <row r="195" s="1" customFormat="true" ht="15.75" hidden="false" customHeight="false" outlineLevel="0" collapsed="false">
      <c r="A195" s="36"/>
      <c r="B195" s="95"/>
      <c r="F195" s="677"/>
    </row>
    <row r="196" customFormat="false" ht="18.75" hidden="false" customHeight="true" outlineLevel="0" collapsed="false">
      <c r="A196" s="93"/>
      <c r="B196" s="508"/>
      <c r="C196" s="659"/>
      <c r="D196" s="659"/>
      <c r="E196" s="659"/>
      <c r="F196" s="612" t="s">
        <v>249</v>
      </c>
      <c r="G196" s="112" t="s">
        <v>250</v>
      </c>
    </row>
    <row r="197" customFormat="false" ht="15.75" hidden="false" customHeight="false" outlineLevel="0" collapsed="false">
      <c r="A197" s="36"/>
      <c r="B197" s="86"/>
      <c r="F197" s="38"/>
      <c r="G197" s="509"/>
    </row>
    <row r="198" customFormat="false" ht="15.75" hidden="false" customHeight="false" outlineLevel="0" collapsed="false">
      <c r="A198" s="36"/>
      <c r="B198" s="107"/>
      <c r="F198" s="640" t="s">
        <v>251</v>
      </c>
      <c r="G198" s="614" t="s">
        <v>252</v>
      </c>
    </row>
    <row r="199" customFormat="false" ht="15.75" hidden="false" customHeight="false" outlineLevel="0" collapsed="false">
      <c r="A199" s="36"/>
      <c r="B199" s="452"/>
      <c r="F199" s="38"/>
      <c r="G199" s="452"/>
    </row>
    <row r="200" s="525" customFormat="true" ht="15.75" hidden="false" customHeight="false" outlineLevel="0" collapsed="false">
      <c r="A200" s="524"/>
      <c r="B200" s="37"/>
      <c r="F200" s="613" t="s">
        <v>256</v>
      </c>
      <c r="G200" s="614" t="s">
        <v>257</v>
      </c>
    </row>
    <row r="201" customFormat="false" ht="15.75" hidden="false" customHeight="false" outlineLevel="0" collapsed="false">
      <c r="A201" s="36"/>
      <c r="B201" s="452"/>
      <c r="F201" s="38"/>
      <c r="G201" s="73"/>
    </row>
    <row r="202" s="525" customFormat="true" ht="15.75" hidden="false" customHeight="false" outlineLevel="0" collapsed="false">
      <c r="A202" s="524"/>
      <c r="B202" s="37"/>
      <c r="F202" s="613" t="s">
        <v>261</v>
      </c>
      <c r="G202" s="614" t="s">
        <v>262</v>
      </c>
    </row>
    <row r="203" customFormat="false" ht="15.75" hidden="false" customHeight="false" outlineLevel="0" collapsed="false">
      <c r="A203" s="36"/>
      <c r="B203" s="452"/>
      <c r="F203" s="38"/>
      <c r="G203" s="73"/>
    </row>
    <row r="204" customFormat="false" ht="15.75" hidden="false" customHeight="false" outlineLevel="0" collapsed="false">
      <c r="A204" s="524"/>
      <c r="B204" s="37"/>
      <c r="F204" s="613" t="s">
        <v>263</v>
      </c>
      <c r="G204" s="614" t="s">
        <v>264</v>
      </c>
    </row>
    <row r="205" customFormat="false" ht="15.75" hidden="false" customHeight="false" outlineLevel="0" collapsed="false">
      <c r="A205" s="36"/>
      <c r="B205" s="452"/>
      <c r="F205" s="38"/>
      <c r="G205" s="452"/>
    </row>
    <row r="206" customFormat="false" ht="15.75" hidden="false" customHeight="false" outlineLevel="0" collapsed="false">
      <c r="A206" s="36"/>
      <c r="B206" s="107"/>
      <c r="F206" s="613" t="s">
        <v>265</v>
      </c>
      <c r="G206" s="563" t="s">
        <v>266</v>
      </c>
    </row>
    <row r="207" customFormat="false" ht="15.75" hidden="false" customHeight="false" outlineLevel="0" collapsed="false">
      <c r="A207" s="93"/>
      <c r="B207" s="533"/>
      <c r="F207" s="38"/>
      <c r="G207" s="73"/>
    </row>
    <row r="208" customFormat="false" ht="15.75" hidden="false" customHeight="false" outlineLevel="0" collapsed="false">
      <c r="A208" s="36"/>
      <c r="B208" s="107"/>
      <c r="F208" s="613" t="s">
        <v>267</v>
      </c>
      <c r="G208" s="563" t="s">
        <v>268</v>
      </c>
    </row>
    <row r="209" customFormat="false" ht="15.75" hidden="false" customHeight="false" outlineLevel="0" collapsed="false">
      <c r="A209" s="36"/>
      <c r="B209" s="232"/>
      <c r="F209" s="38"/>
      <c r="G209" s="73"/>
    </row>
    <row r="210" customFormat="false" ht="15.75" hidden="false" customHeight="false" outlineLevel="0" collapsed="false">
      <c r="A210" s="36"/>
      <c r="B210" s="107"/>
      <c r="F210" s="613" t="s">
        <v>271</v>
      </c>
      <c r="G210" s="563" t="s">
        <v>344</v>
      </c>
    </row>
    <row r="211" customFormat="false" ht="15.75" hidden="false" customHeight="false" outlineLevel="0" collapsed="false">
      <c r="A211" s="36"/>
      <c r="B211" s="107"/>
      <c r="F211" s="38"/>
      <c r="G211" s="107"/>
    </row>
    <row r="212" customFormat="false" ht="15" hidden="false" customHeight="true" outlineLevel="0" collapsed="false">
      <c r="A212" s="36"/>
      <c r="B212" s="107"/>
      <c r="F212" s="613" t="s">
        <v>272</v>
      </c>
      <c r="G212" s="563" t="s">
        <v>273</v>
      </c>
    </row>
    <row r="213" customFormat="false" ht="15.75" hidden="false" customHeight="false" outlineLevel="0" collapsed="false">
      <c r="A213" s="36"/>
      <c r="B213" s="299"/>
    </row>
    <row r="214" customFormat="false" ht="15.75" hidden="false" customHeight="false" outlineLevel="0" collapsed="false">
      <c r="A214" s="536"/>
      <c r="B214" s="537"/>
      <c r="C214" s="659"/>
      <c r="D214" s="659"/>
      <c r="E214" s="659"/>
      <c r="F214" s="610" t="s">
        <v>352</v>
      </c>
      <c r="G214" s="648" t="s">
        <v>353</v>
      </c>
    </row>
    <row r="215" customFormat="false" ht="15.75" hidden="false" customHeight="false" outlineLevel="0" collapsed="false">
      <c r="A215" s="36"/>
      <c r="B215" s="299"/>
    </row>
    <row r="216" customFormat="false" ht="15.75" hidden="false" customHeight="false" outlineLevel="0" collapsed="false">
      <c r="A216" s="545" t="s">
        <v>274</v>
      </c>
      <c r="B216" s="67" t="s">
        <v>275</v>
      </c>
      <c r="C216" s="658"/>
      <c r="D216" s="658"/>
      <c r="E216" s="658"/>
      <c r="F216" s="610" t="s">
        <v>274</v>
      </c>
      <c r="G216" s="648" t="s">
        <v>275</v>
      </c>
    </row>
    <row r="217" customFormat="false" ht="15" hidden="false" customHeight="false" outlineLevel="0" collapsed="false">
      <c r="A217" s="54"/>
      <c r="B217" s="73"/>
    </row>
    <row r="218" customFormat="false" ht="15.75" hidden="false" customHeight="false" outlineLevel="0" collapsed="false">
      <c r="A218" s="111"/>
      <c r="B218" s="112" t="s">
        <v>43</v>
      </c>
      <c r="C218" s="658"/>
      <c r="D218" s="658"/>
      <c r="E218" s="658"/>
      <c r="F218" s="246" t="s">
        <v>354</v>
      </c>
      <c r="G218" s="112" t="s">
        <v>43</v>
      </c>
    </row>
    <row r="219" customFormat="false" ht="15.75" hidden="false" customHeight="false" outlineLevel="0" collapsed="false">
      <c r="A219" s="38"/>
      <c r="B219" s="73"/>
      <c r="F219" s="38"/>
      <c r="G219" s="547"/>
    </row>
    <row r="220" customFormat="false" ht="15.75" hidden="false" customHeight="false" outlineLevel="0" collapsed="false">
      <c r="A220" s="38"/>
      <c r="B220" s="120" t="s">
        <v>278</v>
      </c>
      <c r="F220" s="38"/>
      <c r="G220" s="547"/>
    </row>
    <row r="221" customFormat="false" ht="15.75" hidden="false" customHeight="false" outlineLevel="0" collapsed="false">
      <c r="A221" s="38"/>
      <c r="B221" s="73"/>
      <c r="F221" s="613" t="s">
        <v>355</v>
      </c>
      <c r="G221" s="614" t="s">
        <v>278</v>
      </c>
    </row>
    <row r="222" customFormat="false" ht="15.75" hidden="false" customHeight="false" outlineLevel="0" collapsed="false">
      <c r="A222" s="38"/>
      <c r="B222" s="120" t="s">
        <v>279</v>
      </c>
      <c r="F222" s="38"/>
      <c r="G222" s="73"/>
    </row>
    <row r="223" customFormat="false" ht="15.75" hidden="false" customHeight="false" outlineLevel="0" collapsed="false">
      <c r="A223" s="38"/>
      <c r="B223" s="73"/>
      <c r="F223" s="613" t="s">
        <v>356</v>
      </c>
      <c r="G223" s="614" t="s">
        <v>279</v>
      </c>
    </row>
    <row r="224" customFormat="false" ht="15.75" hidden="false" customHeight="false" outlineLevel="0" collapsed="false">
      <c r="A224" s="38"/>
      <c r="B224" s="120" t="s">
        <v>280</v>
      </c>
      <c r="F224" s="38"/>
      <c r="G224" s="73"/>
    </row>
    <row r="225" customFormat="false" ht="15.75" hidden="false" customHeight="false" outlineLevel="0" collapsed="false">
      <c r="A225" s="38"/>
      <c r="B225" s="73"/>
      <c r="F225" s="613" t="s">
        <v>357</v>
      </c>
      <c r="G225" s="614" t="s">
        <v>280</v>
      </c>
    </row>
    <row r="226" customFormat="false" ht="15.75" hidden="false" customHeight="false" outlineLevel="0" collapsed="false">
      <c r="A226" s="38"/>
      <c r="B226" s="120" t="s">
        <v>281</v>
      </c>
      <c r="F226" s="38"/>
      <c r="G226" s="73"/>
    </row>
    <row r="227" customFormat="false" ht="15.75" hidden="false" customHeight="false" outlineLevel="0" collapsed="false">
      <c r="A227" s="38"/>
      <c r="B227" s="73"/>
      <c r="F227" s="613" t="s">
        <v>358</v>
      </c>
      <c r="G227" s="614" t="s">
        <v>281</v>
      </c>
    </row>
    <row r="228" customFormat="false" ht="15.75" hidden="false" customHeight="false" outlineLevel="0" collapsed="false">
      <c r="A228" s="38"/>
      <c r="B228" s="120" t="s">
        <v>282</v>
      </c>
      <c r="F228" s="38"/>
      <c r="G228" s="73"/>
    </row>
    <row r="229" customFormat="false" ht="15.75" hidden="false" customHeight="false" outlineLevel="0" collapsed="false">
      <c r="A229" s="38"/>
      <c r="B229" s="73"/>
      <c r="F229" s="613" t="s">
        <v>359</v>
      </c>
      <c r="G229" s="614" t="s">
        <v>282</v>
      </c>
    </row>
    <row r="230" customFormat="false" ht="15.75" hidden="false" customHeight="false" outlineLevel="0" collapsed="false">
      <c r="A230" s="38"/>
      <c r="B230" s="120" t="s">
        <v>283</v>
      </c>
      <c r="F230" s="38" t="s">
        <v>3</v>
      </c>
      <c r="G230" s="73"/>
    </row>
    <row r="231" customFormat="false" ht="15.75" hidden="false" customHeight="false" outlineLevel="0" collapsed="false">
      <c r="A231" s="38"/>
      <c r="B231" s="73"/>
      <c r="F231" s="613" t="s">
        <v>360</v>
      </c>
      <c r="G231" s="614" t="s">
        <v>283</v>
      </c>
    </row>
    <row r="232" customFormat="false" ht="15.75" hidden="false" customHeight="false" outlineLevel="0" collapsed="false">
      <c r="A232" s="38"/>
      <c r="B232" s="120" t="s">
        <v>40</v>
      </c>
      <c r="F232" s="38"/>
      <c r="G232" s="73"/>
    </row>
    <row r="233" customFormat="false" ht="15.75" hidden="false" customHeight="false" outlineLevel="0" collapsed="false">
      <c r="A233" s="38"/>
      <c r="B233" s="73"/>
      <c r="F233" s="613" t="s">
        <v>361</v>
      </c>
      <c r="G233" s="614" t="s">
        <v>40</v>
      </c>
    </row>
    <row r="234" customFormat="false" ht="15.75" hidden="false" customHeight="false" outlineLevel="0" collapsed="false">
      <c r="A234" s="38"/>
      <c r="B234" s="480" t="s">
        <v>284</v>
      </c>
      <c r="F234" s="38"/>
      <c r="G234" s="73"/>
    </row>
    <row r="235" customFormat="false" ht="15.75" hidden="false" customHeight="false" outlineLevel="0" collapsed="false">
      <c r="A235" s="38"/>
      <c r="B235" s="37"/>
      <c r="F235" s="613" t="s">
        <v>362</v>
      </c>
      <c r="G235" s="563" t="s">
        <v>284</v>
      </c>
    </row>
    <row r="236" customFormat="false" ht="15.75" hidden="false" customHeight="false" outlineLevel="0" collapsed="false">
      <c r="A236" s="36"/>
      <c r="B236" s="73"/>
    </row>
    <row r="237" customFormat="false" ht="15.75" hidden="false" customHeight="true" outlineLevel="0" collapsed="false">
      <c r="A237" s="111"/>
      <c r="B237" s="401" t="s">
        <v>285</v>
      </c>
      <c r="C237" s="658"/>
      <c r="D237" s="658"/>
      <c r="E237" s="658"/>
      <c r="F237" s="246" t="s">
        <v>363</v>
      </c>
      <c r="G237" s="401" t="s">
        <v>285</v>
      </c>
    </row>
    <row r="238" customFormat="false" ht="15" hidden="false" customHeight="true" outlineLevel="0" collapsed="false">
      <c r="A238" s="54"/>
      <c r="B238" s="73"/>
      <c r="F238" s="56"/>
      <c r="G238" s="73"/>
    </row>
    <row r="239" s="3" customFormat="true" ht="15.75" hidden="false" customHeight="true" outlineLevel="0" collapsed="false">
      <c r="A239" s="38"/>
      <c r="B239" s="120" t="s">
        <v>278</v>
      </c>
      <c r="F239" s="613" t="s">
        <v>364</v>
      </c>
      <c r="G239" s="614" t="s">
        <v>365</v>
      </c>
    </row>
    <row r="240" customFormat="false" ht="15" hidden="false" customHeight="true" outlineLevel="0" collapsed="false">
      <c r="A240" s="56"/>
      <c r="B240" s="55"/>
      <c r="F240" s="56"/>
      <c r="G240" s="73"/>
    </row>
    <row r="241" s="3" customFormat="true" ht="15.75" hidden="false" customHeight="true" outlineLevel="0" collapsed="false">
      <c r="A241" s="38"/>
      <c r="B241" s="120" t="s">
        <v>279</v>
      </c>
      <c r="F241" s="613" t="s">
        <v>366</v>
      </c>
      <c r="G241" s="563" t="s">
        <v>367</v>
      </c>
    </row>
    <row r="242" s="3" customFormat="true" ht="15" hidden="false" customHeight="true" outlineLevel="0" collapsed="false">
      <c r="A242" s="56"/>
      <c r="B242" s="95"/>
      <c r="F242" s="38"/>
      <c r="G242" s="73"/>
    </row>
    <row r="243" s="3" customFormat="true" ht="15.75" hidden="false" customHeight="true" outlineLevel="0" collapsed="false">
      <c r="A243" s="38"/>
      <c r="B243" s="120" t="s">
        <v>280</v>
      </c>
      <c r="F243" s="613" t="s">
        <v>368</v>
      </c>
      <c r="G243" s="563" t="s">
        <v>151</v>
      </c>
    </row>
    <row r="244" s="3" customFormat="true" ht="15.75" hidden="false" customHeight="true" outlineLevel="0" collapsed="false">
      <c r="A244" s="56"/>
      <c r="B244" s="370" t="s">
        <v>3</v>
      </c>
      <c r="F244" s="38"/>
      <c r="G244" s="73"/>
    </row>
    <row r="245" s="3" customFormat="true" ht="15.75" hidden="false" customHeight="true" outlineLevel="0" collapsed="false">
      <c r="A245" s="38"/>
      <c r="B245" s="120" t="s">
        <v>281</v>
      </c>
      <c r="F245" s="613" t="s">
        <v>369</v>
      </c>
      <c r="G245" s="563" t="s">
        <v>166</v>
      </c>
    </row>
    <row r="246" s="3" customFormat="true" ht="15" hidden="false" customHeight="true" outlineLevel="0" collapsed="false">
      <c r="A246" s="56"/>
      <c r="B246" s="95"/>
      <c r="F246" s="38"/>
      <c r="G246" s="73"/>
    </row>
    <row r="247" s="3" customFormat="true" ht="15.75" hidden="false" customHeight="true" outlineLevel="0" collapsed="false">
      <c r="A247" s="38"/>
      <c r="B247" s="120" t="s">
        <v>282</v>
      </c>
      <c r="F247" s="613" t="s">
        <v>370</v>
      </c>
      <c r="G247" s="563" t="s">
        <v>183</v>
      </c>
    </row>
    <row r="248" s="3" customFormat="true" ht="15.75" hidden="false" customHeight="true" outlineLevel="0" collapsed="false">
      <c r="A248" s="38"/>
      <c r="B248" s="73" t="s">
        <v>3</v>
      </c>
      <c r="F248" s="38"/>
      <c r="G248" s="73"/>
    </row>
    <row r="249" s="3" customFormat="true" ht="15.75" hidden="false" customHeight="true" outlineLevel="0" collapsed="false">
      <c r="A249" s="38"/>
      <c r="B249" s="120" t="s">
        <v>283</v>
      </c>
      <c r="F249" s="613" t="s">
        <v>371</v>
      </c>
      <c r="G249" s="563" t="s">
        <v>199</v>
      </c>
    </row>
    <row r="250" s="3" customFormat="true" ht="15.75" hidden="false" customHeight="true" outlineLevel="0" collapsed="false">
      <c r="A250" s="38"/>
      <c r="B250" s="73"/>
      <c r="F250" s="38"/>
      <c r="G250" s="73"/>
    </row>
    <row r="251" s="3" customFormat="true" ht="15.75" hidden="false" customHeight="true" outlineLevel="0" collapsed="false">
      <c r="A251" s="384"/>
      <c r="B251" s="120" t="s">
        <v>40</v>
      </c>
      <c r="F251" s="634" t="s">
        <v>372</v>
      </c>
      <c r="G251" s="563" t="s">
        <v>344</v>
      </c>
    </row>
    <row r="252" s="3" customFormat="true" ht="15.75" hidden="false" customHeight="true" outlineLevel="0" collapsed="false">
      <c r="A252" s="36"/>
      <c r="B252" s="73"/>
      <c r="F252" s="38"/>
      <c r="G252" s="73"/>
    </row>
    <row r="253" s="3" customFormat="true" ht="15.75" hidden="false" customHeight="true" outlineLevel="0" collapsed="false">
      <c r="A253" s="384"/>
      <c r="B253" s="480" t="s">
        <v>284</v>
      </c>
      <c r="F253" s="634" t="s">
        <v>373</v>
      </c>
      <c r="G253" s="563" t="s">
        <v>208</v>
      </c>
    </row>
    <row r="254" s="3" customFormat="true" ht="15.75" hidden="false" customHeight="true" outlineLevel="0" collapsed="false">
      <c r="A254" s="385"/>
      <c r="B254" s="107"/>
    </row>
    <row r="255" customFormat="false" ht="15.75" hidden="false" customHeight="false" outlineLevel="0" collapsed="false">
      <c r="A255" s="111"/>
      <c r="B255" s="564" t="s">
        <v>287</v>
      </c>
      <c r="C255" s="658"/>
      <c r="D255" s="658"/>
      <c r="E255" s="658"/>
      <c r="F255" s="246" t="s">
        <v>374</v>
      </c>
      <c r="G255" s="564" t="s">
        <v>287</v>
      </c>
    </row>
    <row r="256" customFormat="false" ht="15.75" hidden="false" customHeight="false" outlineLevel="0" collapsed="false">
      <c r="A256" s="36"/>
      <c r="B256" s="86"/>
      <c r="F256" s="38"/>
    </row>
    <row r="257" customFormat="false" ht="15.75" hidden="false" customHeight="false" outlineLevel="0" collapsed="false">
      <c r="A257" s="36"/>
      <c r="B257" s="120" t="s">
        <v>278</v>
      </c>
      <c r="F257" s="613" t="s">
        <v>375</v>
      </c>
      <c r="G257" s="563" t="s">
        <v>376</v>
      </c>
    </row>
    <row r="258" customFormat="false" ht="15.75" hidden="false" customHeight="false" outlineLevel="0" collapsed="false">
      <c r="A258" s="36"/>
      <c r="B258" s="452"/>
      <c r="F258" s="38"/>
      <c r="G258" s="73"/>
    </row>
    <row r="259" s="525" customFormat="true" ht="15.75" hidden="false" customHeight="false" outlineLevel="0" collapsed="false">
      <c r="A259" s="36"/>
      <c r="B259" s="120" t="s">
        <v>279</v>
      </c>
      <c r="F259" s="613" t="s">
        <v>377</v>
      </c>
      <c r="G259" s="614" t="s">
        <v>367</v>
      </c>
    </row>
    <row r="260" customFormat="false" ht="15.75" hidden="false" customHeight="false" outlineLevel="0" collapsed="false">
      <c r="A260" s="36"/>
      <c r="B260" s="452"/>
      <c r="F260" s="38"/>
      <c r="G260" s="73"/>
    </row>
    <row r="261" s="525" customFormat="true" ht="15.75" hidden="false" customHeight="false" outlineLevel="0" collapsed="false">
      <c r="A261" s="36"/>
      <c r="B261" s="120" t="s">
        <v>280</v>
      </c>
      <c r="F261" s="613" t="s">
        <v>378</v>
      </c>
      <c r="G261" s="614" t="s">
        <v>151</v>
      </c>
    </row>
    <row r="262" customFormat="false" ht="15.75" hidden="false" customHeight="false" outlineLevel="0" collapsed="false">
      <c r="A262" s="36"/>
      <c r="B262" s="452"/>
      <c r="F262" s="38"/>
      <c r="G262" s="73"/>
    </row>
    <row r="263" customFormat="false" ht="15.75" hidden="false" customHeight="false" outlineLevel="0" collapsed="false">
      <c r="A263" s="36"/>
      <c r="B263" s="120" t="s">
        <v>281</v>
      </c>
      <c r="F263" s="613" t="s">
        <v>379</v>
      </c>
      <c r="G263" s="614" t="s">
        <v>166</v>
      </c>
    </row>
    <row r="264" customFormat="false" ht="15.75" hidden="false" customHeight="false" outlineLevel="0" collapsed="false">
      <c r="A264" s="36"/>
      <c r="B264" s="452"/>
      <c r="F264" s="38"/>
      <c r="G264" s="73"/>
    </row>
    <row r="265" customFormat="false" ht="15.75" hidden="false" customHeight="false" outlineLevel="0" collapsed="false">
      <c r="A265" s="36"/>
      <c r="B265" s="120" t="s">
        <v>282</v>
      </c>
      <c r="F265" s="613" t="s">
        <v>380</v>
      </c>
      <c r="G265" s="563" t="s">
        <v>183</v>
      </c>
    </row>
    <row r="266" customFormat="false" ht="15.75" hidden="false" customHeight="false" outlineLevel="0" collapsed="false">
      <c r="A266" s="93"/>
      <c r="B266" s="533"/>
      <c r="F266" s="38"/>
      <c r="G266" s="73"/>
    </row>
    <row r="267" customFormat="false" ht="15.75" hidden="false" customHeight="false" outlineLevel="0" collapsed="false">
      <c r="A267" s="36"/>
      <c r="B267" s="120" t="s">
        <v>283</v>
      </c>
      <c r="F267" s="613" t="s">
        <v>381</v>
      </c>
      <c r="G267" s="563" t="s">
        <v>199</v>
      </c>
    </row>
    <row r="268" customFormat="false" ht="15.75" hidden="false" customHeight="false" outlineLevel="0" collapsed="false">
      <c r="A268" s="36"/>
      <c r="B268" s="232"/>
      <c r="F268" s="38"/>
      <c r="G268" s="73"/>
    </row>
    <row r="269" customFormat="false" ht="15.75" hidden="false" customHeight="false" outlineLevel="0" collapsed="false">
      <c r="A269" s="36"/>
      <c r="B269" s="120" t="s">
        <v>40</v>
      </c>
      <c r="F269" s="613" t="s">
        <v>382</v>
      </c>
      <c r="G269" s="563" t="s">
        <v>344</v>
      </c>
    </row>
    <row r="270" customFormat="false" ht="15.75" hidden="false" customHeight="false" outlineLevel="0" collapsed="false">
      <c r="A270" s="36"/>
      <c r="B270" s="566"/>
      <c r="F270" s="38"/>
      <c r="G270" s="566"/>
    </row>
    <row r="271" customFormat="false" ht="15" hidden="false" customHeight="true" outlineLevel="0" collapsed="false">
      <c r="A271" s="36"/>
      <c r="B271" s="480" t="s">
        <v>284</v>
      </c>
      <c r="F271" s="613" t="s">
        <v>383</v>
      </c>
      <c r="G271" s="649" t="s">
        <v>208</v>
      </c>
    </row>
    <row r="272" customFormat="false" ht="15" hidden="false" customHeight="true" outlineLevel="0" collapsed="false">
      <c r="A272" s="569"/>
      <c r="B272" s="150"/>
    </row>
    <row r="273" customFormat="false" ht="15" hidden="false" customHeight="true" outlineLevel="0" collapsed="false">
      <c r="A273" s="545" t="s">
        <v>288</v>
      </c>
      <c r="B273" s="577" t="s">
        <v>289</v>
      </c>
      <c r="C273" s="658"/>
      <c r="D273" s="658"/>
      <c r="E273" s="658"/>
      <c r="F273" s="610" t="s">
        <v>288</v>
      </c>
      <c r="G273" s="577" t="s">
        <v>289</v>
      </c>
    </row>
    <row r="274" customFormat="false" ht="15" hidden="false" customHeight="true" outlineLevel="0" collapsed="false">
      <c r="A274" s="36"/>
      <c r="B274" s="578"/>
      <c r="F274" s="38"/>
      <c r="G274" s="578"/>
    </row>
    <row r="275" customFormat="false" ht="15" hidden="false" customHeight="true" outlineLevel="0" collapsed="false">
      <c r="A275" s="579"/>
      <c r="B275" s="580" t="s">
        <v>291</v>
      </c>
      <c r="C275" s="658"/>
      <c r="D275" s="658"/>
      <c r="E275" s="658"/>
      <c r="F275" s="246" t="s">
        <v>384</v>
      </c>
      <c r="G275" s="580" t="s">
        <v>291</v>
      </c>
    </row>
    <row r="276" s="1" customFormat="true" ht="15" hidden="false" customHeight="true" outlineLevel="0" collapsed="false">
      <c r="A276" s="36"/>
      <c r="B276" s="533"/>
      <c r="F276" s="116"/>
    </row>
    <row r="277" customFormat="false" ht="15" hidden="false" customHeight="true" outlineLevel="0" collapsed="false">
      <c r="A277" s="36"/>
      <c r="B277" s="480" t="s">
        <v>292</v>
      </c>
      <c r="F277" s="613" t="s">
        <v>385</v>
      </c>
      <c r="G277" s="563" t="s">
        <v>292</v>
      </c>
    </row>
    <row r="278" customFormat="false" ht="15" hidden="false" customHeight="true" outlineLevel="0" collapsed="false">
      <c r="A278" s="36"/>
      <c r="B278" s="95"/>
      <c r="F278" s="611"/>
      <c r="G278" s="678"/>
    </row>
    <row r="279" s="1" customFormat="true" ht="15" hidden="false" customHeight="true" outlineLevel="0" collapsed="false">
      <c r="A279" s="36"/>
      <c r="B279" s="95"/>
      <c r="C279" s="659"/>
      <c r="D279" s="659"/>
      <c r="E279" s="659"/>
      <c r="F279" s="613" t="s">
        <v>386</v>
      </c>
      <c r="G279" s="563" t="s">
        <v>387</v>
      </c>
    </row>
    <row r="280" s="3" customFormat="true" ht="15" hidden="false" customHeight="true" outlineLevel="0" collapsed="false">
      <c r="A280" s="54"/>
      <c r="B280" s="480" t="s">
        <v>417</v>
      </c>
      <c r="F280" s="56"/>
      <c r="G280" s="617" t="s">
        <v>393</v>
      </c>
    </row>
    <row r="281" s="3" customFormat="true" ht="15" hidden="false" customHeight="true" outlineLevel="0" collapsed="false">
      <c r="A281" s="54"/>
      <c r="B281" s="480" t="s">
        <v>294</v>
      </c>
      <c r="F281" s="56"/>
      <c r="G281" s="617" t="s">
        <v>389</v>
      </c>
    </row>
    <row r="282" s="3" customFormat="true" ht="15" hidden="false" customHeight="true" outlineLevel="0" collapsed="false">
      <c r="A282" s="54"/>
      <c r="B282" s="95"/>
    </row>
    <row r="283" s="3" customFormat="true" ht="15" hidden="false" customHeight="true" outlineLevel="0" collapsed="false">
      <c r="A283" s="54"/>
      <c r="B283" s="95"/>
      <c r="C283" s="679"/>
      <c r="D283" s="679"/>
      <c r="E283" s="679"/>
      <c r="F283" s="613" t="s">
        <v>390</v>
      </c>
      <c r="G283" s="563" t="s">
        <v>391</v>
      </c>
    </row>
    <row r="284" s="3" customFormat="true" ht="15" hidden="false" customHeight="true" outlineLevel="0" collapsed="false">
      <c r="A284" s="54"/>
      <c r="B284" s="95"/>
      <c r="C284" s="679"/>
      <c r="D284" s="679"/>
      <c r="E284" s="679"/>
      <c r="F284" s="38"/>
      <c r="G284" s="617" t="s">
        <v>392</v>
      </c>
    </row>
    <row r="285" customFormat="false" ht="15" hidden="false" customHeight="true" outlineLevel="0" collapsed="false">
      <c r="A285" s="36"/>
      <c r="B285" s="480" t="s">
        <v>295</v>
      </c>
      <c r="F285" s="38"/>
      <c r="G285" s="618" t="s">
        <v>393</v>
      </c>
    </row>
    <row r="286" customFormat="false" ht="15" hidden="false" customHeight="true" outlineLevel="0" collapsed="false">
      <c r="A286" s="36"/>
      <c r="B286" s="480" t="s">
        <v>296</v>
      </c>
      <c r="F286" s="38"/>
      <c r="G286" s="618" t="s">
        <v>389</v>
      </c>
    </row>
    <row r="287" customFormat="false" ht="15" hidden="false" customHeight="true" outlineLevel="0" collapsed="false">
      <c r="A287" s="36"/>
      <c r="B287" s="680"/>
    </row>
    <row r="288" customFormat="false" ht="15" hidden="false" customHeight="true" outlineLevel="0" collapsed="false">
      <c r="A288" s="36"/>
      <c r="B288" s="582" t="s">
        <v>297</v>
      </c>
      <c r="F288" s="38"/>
      <c r="G288" s="617" t="s">
        <v>297</v>
      </c>
    </row>
    <row r="289" customFormat="false" ht="15" hidden="false" customHeight="true" outlineLevel="0" collapsed="false">
      <c r="A289" s="36"/>
      <c r="B289" s="566"/>
    </row>
    <row r="290" customFormat="false" ht="15" hidden="false" customHeight="true" outlineLevel="0" collapsed="false">
      <c r="A290" s="579"/>
      <c r="B290" s="580" t="s">
        <v>284</v>
      </c>
      <c r="C290" s="658"/>
      <c r="D290" s="658"/>
      <c r="E290" s="658"/>
      <c r="F290" s="246" t="s">
        <v>394</v>
      </c>
      <c r="G290" s="580" t="s">
        <v>284</v>
      </c>
    </row>
    <row r="291" s="1" customFormat="true" ht="15" hidden="false" customHeight="true" outlineLevel="0" collapsed="false">
      <c r="A291" s="36"/>
      <c r="B291" s="533"/>
      <c r="F291" s="116"/>
    </row>
    <row r="292" customFormat="false" ht="15" hidden="false" customHeight="true" outlineLevel="0" collapsed="false">
      <c r="A292" s="36"/>
      <c r="B292" s="480" t="s">
        <v>292</v>
      </c>
      <c r="F292" s="613" t="s">
        <v>395</v>
      </c>
      <c r="G292" s="563" t="s">
        <v>292</v>
      </c>
    </row>
    <row r="293" customFormat="false" ht="15" hidden="false" customHeight="true" outlineLevel="0" collapsed="false">
      <c r="A293" s="36"/>
      <c r="B293" s="95"/>
      <c r="F293" s="611"/>
      <c r="G293" s="678"/>
    </row>
    <row r="294" s="1" customFormat="true" ht="15" hidden="false" customHeight="true" outlineLevel="0" collapsed="false">
      <c r="A294" s="36"/>
      <c r="B294" s="95"/>
      <c r="C294" s="659"/>
      <c r="D294" s="659"/>
      <c r="E294" s="659"/>
      <c r="F294" s="613" t="s">
        <v>396</v>
      </c>
      <c r="G294" s="563" t="s">
        <v>387</v>
      </c>
    </row>
    <row r="295" s="3" customFormat="true" ht="15" hidden="false" customHeight="true" outlineLevel="0" collapsed="false">
      <c r="A295" s="54"/>
      <c r="B295" s="480" t="s">
        <v>417</v>
      </c>
      <c r="F295" s="56"/>
      <c r="G295" s="617" t="s">
        <v>393</v>
      </c>
    </row>
    <row r="296" s="3" customFormat="true" ht="15" hidden="false" customHeight="true" outlineLevel="0" collapsed="false">
      <c r="A296" s="54"/>
      <c r="B296" s="480" t="s">
        <v>294</v>
      </c>
      <c r="F296" s="56"/>
      <c r="G296" s="617" t="s">
        <v>389</v>
      </c>
    </row>
    <row r="297" s="3" customFormat="true" ht="15" hidden="false" customHeight="true" outlineLevel="0" collapsed="false">
      <c r="A297" s="54"/>
      <c r="B297" s="95"/>
    </row>
    <row r="298" s="3" customFormat="true" ht="15" hidden="false" customHeight="true" outlineLevel="0" collapsed="false">
      <c r="A298" s="54"/>
      <c r="B298" s="95"/>
      <c r="C298" s="679"/>
      <c r="D298" s="679"/>
      <c r="E298" s="679"/>
      <c r="F298" s="613" t="s">
        <v>397</v>
      </c>
      <c r="G298" s="563" t="s">
        <v>391</v>
      </c>
    </row>
    <row r="299" s="3" customFormat="true" ht="15" hidden="false" customHeight="true" outlineLevel="0" collapsed="false">
      <c r="A299" s="54"/>
      <c r="B299" s="95"/>
      <c r="C299" s="679"/>
      <c r="D299" s="679"/>
      <c r="E299" s="679"/>
      <c r="F299" s="38"/>
      <c r="G299" s="617" t="s">
        <v>392</v>
      </c>
    </row>
    <row r="300" customFormat="false" ht="15" hidden="false" customHeight="true" outlineLevel="0" collapsed="false">
      <c r="A300" s="36"/>
      <c r="B300" s="480" t="s">
        <v>295</v>
      </c>
      <c r="F300" s="38"/>
      <c r="G300" s="618" t="s">
        <v>393</v>
      </c>
    </row>
    <row r="301" customFormat="false" ht="15" hidden="false" customHeight="true" outlineLevel="0" collapsed="false">
      <c r="A301" s="36"/>
      <c r="B301" s="480" t="s">
        <v>296</v>
      </c>
      <c r="F301" s="38"/>
      <c r="G301" s="618" t="s">
        <v>389</v>
      </c>
    </row>
    <row r="302" customFormat="false" ht="15" hidden="false" customHeight="true" outlineLevel="0" collapsed="false">
      <c r="A302" s="36"/>
      <c r="B302" s="680"/>
    </row>
    <row r="303" customFormat="false" ht="15" hidden="false" customHeight="true" outlineLevel="0" collapsed="false">
      <c r="A303" s="36"/>
      <c r="B303" s="582" t="s">
        <v>297</v>
      </c>
      <c r="F303" s="38"/>
      <c r="G303" s="617" t="s">
        <v>297</v>
      </c>
    </row>
    <row r="304" customFormat="false" ht="15" hidden="false" customHeight="true" outlineLevel="0" collapsed="false">
      <c r="A304" s="36"/>
      <c r="B304" s="566"/>
    </row>
    <row r="305" customFormat="false" ht="15" hidden="false" customHeight="true" outlineLevel="0" collapsed="false">
      <c r="A305" s="579"/>
      <c r="B305" s="580" t="s">
        <v>298</v>
      </c>
      <c r="C305" s="658"/>
      <c r="D305" s="658"/>
      <c r="E305" s="658"/>
      <c r="F305" s="246" t="s">
        <v>398</v>
      </c>
      <c r="G305" s="580" t="s">
        <v>298</v>
      </c>
    </row>
    <row r="306" s="1" customFormat="true" ht="15" hidden="false" customHeight="true" outlineLevel="0" collapsed="false">
      <c r="A306" s="36"/>
      <c r="B306" s="533"/>
      <c r="F306" s="116"/>
    </row>
    <row r="307" customFormat="false" ht="15" hidden="false" customHeight="true" outlineLevel="0" collapsed="false">
      <c r="A307" s="36"/>
      <c r="B307" s="480" t="s">
        <v>292</v>
      </c>
      <c r="C307" s="658"/>
      <c r="D307" s="658"/>
      <c r="E307" s="658"/>
      <c r="F307" s="613" t="s">
        <v>399</v>
      </c>
      <c r="G307" s="563" t="s">
        <v>292</v>
      </c>
    </row>
    <row r="308" customFormat="false" ht="15" hidden="false" customHeight="true" outlineLevel="0" collapsed="false">
      <c r="A308" s="36"/>
      <c r="B308" s="95"/>
      <c r="F308" s="611"/>
      <c r="G308" s="678"/>
    </row>
    <row r="309" s="1" customFormat="true" ht="15" hidden="false" customHeight="true" outlineLevel="0" collapsed="false">
      <c r="A309" s="36"/>
      <c r="B309" s="95"/>
      <c r="C309" s="659"/>
      <c r="D309" s="659"/>
      <c r="E309" s="659"/>
      <c r="F309" s="613" t="s">
        <v>400</v>
      </c>
      <c r="G309" s="563" t="s">
        <v>387</v>
      </c>
    </row>
    <row r="310" s="3" customFormat="true" ht="15" hidden="false" customHeight="true" outlineLevel="0" collapsed="false">
      <c r="A310" s="54"/>
      <c r="B310" s="480" t="s">
        <v>417</v>
      </c>
      <c r="F310" s="56"/>
      <c r="G310" s="617" t="s">
        <v>393</v>
      </c>
    </row>
    <row r="311" s="3" customFormat="true" ht="15" hidden="false" customHeight="true" outlineLevel="0" collapsed="false">
      <c r="A311" s="54"/>
      <c r="B311" s="480" t="s">
        <v>294</v>
      </c>
      <c r="F311" s="56"/>
      <c r="G311" s="617" t="s">
        <v>389</v>
      </c>
    </row>
    <row r="312" s="3" customFormat="true" ht="15" hidden="false" customHeight="true" outlineLevel="0" collapsed="false">
      <c r="A312" s="54"/>
      <c r="B312" s="95"/>
    </row>
    <row r="313" s="3" customFormat="true" ht="15" hidden="false" customHeight="true" outlineLevel="0" collapsed="false">
      <c r="A313" s="54"/>
      <c r="B313" s="95"/>
      <c r="C313" s="679"/>
      <c r="D313" s="679"/>
      <c r="E313" s="679"/>
      <c r="F313" s="613" t="s">
        <v>401</v>
      </c>
      <c r="G313" s="563" t="s">
        <v>391</v>
      </c>
    </row>
    <row r="314" s="3" customFormat="true" ht="15" hidden="false" customHeight="true" outlineLevel="0" collapsed="false">
      <c r="A314" s="54"/>
      <c r="B314" s="95"/>
      <c r="C314" s="679"/>
      <c r="D314" s="679"/>
      <c r="E314" s="679"/>
      <c r="F314" s="38"/>
      <c r="G314" s="617" t="s">
        <v>392</v>
      </c>
    </row>
    <row r="315" customFormat="false" ht="15" hidden="false" customHeight="true" outlineLevel="0" collapsed="false">
      <c r="A315" s="36"/>
      <c r="B315" s="480" t="s">
        <v>295</v>
      </c>
      <c r="F315" s="38"/>
      <c r="G315" s="618" t="s">
        <v>393</v>
      </c>
    </row>
    <row r="316" customFormat="false" ht="15" hidden="false" customHeight="true" outlineLevel="0" collapsed="false">
      <c r="A316" s="36"/>
      <c r="B316" s="480" t="s">
        <v>296</v>
      </c>
      <c r="F316" s="38"/>
      <c r="G316" s="618" t="s">
        <v>389</v>
      </c>
    </row>
    <row r="317" customFormat="false" ht="15" hidden="false" customHeight="true" outlineLevel="0" collapsed="false">
      <c r="A317" s="36"/>
      <c r="B317" s="680"/>
    </row>
    <row r="318" customFormat="false" ht="15" hidden="false" customHeight="true" outlineLevel="0" collapsed="false">
      <c r="A318" s="36"/>
      <c r="B318" s="582" t="s">
        <v>297</v>
      </c>
      <c r="F318" s="38"/>
      <c r="G318" s="617" t="s">
        <v>297</v>
      </c>
    </row>
    <row r="319" customFormat="false" ht="15" hidden="false" customHeight="true" outlineLevel="0" collapsed="false">
      <c r="A319" s="36"/>
      <c r="B319" s="566"/>
    </row>
    <row r="320" customFormat="false" ht="15" hidden="false" customHeight="true" outlineLevel="0" collapsed="false">
      <c r="A320" s="545" t="s">
        <v>299</v>
      </c>
      <c r="B320" s="585" t="s">
        <v>300</v>
      </c>
      <c r="C320" s="658"/>
      <c r="D320" s="658"/>
      <c r="E320" s="658"/>
      <c r="F320" s="610" t="s">
        <v>299</v>
      </c>
      <c r="G320" s="585" t="s">
        <v>300</v>
      </c>
    </row>
    <row r="321" customFormat="false" ht="15" hidden="false" customHeight="true" outlineLevel="0" collapsed="false">
      <c r="A321" s="36"/>
      <c r="B321" s="107"/>
      <c r="F321" s="38"/>
      <c r="G321" s="107"/>
    </row>
    <row r="322" customFormat="false" ht="15" hidden="false" customHeight="true" outlineLevel="0" collapsed="false">
      <c r="A322" s="579"/>
      <c r="B322" s="496" t="s">
        <v>301</v>
      </c>
      <c r="C322" s="658"/>
      <c r="D322" s="658"/>
      <c r="E322" s="658"/>
      <c r="F322" s="246" t="s">
        <v>402</v>
      </c>
      <c r="G322" s="496" t="s">
        <v>301</v>
      </c>
    </row>
    <row r="323" customFormat="false" ht="15" hidden="false" customHeight="true" outlineLevel="0" collapsed="false">
      <c r="A323" s="36"/>
      <c r="B323" s="480" t="s">
        <v>302</v>
      </c>
      <c r="F323" s="613" t="s">
        <v>403</v>
      </c>
      <c r="G323" s="563" t="s">
        <v>302</v>
      </c>
    </row>
    <row r="324" customFormat="false" ht="15" hidden="false" customHeight="true" outlineLevel="0" collapsed="false">
      <c r="A324" s="36"/>
      <c r="B324" s="480" t="s">
        <v>303</v>
      </c>
      <c r="F324" s="613" t="s">
        <v>404</v>
      </c>
      <c r="G324" s="563" t="s">
        <v>303</v>
      </c>
    </row>
    <row r="325" customFormat="false" ht="15" hidden="false" customHeight="true" outlineLevel="0" collapsed="false">
      <c r="A325" s="36"/>
      <c r="B325" s="480" t="s">
        <v>304</v>
      </c>
      <c r="F325" s="613" t="s">
        <v>405</v>
      </c>
      <c r="G325" s="563" t="s">
        <v>304</v>
      </c>
    </row>
    <row r="326" customFormat="false" ht="15" hidden="false" customHeight="true" outlineLevel="0" collapsed="false">
      <c r="A326" s="36"/>
      <c r="B326" s="95"/>
      <c r="F326" s="38"/>
      <c r="G326" s="95"/>
    </row>
    <row r="327" customFormat="false" ht="15" hidden="false" customHeight="true" outlineLevel="0" collapsed="false">
      <c r="A327" s="579"/>
      <c r="B327" s="496" t="s">
        <v>305</v>
      </c>
      <c r="C327" s="658"/>
      <c r="D327" s="658"/>
      <c r="E327" s="658"/>
      <c r="F327" s="246" t="s">
        <v>406</v>
      </c>
      <c r="G327" s="496" t="s">
        <v>305</v>
      </c>
    </row>
    <row r="328" customFormat="false" ht="15" hidden="false" customHeight="true" outlineLevel="0" collapsed="false">
      <c r="A328" s="36"/>
      <c r="B328" s="480" t="s">
        <v>303</v>
      </c>
      <c r="F328" s="613" t="s">
        <v>407</v>
      </c>
      <c r="G328" s="563" t="s">
        <v>303</v>
      </c>
    </row>
    <row r="329" customFormat="false" ht="15" hidden="false" customHeight="true" outlineLevel="0" collapsed="false">
      <c r="A329" s="36"/>
      <c r="B329" s="480" t="s">
        <v>304</v>
      </c>
      <c r="F329" s="613" t="s">
        <v>408</v>
      </c>
      <c r="G329" s="563" t="s">
        <v>304</v>
      </c>
    </row>
    <row r="330" customFormat="false" ht="15" hidden="false" customHeight="true" outlineLevel="0" collapsed="false">
      <c r="A330" s="36"/>
      <c r="B330" s="107"/>
      <c r="F330" s="38"/>
      <c r="G330" s="107"/>
    </row>
    <row r="331" customFormat="false" ht="15" hidden="false" customHeight="true" outlineLevel="0" collapsed="false">
      <c r="A331" s="579"/>
      <c r="B331" s="496" t="s">
        <v>306</v>
      </c>
      <c r="C331" s="658"/>
      <c r="D331" s="658"/>
      <c r="E331" s="658"/>
      <c r="F331" s="246" t="s">
        <v>409</v>
      </c>
      <c r="G331" s="496" t="s">
        <v>306</v>
      </c>
    </row>
    <row r="332" customFormat="false" ht="15" hidden="false" customHeight="true" outlineLevel="0" collapsed="false">
      <c r="A332" s="78"/>
      <c r="B332" s="95"/>
    </row>
    <row r="333" customFormat="false" ht="15" hidden="false" customHeight="true" outlineLevel="0" collapsed="false">
      <c r="A333" s="78"/>
      <c r="B333" s="144"/>
      <c r="F333" s="38"/>
    </row>
    <row r="334" customFormat="false" ht="15" hidden="false" customHeight="true" outlineLevel="0" collapsed="false">
      <c r="A334" s="78"/>
      <c r="B334" s="144"/>
      <c r="F334" s="38"/>
      <c r="G334" s="107"/>
    </row>
    <row r="335" customFormat="false" ht="15" hidden="false" customHeight="true" outlineLevel="0" collapsed="false">
      <c r="A335" s="78"/>
      <c r="B335" s="144"/>
      <c r="F335" s="38"/>
    </row>
    <row r="336" customFormat="false" ht="15.75" hidden="false" customHeight="false" outlineLevel="0" collapsed="false">
      <c r="F336" s="38"/>
    </row>
    <row r="337" customFormat="false" ht="15.75" hidden="false" customHeight="false" outlineLevel="0" collapsed="false">
      <c r="F337" s="38"/>
    </row>
    <row r="338" customFormat="false" ht="15.75" hidden="false" customHeight="false" outlineLevel="0" collapsed="false">
      <c r="F338" s="38"/>
    </row>
    <row r="339" customFormat="false" ht="15.75" hidden="false" customHeight="false" outlineLevel="0" collapsed="false">
      <c r="F339" s="38"/>
      <c r="G339" s="566"/>
    </row>
    <row r="341" customFormat="false" ht="15.75" hidden="false" customHeight="false" outlineLevel="0" collapsed="false">
      <c r="F341" s="38"/>
      <c r="G341" s="533"/>
    </row>
    <row r="342" customFormat="false" ht="15.75" hidden="false" customHeight="false" outlineLevel="0" collapsed="false">
      <c r="F342" s="38"/>
      <c r="G342" s="107"/>
    </row>
    <row r="343" customFormat="false" ht="15.75" hidden="false" customHeight="false" outlineLevel="0" collapsed="false">
      <c r="F343" s="38"/>
      <c r="G343" s="107"/>
    </row>
    <row r="344" customFormat="false" ht="15.75" hidden="false" customHeight="false" outlineLevel="0" collapsed="false">
      <c r="F344" s="38"/>
      <c r="G344" s="107"/>
    </row>
    <row r="345" customFormat="false" ht="15.75" hidden="false" customHeight="false" outlineLevel="0" collapsed="false">
      <c r="F345" s="38"/>
    </row>
    <row r="346" customFormat="false" ht="15.75" hidden="false" customHeight="false" outlineLevel="0" collapsed="false">
      <c r="F346" s="38"/>
    </row>
    <row r="347" customFormat="false" ht="15.75" hidden="false" customHeight="false" outlineLevel="0" collapsed="false">
      <c r="F347" s="38"/>
      <c r="G347" s="107"/>
    </row>
    <row r="348" customFormat="false" ht="15.75" hidden="false" customHeight="false" outlineLevel="0" collapsed="false">
      <c r="F348" s="38"/>
    </row>
    <row r="349" customFormat="false" ht="15.75" hidden="false" customHeight="false" outlineLevel="0" collapsed="false">
      <c r="F349" s="38"/>
    </row>
    <row r="350" customFormat="false" ht="15.75" hidden="false" customHeight="false" outlineLevel="0" collapsed="false">
      <c r="F350" s="38"/>
    </row>
    <row r="351" customFormat="false" ht="15.75" hidden="false" customHeight="false" outlineLevel="0" collapsed="false">
      <c r="F351" s="38"/>
    </row>
    <row r="352" customFormat="false" ht="15.75" hidden="false" customHeight="false" outlineLevel="0" collapsed="false">
      <c r="F352" s="38"/>
      <c r="G352" s="107"/>
    </row>
    <row r="365" customFormat="false" ht="15" hidden="false" customHeight="false" outlineLevel="0" collapsed="false">
      <c r="F365" s="650"/>
      <c r="G365" s="95"/>
    </row>
    <row r="366" customFormat="false" ht="15" hidden="false" customHeight="false" outlineLevel="0" collapsed="false">
      <c r="F366" s="650"/>
      <c r="G366" s="144"/>
    </row>
    <row r="367" customFormat="false" ht="15" hidden="false" customHeight="false" outlineLevel="0" collapsed="false">
      <c r="F367" s="650"/>
      <c r="G367" s="144"/>
    </row>
    <row r="368" customFormat="false" ht="15" hidden="false" customHeight="false" outlineLevel="0" collapsed="false">
      <c r="F368" s="650"/>
      <c r="G368" s="144"/>
    </row>
    <row r="369" customFormat="false" ht="15" hidden="false" customHeight="false" outlineLevel="0" collapsed="false">
      <c r="F369" s="650"/>
      <c r="G369" s="144"/>
    </row>
    <row r="370" customFormat="false" ht="15" hidden="false" customHeight="false" outlineLevel="0" collapsed="false">
      <c r="F370" s="650"/>
      <c r="G370" s="144"/>
    </row>
    <row r="371" customFormat="false" ht="15" hidden="false" customHeight="false" outlineLevel="0" collapsed="false">
      <c r="F371" s="650"/>
      <c r="G371" s="144"/>
    </row>
    <row r="372" customFormat="false" ht="15.75" hidden="false" customHeight="false" outlineLevel="0" collapsed="false">
      <c r="F372" s="29"/>
      <c r="G372" s="589"/>
    </row>
    <row r="373" customFormat="false" ht="12.75" hidden="false" customHeight="false" outlineLevel="0" collapsed="false">
      <c r="F373" s="653"/>
      <c r="G373" s="596"/>
    </row>
    <row r="374" customFormat="false" ht="12.75" hidden="false" customHeight="false" outlineLevel="0" collapsed="false">
      <c r="G374" s="201"/>
    </row>
    <row r="377" customFormat="false" ht="12.75" hidden="false" customHeight="false" outlineLevel="0" collapsed="false">
      <c r="G377" s="3"/>
    </row>
    <row r="378" customFormat="false" ht="12.75" hidden="false" customHeight="false" outlineLevel="0" collapsed="false">
      <c r="G378" s="3"/>
    </row>
    <row r="379" customFormat="false" ht="12.75" hidden="false" customHeight="false" outlineLevel="0" collapsed="false">
      <c r="F379" s="654"/>
      <c r="G379" s="201"/>
    </row>
    <row r="380" customFormat="false" ht="12.75" hidden="false" customHeight="false" outlineLevel="0" collapsed="false">
      <c r="G380" s="3"/>
    </row>
    <row r="381" customFormat="false" ht="12.75" hidden="false" customHeight="false" outlineLevel="0" collapsed="false">
      <c r="G381" s="3"/>
    </row>
    <row r="382" customFormat="false" ht="12.75" hidden="false" customHeight="false" outlineLevel="0" collapsed="false">
      <c r="G382" s="3"/>
    </row>
    <row r="383" customFormat="false" ht="12.75" hidden="false" customHeight="false" outlineLevel="0" collapsed="false">
      <c r="G383" s="3"/>
    </row>
    <row r="384" customFormat="false" ht="12.75" hidden="false" customHeight="false" outlineLevel="0" collapsed="false">
      <c r="G384" s="201"/>
    </row>
    <row r="385" customFormat="false" ht="12.75" hidden="false" customHeight="false" outlineLevel="0" collapsed="false">
      <c r="G385" s="3"/>
    </row>
    <row r="386" customFormat="false" ht="12.75" hidden="false" customHeight="false" outlineLevel="0" collapsed="false">
      <c r="G386" s="3"/>
    </row>
    <row r="387" customFormat="false" ht="12.75" hidden="false" customHeight="false" outlineLevel="0" collapsed="false">
      <c r="F387" s="654"/>
      <c r="G387" s="201"/>
    </row>
    <row r="389" customFormat="false" ht="15" hidden="false" customHeight="false" outlineLevel="0" collapsed="false">
      <c r="G389" s="608"/>
    </row>
    <row r="395" customFormat="false" ht="12.75" hidden="false" customHeight="false" outlineLevel="0" collapsed="false">
      <c r="G395" s="201"/>
    </row>
    <row r="396" customFormat="false" ht="12.75" hidden="false" customHeight="false" outlineLevel="0" collapsed="false">
      <c r="G396" s="3"/>
    </row>
    <row r="397" customFormat="false" ht="12.75" hidden="false" customHeight="false" outlineLevel="0" collapsed="false">
      <c r="G397" s="3"/>
    </row>
    <row r="398" customFormat="false" ht="12.75" hidden="false" customHeight="false" outlineLevel="0" collapsed="false">
      <c r="G398" s="3"/>
    </row>
    <row r="399" customFormat="false" ht="12.75" hidden="false" customHeight="false" outlineLevel="0" collapsed="false">
      <c r="G39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67"/>
  <sheetViews>
    <sheetView showFormulas="false" showGridLines="true" showRowColHeaders="true" showZeros="true" rightToLeft="false" tabSelected="false" showOutlineSymbols="true" defaultGridColor="true" view="normal" topLeftCell="B13" colorId="64" zoomScale="55" zoomScaleNormal="55" zoomScalePageLayoutView="100" workbookViewId="0">
      <selection pane="topLeft" activeCell="W169" activeCellId="0" sqref="W169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63"/>
    <col collapsed="false" customWidth="true" hidden="true" outlineLevel="0" max="6" min="3" style="1" width="9.71"/>
    <col collapsed="false" customWidth="true" hidden="false" outlineLevel="0" max="10" min="7" style="1" width="9.71"/>
    <col collapsed="false" customWidth="true" hidden="false" outlineLevel="0" max="11" min="11" style="1" width="10.29"/>
    <col collapsed="false" customWidth="true" hidden="false" outlineLevel="0" max="21" min="21" style="1" width="9.29"/>
  </cols>
  <sheetData>
    <row r="1" customFormat="false" ht="15.75" hidden="false" customHeight="false" outlineLevel="0" collapsed="false">
      <c r="A1" s="7" t="s">
        <v>0</v>
      </c>
      <c r="B1" s="7"/>
      <c r="C1" s="7" t="n">
        <f aca="false">OHJELMOINTINÄKYMÄ!C1</f>
        <v>0</v>
      </c>
      <c r="D1" s="7"/>
      <c r="E1" s="7"/>
      <c r="F1" s="7"/>
      <c r="G1" s="3"/>
      <c r="H1" s="9"/>
      <c r="I1" s="9"/>
    </row>
    <row r="2" customFormat="false" ht="15.75" hidden="false" customHeight="false" outlineLevel="0" collapsed="false">
      <c r="A2" s="7" t="s">
        <v>418</v>
      </c>
      <c r="B2" s="7"/>
      <c r="C2" s="7"/>
      <c r="D2" s="7"/>
      <c r="E2" s="7"/>
      <c r="F2" s="7"/>
      <c r="G2" s="7"/>
      <c r="H2" s="7"/>
      <c r="I2" s="7"/>
    </row>
    <row r="3" customFormat="false" ht="15.75" hidden="false" customHeight="false" outlineLevel="0" collapsed="false">
      <c r="A3" s="7" t="s">
        <v>419</v>
      </c>
      <c r="B3" s="7"/>
      <c r="C3" s="15" t="str">
        <f aca="false">OHJELMOINTINÄKYMÄ!C3</f>
        <v> </v>
      </c>
      <c r="D3" s="15"/>
      <c r="E3" s="7"/>
      <c r="F3" s="7"/>
      <c r="G3" s="3"/>
      <c r="H3" s="17"/>
      <c r="I3" s="16"/>
      <c r="L3" s="3" t="s">
        <v>420</v>
      </c>
    </row>
    <row r="4" customFormat="false" ht="15.75" hidden="false" customHeight="false" outlineLevel="0" collapsed="false">
      <c r="A4" s="23"/>
      <c r="B4" s="23"/>
      <c r="C4" s="23"/>
      <c r="D4" s="23"/>
      <c r="E4" s="23"/>
      <c r="F4" s="23"/>
      <c r="G4" s="681"/>
      <c r="H4" s="682"/>
      <c r="I4" s="682"/>
    </row>
    <row r="5" customFormat="false" ht="18" hidden="false" customHeight="false" outlineLevel="0" collapsed="false">
      <c r="A5" s="683" t="s">
        <v>421</v>
      </c>
      <c r="B5" s="23"/>
      <c r="C5" s="23"/>
      <c r="D5" s="23"/>
      <c r="E5" s="23"/>
      <c r="F5" s="23"/>
      <c r="G5" s="23"/>
      <c r="H5" s="682"/>
      <c r="I5" s="682"/>
      <c r="K5" s="684"/>
      <c r="O5" s="8"/>
      <c r="U5" s="685" t="n">
        <v>43595</v>
      </c>
    </row>
    <row r="6" customFormat="false" ht="15.75" hidden="false" customHeight="false" outlineLevel="0" collapsed="false">
      <c r="A6" s="566" t="s">
        <v>422</v>
      </c>
      <c r="B6" s="686"/>
      <c r="C6" s="23"/>
      <c r="D6" s="23"/>
      <c r="E6" s="23"/>
      <c r="F6" s="23"/>
      <c r="G6" s="23"/>
      <c r="H6" s="682"/>
      <c r="I6" s="682"/>
    </row>
    <row r="7" customFormat="false" ht="15.75" hidden="false" customHeight="false" outlineLevel="0" collapsed="false">
      <c r="A7" s="566"/>
      <c r="B7" s="7"/>
      <c r="C7" s="23"/>
      <c r="D7" s="23"/>
      <c r="E7" s="23"/>
      <c r="F7" s="23"/>
      <c r="G7" s="23"/>
      <c r="H7" s="682"/>
      <c r="I7" s="687"/>
      <c r="J7" s="688"/>
      <c r="L7" s="3" t="s">
        <v>3</v>
      </c>
    </row>
    <row r="8" customFormat="false" ht="15.75" hidden="false" customHeight="false" outlineLevel="0" collapsed="false">
      <c r="A8" s="25" t="s">
        <v>6</v>
      </c>
      <c r="B8" s="26"/>
      <c r="C8" s="689" t="s">
        <v>7</v>
      </c>
      <c r="D8" s="29" t="s">
        <v>7</v>
      </c>
      <c r="E8" s="689" t="s">
        <v>7</v>
      </c>
      <c r="F8" s="690" t="s">
        <v>423</v>
      </c>
      <c r="G8" s="689" t="s">
        <v>7</v>
      </c>
      <c r="H8" s="29" t="s">
        <v>7</v>
      </c>
      <c r="I8" s="690" t="s">
        <v>7</v>
      </c>
      <c r="J8" s="689" t="s">
        <v>7</v>
      </c>
      <c r="K8" s="690" t="s">
        <v>7</v>
      </c>
      <c r="L8" s="691" t="s">
        <v>7</v>
      </c>
      <c r="M8" s="689" t="s">
        <v>8</v>
      </c>
      <c r="N8" s="692" t="s">
        <v>9</v>
      </c>
      <c r="O8" s="689" t="s">
        <v>10</v>
      </c>
      <c r="P8" s="689" t="s">
        <v>10</v>
      </c>
      <c r="Q8" s="689" t="s">
        <v>424</v>
      </c>
      <c r="R8" s="689" t="s">
        <v>424</v>
      </c>
      <c r="S8" s="689" t="s">
        <v>424</v>
      </c>
      <c r="T8" s="689" t="s">
        <v>424</v>
      </c>
      <c r="U8" s="689" t="s">
        <v>424</v>
      </c>
      <c r="V8" s="689" t="s">
        <v>424</v>
      </c>
    </row>
    <row r="9" customFormat="false" ht="20.25" hidden="false" customHeight="false" outlineLevel="0" collapsed="false">
      <c r="A9" s="36" t="s">
        <v>12</v>
      </c>
      <c r="B9" s="37" t="s">
        <v>425</v>
      </c>
      <c r="C9" s="693" t="n">
        <f aca="false">OHJELMOINTINÄKYMÄ!C7</f>
        <v>2010</v>
      </c>
      <c r="D9" s="693" t="n">
        <f aca="false">OHJELMOINTINÄKYMÄ!D7</f>
        <v>2011</v>
      </c>
      <c r="E9" s="693" t="n">
        <f aca="false">OHJELMOINTINÄKYMÄ!E7</f>
        <v>2012</v>
      </c>
      <c r="F9" s="693" t="n">
        <f aca="false">OHJELMOINTINÄKYMÄ!F7</f>
        <v>2013</v>
      </c>
      <c r="G9" s="693" t="n">
        <f aca="false">OHJELMOINTINÄKYMÄ!G7</f>
        <v>2014</v>
      </c>
      <c r="H9" s="38" t="n">
        <f aca="false">OHJELMOINTINÄKYMÄ!H7</f>
        <v>2015</v>
      </c>
      <c r="I9" s="694" t="n">
        <f aca="false">OHJELMOINTINÄKYMÄ!I7</f>
        <v>2016</v>
      </c>
      <c r="J9" s="693" t="n">
        <f aca="false">OHJELMOINTINÄKYMÄ!J7</f>
        <v>2017</v>
      </c>
      <c r="K9" s="694" t="n">
        <f aca="false">OHJELMOINTINÄKYMÄ!K7</f>
        <v>2018</v>
      </c>
      <c r="L9" s="695" t="n">
        <f aca="false">OHJELMOINTINÄKYMÄ!L7</f>
        <v>2019</v>
      </c>
      <c r="M9" s="693" t="n">
        <f aca="false">OHJELMOINTINÄKYMÄ!M7</f>
        <v>2020</v>
      </c>
      <c r="N9" s="696" t="n">
        <f aca="false">OHJELMOINTINÄKYMÄ!O7</f>
        <v>2022</v>
      </c>
      <c r="O9" s="693" t="n">
        <f aca="false">OHJELMOINTINÄKYMÄ!P7</f>
        <v>2023</v>
      </c>
      <c r="P9" s="693" t="n">
        <f aca="false">OHJELMOINTINÄKYMÄ!Q7</f>
        <v>2024</v>
      </c>
      <c r="Q9" s="693" t="n">
        <f aca="false">OHJELMOINTINÄKYMÄ!R7</f>
        <v>2025</v>
      </c>
      <c r="R9" s="693" t="n">
        <f aca="false">OHJELMOINTINÄKYMÄ!S7</f>
        <v>2026</v>
      </c>
      <c r="S9" s="693" t="n">
        <f aca="false">OHJELMOINTINÄKYMÄ!T7</f>
        <v>2027</v>
      </c>
      <c r="T9" s="693" t="n">
        <f aca="false">OHJELMOINTINÄKYMÄ!U7</f>
        <v>2028</v>
      </c>
      <c r="U9" s="693" t="n">
        <f aca="false">OHJELMOINTINÄKYMÄ!V7</f>
        <v>2029</v>
      </c>
      <c r="V9" s="693" t="n">
        <f aca="false">OHJELMOINTINÄKYMÄ!W7</f>
        <v>2030</v>
      </c>
      <c r="AD9" s="697" t="s">
        <v>426</v>
      </c>
    </row>
    <row r="10" customFormat="false" ht="15" hidden="false" customHeight="false" outlineLevel="0" collapsed="false">
      <c r="A10" s="45"/>
      <c r="B10" s="46"/>
      <c r="C10" s="698" t="s">
        <v>427</v>
      </c>
      <c r="D10" s="698" t="s">
        <v>427</v>
      </c>
      <c r="E10" s="698" t="s">
        <v>427</v>
      </c>
      <c r="F10" s="698" t="s">
        <v>427</v>
      </c>
      <c r="G10" s="698" t="s">
        <v>427</v>
      </c>
      <c r="H10" s="47" t="s">
        <v>427</v>
      </c>
      <c r="I10" s="699" t="s">
        <v>427</v>
      </c>
      <c r="J10" s="698" t="s">
        <v>427</v>
      </c>
      <c r="K10" s="699" t="s">
        <v>427</v>
      </c>
      <c r="L10" s="700" t="s">
        <v>427</v>
      </c>
      <c r="M10" s="698" t="s">
        <v>427</v>
      </c>
      <c r="N10" s="701" t="s">
        <v>427</v>
      </c>
      <c r="O10" s="698" t="s">
        <v>427</v>
      </c>
      <c r="P10" s="698" t="s">
        <v>427</v>
      </c>
      <c r="Q10" s="698" t="s">
        <v>427</v>
      </c>
      <c r="R10" s="698" t="s">
        <v>427</v>
      </c>
      <c r="S10" s="698" t="s">
        <v>427</v>
      </c>
      <c r="T10" s="698" t="s">
        <v>427</v>
      </c>
      <c r="U10" s="698" t="s">
        <v>427</v>
      </c>
      <c r="V10" s="702" t="s">
        <v>427</v>
      </c>
    </row>
    <row r="11" customFormat="false" ht="15" hidden="false" customHeight="false" outlineLevel="0" collapsed="false">
      <c r="A11" s="54"/>
      <c r="B11" s="703"/>
      <c r="C11" s="704"/>
      <c r="D11" s="705"/>
      <c r="E11" s="704"/>
      <c r="F11" s="704"/>
      <c r="G11" s="704"/>
      <c r="H11" s="706"/>
      <c r="I11" s="707"/>
      <c r="J11" s="704"/>
      <c r="K11" s="707"/>
      <c r="L11" s="708"/>
      <c r="M11" s="704"/>
      <c r="N11" s="709"/>
      <c r="O11" s="704"/>
      <c r="P11" s="704"/>
      <c r="Q11" s="704"/>
      <c r="R11" s="704"/>
      <c r="S11" s="704"/>
      <c r="T11" s="704"/>
      <c r="V11" s="710"/>
    </row>
    <row r="12" customFormat="false" ht="15.75" hidden="false" customHeight="false" outlineLevel="0" collapsed="false">
      <c r="A12" s="711" t="s">
        <v>338</v>
      </c>
      <c r="B12" s="712" t="s">
        <v>64</v>
      </c>
      <c r="C12" s="713" t="n">
        <f aca="false">OHJELMOINTINÄKYMÄ!C65/1000</f>
        <v>25.45059122</v>
      </c>
      <c r="D12" s="713" t="n">
        <f aca="false">OHJELMOINTINÄKYMÄ!D65/1000</f>
        <v>27.704363</v>
      </c>
      <c r="E12" s="713" t="n">
        <f aca="false">OHJELMOINTINÄKYMÄ!E65/1000</f>
        <v>21.496</v>
      </c>
      <c r="F12" s="713" t="e">
        <f aca="false">OHJELMOINTINÄKYMÄ!F65/1000+ohjelmointinäkymä!#REF!/1000</f>
        <v>#VALUE!</v>
      </c>
      <c r="G12" s="713" t="n">
        <f aca="false">OHJELMOINTINÄKYMÄ!G65/1000</f>
        <v>16.563</v>
      </c>
      <c r="H12" s="714" t="n">
        <f aca="false">OHJELMOINTINÄKYMÄ!H65/1000</f>
        <v>14.758</v>
      </c>
      <c r="I12" s="715" t="n">
        <f aca="false">OHJELMOINTINÄKYMÄ!I65/1000</f>
        <v>14.579</v>
      </c>
      <c r="J12" s="713" t="n">
        <f aca="false">OHJELMOINTINÄKYMÄ!J65/1000</f>
        <v>16.263</v>
      </c>
      <c r="K12" s="715" t="n">
        <f aca="false">OHJELMOINTINÄKYMÄ!K65/1000</f>
        <v>16.09</v>
      </c>
      <c r="L12" s="716" t="n">
        <f aca="false">OHJELMOINTINÄKYMÄ!L65/1000</f>
        <v>22.765</v>
      </c>
      <c r="M12" s="713" t="n">
        <f aca="false">OHJELMOINTINÄKYMÄ!M65/1000</f>
        <v>31.799676</v>
      </c>
      <c r="N12" s="717" t="n">
        <f aca="false">OHJELMOINTINÄKYMÄ!O65/1000</f>
        <v>20.1</v>
      </c>
      <c r="O12" s="713" t="n">
        <f aca="false">OHJELMOINTINÄKYMÄ!P65/1000</f>
        <v>16.3</v>
      </c>
      <c r="P12" s="713" t="n">
        <f aca="false">OHJELMOINTINÄKYMÄ!Q65/1000</f>
        <v>20.6</v>
      </c>
      <c r="Q12" s="713" t="n">
        <f aca="false">OHJELMOINTINÄKYMÄ!R65/1000</f>
        <v>25.4</v>
      </c>
      <c r="R12" s="713" t="n">
        <f aca="false">OHJELMOINTINÄKYMÄ!S65/1000</f>
        <v>21.2</v>
      </c>
      <c r="S12" s="713" t="n">
        <f aca="false">OHJELMOINTINÄKYMÄ!T65/1000</f>
        <v>24.5</v>
      </c>
      <c r="T12" s="713" t="n">
        <f aca="false">OHJELMOINTINÄKYMÄ!U65/1000</f>
        <v>34.8</v>
      </c>
      <c r="U12" s="713" t="n">
        <f aca="false">OHJELMOINTINÄKYMÄ!V65/1000</f>
        <v>48.1</v>
      </c>
      <c r="V12" s="713" t="n">
        <f aca="false">OHJELMOINTINÄKYMÄ!W65/1000</f>
        <v>45.9</v>
      </c>
    </row>
    <row r="13" customFormat="false" ht="15.75" hidden="false" customHeight="false" outlineLevel="0" collapsed="false">
      <c r="A13" s="72" t="s">
        <v>339</v>
      </c>
      <c r="B13" s="712" t="s">
        <v>428</v>
      </c>
      <c r="C13" s="713" t="e">
        <f aca="false">OHJELMOINTINÄKYMÄ!C93/1000</f>
        <v>#REF!</v>
      </c>
      <c r="D13" s="713" t="e">
        <f aca="false">OHJELMOINTINÄKYMÄ!D93/1000</f>
        <v>#REF!</v>
      </c>
      <c r="E13" s="713" t="n">
        <f aca="false">OHJELMOINTINÄKYMÄ!E93/1000</f>
        <v>16.488</v>
      </c>
      <c r="F13" s="713" t="e">
        <f aca="false">OHJELMOINTINÄKYMÄ!F93/1000+OHJELMOINTINÄKYMÄ!F94/1000</f>
        <v>#VALUE!</v>
      </c>
      <c r="G13" s="713" t="e">
        <f aca="false">OHJELMOINTINÄKYMÄ!G93/1000</f>
        <v>#REF!</v>
      </c>
      <c r="H13" s="714" t="n">
        <f aca="false">OHJELMOINTINÄKYMÄ!H93/1000</f>
        <v>28.099</v>
      </c>
      <c r="I13" s="715" t="n">
        <f aca="false">OHJELMOINTINÄKYMÄ!I93/1000</f>
        <v>30.012</v>
      </c>
      <c r="J13" s="713" t="n">
        <f aca="false">OHJELMOINTINÄKYMÄ!J93/1000</f>
        <v>36.481</v>
      </c>
      <c r="K13" s="715" t="e">
        <f aca="false">OHJELMOINTINÄKYMÄ!K93/1000</f>
        <v>#REF!</v>
      </c>
      <c r="L13" s="716" t="n">
        <f aca="false">OHJELMOINTINÄKYMÄ!L93/1000</f>
        <v>49.956</v>
      </c>
      <c r="M13" s="713" t="n">
        <f aca="false">OHJELMOINTINÄKYMÄ!M93/1000</f>
        <v>66.202769</v>
      </c>
      <c r="N13" s="717" t="e">
        <f aca="false">OHJELMOINTINÄKYMÄ!O93/1000</f>
        <v>#REF!</v>
      </c>
      <c r="O13" s="713" t="e">
        <f aca="false">OHJELMOINTINÄKYMÄ!P93/1000</f>
        <v>#REF!</v>
      </c>
      <c r="P13" s="713" t="e">
        <f aca="false">OHJELMOINTINÄKYMÄ!Q93/1000</f>
        <v>#REF!</v>
      </c>
      <c r="Q13" s="713" t="e">
        <f aca="false">OHJELMOINTINÄKYMÄ!R93/1000</f>
        <v>#REF!</v>
      </c>
      <c r="R13" s="713" t="e">
        <f aca="false">OHJELMOINTINÄKYMÄ!S93/1000</f>
        <v>#REF!</v>
      </c>
      <c r="S13" s="713" t="e">
        <f aca="false">OHJELMOINTINÄKYMÄ!T93/1000</f>
        <v>#REF!</v>
      </c>
      <c r="T13" s="713" t="e">
        <f aca="false">OHJELMOINTINÄKYMÄ!U93/1000</f>
        <v>#REF!</v>
      </c>
      <c r="U13" s="713" t="e">
        <f aca="false">OHJELMOINTINÄKYMÄ!V93/1000</f>
        <v>#REF!</v>
      </c>
      <c r="V13" s="713" t="e">
        <f aca="false">OHJELMOINTINÄKYMÄ!W93/1000</f>
        <v>#REF!</v>
      </c>
    </row>
    <row r="14" s="2" customFormat="true" ht="15.75" hidden="false" customHeight="false" outlineLevel="0" collapsed="false">
      <c r="A14" s="72" t="s">
        <v>429</v>
      </c>
      <c r="B14" s="712" t="s">
        <v>342</v>
      </c>
      <c r="C14" s="713" t="e">
        <f aca="false">ohjelmointinäkymä!#REF!/1000</f>
        <v>#VALUE!</v>
      </c>
      <c r="D14" s="713" t="e">
        <f aca="false">ohjelmointinäkymä!#REF!/1000</f>
        <v>#VALUE!</v>
      </c>
      <c r="E14" s="713" t="e">
        <f aca="false">ohjelmointinäkymä!#REF!/1000</f>
        <v>#VALUE!</v>
      </c>
      <c r="F14" s="713" t="e">
        <f aca="false">ohjelmointinäkymä!#REF!/1000+ohjelmointinäkymä!#REF!/1000</f>
        <v>#VALUE!</v>
      </c>
      <c r="G14" s="713" t="n">
        <f aca="false">OHJELMOINTINÄKYMÄ!G182/1000</f>
        <v>5.326</v>
      </c>
      <c r="H14" s="714" t="n">
        <f aca="false">OHJELMOINTINÄKYMÄ!H182/1000</f>
        <v>4.084</v>
      </c>
      <c r="I14" s="715" t="n">
        <f aca="false">OHJELMOINTINÄKYMÄ!I182/1000</f>
        <v>3.429</v>
      </c>
      <c r="J14" s="713" t="n">
        <f aca="false">OHJELMOINTINÄKYMÄ!J182/1000</f>
        <v>2.07</v>
      </c>
      <c r="K14" s="713" t="n">
        <f aca="false">OHJELMOINTINÄKYMÄ!K182/1000</f>
        <v>1.147</v>
      </c>
      <c r="L14" s="716" t="n">
        <f aca="false">OHJELMOINTINÄKYMÄ!L182/1000</f>
        <v>3.174</v>
      </c>
      <c r="M14" s="713" t="n">
        <f aca="false">OHJELMOINTINÄKYMÄ!M182/1000</f>
        <v>3.253064</v>
      </c>
      <c r="N14" s="717" t="n">
        <f aca="false">OHJELMOINTINÄKYMÄ!O182/1000</f>
        <v>4</v>
      </c>
      <c r="O14" s="713" t="n">
        <f aca="false">OHJELMOINTINÄKYMÄ!P182/1000</f>
        <v>7.3</v>
      </c>
      <c r="P14" s="713" t="n">
        <f aca="false">OHJELMOINTINÄKYMÄ!Q182/1000</f>
        <v>6.2</v>
      </c>
      <c r="Q14" s="713" t="n">
        <f aca="false">OHJELMOINTINÄKYMÄ!R182/1000</f>
        <v>6.4</v>
      </c>
      <c r="R14" s="713" t="n">
        <f aca="false">OHJELMOINTINÄKYMÄ!S182/1000</f>
        <v>29.95</v>
      </c>
      <c r="S14" s="713" t="n">
        <f aca="false">OHJELMOINTINÄKYMÄ!T182/1000</f>
        <v>29.7</v>
      </c>
      <c r="T14" s="713" t="n">
        <f aca="false">OHJELMOINTINÄKYMÄ!U182/1000</f>
        <v>26</v>
      </c>
      <c r="U14" s="713" t="n">
        <f aca="false">OHJELMOINTINÄKYMÄ!V182/1000</f>
        <v>26</v>
      </c>
      <c r="V14" s="713" t="n">
        <f aca="false">OHJELMOINTINÄKYMÄ!W182/1000</f>
        <v>26.1</v>
      </c>
    </row>
    <row r="15" customFormat="false" ht="15.75" hidden="false" customHeight="false" outlineLevel="0" collapsed="false">
      <c r="A15" s="718" t="s">
        <v>130</v>
      </c>
      <c r="B15" s="37" t="s">
        <v>430</v>
      </c>
      <c r="C15" s="719"/>
      <c r="D15" s="719"/>
      <c r="E15" s="719"/>
      <c r="F15" s="719"/>
      <c r="G15" s="713" t="n">
        <f aca="false">OHJELMOINTINÄKYMÄ!G198/1000</f>
        <v>29.212</v>
      </c>
      <c r="H15" s="714" t="n">
        <f aca="false">OHJELMOINTINÄKYMÄ!H198/1000</f>
        <v>35.717</v>
      </c>
      <c r="I15" s="715" t="n">
        <f aca="false">OHJELMOINTINÄKYMÄ!I198/1000</f>
        <v>52.41</v>
      </c>
      <c r="J15" s="713" t="n">
        <f aca="false">OHJELMOINTINÄKYMÄ!J198/1000</f>
        <v>80.819</v>
      </c>
      <c r="K15" s="713" t="n">
        <f aca="false">OHJELMOINTINÄKYMÄ!K198/1000</f>
        <v>79.196</v>
      </c>
      <c r="L15" s="716" t="n">
        <f aca="false">OHJELMOINTINÄKYMÄ!L198/1000</f>
        <v>81.905</v>
      </c>
      <c r="M15" s="713" t="n">
        <f aca="false">OHJELMOINTINÄKYMÄ!M198/1000</f>
        <v>71.084734</v>
      </c>
      <c r="N15" s="717" t="n">
        <f aca="false">OHJELMOINTINÄKYMÄ!O198/1000</f>
        <v>0</v>
      </c>
      <c r="O15" s="713" t="n">
        <f aca="false">OHJELMOINTINÄKYMÄ!P198/1000</f>
        <v>0</v>
      </c>
      <c r="P15" s="713" t="n">
        <f aca="false">OHJELMOINTINÄKYMÄ!Q198/1000</f>
        <v>0</v>
      </c>
      <c r="Q15" s="713" t="n">
        <f aca="false">OHJELMOINTINÄKYMÄ!R198/1000</f>
        <v>0</v>
      </c>
      <c r="R15" s="713" t="n">
        <f aca="false">OHJELMOINTINÄKYMÄ!S198/1000</f>
        <v>0</v>
      </c>
      <c r="S15" s="713" t="n">
        <f aca="false">OHJELMOINTINÄKYMÄ!T198/1000</f>
        <v>0</v>
      </c>
      <c r="T15" s="713" t="n">
        <f aca="false">OHJELMOINTINÄKYMÄ!U198/1000</f>
        <v>0</v>
      </c>
      <c r="U15" s="713" t="n">
        <f aca="false">OHJELMOINTINÄKYMÄ!V198/1000</f>
        <v>0</v>
      </c>
      <c r="V15" s="713" t="n">
        <f aca="false">OHJELMOINTINÄKYMÄ!W198/1000</f>
        <v>0</v>
      </c>
      <c r="X15" s="8"/>
    </row>
    <row r="16" customFormat="false" ht="15.75" hidden="false" customHeight="false" outlineLevel="0" collapsed="false">
      <c r="A16" s="72"/>
      <c r="B16" s="712" t="s">
        <v>431</v>
      </c>
      <c r="C16" s="713" t="n">
        <f aca="false">OHJELMOINTINÄKYMÄ!C203/1000</f>
        <v>3.07963481</v>
      </c>
      <c r="D16" s="713" t="n">
        <f aca="false">OHJELMOINTINÄKYMÄ!D203/1000</f>
        <v>5.12798318</v>
      </c>
      <c r="E16" s="713" t="n">
        <f aca="false">OHJELMOINTINÄKYMÄ!E203/1000</f>
        <v>2.48</v>
      </c>
      <c r="F16" s="713" t="e">
        <f aca="false">OHJELMOINTINÄKYMÄ!F203/1000+OHJELMOINTINÄKYMÄ!F204/1000</f>
        <v>#VALUE!</v>
      </c>
      <c r="G16" s="713" t="n">
        <f aca="false">OHJELMOINTINÄKYMÄ!G203/1000</f>
        <v>3.054</v>
      </c>
      <c r="H16" s="714" t="n">
        <f aca="false">OHJELMOINTINÄKYMÄ!H203/1000</f>
        <v>0.141</v>
      </c>
      <c r="I16" s="715" t="n">
        <f aca="false">OHJELMOINTINÄKYMÄ!I203/1000</f>
        <v>0.282</v>
      </c>
      <c r="J16" s="713" t="n">
        <f aca="false">OHJELMOINTINÄKYMÄ!J203/1000</f>
        <v>0.235</v>
      </c>
      <c r="K16" s="715" t="n">
        <f aca="false">OHJELMOINTINÄKYMÄ!K203/1000</f>
        <v>4.83</v>
      </c>
      <c r="L16" s="716" t="n">
        <f aca="false">OHJELMOINTINÄKYMÄ!L203/1000</f>
        <v>2.617</v>
      </c>
      <c r="M16" s="713" t="n">
        <f aca="false">OHJELMOINTINÄKYMÄ!M203/1000</f>
        <v>0.188606</v>
      </c>
      <c r="N16" s="717" t="n">
        <f aca="false">OHJELMOINTINÄKYMÄ!O203/1000</f>
        <v>0</v>
      </c>
      <c r="O16" s="713" t="n">
        <f aca="false">OHJELMOINTINÄKYMÄ!P203/1000</f>
        <v>0</v>
      </c>
      <c r="P16" s="713" t="n">
        <f aca="false">OHJELMOINTINÄKYMÄ!Q203/1000</f>
        <v>0</v>
      </c>
      <c r="Q16" s="713" t="n">
        <f aca="false">OHJELMOINTINÄKYMÄ!R203/1000</f>
        <v>0</v>
      </c>
      <c r="R16" s="713" t="n">
        <f aca="false">OHJELMOINTINÄKYMÄ!S203/1000</f>
        <v>0</v>
      </c>
      <c r="S16" s="713" t="n">
        <f aca="false">OHJELMOINTINÄKYMÄ!T203/1000</f>
        <v>0</v>
      </c>
      <c r="T16" s="713" t="n">
        <f aca="false">OHJELMOINTINÄKYMÄ!U203/1000</f>
        <v>0</v>
      </c>
      <c r="U16" s="713" t="n">
        <f aca="false">OHJELMOINTINÄKYMÄ!V203/1000</f>
        <v>0</v>
      </c>
      <c r="V16" s="713" t="n">
        <f aca="false">OHJELMOINTINÄKYMÄ!W203/1000</f>
        <v>0</v>
      </c>
    </row>
    <row r="17" customFormat="false" ht="15.75" hidden="false" customHeight="false" outlineLevel="0" collapsed="false">
      <c r="A17" s="93" t="s">
        <v>3</v>
      </c>
      <c r="B17" s="37" t="s">
        <v>367</v>
      </c>
      <c r="C17" s="713" t="n">
        <f aca="false">OHJELMOINTINÄKYMÄ!C210/1000</f>
        <v>17.9938776</v>
      </c>
      <c r="D17" s="713" t="n">
        <f aca="false">OHJELMOINTINÄKYMÄ!D210/1000</f>
        <v>13.062</v>
      </c>
      <c r="E17" s="713" t="n">
        <f aca="false">OHJELMOINTINÄKYMÄ!E210/1000</f>
        <v>5.273</v>
      </c>
      <c r="F17" s="713" t="e">
        <f aca="false">OHJELMOINTINÄKYMÄ!F210/1000+OHJELMOINTINÄKYMÄ!F211/1000</f>
        <v>#VALUE!</v>
      </c>
      <c r="G17" s="713" t="n">
        <f aca="false">OHJELMOINTINÄKYMÄ!G210/1000</f>
        <v>3.845</v>
      </c>
      <c r="H17" s="714" t="n">
        <f aca="false">OHJELMOINTINÄKYMÄ!H210/1000</f>
        <v>2.795</v>
      </c>
      <c r="I17" s="715" t="n">
        <f aca="false">OHJELMOINTINÄKYMÄ!I210/1000</f>
        <v>6.024</v>
      </c>
      <c r="J17" s="713" t="n">
        <f aca="false">OHJELMOINTINÄKYMÄ!J210/1000</f>
        <v>22.12</v>
      </c>
      <c r="K17" s="715" t="n">
        <f aca="false">OHJELMOINTINÄKYMÄ!K210/1000</f>
        <v>13.27</v>
      </c>
      <c r="L17" s="716" t="n">
        <f aca="false">OHJELMOINTINÄKYMÄ!L210/1000</f>
        <v>16.92</v>
      </c>
      <c r="M17" s="715" t="n">
        <f aca="false">OHJELMOINTINÄKYMÄ!M210/1000</f>
        <v>22.806918</v>
      </c>
      <c r="N17" s="717" t="n">
        <f aca="false">OHJELMOINTINÄKYMÄ!O210/1000</f>
        <v>0</v>
      </c>
      <c r="O17" s="713" t="n">
        <f aca="false">OHJELMOINTINÄKYMÄ!P210/1000</f>
        <v>0</v>
      </c>
      <c r="P17" s="713" t="n">
        <f aca="false">OHJELMOINTINÄKYMÄ!Q210/1000</f>
        <v>0</v>
      </c>
      <c r="Q17" s="713" t="n">
        <f aca="false">OHJELMOINTINÄKYMÄ!R210/1000</f>
        <v>0</v>
      </c>
      <c r="R17" s="713" t="n">
        <f aca="false">OHJELMOINTINÄKYMÄ!S210/1000</f>
        <v>0</v>
      </c>
      <c r="S17" s="713" t="n">
        <f aca="false">OHJELMOINTINÄKYMÄ!T210/1000</f>
        <v>0</v>
      </c>
      <c r="T17" s="713" t="n">
        <f aca="false">OHJELMOINTINÄKYMÄ!U210/1000</f>
        <v>0</v>
      </c>
      <c r="U17" s="713" t="n">
        <f aca="false">OHJELMOINTINÄKYMÄ!V210/1000</f>
        <v>0</v>
      </c>
      <c r="V17" s="713" t="n">
        <f aca="false">OHJELMOINTINÄKYMÄ!W210/1000</f>
        <v>0</v>
      </c>
    </row>
    <row r="18" customFormat="false" ht="15.75" hidden="false" customHeight="false" outlineLevel="0" collapsed="false">
      <c r="A18" s="93" t="s">
        <v>3</v>
      </c>
      <c r="B18" s="37" t="s">
        <v>151</v>
      </c>
      <c r="C18" s="713" t="n">
        <f aca="false">OHJELMOINTINÄKYMÄ!C222/1000</f>
        <v>4.01028762</v>
      </c>
      <c r="D18" s="713" t="n">
        <f aca="false">OHJELMOINTINÄKYMÄ!D222/1000</f>
        <v>8.67249608</v>
      </c>
      <c r="E18" s="713" t="n">
        <f aca="false">OHJELMOINTINÄKYMÄ!E222/1000</f>
        <v>10.507</v>
      </c>
      <c r="F18" s="713" t="e">
        <f aca="false">OHJELMOINTINÄKYMÄ!F222/1000+OHJELMOINTINÄKYMÄ!F223/1000</f>
        <v>#VALUE!</v>
      </c>
      <c r="G18" s="713" t="n">
        <f aca="false">OHJELMOINTINÄKYMÄ!G222/1000</f>
        <v>4.137</v>
      </c>
      <c r="H18" s="714" t="n">
        <f aca="false">OHJELMOINTINÄKYMÄ!H222/1000</f>
        <v>9.1</v>
      </c>
      <c r="I18" s="715" t="n">
        <f aca="false">OHJELMOINTINÄKYMÄ!I222/1000</f>
        <v>13.21</v>
      </c>
      <c r="J18" s="713" t="n">
        <f aca="false">OHJELMOINTINÄKYMÄ!J222/1000</f>
        <v>18.262</v>
      </c>
      <c r="K18" s="715" t="n">
        <f aca="false">OHJELMOINTINÄKYMÄ!K222/1000</f>
        <v>14.964</v>
      </c>
      <c r="L18" s="716" t="n">
        <f aca="false">OHJELMOINTINÄKYMÄ!L222/1000</f>
        <v>15.704</v>
      </c>
      <c r="M18" s="715" t="n">
        <f aca="false">OHJELMOINTINÄKYMÄ!M222/1000</f>
        <v>14.397551</v>
      </c>
      <c r="N18" s="717" t="n">
        <f aca="false">OHJELMOINTINÄKYMÄ!O222/1000</f>
        <v>0</v>
      </c>
      <c r="O18" s="713" t="n">
        <f aca="false">OHJELMOINTINÄKYMÄ!P222/1000</f>
        <v>0</v>
      </c>
      <c r="P18" s="713" t="n">
        <f aca="false">OHJELMOINTINÄKYMÄ!Q222/1000</f>
        <v>0</v>
      </c>
      <c r="Q18" s="713" t="n">
        <f aca="false">OHJELMOINTINÄKYMÄ!R222/1000</f>
        <v>0</v>
      </c>
      <c r="R18" s="713" t="n">
        <f aca="false">OHJELMOINTINÄKYMÄ!S222/1000</f>
        <v>0</v>
      </c>
      <c r="S18" s="713" t="n">
        <f aca="false">OHJELMOINTINÄKYMÄ!T222/1000</f>
        <v>0</v>
      </c>
      <c r="T18" s="713" t="n">
        <f aca="false">OHJELMOINTINÄKYMÄ!U222/1000</f>
        <v>0</v>
      </c>
      <c r="U18" s="713" t="n">
        <f aca="false">OHJELMOINTINÄKYMÄ!V222/1000</f>
        <v>0</v>
      </c>
      <c r="V18" s="713" t="n">
        <f aca="false">OHJELMOINTINÄKYMÄ!W222/1000</f>
        <v>0</v>
      </c>
    </row>
    <row r="19" customFormat="false" ht="15.75" hidden="false" customHeight="false" outlineLevel="0" collapsed="false">
      <c r="A19" s="93" t="s">
        <v>3</v>
      </c>
      <c r="B19" s="37" t="s">
        <v>166</v>
      </c>
      <c r="C19" s="713" t="n">
        <f aca="false">OHJELMOINTINÄKYMÄ!C238/1000</f>
        <v>1.20206205</v>
      </c>
      <c r="D19" s="713" t="n">
        <f aca="false">OHJELMOINTINÄKYMÄ!D238/1000</f>
        <v>0.88986322</v>
      </c>
      <c r="E19" s="713" t="n">
        <f aca="false">OHJELMOINTINÄKYMÄ!E238/1000</f>
        <v>1.126</v>
      </c>
      <c r="F19" s="713" t="e">
        <f aca="false">OHJELMOINTINÄKYMÄ!F238/1000+OHJELMOINTINÄKYMÄ!F239/1000</f>
        <v>#VALUE!</v>
      </c>
      <c r="G19" s="713" t="n">
        <f aca="false">OHJELMOINTINÄKYMÄ!G238/1000</f>
        <v>5.343</v>
      </c>
      <c r="H19" s="714" t="n">
        <f aca="false">OHJELMOINTINÄKYMÄ!H238/1000</f>
        <v>5.524</v>
      </c>
      <c r="I19" s="715" t="n">
        <f aca="false">OHJELMOINTINÄKYMÄ!I238/1000</f>
        <v>7.246</v>
      </c>
      <c r="J19" s="713" t="n">
        <f aca="false">OHJELMOINTINÄKYMÄ!J238/1000</f>
        <v>6.588</v>
      </c>
      <c r="K19" s="715" t="n">
        <f aca="false">OHJELMOINTINÄKYMÄ!K238/1000</f>
        <v>6.162</v>
      </c>
      <c r="L19" s="716" t="n">
        <f aca="false">OHJELMOINTINÄKYMÄ!L238/1000</f>
        <v>2.91</v>
      </c>
      <c r="M19" s="715" t="n">
        <f aca="false">OHJELMOINTINÄKYMÄ!M238/1000</f>
        <v>7.898551</v>
      </c>
      <c r="N19" s="717" t="n">
        <f aca="false">OHJELMOINTINÄKYMÄ!O238/1000</f>
        <v>0</v>
      </c>
      <c r="O19" s="713" t="n">
        <f aca="false">OHJELMOINTINÄKYMÄ!P238/1000</f>
        <v>0</v>
      </c>
      <c r="P19" s="713" t="n">
        <f aca="false">OHJELMOINTINÄKYMÄ!Q238/1000</f>
        <v>0</v>
      </c>
      <c r="Q19" s="713" t="n">
        <f aca="false">OHJELMOINTINÄKYMÄ!R238/1000</f>
        <v>0</v>
      </c>
      <c r="R19" s="713" t="n">
        <f aca="false">OHJELMOINTINÄKYMÄ!S238/1000</f>
        <v>0</v>
      </c>
      <c r="S19" s="713" t="n">
        <f aca="false">OHJELMOINTINÄKYMÄ!T238/1000</f>
        <v>0</v>
      </c>
      <c r="T19" s="713" t="n">
        <f aca="false">OHJELMOINTINÄKYMÄ!U238/1000</f>
        <v>0</v>
      </c>
      <c r="U19" s="713" t="n">
        <f aca="false">OHJELMOINTINÄKYMÄ!V238/1000</f>
        <v>0</v>
      </c>
      <c r="V19" s="713" t="n">
        <f aca="false">OHJELMOINTINÄKYMÄ!W238/1000</f>
        <v>0</v>
      </c>
      <c r="W19" s="694" t="s">
        <v>3</v>
      </c>
    </row>
    <row r="20" customFormat="false" ht="15.75" hidden="false" customHeight="true" outlineLevel="0" collapsed="false">
      <c r="A20" s="93" t="s">
        <v>3</v>
      </c>
      <c r="B20" s="37" t="s">
        <v>183</v>
      </c>
      <c r="C20" s="713" t="n">
        <f aca="false">OHJELMOINTINÄKYMÄ!C256/1000</f>
        <v>0.386</v>
      </c>
      <c r="D20" s="713" t="n">
        <f aca="false">OHJELMOINTINÄKYMÄ!D256/1000</f>
        <v>1.87257324</v>
      </c>
      <c r="E20" s="713" t="n">
        <f aca="false">OHJELMOINTINÄKYMÄ!E256/1000</f>
        <v>1.615</v>
      </c>
      <c r="F20" s="713" t="e">
        <f aca="false">OHJELMOINTINÄKYMÄ!F256/1000+OHJELMOINTINÄKYMÄ!F257/1000</f>
        <v>#VALUE!</v>
      </c>
      <c r="G20" s="713" t="n">
        <f aca="false">OHJELMOINTINÄKYMÄ!G256/1000</f>
        <v>9.902</v>
      </c>
      <c r="H20" s="714" t="n">
        <f aca="false">OHJELMOINTINÄKYMÄ!H256/1000</f>
        <v>13.35</v>
      </c>
      <c r="I20" s="715" t="n">
        <f aca="false">OHJELMOINTINÄKYMÄ!I256/1000</f>
        <v>18.609</v>
      </c>
      <c r="J20" s="713" t="n">
        <f aca="false">OHJELMOINTINÄKYMÄ!J256/1000</f>
        <v>26.158</v>
      </c>
      <c r="K20" s="715" t="n">
        <f aca="false">(OHJELMOINTINÄKYMÄ!K256/1000)</f>
        <v>33.096</v>
      </c>
      <c r="L20" s="716" t="n">
        <f aca="false">(OHJELMOINTINÄKYMÄ!L256/1000)</f>
        <v>34.897</v>
      </c>
      <c r="M20" s="715" t="n">
        <f aca="false">OHJELMOINTINÄKYMÄ!M256/1000</f>
        <v>18.964599</v>
      </c>
      <c r="N20" s="717" t="n">
        <f aca="false">OHJELMOINTINÄKYMÄ!O256/1000</f>
        <v>0</v>
      </c>
      <c r="O20" s="713" t="n">
        <f aca="false">OHJELMOINTINÄKYMÄ!P256/1000</f>
        <v>0</v>
      </c>
      <c r="P20" s="713" t="n">
        <f aca="false">OHJELMOINTINÄKYMÄ!Q256/1000</f>
        <v>0</v>
      </c>
      <c r="Q20" s="713" t="n">
        <f aca="false">OHJELMOINTINÄKYMÄ!R256/1000</f>
        <v>0</v>
      </c>
      <c r="R20" s="713" t="n">
        <f aca="false">OHJELMOINTINÄKYMÄ!S256/1000</f>
        <v>0</v>
      </c>
      <c r="S20" s="713" t="n">
        <f aca="false">OHJELMOINTINÄKYMÄ!T256/1000</f>
        <v>0</v>
      </c>
      <c r="T20" s="713" t="n">
        <f aca="false">OHJELMOINTINÄKYMÄ!U256/1000</f>
        <v>0</v>
      </c>
      <c r="U20" s="713" t="n">
        <f aca="false">OHJELMOINTINÄKYMÄ!V256/1000</f>
        <v>0</v>
      </c>
      <c r="V20" s="713" t="n">
        <f aca="false">OHJELMOINTINÄKYMÄ!W256/1000</f>
        <v>0</v>
      </c>
    </row>
    <row r="21" customFormat="false" ht="15.75" hidden="false" customHeight="false" outlineLevel="0" collapsed="false">
      <c r="A21" s="93" t="s">
        <v>3</v>
      </c>
      <c r="B21" s="37" t="s">
        <v>199</v>
      </c>
      <c r="C21" s="713" t="n">
        <f aca="false">OHJELMOINTINÄKYMÄ!C257/1000</f>
        <v>0</v>
      </c>
      <c r="D21" s="713" t="n">
        <f aca="false">OHJELMOINTINÄKYMÄ!D257/1000</f>
        <v>0</v>
      </c>
      <c r="E21" s="713" t="e">
        <f aca="false">OHJELMOINTINÄKYMÄ!E257/1000</f>
        <v>#VALUE!</v>
      </c>
      <c r="F21" s="713" t="e">
        <f aca="false">OHJELMOINTINÄKYMÄ!F257/1000+OHJELMOINTINÄKYMÄ!F258/1000</f>
        <v>#VALUE!</v>
      </c>
      <c r="G21" s="713" t="n">
        <f aca="false">OHJELMOINTINÄKYMÄ!G273/1000</f>
        <v>1.777</v>
      </c>
      <c r="H21" s="714" t="n">
        <f aca="false">OHJELMOINTINÄKYMÄ!H273/1000</f>
        <v>2.651</v>
      </c>
      <c r="I21" s="715" t="n">
        <f aca="false">OHJELMOINTINÄKYMÄ!I273/1000</f>
        <v>4.113</v>
      </c>
      <c r="J21" s="713" t="n">
        <f aca="false">OHJELMOINTINÄKYMÄ!J273/1000</f>
        <v>3.101</v>
      </c>
      <c r="K21" s="715" t="n">
        <f aca="false">OHJELMOINTINÄKYMÄ!K273/1000</f>
        <v>2.227</v>
      </c>
      <c r="L21" s="716" t="n">
        <f aca="false">OHJELMOINTINÄKYMÄ!L273/1000</f>
        <v>5.913</v>
      </c>
      <c r="M21" s="713" t="n">
        <f aca="false">OHJELMOINTINÄKYMÄ!M273/1000</f>
        <v>3.835464</v>
      </c>
      <c r="N21" s="717" t="n">
        <f aca="false">OHJELMOINTINÄKYMÄ!O273/1000</f>
        <v>0</v>
      </c>
      <c r="O21" s="713" t="n">
        <f aca="false">OHJELMOINTINÄKYMÄ!P273/1000</f>
        <v>0</v>
      </c>
      <c r="P21" s="713" t="n">
        <f aca="false">OHJELMOINTINÄKYMÄ!Q273/1000</f>
        <v>0</v>
      </c>
      <c r="Q21" s="713" t="n">
        <f aca="false">OHJELMOINTINÄKYMÄ!R273/1000</f>
        <v>0</v>
      </c>
      <c r="R21" s="713" t="n">
        <f aca="false">OHJELMOINTINÄKYMÄ!S273/1000</f>
        <v>0</v>
      </c>
      <c r="S21" s="713" t="n">
        <f aca="false">OHJELMOINTINÄKYMÄ!T273/1000</f>
        <v>0</v>
      </c>
      <c r="T21" s="713" t="n">
        <f aca="false">OHJELMOINTINÄKYMÄ!U273/1000</f>
        <v>0</v>
      </c>
      <c r="U21" s="713" t="n">
        <f aca="false">OHJELMOINTINÄKYMÄ!V273/1000</f>
        <v>0</v>
      </c>
      <c r="V21" s="713" t="n">
        <f aca="false">OHJELMOINTINÄKYMÄ!W273/1000</f>
        <v>0</v>
      </c>
    </row>
    <row r="22" customFormat="false" ht="15.75" hidden="false" customHeight="false" outlineLevel="0" collapsed="false">
      <c r="A22" s="720"/>
      <c r="B22" s="37" t="s">
        <v>301</v>
      </c>
      <c r="C22" s="721"/>
      <c r="D22" s="721"/>
      <c r="E22" s="721"/>
      <c r="F22" s="721"/>
      <c r="G22" s="721"/>
      <c r="H22" s="721"/>
      <c r="I22" s="715" t="n">
        <f aca="false">OHJELMOINTINÄKYMÄ!I278/1000</f>
        <v>2.237</v>
      </c>
      <c r="J22" s="713" t="n">
        <f aca="false">OHJELMOINTINÄKYMÄ!J278/1000</f>
        <v>2.317</v>
      </c>
      <c r="K22" s="713" t="n">
        <f aca="false">OHJELMOINTINÄKYMÄ!K278/1000</f>
        <v>1.554</v>
      </c>
      <c r="L22" s="716" t="n">
        <f aca="false">OHJELMOINTINÄKYMÄ!L278/1000</f>
        <v>0.508</v>
      </c>
      <c r="M22" s="713" t="n">
        <f aca="false">OHJELMOINTINÄKYMÄ!M278/1000</f>
        <v>2.472302</v>
      </c>
      <c r="N22" s="717" t="n">
        <f aca="false">OHJELMOINTINÄKYMÄ!O278/1000</f>
        <v>0</v>
      </c>
      <c r="O22" s="713" t="n">
        <f aca="false">OHJELMOINTINÄKYMÄ!P278/1000</f>
        <v>0</v>
      </c>
      <c r="P22" s="713" t="n">
        <f aca="false">OHJELMOINTINÄKYMÄ!Q278/1000</f>
        <v>0</v>
      </c>
      <c r="Q22" s="713" t="n">
        <f aca="false">OHJELMOINTINÄKYMÄ!R278/1000</f>
        <v>0</v>
      </c>
      <c r="R22" s="713" t="n">
        <f aca="false">OHJELMOINTINÄKYMÄ!S278/1000</f>
        <v>0</v>
      </c>
      <c r="S22" s="713" t="n">
        <f aca="false">OHJELMOINTINÄKYMÄ!T278/1000</f>
        <v>0</v>
      </c>
      <c r="T22" s="713" t="n">
        <f aca="false">OHJELMOINTINÄKYMÄ!U278/1000</f>
        <v>0</v>
      </c>
      <c r="U22" s="713" t="n">
        <f aca="false">OHJELMOINTINÄKYMÄ!V278/1000</f>
        <v>0</v>
      </c>
      <c r="V22" s="713" t="n">
        <f aca="false">OHJELMOINTINÄKYMÄ!W278/1000</f>
        <v>0</v>
      </c>
    </row>
    <row r="23" customFormat="false" ht="15.75" hidden="false" customHeight="false" outlineLevel="0" collapsed="false">
      <c r="B23" s="37" t="s">
        <v>432</v>
      </c>
      <c r="I23" s="715" t="n">
        <f aca="false">OHJELMOINTINÄKYMÄ!I280/1000</f>
        <v>0.689</v>
      </c>
      <c r="J23" s="713" t="n">
        <f aca="false">OHJELMOINTINÄKYMÄ!J280/1000</f>
        <v>2.038</v>
      </c>
      <c r="K23" s="715" t="n">
        <f aca="false">OHJELMOINTINÄKYMÄ!K280/1000</f>
        <v>3.093</v>
      </c>
      <c r="L23" s="716" t="n">
        <f aca="false">OHJELMOINTINÄKYMÄ!L280/1000</f>
        <v>2.436</v>
      </c>
      <c r="M23" s="713" t="n">
        <f aca="false">OHJELMOINTINÄKYMÄ!M280/1000</f>
        <v>0.356282</v>
      </c>
      <c r="N23" s="717" t="n">
        <f aca="false">OHJELMOINTINÄKYMÄ!O280/1000</f>
        <v>0</v>
      </c>
      <c r="O23" s="713" t="n">
        <f aca="false">OHJELMOINTINÄKYMÄ!P280/1000</f>
        <v>0</v>
      </c>
      <c r="P23" s="713" t="n">
        <f aca="false">OHJELMOINTINÄKYMÄ!Q280/1000</f>
        <v>0</v>
      </c>
      <c r="Q23" s="713" t="n">
        <f aca="false">OHJELMOINTINÄKYMÄ!R280/1000</f>
        <v>0</v>
      </c>
      <c r="R23" s="713" t="n">
        <f aca="false">OHJELMOINTINÄKYMÄ!S280/1000</f>
        <v>0</v>
      </c>
      <c r="S23" s="713" t="n">
        <f aca="false">OHJELMOINTINÄKYMÄ!T280/1000</f>
        <v>0</v>
      </c>
      <c r="T23" s="713" t="n">
        <f aca="false">OHJELMOINTINÄKYMÄ!U280/1000</f>
        <v>0</v>
      </c>
      <c r="U23" s="713" t="n">
        <f aca="false">OHJELMOINTINÄKYMÄ!V280/1000</f>
        <v>0</v>
      </c>
      <c r="V23" s="713" t="n">
        <f aca="false">OHJELMOINTINÄKYMÄ!W280/1000</f>
        <v>0</v>
      </c>
    </row>
    <row r="24" customFormat="false" ht="15.75" hidden="false" customHeight="false" outlineLevel="0" collapsed="false">
      <c r="A24" s="72" t="s">
        <v>345</v>
      </c>
      <c r="B24" s="712" t="s">
        <v>433</v>
      </c>
      <c r="C24" s="713" t="n">
        <f aca="false">OHJELMOINTINÄKYMÄ!C300/1000</f>
        <v>0</v>
      </c>
      <c r="D24" s="713" t="n">
        <f aca="false">OHJELMOINTINÄKYMÄ!D300/1000</f>
        <v>0</v>
      </c>
      <c r="E24" s="713" t="n">
        <f aca="false">OHJELMOINTINÄKYMÄ!E300/1000</f>
        <v>0</v>
      </c>
      <c r="F24" s="713" t="n">
        <f aca="false">OHJELMOINTINÄKYMÄ!F300/1000+OHJELMOINTINÄKYMÄ!F301/1000</f>
        <v>0</v>
      </c>
      <c r="G24" s="713" t="n">
        <f aca="false">OHJELMOINTINÄKYMÄ!G286/1000</f>
        <v>2.746</v>
      </c>
      <c r="H24" s="714" t="n">
        <f aca="false">OHJELMOINTINÄKYMÄ!H286/1000</f>
        <v>8.784</v>
      </c>
      <c r="I24" s="715" t="n">
        <f aca="false">OHJELMOINTINÄKYMÄ!I286/1000</f>
        <v>8.775</v>
      </c>
      <c r="J24" s="713" t="n">
        <f aca="false">OHJELMOINTINÄKYMÄ!J286/1000</f>
        <v>1.121</v>
      </c>
      <c r="K24" s="713" t="n">
        <f aca="false">OHJELMOINTINÄKYMÄ!K286/1000</f>
        <v>1.65</v>
      </c>
      <c r="L24" s="716" t="n">
        <f aca="false">OHJELMOINTINÄKYMÄ!L286/1000</f>
        <v>0.919</v>
      </c>
      <c r="M24" s="713" t="n">
        <f aca="false">OHJELMOINTINÄKYMÄ!M286/1000</f>
        <v>0.872624</v>
      </c>
      <c r="N24" s="717" t="n">
        <f aca="false">OHJELMOINTINÄKYMÄ!O286/1000</f>
        <v>2.09</v>
      </c>
      <c r="O24" s="713" t="n">
        <f aca="false">OHJELMOINTINÄKYMÄ!P286/1000</f>
        <v>0.9</v>
      </c>
      <c r="P24" s="713" t="n">
        <f aca="false">OHJELMOINTINÄKYMÄ!Q286/1000</f>
        <v>0.6</v>
      </c>
      <c r="Q24" s="713" t="n">
        <f aca="false">OHJELMOINTINÄKYMÄ!R286/1000</f>
        <v>1.1</v>
      </c>
      <c r="R24" s="713" t="n">
        <f aca="false">OHJELMOINTINÄKYMÄ!S286/1000</f>
        <v>7.8</v>
      </c>
      <c r="S24" s="713" t="n">
        <f aca="false">OHJELMOINTINÄKYMÄ!T286/1000</f>
        <v>21.7</v>
      </c>
      <c r="T24" s="713" t="n">
        <f aca="false">OHJELMOINTINÄKYMÄ!U286/1000</f>
        <v>12.9</v>
      </c>
      <c r="U24" s="713" t="n">
        <f aca="false">OHJELMOINTINÄKYMÄ!V286/1000</f>
        <v>8.5</v>
      </c>
      <c r="V24" s="713" t="n">
        <f aca="false">OHJELMOINTINÄKYMÄ!W286/1000</f>
        <v>7.5</v>
      </c>
    </row>
    <row r="25" customFormat="false" ht="12.75" hidden="false" customHeight="false" outlineLevel="0" collapsed="false">
      <c r="L25" s="722"/>
    </row>
    <row r="26" customFormat="false" ht="15.75" hidden="false" customHeight="false" outlineLevel="0" collapsed="false">
      <c r="B26" s="37" t="s">
        <v>3</v>
      </c>
      <c r="H26" s="3" t="s">
        <v>3</v>
      </c>
      <c r="I26" s="723" t="s">
        <v>3</v>
      </c>
    </row>
    <row r="52" customFormat="false" ht="12.75" hidden="false" customHeight="false" outlineLevel="0" collapsed="false">
      <c r="H52" s="3" t="s">
        <v>3</v>
      </c>
    </row>
    <row r="53" customFormat="false" ht="12.75" hidden="false" customHeight="false" outlineLevel="0" collapsed="false">
      <c r="I53" s="1" t="s">
        <v>3</v>
      </c>
      <c r="J53" s="1" t="s">
        <v>3</v>
      </c>
    </row>
    <row r="54" customFormat="false" ht="14.25" hidden="false" customHeight="false" outlineLevel="0" collapsed="false">
      <c r="H54" s="1" t="s">
        <v>3</v>
      </c>
      <c r="I54" s="724" t="s">
        <v>3</v>
      </c>
    </row>
    <row r="56" customFormat="false" ht="14.25" hidden="false" customHeight="false" outlineLevel="0" collapsed="false">
      <c r="I56" s="725" t="s">
        <v>3</v>
      </c>
    </row>
    <row r="67" customFormat="false" ht="14.25" hidden="false" customHeight="false" outlineLevel="0" collapsed="false">
      <c r="I67" s="723" t="s">
        <v>3</v>
      </c>
    </row>
    <row r="69" customFormat="false" ht="12.75" hidden="true" customHeight="false" outlineLevel="0" collapsed="false"/>
    <row r="70" customFormat="false" ht="12.75" hidden="true" customHeight="false" outlineLevel="0" collapsed="false"/>
    <row r="71" customFormat="false" ht="12.75" hidden="true" customHeight="false" outlineLevel="0" collapsed="false"/>
    <row r="72" customFormat="false" ht="12.75" hidden="true" customHeight="false" outlineLevel="0" collapsed="false"/>
    <row r="73" customFormat="false" ht="12.75" hidden="true" customHeight="false" outlineLevel="0" collapsed="false"/>
    <row r="74" customFormat="false" ht="12.75" hidden="true" customHeight="false" outlineLevel="0" collapsed="false"/>
    <row r="75" customFormat="false" ht="12.75" hidden="true" customHeight="false" outlineLevel="0" collapsed="false"/>
    <row r="76" customFormat="false" ht="12.75" hidden="true" customHeight="false" outlineLevel="0" collapsed="false"/>
    <row r="77" customFormat="false" ht="12.75" hidden="true" customHeight="false" outlineLevel="0" collapsed="false"/>
    <row r="78" customFormat="false" ht="12.75" hidden="true" customHeight="false" outlineLevel="0" collapsed="false"/>
    <row r="79" customFormat="false" ht="12.75" hidden="true" customHeight="false" outlineLevel="0" collapsed="false"/>
    <row r="80" customFormat="false" ht="12.75" hidden="true" customHeight="false" outlineLevel="0" collapsed="false"/>
    <row r="81" customFormat="false" ht="12.75" hidden="true" customHeight="false" outlineLevel="0" collapsed="false"/>
    <row r="82" customFormat="false" ht="12.75" hidden="true" customHeight="false" outlineLevel="0" collapsed="false"/>
    <row r="83" customFormat="false" ht="12.75" hidden="true" customHeight="false" outlineLevel="0" collapsed="false"/>
    <row r="84" customFormat="false" ht="12.75" hidden="true" customHeight="false" outlineLevel="0" collapsed="false"/>
    <row r="85" customFormat="false" ht="12.75" hidden="true" customHeight="false" outlineLevel="0" collapsed="false"/>
    <row r="86" customFormat="false" ht="12.75" hidden="true" customHeight="false" outlineLevel="0" collapsed="false"/>
    <row r="87" customFormat="false" ht="12.75" hidden="true" customHeight="false" outlineLevel="0" collapsed="false"/>
    <row r="88" customFormat="false" ht="12.75" hidden="true" customHeight="false" outlineLevel="0" collapsed="false"/>
    <row r="89" customFormat="false" ht="18" hidden="true" customHeight="false" outlineLevel="0" collapsed="false">
      <c r="A89" s="683" t="s">
        <v>434</v>
      </c>
      <c r="B89" s="23"/>
      <c r="C89" s="23"/>
      <c r="D89" s="23"/>
      <c r="E89" s="23"/>
      <c r="F89" s="23"/>
      <c r="G89" s="23"/>
      <c r="H89" s="682"/>
      <c r="I89" s="682"/>
    </row>
    <row r="90" customFormat="false" ht="15.75" hidden="true" customHeight="false" outlineLevel="0" collapsed="false">
      <c r="A90" s="566" t="s">
        <v>435</v>
      </c>
      <c r="B90" s="686"/>
      <c r="C90" s="23"/>
      <c r="D90" s="23"/>
      <c r="E90" s="23"/>
      <c r="F90" s="23"/>
      <c r="G90" s="23"/>
      <c r="H90" s="682"/>
      <c r="I90" s="682"/>
    </row>
    <row r="91" customFormat="false" ht="15.75" hidden="true" customHeight="false" outlineLevel="0" collapsed="false">
      <c r="A91" s="566" t="s">
        <v>436</v>
      </c>
      <c r="B91" s="7"/>
      <c r="C91" s="23"/>
      <c r="D91" s="23"/>
      <c r="E91" s="23"/>
      <c r="F91" s="23"/>
      <c r="G91" s="23"/>
      <c r="H91" s="682"/>
      <c r="I91" s="682"/>
    </row>
    <row r="92" customFormat="false" ht="15.75" hidden="true" customHeight="false" outlineLevel="0" collapsed="false">
      <c r="A92" s="25" t="s">
        <v>6</v>
      </c>
      <c r="B92" s="26"/>
      <c r="C92" s="689"/>
      <c r="D92" s="690"/>
      <c r="E92" s="689"/>
      <c r="F92" s="689"/>
      <c r="G92" s="726"/>
      <c r="H92" s="39"/>
    </row>
    <row r="93" customFormat="false" ht="15.75" hidden="true" customHeight="false" outlineLevel="0" collapsed="false">
      <c r="A93" s="36" t="s">
        <v>12</v>
      </c>
      <c r="B93" s="37" t="s">
        <v>425</v>
      </c>
      <c r="C93" s="727" t="n">
        <f aca="false">OHJELMOINTINÄKYMÄ!E7</f>
        <v>2012</v>
      </c>
      <c r="D93" s="727" t="n">
        <f aca="false">OHJELMOINTINÄKYMÄ!F7</f>
        <v>2013</v>
      </c>
      <c r="E93" s="727" t="n">
        <f aca="false">OHJELMOINTINÄKYMÄ!G7</f>
        <v>2014</v>
      </c>
      <c r="F93" s="727" t="n">
        <f aca="false">OHJELMOINTINÄKYMÄ!H7</f>
        <v>2015</v>
      </c>
      <c r="G93" s="727" t="n">
        <f aca="false">OHJELMOINTINÄKYMÄ!I7</f>
        <v>2016</v>
      </c>
      <c r="H93" s="38"/>
    </row>
    <row r="94" customFormat="false" ht="15" hidden="true" customHeight="false" outlineLevel="0" collapsed="false">
      <c r="A94" s="45"/>
      <c r="B94" s="46"/>
      <c r="C94" s="728" t="s">
        <v>427</v>
      </c>
      <c r="D94" s="728" t="s">
        <v>427</v>
      </c>
      <c r="E94" s="728" t="s">
        <v>427</v>
      </c>
      <c r="F94" s="728" t="s">
        <v>427</v>
      </c>
      <c r="G94" s="728" t="s">
        <v>427</v>
      </c>
      <c r="H94" s="56"/>
    </row>
    <row r="95" customFormat="false" ht="15" hidden="true" customHeight="false" outlineLevel="0" collapsed="false">
      <c r="A95" s="54"/>
      <c r="B95" s="729"/>
      <c r="C95" s="707"/>
      <c r="D95" s="704"/>
      <c r="E95" s="704"/>
      <c r="F95" s="704"/>
      <c r="G95" s="704"/>
    </row>
    <row r="96" customFormat="false" ht="15.75" hidden="true" customHeight="false" outlineLevel="0" collapsed="false">
      <c r="A96" s="711" t="s">
        <v>56</v>
      </c>
      <c r="B96" s="712" t="s">
        <v>437</v>
      </c>
      <c r="C96" s="713" t="n">
        <f aca="false">OHJELMOINTINÄKYMÄ!E56/1000</f>
        <v>60.493</v>
      </c>
      <c r="D96" s="713" t="n">
        <f aca="false">OHJELMOINTINÄKYMÄ!F56/1000</f>
        <v>70.252</v>
      </c>
      <c r="E96" s="713" t="e">
        <f aca="false">OHJELMOINTINÄKYMÄ!G56/1000</f>
        <v>#REF!</v>
      </c>
      <c r="F96" s="713" t="n">
        <f aca="false">OHJELMOINTINÄKYMÄ!H56/1000</f>
        <v>91.442</v>
      </c>
      <c r="G96" s="713" t="n">
        <f aca="false">OHJELMOINTINÄKYMÄ!I56/1000</f>
        <v>109.205</v>
      </c>
    </row>
    <row r="97" customFormat="false" ht="15.75" hidden="true" customHeight="false" outlineLevel="0" collapsed="false">
      <c r="A97" s="72" t="s">
        <v>56</v>
      </c>
      <c r="B97" s="712" t="s">
        <v>438</v>
      </c>
      <c r="C97" s="714" t="n">
        <v>140.26</v>
      </c>
      <c r="D97" s="714" t="n">
        <v>146.46</v>
      </c>
      <c r="E97" s="714" t="n">
        <v>148.29</v>
      </c>
      <c r="F97" s="714" t="n">
        <v>155</v>
      </c>
      <c r="G97" s="713" t="n">
        <v>0</v>
      </c>
    </row>
    <row r="98" customFormat="false" ht="12.75" hidden="true" customHeight="false" outlineLevel="0" collapsed="false"/>
    <row r="99" customFormat="false" ht="12.75" hidden="true" customHeight="false" outlineLevel="0" collapsed="false"/>
    <row r="100" customFormat="false" ht="12.75" hidden="true" customHeight="false" outlineLevel="0" collapsed="false"/>
    <row r="101" customFormat="false" ht="12.75" hidden="true" customHeight="false" outlineLevel="0" collapsed="false"/>
    <row r="102" customFormat="false" ht="12.75" hidden="true" customHeight="false" outlineLevel="0" collapsed="false"/>
    <row r="103" customFormat="false" ht="12.75" hidden="true" customHeight="false" outlineLevel="0" collapsed="false"/>
    <row r="104" customFormat="false" ht="12.75" hidden="true" customHeight="false" outlineLevel="0" collapsed="false"/>
    <row r="105" customFormat="false" ht="12.75" hidden="true" customHeight="false" outlineLevel="0" collapsed="false"/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false" customHeight="false" outlineLevel="0" collapsed="false">
      <c r="H132" s="3" t="s">
        <v>3</v>
      </c>
    </row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45" customFormat="false" ht="12.75" hidden="false" customHeight="false" outlineLevel="0" collapsed="false">
      <c r="B145" s="3" t="s">
        <v>439</v>
      </c>
    </row>
    <row r="147" customFormat="false" ht="12.75" hidden="true" customHeight="false" outlineLevel="0" collapsed="false"/>
    <row r="148" customFormat="false" ht="12.75" hidden="true" customHeight="false" outlineLevel="0" collapsed="false">
      <c r="I148" s="1" t="n">
        <v>1000</v>
      </c>
    </row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6" customFormat="false" ht="14.25" hidden="false" customHeight="false" outlineLevel="0" collapsed="false">
      <c r="I156" s="725" t="s">
        <v>3</v>
      </c>
    </row>
    <row r="157" customFormat="false" ht="12.75" hidden="true" customHeight="false" outlineLevel="0" collapsed="false">
      <c r="I157" s="1" t="s">
        <v>3</v>
      </c>
      <c r="J157" s="1" t="s">
        <v>3</v>
      </c>
      <c r="K157" s="1" t="s">
        <v>3</v>
      </c>
      <c r="L157" s="1" t="s">
        <v>3</v>
      </c>
      <c r="M157" s="1" t="s">
        <v>3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440</v>
      </c>
    </row>
    <row r="158" customFormat="false" ht="12.75" hidden="true" customHeight="false" outlineLevel="0" collapsed="false">
      <c r="T158" s="1" t="s">
        <v>441</v>
      </c>
    </row>
    <row r="159" customFormat="false" ht="12.75" hidden="true" customHeight="false" outlineLevel="0" collapsed="false">
      <c r="T159" s="1" t="s">
        <v>442</v>
      </c>
    </row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84" customFormat="false" ht="12.75" hidden="false" customHeight="false" outlineLevel="0" collapsed="false">
      <c r="I184" s="3" t="s">
        <v>3</v>
      </c>
      <c r="J184" s="1" t="s">
        <v>3</v>
      </c>
    </row>
    <row r="212" customFormat="false" ht="14.25" hidden="false" customHeight="false" outlineLevel="0" collapsed="false">
      <c r="H212" s="1" t="s">
        <v>3</v>
      </c>
      <c r="I212" s="730"/>
    </row>
    <row r="219" customFormat="false" ht="14.25" hidden="false" customHeight="false" outlineLevel="0" collapsed="false">
      <c r="H219" s="1" t="s">
        <v>3</v>
      </c>
      <c r="I219" s="725" t="s">
        <v>3</v>
      </c>
    </row>
    <row r="220" customFormat="false" ht="12.75" hidden="false" customHeight="false" outlineLevel="0" collapsed="false">
      <c r="H220" s="1" t="s">
        <v>3</v>
      </c>
    </row>
    <row r="223" customFormat="false" ht="12.75" hidden="false" customHeight="false" outlineLevel="0" collapsed="false">
      <c r="B223" s="3" t="s">
        <v>3</v>
      </c>
      <c r="H223" s="1" t="s">
        <v>53</v>
      </c>
    </row>
    <row r="224" customFormat="false" ht="12.75" hidden="false" customHeight="false" outlineLevel="0" collapsed="false">
      <c r="B224" s="3" t="s">
        <v>3</v>
      </c>
      <c r="H224" s="1" t="s">
        <v>3</v>
      </c>
    </row>
    <row r="226" customFormat="false" ht="14.25" hidden="false" customHeight="false" outlineLevel="0" collapsed="false">
      <c r="B226" s="3" t="s">
        <v>3</v>
      </c>
      <c r="I226" s="724"/>
    </row>
    <row r="233" customFormat="false" ht="14.25" hidden="false" customHeight="false" outlineLevel="0" collapsed="false">
      <c r="B233" s="3" t="s">
        <v>3</v>
      </c>
      <c r="H233" s="1" t="s">
        <v>3</v>
      </c>
      <c r="I233" s="724"/>
    </row>
    <row r="242" customFormat="false" ht="14.25" hidden="false" customHeight="false" outlineLevel="0" collapsed="false">
      <c r="B242" s="3" t="s">
        <v>3</v>
      </c>
      <c r="H242" s="1" t="s">
        <v>3</v>
      </c>
      <c r="I242" s="724"/>
    </row>
    <row r="243" customFormat="false" ht="12.75" hidden="false" customHeight="false" outlineLevel="0" collapsed="false">
      <c r="B243" s="3" t="s">
        <v>3</v>
      </c>
    </row>
    <row r="244" customFormat="false" ht="14.25" hidden="false" customHeight="false" outlineLevel="0" collapsed="false">
      <c r="I244" s="724"/>
    </row>
    <row r="246" customFormat="false" ht="14.25" hidden="false" customHeight="false" outlineLevel="0" collapsed="false">
      <c r="I246" s="724"/>
    </row>
    <row r="258" customFormat="false" ht="12.75" hidden="false" customHeight="false" outlineLevel="0" collapsed="false">
      <c r="I258" s="3" t="s">
        <v>3</v>
      </c>
    </row>
    <row r="259" customFormat="false" ht="14.25" hidden="false" customHeight="false" outlineLevel="0" collapsed="false">
      <c r="B259" s="3" t="s">
        <v>3</v>
      </c>
      <c r="H259" s="1" t="s">
        <v>3</v>
      </c>
      <c r="I259" s="724" t="s">
        <v>3</v>
      </c>
    </row>
    <row r="260" customFormat="false" ht="12.75" hidden="false" customHeight="false" outlineLevel="0" collapsed="false">
      <c r="I260" s="3" t="s">
        <v>3</v>
      </c>
    </row>
    <row r="261" customFormat="false" ht="14.25" hidden="false" customHeight="false" outlineLevel="0" collapsed="false">
      <c r="I261" s="724" t="s">
        <v>3</v>
      </c>
    </row>
    <row r="279" customFormat="false" ht="14.25" hidden="false" customHeight="false" outlineLevel="0" collapsed="false">
      <c r="B279" s="3" t="s">
        <v>3</v>
      </c>
      <c r="H279" s="1" t="s">
        <v>3</v>
      </c>
      <c r="I279" s="724" t="s">
        <v>3</v>
      </c>
    </row>
    <row r="284" customFormat="false" ht="14.25" hidden="false" customHeight="false" outlineLevel="0" collapsed="false">
      <c r="I284" s="724" t="s">
        <v>3</v>
      </c>
    </row>
    <row r="295" customFormat="false" ht="14.25" hidden="false" customHeight="false" outlineLevel="0" collapsed="false">
      <c r="I295" s="724" t="n">
        <v>250</v>
      </c>
    </row>
    <row r="297" customFormat="false" ht="14.25" hidden="false" customHeight="false" outlineLevel="0" collapsed="false">
      <c r="B297" s="1" t="s">
        <v>443</v>
      </c>
      <c r="H297" s="1" t="s">
        <v>3</v>
      </c>
      <c r="I297" s="724" t="n">
        <v>1050</v>
      </c>
    </row>
    <row r="298" customFormat="false" ht="12.75" hidden="false" customHeight="false" outlineLevel="0" collapsed="false">
      <c r="B298" s="1" t="s">
        <v>200</v>
      </c>
    </row>
    <row r="299" customFormat="false" ht="14.25" hidden="false" customHeight="false" outlineLevel="0" collapsed="false">
      <c r="I299" s="724" t="n">
        <v>1050</v>
      </c>
    </row>
    <row r="307" customFormat="false" ht="14.25" hidden="false" customHeight="false" outlineLevel="0" collapsed="false">
      <c r="H307" s="1" t="s">
        <v>3</v>
      </c>
      <c r="I307" s="724" t="n">
        <f aca="false">I310+I335</f>
        <v>2900</v>
      </c>
    </row>
    <row r="310" customFormat="false" ht="14.25" hidden="false" customHeight="false" outlineLevel="0" collapsed="false">
      <c r="H310" s="1" t="s">
        <v>3</v>
      </c>
      <c r="I310" s="724"/>
    </row>
    <row r="334" customFormat="false" ht="12.75" hidden="false" customHeight="false" outlineLevel="0" collapsed="false">
      <c r="S334" s="509"/>
    </row>
    <row r="335" customFormat="false" ht="12.75" hidden="false" customHeight="false" outlineLevel="0" collapsed="false">
      <c r="H335" s="1" t="s">
        <v>3</v>
      </c>
      <c r="I335" s="731" t="n">
        <f aca="false">I338+I344+I350+I359</f>
        <v>2900</v>
      </c>
    </row>
    <row r="338" customFormat="false" ht="14.25" hidden="false" customHeight="false" outlineLevel="0" collapsed="false">
      <c r="H338" s="1" t="s">
        <v>3</v>
      </c>
      <c r="I338" s="724" t="n">
        <v>1280</v>
      </c>
    </row>
    <row r="344" customFormat="false" ht="14.25" hidden="false" customHeight="false" outlineLevel="0" collapsed="false">
      <c r="H344" s="1" t="s">
        <v>3</v>
      </c>
      <c r="I344" s="724" t="n">
        <v>1100</v>
      </c>
    </row>
    <row r="350" customFormat="false" ht="14.25" hidden="false" customHeight="false" outlineLevel="0" collapsed="false">
      <c r="H350" s="1" t="s">
        <v>3</v>
      </c>
      <c r="I350" s="724" t="n">
        <v>460</v>
      </c>
    </row>
    <row r="353" customFormat="false" ht="14.25" hidden="false" customHeight="false" outlineLevel="0" collapsed="false">
      <c r="I353" s="730"/>
    </row>
    <row r="358" customFormat="false" ht="12.75" hidden="false" customHeight="false" outlineLevel="0" collapsed="false">
      <c r="I358" s="1" t="n">
        <f aca="false">SUM(I360+I362)</f>
        <v>0</v>
      </c>
    </row>
    <row r="359" customFormat="false" ht="14.25" hidden="false" customHeight="false" outlineLevel="0" collapsed="false">
      <c r="B359" s="1" t="s">
        <v>444</v>
      </c>
      <c r="I359" s="724" t="n">
        <v>60</v>
      </c>
    </row>
    <row r="361" customFormat="false" ht="14.25" hidden="false" customHeight="false" outlineLevel="0" collapsed="false">
      <c r="I361" s="724" t="n">
        <v>60</v>
      </c>
    </row>
    <row r="362" customFormat="false" ht="12.75" hidden="false" customHeight="false" outlineLevel="0" collapsed="false">
      <c r="H362" s="732"/>
    </row>
    <row r="365" customFormat="false" ht="13.5" hidden="false" customHeight="false" outlineLevel="0" collapsed="false">
      <c r="I365" s="688"/>
      <c r="J365" s="733"/>
    </row>
    <row r="366" customFormat="false" ht="13.5" hidden="false" customHeight="false" outlineLevel="0" collapsed="false">
      <c r="A366" s="1" t="s">
        <v>445</v>
      </c>
      <c r="H366" s="1" t="s">
        <v>3</v>
      </c>
    </row>
    <row r="367" customFormat="false" ht="12.75" hidden="false" customHeight="false" outlineLevel="0" collapsed="false">
      <c r="H367" s="1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7"/>
  <sheetViews>
    <sheetView showFormulas="false" showGridLines="false" showRowColHeaders="true" showZeros="true" rightToLeft="false" tabSelected="false" showOutlineSymbols="true" defaultGridColor="true" view="normal" topLeftCell="A10" colorId="64" zoomScale="55" zoomScaleNormal="55" zoomScalePageLayoutView="100" workbookViewId="0">
      <selection pane="topLeft" activeCell="AI45" activeCellId="0" sqref="AI45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28.42"/>
    <col collapsed="false" customWidth="true" hidden="true" outlineLevel="0" max="5" min="3" style="1" width="9.29"/>
    <col collapsed="false" customWidth="true" hidden="true" outlineLevel="0" max="6" min="6" style="1" width="9.71"/>
    <col collapsed="false" customWidth="true" hidden="false" outlineLevel="0" max="10" min="10" style="1" width="9.71"/>
  </cols>
  <sheetData>
    <row r="1" customFormat="false" ht="15.75" hidden="false" customHeight="false" outlineLevel="0" collapsed="false">
      <c r="A1" s="7" t="s">
        <v>0</v>
      </c>
      <c r="B1" s="7"/>
      <c r="C1" s="7" t="n">
        <f aca="false">OHJELMOINTINÄKYMÄ!C1</f>
        <v>0</v>
      </c>
      <c r="D1" s="7"/>
      <c r="E1" s="7"/>
      <c r="F1" s="7"/>
      <c r="G1" s="3"/>
      <c r="H1" s="9"/>
      <c r="I1" s="9"/>
    </row>
    <row r="2" customFormat="false" ht="15.75" hidden="false" customHeight="fals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</row>
    <row r="3" customFormat="false" ht="15.75" hidden="false" customHeight="false" outlineLevel="0" collapsed="false">
      <c r="A3" s="7" t="s">
        <v>419</v>
      </c>
      <c r="B3" s="7"/>
      <c r="C3" s="15" t="str">
        <f aca="false">OHJELMOINTINÄKYMÄ!C3</f>
        <v> </v>
      </c>
      <c r="D3" s="15"/>
      <c r="E3" s="7"/>
      <c r="F3" s="7"/>
      <c r="G3" s="3"/>
      <c r="H3" s="17"/>
      <c r="I3" s="16"/>
    </row>
    <row r="4" customFormat="false" ht="15.75" hidden="false" customHeight="false" outlineLevel="0" collapsed="false">
      <c r="A4" s="23"/>
      <c r="B4" s="23"/>
      <c r="C4" s="23"/>
      <c r="D4" s="23"/>
      <c r="E4" s="23"/>
      <c r="F4" s="23"/>
      <c r="G4" s="681"/>
      <c r="H4" s="682"/>
      <c r="I4" s="682"/>
    </row>
    <row r="5" customFormat="false" ht="18" hidden="false" customHeight="false" outlineLevel="0" collapsed="false">
      <c r="A5" s="683" t="s">
        <v>446</v>
      </c>
      <c r="B5" s="23"/>
      <c r="C5" s="23"/>
      <c r="D5" s="23"/>
      <c r="E5" s="23"/>
      <c r="F5" s="23"/>
      <c r="G5" s="23"/>
      <c r="H5" s="682"/>
      <c r="I5" s="682" t="n">
        <v>0</v>
      </c>
      <c r="M5" s="684"/>
      <c r="N5" s="201"/>
      <c r="O5" s="201"/>
      <c r="P5" s="734" t="s">
        <v>447</v>
      </c>
    </row>
    <row r="6" customFormat="false" ht="15.75" hidden="false" customHeight="false" outlineLevel="0" collapsed="false">
      <c r="A6" s="566" t="s">
        <v>422</v>
      </c>
      <c r="B6" s="686"/>
      <c r="C6" s="23"/>
      <c r="D6" s="23"/>
      <c r="E6" s="23"/>
      <c r="F6" s="23"/>
      <c r="G6" s="23"/>
      <c r="H6" s="682"/>
      <c r="I6" s="682"/>
    </row>
    <row r="7" customFormat="false" ht="15.75" hidden="false" customHeight="false" outlineLevel="0" collapsed="false">
      <c r="A7" s="566"/>
      <c r="B7" s="686"/>
      <c r="C7" s="23"/>
      <c r="D7" s="23"/>
      <c r="E7" s="23"/>
      <c r="F7" s="23"/>
      <c r="G7" s="23"/>
      <c r="H7" s="682"/>
      <c r="I7" s="682"/>
    </row>
    <row r="8" customFormat="false" ht="15.75" hidden="false" customHeight="false" outlineLevel="0" collapsed="false">
      <c r="A8" s="25" t="s">
        <v>6</v>
      </c>
      <c r="B8" s="26"/>
      <c r="C8" s="689" t="s">
        <v>7</v>
      </c>
      <c r="D8" s="29" t="s">
        <v>7</v>
      </c>
      <c r="E8" s="689" t="s">
        <v>7</v>
      </c>
      <c r="F8" s="690" t="s">
        <v>423</v>
      </c>
      <c r="G8" s="689" t="s">
        <v>7</v>
      </c>
      <c r="H8" s="689" t="s">
        <v>7</v>
      </c>
      <c r="I8" s="690" t="s">
        <v>7</v>
      </c>
      <c r="J8" s="689" t="s">
        <v>7</v>
      </c>
      <c r="K8" s="735" t="s">
        <v>7</v>
      </c>
      <c r="L8" s="689" t="s">
        <v>7</v>
      </c>
      <c r="M8" s="689" t="s">
        <v>8</v>
      </c>
      <c r="N8" s="692" t="s">
        <v>9</v>
      </c>
      <c r="O8" s="689" t="s">
        <v>10</v>
      </c>
      <c r="P8" s="689" t="s">
        <v>10</v>
      </c>
      <c r="Q8" s="689" t="s">
        <v>424</v>
      </c>
      <c r="R8" s="689" t="s">
        <v>424</v>
      </c>
      <c r="S8" s="689" t="s">
        <v>424</v>
      </c>
      <c r="T8" s="689" t="s">
        <v>424</v>
      </c>
      <c r="U8" s="689" t="s">
        <v>424</v>
      </c>
      <c r="V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str">
        <f aca="false">OHJELMOINTINÄKYMÄ!C6</f>
        <v>TP</v>
      </c>
      <c r="D9" s="693" t="str">
        <f aca="false">OHJELMOINTINÄKYMÄ!D6</f>
        <v>TP</v>
      </c>
      <c r="E9" s="693" t="str">
        <f aca="false">OHJELMOINTINÄKYMÄ!E6</f>
        <v>TP</v>
      </c>
      <c r="F9" s="693" t="str">
        <f aca="false">OHJELMOINTINÄKYMÄ!F6</f>
        <v>TP</v>
      </c>
      <c r="G9" s="693" t="n">
        <v>2014</v>
      </c>
      <c r="H9" s="693" t="n">
        <v>2015</v>
      </c>
      <c r="I9" s="694" t="n">
        <v>2016</v>
      </c>
      <c r="J9" s="693" t="n">
        <v>2017</v>
      </c>
      <c r="K9" s="736" t="n">
        <v>2018</v>
      </c>
      <c r="L9" s="693" t="n">
        <v>2019</v>
      </c>
      <c r="M9" s="693" t="n">
        <v>2020</v>
      </c>
      <c r="N9" s="696" t="n">
        <v>2021</v>
      </c>
      <c r="O9" s="693" t="n">
        <v>2022</v>
      </c>
      <c r="P9" s="693" t="n">
        <v>2023</v>
      </c>
      <c r="Q9" s="693" t="n">
        <v>2024</v>
      </c>
      <c r="R9" s="693" t="n">
        <v>2025</v>
      </c>
      <c r="S9" s="693" t="n">
        <v>2026</v>
      </c>
      <c r="T9" s="693" t="n">
        <v>2027</v>
      </c>
      <c r="U9" s="693" t="n">
        <v>2028</v>
      </c>
      <c r="V9" s="693" t="n">
        <v>2029</v>
      </c>
    </row>
    <row r="10" customFormat="false" ht="15" hidden="false" customHeight="false" outlineLevel="0" collapsed="false">
      <c r="A10" s="45"/>
      <c r="B10" s="46"/>
      <c r="C10" s="698" t="s">
        <v>427</v>
      </c>
      <c r="D10" s="698" t="s">
        <v>427</v>
      </c>
      <c r="E10" s="698" t="s">
        <v>427</v>
      </c>
      <c r="F10" s="698" t="s">
        <v>427</v>
      </c>
      <c r="G10" s="698" t="s">
        <v>427</v>
      </c>
      <c r="H10" s="698" t="s">
        <v>427</v>
      </c>
      <c r="I10" s="699" t="s">
        <v>427</v>
      </c>
      <c r="J10" s="698" t="s">
        <v>427</v>
      </c>
      <c r="K10" s="737" t="s">
        <v>427</v>
      </c>
      <c r="L10" s="698" t="s">
        <v>427</v>
      </c>
      <c r="M10" s="698" t="s">
        <v>427</v>
      </c>
      <c r="N10" s="701" t="s">
        <v>427</v>
      </c>
      <c r="O10" s="698" t="s">
        <v>427</v>
      </c>
      <c r="P10" s="698" t="s">
        <v>427</v>
      </c>
      <c r="Q10" s="698" t="s">
        <v>427</v>
      </c>
      <c r="R10" s="698" t="s">
        <v>427</v>
      </c>
      <c r="S10" s="698" t="s">
        <v>427</v>
      </c>
      <c r="T10" s="698" t="s">
        <v>427</v>
      </c>
      <c r="U10" s="698" t="s">
        <v>427</v>
      </c>
      <c r="V10" s="698" t="s">
        <v>427</v>
      </c>
    </row>
    <row r="11" customFormat="false" ht="15" hidden="false" customHeight="false" outlineLevel="0" collapsed="false">
      <c r="A11" s="54"/>
      <c r="B11" s="703"/>
      <c r="C11" s="704"/>
      <c r="D11" s="705"/>
      <c r="E11" s="704"/>
      <c r="F11" s="704"/>
      <c r="G11" s="704"/>
      <c r="H11" s="704"/>
      <c r="I11" s="707"/>
      <c r="J11" s="704"/>
      <c r="K11" s="738"/>
      <c r="L11" s="704"/>
      <c r="M11" s="704"/>
      <c r="N11" s="709"/>
      <c r="O11" s="704"/>
      <c r="P11" s="704"/>
      <c r="Q11" s="704"/>
      <c r="R11" s="704"/>
      <c r="S11" s="704"/>
      <c r="T11" s="704"/>
      <c r="U11" s="704"/>
      <c r="V11" s="704"/>
    </row>
    <row r="12" customFormat="false" ht="15.75" hidden="false" customHeight="false" outlineLevel="0" collapsed="false">
      <c r="A12" s="72" t="s">
        <v>60</v>
      </c>
      <c r="B12" s="326" t="s">
        <v>448</v>
      </c>
      <c r="C12" s="704"/>
      <c r="D12" s="704"/>
      <c r="E12" s="704"/>
      <c r="F12" s="704"/>
      <c r="G12" s="713" t="e">
        <f aca="false">OHJELMOINTINÄKYMÄ!G61/1000</f>
        <v>#REF!</v>
      </c>
      <c r="H12" s="713" t="n">
        <f aca="false">OHJELMOINTINÄKYMÄ!H61/1000</f>
        <v>46.941</v>
      </c>
      <c r="I12" s="713" t="n">
        <f aca="false">OHJELMOINTINÄKYMÄ!I61/1000</f>
        <v>48.02</v>
      </c>
      <c r="J12" s="713" t="n">
        <f aca="false">OHJELMOINTINÄKYMÄ!J61/1000</f>
        <v>54.814</v>
      </c>
      <c r="K12" s="716" t="e">
        <f aca="false">OHJELMOINTINÄKYMÄ!K61/1000</f>
        <v>#REF!</v>
      </c>
      <c r="L12" s="713" t="n">
        <f aca="false">OHJELMOINTINÄKYMÄ!L61/1000</f>
        <v>75.895</v>
      </c>
      <c r="M12" s="713" t="n">
        <f aca="false">OHJELMOINTINÄKYMÄ!M61/1000</f>
        <v>101.255509</v>
      </c>
      <c r="N12" s="717" t="e">
        <f aca="false">OHJELMOINTINÄKYMÄ!O61/1000</f>
        <v>#REF!</v>
      </c>
      <c r="O12" s="713" t="e">
        <f aca="false">OHJELMOINTINÄKYMÄ!P61/1000</f>
        <v>#REF!</v>
      </c>
      <c r="P12" s="713" t="e">
        <f aca="false">OHJELMOINTINÄKYMÄ!Q61/1000</f>
        <v>#REF!</v>
      </c>
      <c r="Q12" s="713" t="e">
        <f aca="false">OHJELMOINTINÄKYMÄ!R61/1000</f>
        <v>#REF!</v>
      </c>
      <c r="R12" s="713" t="e">
        <f aca="false">OHJELMOINTINÄKYMÄ!S61/1000</f>
        <v>#REF!</v>
      </c>
      <c r="S12" s="713" t="e">
        <f aca="false">OHJELMOINTINÄKYMÄ!T61/1000</f>
        <v>#REF!</v>
      </c>
      <c r="T12" s="713" t="e">
        <f aca="false">OHJELMOINTINÄKYMÄ!U61/1000</f>
        <v>#REF!</v>
      </c>
      <c r="U12" s="713" t="e">
        <f aca="false">OHJELMOINTINÄKYMÄ!V61/1000</f>
        <v>#REF!</v>
      </c>
      <c r="V12" s="713" t="e">
        <f aca="false">OHJELMOINTINÄKYMÄ!W61/1000</f>
        <v>#REF!</v>
      </c>
    </row>
    <row r="13" customFormat="false" ht="15.75" hidden="false" customHeight="false" outlineLevel="0" collapsed="false">
      <c r="A13" s="739" t="s">
        <v>338</v>
      </c>
      <c r="B13" s="740" t="s">
        <v>64</v>
      </c>
      <c r="C13" s="713" t="n">
        <f aca="false">OHJELMOINTINÄKYMÄ!C64/1000</f>
        <v>0</v>
      </c>
      <c r="D13" s="713" t="n">
        <f aca="false">OHJELMOINTINÄKYMÄ!D64/1000</f>
        <v>0</v>
      </c>
      <c r="E13" s="713" t="n">
        <f aca="false">OHJELMOINTINÄKYMÄ!E64/1000</f>
        <v>0</v>
      </c>
      <c r="F13" s="713" t="n">
        <f aca="false">OHJELMOINTINÄKYMÄ!F64/1000+OHJELMOINTINÄKYMÄ!F65/1000</f>
        <v>21.895</v>
      </c>
      <c r="G13" s="741" t="n">
        <f aca="false">OHJELMOINTINÄKYMÄ!G65/1000</f>
        <v>16.563</v>
      </c>
      <c r="H13" s="741" t="n">
        <f aca="false">OHJELMOINTINÄKYMÄ!H65/1000</f>
        <v>14.758</v>
      </c>
      <c r="I13" s="741" t="n">
        <f aca="false">OHJELMOINTINÄKYMÄ!I65/1000</f>
        <v>14.579</v>
      </c>
      <c r="J13" s="742" t="n">
        <f aca="false">OHJELMOINTINÄKYMÄ!J65/1000</f>
        <v>16.263</v>
      </c>
      <c r="K13" s="743" t="n">
        <f aca="false">OHJELMOINTINÄKYMÄ!K65/1000</f>
        <v>16.09</v>
      </c>
      <c r="L13" s="741" t="n">
        <f aca="false">OHJELMOINTINÄKYMÄ!L65/1000</f>
        <v>22.765</v>
      </c>
      <c r="M13" s="741" t="n">
        <f aca="false">OHJELMOINTINÄKYMÄ!M65/1000</f>
        <v>31.799676</v>
      </c>
      <c r="N13" s="744" t="n">
        <f aca="false">OHJELMOINTINÄKYMÄ!O65/1000</f>
        <v>20.1</v>
      </c>
      <c r="O13" s="741" t="n">
        <f aca="false">OHJELMOINTINÄKYMÄ!P65/1000</f>
        <v>16.3</v>
      </c>
      <c r="P13" s="741" t="n">
        <f aca="false">OHJELMOINTINÄKYMÄ!Q65/1000</f>
        <v>20.6</v>
      </c>
      <c r="Q13" s="741" t="n">
        <f aca="false">OHJELMOINTINÄKYMÄ!R65/1000</f>
        <v>25.4</v>
      </c>
      <c r="R13" s="741" t="n">
        <f aca="false">OHJELMOINTINÄKYMÄ!S65/1000</f>
        <v>21.2</v>
      </c>
      <c r="S13" s="741" t="n">
        <f aca="false">OHJELMOINTINÄKYMÄ!T65/1000</f>
        <v>24.5</v>
      </c>
      <c r="T13" s="741" t="n">
        <f aca="false">OHJELMOINTINÄKYMÄ!U65/1000</f>
        <v>34.8</v>
      </c>
      <c r="U13" s="741" t="n">
        <f aca="false">OHJELMOINTINÄKYMÄ!V65/1000</f>
        <v>48.1</v>
      </c>
      <c r="V13" s="741" t="n">
        <f aca="false">OHJELMOINTINÄKYMÄ!W65/1000</f>
        <v>45.9</v>
      </c>
    </row>
    <row r="14" customFormat="false" ht="15.75" hidden="false" customHeight="false" outlineLevel="0" collapsed="false">
      <c r="A14" s="38" t="s">
        <v>339</v>
      </c>
      <c r="B14" s="740" t="s">
        <v>428</v>
      </c>
      <c r="C14" s="713" t="n">
        <f aca="false">OHJELMOINTINÄKYMÄ!C92/1000</f>
        <v>0</v>
      </c>
      <c r="D14" s="713" t="n">
        <f aca="false">OHJELMOINTINÄKYMÄ!D92/1000</f>
        <v>0</v>
      </c>
      <c r="E14" s="713" t="n">
        <f aca="false">OHJELMOINTINÄKYMÄ!E92/1000</f>
        <v>0</v>
      </c>
      <c r="F14" s="713" t="n">
        <f aca="false">OHJELMOINTINÄKYMÄ!F92/1000+OHJELMOINTINÄKYMÄ!F93/1000</f>
        <v>22.586</v>
      </c>
      <c r="G14" s="741" t="e">
        <f aca="false">OHJELMOINTINÄKYMÄ!G93/1000</f>
        <v>#REF!</v>
      </c>
      <c r="H14" s="741" t="n">
        <f aca="false">OHJELMOINTINÄKYMÄ!H93/1000</f>
        <v>28.099</v>
      </c>
      <c r="I14" s="741" t="n">
        <f aca="false">OHJELMOINTINÄKYMÄ!I93/1000</f>
        <v>30.012</v>
      </c>
      <c r="J14" s="742" t="n">
        <f aca="false">OHJELMOINTINÄKYMÄ!J93/1000</f>
        <v>36.481</v>
      </c>
      <c r="K14" s="743" t="e">
        <f aca="false">OHJELMOINTINÄKYMÄ!K93/1000</f>
        <v>#REF!</v>
      </c>
      <c r="L14" s="741" t="n">
        <f aca="false">OHJELMOINTINÄKYMÄ!L541/1000</f>
        <v>0</v>
      </c>
      <c r="M14" s="741" t="n">
        <f aca="false">OHJELMOINTINÄKYMÄ!M541/1000</f>
        <v>0</v>
      </c>
      <c r="N14" s="744" t="n">
        <f aca="false">OHJELMOINTINÄKYMÄ!O540/1000</f>
        <v>0.15</v>
      </c>
      <c r="O14" s="741" t="n">
        <f aca="false">OHJELMOINTINÄKYMÄ!P540/1000</f>
        <v>0.1</v>
      </c>
      <c r="P14" s="741" t="n">
        <f aca="false">OHJELMOINTINÄKYMÄ!Q540/1000</f>
        <v>0.5</v>
      </c>
      <c r="Q14" s="741" t="n">
        <f aca="false">OHJELMOINTINÄKYMÄ!R540/1000</f>
        <v>0.8</v>
      </c>
      <c r="R14" s="741" t="n">
        <f aca="false">OHJELMOINTINÄKYMÄ!S540/1000</f>
        <v>0.25</v>
      </c>
      <c r="S14" s="741" t="n">
        <f aca="false">OHJELMOINTINÄKYMÄ!T540/1000</f>
        <v>0.2</v>
      </c>
      <c r="T14" s="741" t="n">
        <f aca="false">OHJELMOINTINÄKYMÄ!U540/1000</f>
        <v>1</v>
      </c>
      <c r="U14" s="741" t="n">
        <f aca="false">OHJELMOINTINÄKYMÄ!V540/1000</f>
        <v>1</v>
      </c>
      <c r="V14" s="741" t="n">
        <f aca="false">OHJELMOINTINÄKYMÄ!W540/1000</f>
        <v>1</v>
      </c>
    </row>
    <row r="15" customFormat="false" ht="15.75" hidden="false" customHeight="false" outlineLevel="0" collapsed="false">
      <c r="A15" s="38" t="s">
        <v>429</v>
      </c>
      <c r="B15" s="740" t="s">
        <v>342</v>
      </c>
      <c r="C15" s="713" t="n">
        <f aca="false">OHJELMOINTINÄKYMÄ!C308/1000</f>
        <v>0</v>
      </c>
      <c r="D15" s="713" t="n">
        <f aca="false">OHJELMOINTINÄKYMÄ!D308/1000</f>
        <v>0</v>
      </c>
      <c r="E15" s="713" t="n">
        <f aca="false">OHJELMOINTINÄKYMÄ!E308/1000</f>
        <v>0</v>
      </c>
      <c r="F15" s="713" t="e">
        <f aca="false">OHJELMOINTINÄKYMÄ!F308/1000+ohjelmointinäkymä!#REF!/1000</f>
        <v>#VALUE!</v>
      </c>
      <c r="G15" s="741" t="n">
        <f aca="false">OHJELMOINTINÄKYMÄ!G182/1000</f>
        <v>5.326</v>
      </c>
      <c r="H15" s="741" t="n">
        <f aca="false">OHJELMOINTINÄKYMÄ!H182/1000</f>
        <v>4.084</v>
      </c>
      <c r="I15" s="741" t="n">
        <f aca="false">OHJELMOINTINÄKYMÄ!I182/1000</f>
        <v>3.429</v>
      </c>
      <c r="J15" s="742" t="n">
        <f aca="false">OHJELMOINTINÄKYMÄ!J182/1000</f>
        <v>2.07</v>
      </c>
      <c r="K15" s="745" t="n">
        <f aca="false">OHJELMOINTINÄKYMÄ!K182/1000</f>
        <v>1.147</v>
      </c>
      <c r="L15" s="741" t="n">
        <f aca="false">OHJELMOINTINÄKYMÄ!L182/1000</f>
        <v>3.174</v>
      </c>
      <c r="M15" s="741" t="n">
        <f aca="false">OHJELMOINTINÄKYMÄ!M182/1000</f>
        <v>3.253064</v>
      </c>
      <c r="N15" s="744" t="n">
        <f aca="false">OHJELMOINTINÄKYMÄ!O182/1000</f>
        <v>4</v>
      </c>
      <c r="O15" s="741" t="n">
        <f aca="false">OHJELMOINTINÄKYMÄ!P182/1000</f>
        <v>7.3</v>
      </c>
      <c r="P15" s="741" t="n">
        <f aca="false">OHJELMOINTINÄKYMÄ!Q182/1000</f>
        <v>6.2</v>
      </c>
      <c r="Q15" s="741" t="n">
        <f aca="false">OHJELMOINTINÄKYMÄ!R182/1000</f>
        <v>6.4</v>
      </c>
      <c r="R15" s="741" t="n">
        <f aca="false">OHJELMOINTINÄKYMÄ!S182/1000</f>
        <v>29.95</v>
      </c>
      <c r="S15" s="741" t="n">
        <f aca="false">OHJELMOINTINÄKYMÄ!T182/1000</f>
        <v>29.7</v>
      </c>
      <c r="T15" s="741" t="n">
        <f aca="false">OHJELMOINTINÄKYMÄ!U182/1000</f>
        <v>26</v>
      </c>
      <c r="U15" s="741" t="n">
        <f aca="false">OHJELMOINTINÄKYMÄ!V182/1000</f>
        <v>26</v>
      </c>
      <c r="V15" s="741" t="n">
        <f aca="false">OHJELMOINTINÄKYMÄ!W182/1000</f>
        <v>26.1</v>
      </c>
    </row>
    <row r="16" customFormat="false" ht="15.75" hidden="false" customHeight="false" outlineLevel="0" collapsed="false">
      <c r="A16" s="746" t="s">
        <v>130</v>
      </c>
      <c r="B16" s="37" t="s">
        <v>449</v>
      </c>
      <c r="C16" s="719"/>
      <c r="D16" s="719"/>
      <c r="E16" s="719"/>
      <c r="F16" s="719"/>
      <c r="G16" s="713" t="n">
        <f aca="false">OHJELMOINTINÄKYMÄ!G198/1000</f>
        <v>29.212</v>
      </c>
      <c r="H16" s="713" t="n">
        <f aca="false">OHJELMOINTINÄKYMÄ!H198/1000</f>
        <v>35.717</v>
      </c>
      <c r="I16" s="713" t="n">
        <f aca="false">OHJELMOINTINÄKYMÄ!I198/1000</f>
        <v>52.41</v>
      </c>
      <c r="J16" s="713" t="n">
        <f aca="false">OHJELMOINTINÄKYMÄ!J198/1000</f>
        <v>80.819</v>
      </c>
      <c r="K16" s="716" t="n">
        <f aca="false">OHJELMOINTINÄKYMÄ!K198/1000</f>
        <v>79.196</v>
      </c>
      <c r="L16" s="713" t="n">
        <f aca="false">OHJELMOINTINÄKYMÄ!L198/1000</f>
        <v>81.905</v>
      </c>
      <c r="M16" s="713" t="n">
        <f aca="false">OHJELMOINTINÄKYMÄ!M198/1000</f>
        <v>71.084734</v>
      </c>
      <c r="N16" s="717" t="n">
        <f aca="false">OHJELMOINTINÄKYMÄ!O198/1000</f>
        <v>0</v>
      </c>
      <c r="O16" s="713" t="n">
        <f aca="false">OHJELMOINTINÄKYMÄ!P198/1000</f>
        <v>0</v>
      </c>
      <c r="P16" s="713" t="n">
        <f aca="false">OHJELMOINTINÄKYMÄ!Q198/1000</f>
        <v>0</v>
      </c>
      <c r="Q16" s="713" t="n">
        <f aca="false">OHJELMOINTINÄKYMÄ!R198/1000</f>
        <v>0</v>
      </c>
      <c r="R16" s="713" t="n">
        <f aca="false">OHJELMOINTINÄKYMÄ!S198/1000</f>
        <v>0</v>
      </c>
      <c r="S16" s="713" t="n">
        <f aca="false">OHJELMOINTINÄKYMÄ!T198/1000</f>
        <v>0</v>
      </c>
      <c r="T16" s="713" t="n">
        <f aca="false">OHJELMOINTINÄKYMÄ!U198/1000</f>
        <v>0</v>
      </c>
      <c r="U16" s="713" t="n">
        <f aca="false">OHJELMOINTINÄKYMÄ!V198/1000</f>
        <v>0</v>
      </c>
      <c r="V16" s="713" t="n">
        <f aca="false">OHJELMOINTINÄKYMÄ!W198/1000</f>
        <v>0</v>
      </c>
    </row>
    <row r="17" customFormat="false" ht="15.75" hidden="false" customHeight="false" outlineLevel="0" collapsed="false">
      <c r="A17" s="747" t="s">
        <v>3</v>
      </c>
      <c r="B17" s="55" t="s">
        <v>431</v>
      </c>
      <c r="C17" s="713" t="n">
        <f aca="false">OHJELMOINTINÄKYMÄ!C201/1000</f>
        <v>0</v>
      </c>
      <c r="D17" s="713" t="n">
        <f aca="false">OHJELMOINTINÄKYMÄ!D201/1000</f>
        <v>0</v>
      </c>
      <c r="E17" s="713" t="n">
        <f aca="false">OHJELMOINTINÄKYMÄ!E201/1000</f>
        <v>0</v>
      </c>
      <c r="F17" s="713" t="n">
        <f aca="false">OHJELMOINTINÄKYMÄ!F201/1000+OHJELMOINTINÄKYMÄ!F203/1000</f>
        <v>0.33</v>
      </c>
      <c r="G17" s="742" t="n">
        <f aca="false">OHJELMOINTINÄKYMÄ!G203/1000</f>
        <v>3.054</v>
      </c>
      <c r="H17" s="742" t="n">
        <f aca="false">OHJELMOINTINÄKYMÄ!H203/1000</f>
        <v>0.141</v>
      </c>
      <c r="I17" s="741" t="n">
        <f aca="false">OHJELMOINTINÄKYMÄ!I203/1000</f>
        <v>0.282</v>
      </c>
      <c r="J17" s="742" t="n">
        <f aca="false">OHJELMOINTINÄKYMÄ!J203/1000</f>
        <v>0.235</v>
      </c>
      <c r="K17" s="743" t="n">
        <f aca="false">OHJELMOINTINÄKYMÄ!K203/1000</f>
        <v>4.83</v>
      </c>
      <c r="L17" s="742" t="n">
        <f aca="false">OHJELMOINTINÄKYMÄ!L203/1000</f>
        <v>2.617</v>
      </c>
      <c r="M17" s="742" t="n">
        <f aca="false">OHJELMOINTINÄKYMÄ!M203/1000</f>
        <v>0.188606</v>
      </c>
      <c r="N17" s="748" t="n">
        <f aca="false">OHJELMOINTINÄKYMÄ!O203/1000</f>
        <v>0</v>
      </c>
      <c r="O17" s="742" t="n">
        <f aca="false">OHJELMOINTINÄKYMÄ!P203/1000</f>
        <v>0</v>
      </c>
      <c r="P17" s="742" t="n">
        <f aca="false">OHJELMOINTINÄKYMÄ!Q203/1000</f>
        <v>0</v>
      </c>
      <c r="Q17" s="742" t="n">
        <f aca="false">OHJELMOINTINÄKYMÄ!R203/1000</f>
        <v>0</v>
      </c>
      <c r="R17" s="742" t="n">
        <f aca="false">OHJELMOINTINÄKYMÄ!S203/1000</f>
        <v>0</v>
      </c>
      <c r="S17" s="742" t="n">
        <f aca="false">OHJELMOINTINÄKYMÄ!T203/1000</f>
        <v>0</v>
      </c>
      <c r="T17" s="742" t="n">
        <f aca="false">OHJELMOINTINÄKYMÄ!U203/1000</f>
        <v>0</v>
      </c>
      <c r="U17" s="742" t="n">
        <f aca="false">OHJELMOINTINÄKYMÄ!V203/1000</f>
        <v>0</v>
      </c>
      <c r="V17" s="742" t="n">
        <f aca="false">OHJELMOINTINÄKYMÄ!W203/1000</f>
        <v>0</v>
      </c>
    </row>
    <row r="18" customFormat="false" ht="15.75" hidden="false" customHeight="false" outlineLevel="0" collapsed="false">
      <c r="A18" s="749" t="s">
        <v>3</v>
      </c>
      <c r="B18" s="55" t="s">
        <v>367</v>
      </c>
      <c r="C18" s="713" t="n">
        <f aca="false">OHJELMOINTINÄKYMÄ!C209/1000</f>
        <v>0</v>
      </c>
      <c r="D18" s="713" t="n">
        <f aca="false">OHJELMOINTINÄKYMÄ!D209/1000</f>
        <v>0</v>
      </c>
      <c r="E18" s="713" t="n">
        <f aca="false">OHJELMOINTINÄKYMÄ!E209/1000</f>
        <v>0</v>
      </c>
      <c r="F18" s="713" t="n">
        <f aca="false">OHJELMOINTINÄKYMÄ!F209/1000+OHJELMOINTINÄKYMÄ!F210/1000</f>
        <v>4.739</v>
      </c>
      <c r="G18" s="741" t="n">
        <f aca="false">OHJELMOINTINÄKYMÄ!G210/1000</f>
        <v>3.845</v>
      </c>
      <c r="H18" s="741" t="n">
        <f aca="false">OHJELMOINTINÄKYMÄ!H210/1000</f>
        <v>2.795</v>
      </c>
      <c r="I18" s="741" t="n">
        <f aca="false">OHJELMOINTINÄKYMÄ!I210/1000</f>
        <v>6.024</v>
      </c>
      <c r="J18" s="742" t="n">
        <f aca="false">OHJELMOINTINÄKYMÄ!J210/1000</f>
        <v>22.12</v>
      </c>
      <c r="K18" s="743" t="n">
        <f aca="false">OHJELMOINTINÄKYMÄ!K210/1000</f>
        <v>13.27</v>
      </c>
      <c r="L18" s="742" t="n">
        <f aca="false">OHJELMOINTINÄKYMÄ!L210/1000</f>
        <v>16.92</v>
      </c>
      <c r="M18" s="741" t="n">
        <f aca="false">OHJELMOINTINÄKYMÄ!M210/1000</f>
        <v>22.806918</v>
      </c>
      <c r="N18" s="744" t="n">
        <f aca="false">OHJELMOINTINÄKYMÄ!O210/1000</f>
        <v>0</v>
      </c>
      <c r="O18" s="741" t="n">
        <f aca="false">OHJELMOINTINÄKYMÄ!P210/1000</f>
        <v>0</v>
      </c>
      <c r="P18" s="741" t="n">
        <f aca="false">OHJELMOINTINÄKYMÄ!Q210/1000</f>
        <v>0</v>
      </c>
      <c r="Q18" s="741" t="n">
        <f aca="false">OHJELMOINTINÄKYMÄ!R210/1000</f>
        <v>0</v>
      </c>
      <c r="R18" s="741" t="n">
        <f aca="false">OHJELMOINTINÄKYMÄ!S210/1000</f>
        <v>0</v>
      </c>
      <c r="S18" s="741" t="n">
        <f aca="false">OHJELMOINTINÄKYMÄ!T210/1000</f>
        <v>0</v>
      </c>
      <c r="T18" s="741" t="n">
        <f aca="false">OHJELMOINTINÄKYMÄ!U210/1000</f>
        <v>0</v>
      </c>
      <c r="U18" s="741" t="n">
        <f aca="false">OHJELMOINTINÄKYMÄ!V210/1000</f>
        <v>0</v>
      </c>
      <c r="V18" s="741" t="n">
        <f aca="false">OHJELMOINTINÄKYMÄ!W210/1000</f>
        <v>0</v>
      </c>
    </row>
    <row r="19" customFormat="false" ht="15.75" hidden="false" customHeight="false" outlineLevel="0" collapsed="false">
      <c r="A19" s="749" t="s">
        <v>3</v>
      </c>
      <c r="B19" s="55" t="s">
        <v>151</v>
      </c>
      <c r="C19" s="713" t="n">
        <f aca="false">OHJELMOINTINÄKYMÄ!C221/1000</f>
        <v>0</v>
      </c>
      <c r="D19" s="713" t="n">
        <f aca="false">OHJELMOINTINÄKYMÄ!D221/1000</f>
        <v>0</v>
      </c>
      <c r="E19" s="713" t="n">
        <f aca="false">OHJELMOINTINÄKYMÄ!E221/1000</f>
        <v>0</v>
      </c>
      <c r="F19" s="713" t="n">
        <f aca="false">OHJELMOINTINÄKYMÄ!F221/1000+OHJELMOINTINÄKYMÄ!F222/1000</f>
        <v>9.264</v>
      </c>
      <c r="G19" s="742" t="n">
        <f aca="false">OHJELMOINTINÄKYMÄ!G222/1000</f>
        <v>4.137</v>
      </c>
      <c r="H19" s="742" t="n">
        <f aca="false">OHJELMOINTINÄKYMÄ!H222/1000</f>
        <v>9.1</v>
      </c>
      <c r="I19" s="741" t="n">
        <f aca="false">OHJELMOINTINÄKYMÄ!I222/1000</f>
        <v>13.21</v>
      </c>
      <c r="J19" s="742" t="n">
        <f aca="false">OHJELMOINTINÄKYMÄ!J222/1000</f>
        <v>18.262</v>
      </c>
      <c r="K19" s="743" t="n">
        <f aca="false">OHJELMOINTINÄKYMÄ!K222/1000</f>
        <v>14.964</v>
      </c>
      <c r="L19" s="742" t="n">
        <f aca="false">OHJELMOINTINÄKYMÄ!L222/1000</f>
        <v>15.704</v>
      </c>
      <c r="M19" s="741" t="n">
        <f aca="false">OHJELMOINTINÄKYMÄ!M222/1000</f>
        <v>14.397551</v>
      </c>
      <c r="N19" s="744" t="n">
        <f aca="false">OHJELMOINTINÄKYMÄ!O222/1000</f>
        <v>0</v>
      </c>
      <c r="O19" s="741" t="n">
        <f aca="false">OHJELMOINTINÄKYMÄ!P222/1000</f>
        <v>0</v>
      </c>
      <c r="P19" s="741" t="n">
        <f aca="false">OHJELMOINTINÄKYMÄ!Q222/1000</f>
        <v>0</v>
      </c>
      <c r="Q19" s="741" t="n">
        <f aca="false">OHJELMOINTINÄKYMÄ!R222/1000</f>
        <v>0</v>
      </c>
      <c r="R19" s="741" t="n">
        <f aca="false">OHJELMOINTINÄKYMÄ!S222/1000</f>
        <v>0</v>
      </c>
      <c r="S19" s="741" t="n">
        <f aca="false">OHJELMOINTINÄKYMÄ!T222/1000</f>
        <v>0</v>
      </c>
      <c r="T19" s="741" t="n">
        <f aca="false">OHJELMOINTINÄKYMÄ!U222/1000</f>
        <v>0</v>
      </c>
      <c r="U19" s="741" t="n">
        <f aca="false">OHJELMOINTINÄKYMÄ!V222/1000</f>
        <v>0</v>
      </c>
      <c r="V19" s="741" t="n">
        <f aca="false">OHJELMOINTINÄKYMÄ!W222/1000</f>
        <v>0</v>
      </c>
    </row>
    <row r="20" customFormat="false" ht="15.75" hidden="false" customHeight="false" outlineLevel="0" collapsed="false">
      <c r="A20" s="749" t="s">
        <v>3</v>
      </c>
      <c r="B20" s="55" t="s">
        <v>166</v>
      </c>
      <c r="C20" s="713" t="n">
        <f aca="false">OHJELMOINTINÄKYMÄ!C237/1000</f>
        <v>0</v>
      </c>
      <c r="D20" s="713" t="n">
        <f aca="false">OHJELMOINTINÄKYMÄ!D237/1000</f>
        <v>0</v>
      </c>
      <c r="E20" s="713" t="n">
        <f aca="false">OHJELMOINTINÄKYMÄ!E237/1000</f>
        <v>0</v>
      </c>
      <c r="F20" s="713" t="n">
        <f aca="false">OHJELMOINTINÄKYMÄ!F237/1000+OHJELMOINTINÄKYMÄ!F238/1000</f>
        <v>4.344</v>
      </c>
      <c r="G20" s="742" t="n">
        <f aca="false">OHJELMOINTINÄKYMÄ!G238/1000</f>
        <v>5.343</v>
      </c>
      <c r="H20" s="742" t="n">
        <f aca="false">OHJELMOINTINÄKYMÄ!H238/1000</f>
        <v>5.524</v>
      </c>
      <c r="I20" s="741" t="n">
        <f aca="false">OHJELMOINTINÄKYMÄ!I238/1000</f>
        <v>7.246</v>
      </c>
      <c r="J20" s="742" t="n">
        <f aca="false">OHJELMOINTINÄKYMÄ!J238/1000</f>
        <v>6.588</v>
      </c>
      <c r="K20" s="743" t="n">
        <f aca="false">OHJELMOINTINÄKYMÄ!K238/1000</f>
        <v>6.162</v>
      </c>
      <c r="L20" s="742" t="n">
        <f aca="false">OHJELMOINTINÄKYMÄ!L238/1000</f>
        <v>2.91</v>
      </c>
      <c r="M20" s="741" t="n">
        <f aca="false">OHJELMOINTINÄKYMÄ!M238/1000</f>
        <v>7.898551</v>
      </c>
      <c r="N20" s="744" t="n">
        <f aca="false">OHJELMOINTINÄKYMÄ!O238/1000</f>
        <v>0</v>
      </c>
      <c r="O20" s="741" t="n">
        <f aca="false">OHJELMOINTINÄKYMÄ!P238/1000</f>
        <v>0</v>
      </c>
      <c r="P20" s="741" t="n">
        <f aca="false">OHJELMOINTINÄKYMÄ!Q238/1000</f>
        <v>0</v>
      </c>
      <c r="Q20" s="741" t="n">
        <f aca="false">OHJELMOINTINÄKYMÄ!R238/1000</f>
        <v>0</v>
      </c>
      <c r="R20" s="741" t="n">
        <f aca="false">OHJELMOINTINÄKYMÄ!S238/1000</f>
        <v>0</v>
      </c>
      <c r="S20" s="741" t="n">
        <f aca="false">OHJELMOINTINÄKYMÄ!T238/1000</f>
        <v>0</v>
      </c>
      <c r="T20" s="741" t="n">
        <f aca="false">OHJELMOINTINÄKYMÄ!U238/1000</f>
        <v>0</v>
      </c>
      <c r="U20" s="741" t="n">
        <f aca="false">OHJELMOINTINÄKYMÄ!V238/1000</f>
        <v>0</v>
      </c>
      <c r="V20" s="741" t="n">
        <f aca="false">OHJELMOINTINÄKYMÄ!W238/1000</f>
        <v>0</v>
      </c>
    </row>
    <row r="21" customFormat="false" ht="15.75" hidden="false" customHeight="false" outlineLevel="0" collapsed="false">
      <c r="A21" s="749" t="s">
        <v>3</v>
      </c>
      <c r="B21" s="55" t="s">
        <v>183</v>
      </c>
      <c r="C21" s="713" t="n">
        <f aca="false">OHJELMOINTINÄKYMÄ!C255/1000</f>
        <v>0</v>
      </c>
      <c r="D21" s="713" t="n">
        <f aca="false">OHJELMOINTINÄKYMÄ!D255/1000</f>
        <v>0</v>
      </c>
      <c r="E21" s="713" t="n">
        <f aca="false">OHJELMOINTINÄKYMÄ!E255/1000</f>
        <v>0</v>
      </c>
      <c r="F21" s="713" t="n">
        <f aca="false">OHJELMOINTINÄKYMÄ!F255/1000+OHJELMOINTINÄKYMÄ!F256/1000</f>
        <v>3.417</v>
      </c>
      <c r="G21" s="742" t="n">
        <f aca="false">OHJELMOINTINÄKYMÄ!G256/1000</f>
        <v>9.902</v>
      </c>
      <c r="H21" s="742" t="n">
        <f aca="false">OHJELMOINTINÄKYMÄ!H256/1000</f>
        <v>13.35</v>
      </c>
      <c r="I21" s="741" t="n">
        <f aca="false">OHJELMOINTINÄKYMÄ!I256/1000</f>
        <v>18.609</v>
      </c>
      <c r="J21" s="742" t="n">
        <f aca="false">OHJELMOINTINÄKYMÄ!J256/1000</f>
        <v>26.158</v>
      </c>
      <c r="K21" s="743" t="n">
        <f aca="false">(OHJELMOINTINÄKYMÄ!K256/1000)</f>
        <v>33.096</v>
      </c>
      <c r="L21" s="742" t="n">
        <f aca="false">(OHJELMOINTINÄKYMÄ!L256/1000)</f>
        <v>34.897</v>
      </c>
      <c r="M21" s="741" t="n">
        <f aca="false">OHJELMOINTINÄKYMÄ!M256/1000</f>
        <v>18.964599</v>
      </c>
      <c r="N21" s="744" t="n">
        <f aca="false">OHJELMOINTINÄKYMÄ!O256/1000</f>
        <v>0</v>
      </c>
      <c r="O21" s="741" t="n">
        <f aca="false">OHJELMOINTINÄKYMÄ!P256/1000</f>
        <v>0</v>
      </c>
      <c r="P21" s="741" t="n">
        <f aca="false">OHJELMOINTINÄKYMÄ!Q256/1000</f>
        <v>0</v>
      </c>
      <c r="Q21" s="741" t="n">
        <f aca="false">OHJELMOINTINÄKYMÄ!R256/1000</f>
        <v>0</v>
      </c>
      <c r="R21" s="741" t="n">
        <f aca="false">OHJELMOINTINÄKYMÄ!S256/1000</f>
        <v>0</v>
      </c>
      <c r="S21" s="741" t="n">
        <f aca="false">OHJELMOINTINÄKYMÄ!T256/1000</f>
        <v>0</v>
      </c>
      <c r="T21" s="741" t="n">
        <f aca="false">OHJELMOINTINÄKYMÄ!U256/1000</f>
        <v>0</v>
      </c>
      <c r="U21" s="741" t="n">
        <f aca="false">OHJELMOINTINÄKYMÄ!V256/1000</f>
        <v>0</v>
      </c>
      <c r="V21" s="741" t="n">
        <f aca="false">OHJELMOINTINÄKYMÄ!W256/1000</f>
        <v>0</v>
      </c>
    </row>
    <row r="22" customFormat="false" ht="15.75" hidden="false" customHeight="false" outlineLevel="0" collapsed="false">
      <c r="A22" s="749" t="s">
        <v>3</v>
      </c>
      <c r="B22" s="55" t="s">
        <v>199</v>
      </c>
      <c r="C22" s="713" t="n">
        <f aca="false">OHJELMOINTINÄKYMÄ!C256/1000</f>
        <v>0.386</v>
      </c>
      <c r="D22" s="713" t="n">
        <f aca="false">OHJELMOINTINÄKYMÄ!D256/1000</f>
        <v>1.87257324</v>
      </c>
      <c r="E22" s="713" t="n">
        <f aca="false">OHJELMOINTINÄKYMÄ!E256/1000</f>
        <v>1.615</v>
      </c>
      <c r="F22" s="713" t="e">
        <f aca="false">OHJELMOINTINÄKYMÄ!F256/1000+OHJELMOINTINÄKYMÄ!F257/1000</f>
        <v>#VALUE!</v>
      </c>
      <c r="G22" s="742" t="n">
        <f aca="false">OHJELMOINTINÄKYMÄ!G273/1000</f>
        <v>1.777</v>
      </c>
      <c r="H22" s="742" t="n">
        <f aca="false">OHJELMOINTINÄKYMÄ!H273/1000</f>
        <v>2.651</v>
      </c>
      <c r="I22" s="741" t="n">
        <f aca="false">OHJELMOINTINÄKYMÄ!I273/1000</f>
        <v>4.113</v>
      </c>
      <c r="J22" s="742" t="n">
        <f aca="false">OHJELMOINTINÄKYMÄ!J273/1000</f>
        <v>3.101</v>
      </c>
      <c r="K22" s="743" t="n">
        <f aca="false">OHJELMOINTINÄKYMÄ!K273/1000</f>
        <v>2.227</v>
      </c>
      <c r="L22" s="742" t="n">
        <f aca="false">OHJELMOINTINÄKYMÄ!L273/1000</f>
        <v>5.913</v>
      </c>
      <c r="M22" s="742" t="n">
        <f aca="false">OHJELMOINTINÄKYMÄ!M273/1000</f>
        <v>3.835464</v>
      </c>
      <c r="N22" s="748" t="n">
        <f aca="false">OHJELMOINTINÄKYMÄ!O273/1000</f>
        <v>0</v>
      </c>
      <c r="O22" s="742" t="n">
        <f aca="false">OHJELMOINTINÄKYMÄ!P273/1000</f>
        <v>0</v>
      </c>
      <c r="P22" s="742" t="n">
        <f aca="false">OHJELMOINTINÄKYMÄ!Q273/1000</f>
        <v>0</v>
      </c>
      <c r="Q22" s="742" t="n">
        <f aca="false">OHJELMOINTINÄKYMÄ!R273/1000</f>
        <v>0</v>
      </c>
      <c r="R22" s="742" t="n">
        <f aca="false">OHJELMOINTINÄKYMÄ!S273/1000</f>
        <v>0</v>
      </c>
      <c r="S22" s="742" t="n">
        <f aca="false">OHJELMOINTINÄKYMÄ!T273/1000</f>
        <v>0</v>
      </c>
      <c r="T22" s="742" t="n">
        <f aca="false">OHJELMOINTINÄKYMÄ!U273/1000</f>
        <v>0</v>
      </c>
      <c r="U22" s="742" t="n">
        <f aca="false">OHJELMOINTINÄKYMÄ!V273/1000</f>
        <v>0</v>
      </c>
      <c r="V22" s="742" t="n">
        <f aca="false">OHJELMOINTINÄKYMÄ!W273/1000</f>
        <v>0</v>
      </c>
    </row>
    <row r="23" customFormat="false" ht="15.75" hidden="false" customHeight="false" outlineLevel="0" collapsed="false">
      <c r="A23" s="533"/>
      <c r="B23" s="55" t="s">
        <v>301</v>
      </c>
      <c r="C23" s="721"/>
      <c r="D23" s="721"/>
      <c r="E23" s="721"/>
      <c r="F23" s="721"/>
      <c r="G23" s="741"/>
      <c r="H23" s="741"/>
      <c r="I23" s="741" t="n">
        <f aca="false">OHJELMOINTINÄKYMÄ!I278/1000</f>
        <v>2.237</v>
      </c>
      <c r="J23" s="742" t="n">
        <f aca="false">OHJELMOINTINÄKYMÄ!J278/1000</f>
        <v>2.317</v>
      </c>
      <c r="K23" s="745" t="n">
        <f aca="false">OHJELMOINTINÄKYMÄ!K278/1000</f>
        <v>1.554</v>
      </c>
      <c r="L23" s="742" t="n">
        <f aca="false">OHJELMOINTINÄKYMÄ!L278/1000</f>
        <v>0.508</v>
      </c>
      <c r="M23" s="742" t="n">
        <f aca="false">OHJELMOINTINÄKYMÄ!M278/1000</f>
        <v>2.472302</v>
      </c>
      <c r="N23" s="748" t="n">
        <f aca="false">OHJELMOINTINÄKYMÄ!O278/1000</f>
        <v>0</v>
      </c>
      <c r="O23" s="742" t="n">
        <f aca="false">OHJELMOINTINÄKYMÄ!P278/1000</f>
        <v>0</v>
      </c>
      <c r="P23" s="742" t="n">
        <f aca="false">OHJELMOINTINÄKYMÄ!Q278/1000</f>
        <v>0</v>
      </c>
      <c r="Q23" s="742" t="n">
        <f aca="false">OHJELMOINTINÄKYMÄ!R278/1000</f>
        <v>0</v>
      </c>
      <c r="R23" s="742" t="n">
        <f aca="false">OHJELMOINTINÄKYMÄ!S278/1000</f>
        <v>0</v>
      </c>
      <c r="S23" s="742" t="n">
        <f aca="false">OHJELMOINTINÄKYMÄ!T278/1000</f>
        <v>0</v>
      </c>
      <c r="T23" s="742" t="n">
        <f aca="false">OHJELMOINTINÄKYMÄ!U278/1000</f>
        <v>0</v>
      </c>
      <c r="U23" s="742" t="n">
        <f aca="false">OHJELMOINTINÄKYMÄ!V278/1000</f>
        <v>0</v>
      </c>
      <c r="V23" s="742" t="n">
        <f aca="false">OHJELMOINTINÄKYMÄ!W278/1000</f>
        <v>0</v>
      </c>
    </row>
    <row r="24" customFormat="false" ht="15" hidden="false" customHeight="false" outlineLevel="0" collapsed="false">
      <c r="A24" s="509"/>
      <c r="B24" s="55" t="s">
        <v>432</v>
      </c>
      <c r="G24" s="629"/>
      <c r="H24" s="629"/>
      <c r="I24" s="741" t="n">
        <f aca="false">OHJELMOINTINÄKYMÄ!I280/1000</f>
        <v>0.689</v>
      </c>
      <c r="J24" s="742" t="n">
        <f aca="false">OHJELMOINTINÄKYMÄ!J280/1000</f>
        <v>2.038</v>
      </c>
      <c r="K24" s="743" t="n">
        <f aca="false">OHJELMOINTINÄKYMÄ!K280/1000</f>
        <v>3.093</v>
      </c>
      <c r="L24" s="742" t="n">
        <f aca="false">OHJELMOINTINÄKYMÄ!L280/1000</f>
        <v>2.436</v>
      </c>
      <c r="M24" s="742" t="n">
        <f aca="false">OHJELMOINTINÄKYMÄ!M280/1000</f>
        <v>0.356282</v>
      </c>
      <c r="N24" s="748" t="n">
        <f aca="false">OHJELMOINTINÄKYMÄ!O280/1000</f>
        <v>0</v>
      </c>
      <c r="O24" s="742" t="n">
        <f aca="false">OHJELMOINTINÄKYMÄ!P280/1000</f>
        <v>0</v>
      </c>
      <c r="P24" s="742" t="n">
        <f aca="false">OHJELMOINTINÄKYMÄ!Q280/1000</f>
        <v>0</v>
      </c>
      <c r="Q24" s="742" t="n">
        <f aca="false">OHJELMOINTINÄKYMÄ!R280/1000</f>
        <v>0</v>
      </c>
      <c r="R24" s="742" t="n">
        <f aca="false">OHJELMOINTINÄKYMÄ!S280/1000</f>
        <v>0</v>
      </c>
      <c r="S24" s="742" t="n">
        <f aca="false">OHJELMOINTINÄKYMÄ!T280/1000</f>
        <v>0</v>
      </c>
      <c r="T24" s="742" t="n">
        <f aca="false">OHJELMOINTINÄKYMÄ!U280/1000</f>
        <v>0</v>
      </c>
      <c r="U24" s="742" t="n">
        <f aca="false">OHJELMOINTINÄKYMÄ!V280/1000</f>
        <v>0</v>
      </c>
      <c r="V24" s="742" t="n">
        <f aca="false">OHJELMOINTINÄKYMÄ!W280/1000</f>
        <v>0</v>
      </c>
    </row>
    <row r="25" customFormat="false" ht="15.75" hidden="false" customHeight="false" outlineLevel="0" collapsed="false">
      <c r="A25" s="747" t="s">
        <v>345</v>
      </c>
      <c r="B25" s="37" t="s">
        <v>450</v>
      </c>
      <c r="C25" s="713" t="n">
        <f aca="false">OHJELMOINTINÄKYMÄ!C299/1000</f>
        <v>0</v>
      </c>
      <c r="D25" s="713" t="n">
        <f aca="false">OHJELMOINTINÄKYMÄ!D299/1000</f>
        <v>0</v>
      </c>
      <c r="E25" s="713" t="n">
        <f aca="false">OHJELMOINTINÄKYMÄ!E299/1000</f>
        <v>0</v>
      </c>
      <c r="F25" s="713" t="n">
        <f aca="false">OHJELMOINTINÄKYMÄ!F299/1000+OHJELMOINTINÄKYMÄ!F300/1000</f>
        <v>0</v>
      </c>
      <c r="G25" s="713" t="n">
        <f aca="false">OHJELMOINTINÄKYMÄ!G286/1000</f>
        <v>2.746</v>
      </c>
      <c r="H25" s="713" t="n">
        <f aca="false">OHJELMOINTINÄKYMÄ!H286/1000</f>
        <v>8.784</v>
      </c>
      <c r="I25" s="713" t="n">
        <f aca="false">OHJELMOINTINÄKYMÄ!I286/1000</f>
        <v>8.775</v>
      </c>
      <c r="J25" s="713" t="n">
        <f aca="false">OHJELMOINTINÄKYMÄ!J286/1000</f>
        <v>1.121</v>
      </c>
      <c r="K25" s="716" t="n">
        <f aca="false">OHJELMOINTINÄKYMÄ!K286/1000</f>
        <v>1.65</v>
      </c>
      <c r="L25" s="713" t="n">
        <f aca="false">OHJELMOINTINÄKYMÄ!L286/1000</f>
        <v>0.919</v>
      </c>
      <c r="M25" s="713" t="n">
        <f aca="false">OHJELMOINTINÄKYMÄ!M286/1000</f>
        <v>0.872624</v>
      </c>
      <c r="N25" s="717" t="n">
        <f aca="false">OHJELMOINTINÄKYMÄ!O286/1000</f>
        <v>2.09</v>
      </c>
      <c r="O25" s="713" t="n">
        <f aca="false">OHJELMOINTINÄKYMÄ!P286/1000</f>
        <v>0.9</v>
      </c>
      <c r="P25" s="713" t="n">
        <f aca="false">OHJELMOINTINÄKYMÄ!Q286/1000</f>
        <v>0.6</v>
      </c>
      <c r="Q25" s="713" t="n">
        <f aca="false">OHJELMOINTINÄKYMÄ!R286/1000</f>
        <v>1.1</v>
      </c>
      <c r="R25" s="713" t="n">
        <f aca="false">OHJELMOINTINÄKYMÄ!S286/1000</f>
        <v>7.8</v>
      </c>
      <c r="S25" s="713" t="n">
        <f aca="false">OHJELMOINTINÄKYMÄ!T286/1000</f>
        <v>21.7</v>
      </c>
      <c r="T25" s="713" t="n">
        <f aca="false">OHJELMOINTINÄKYMÄ!U286/1000</f>
        <v>12.9</v>
      </c>
      <c r="U25" s="713" t="n">
        <f aca="false">OHJELMOINTINÄKYMÄ!V286/1000</f>
        <v>8.5</v>
      </c>
      <c r="V25" s="713" t="n">
        <f aca="false">OHJELMOINTINÄKYMÄ!W286/1000</f>
        <v>7.5</v>
      </c>
    </row>
    <row r="26" customFormat="false" ht="15" hidden="false" customHeight="false" outlineLevel="0" collapsed="false">
      <c r="A26" s="509"/>
      <c r="B26" s="55"/>
      <c r="G26" s="509"/>
      <c r="I26" s="750"/>
      <c r="J26" s="750"/>
      <c r="K26" s="750"/>
      <c r="L26" s="750"/>
      <c r="M26" s="750"/>
      <c r="N26" s="750"/>
      <c r="O26" s="750"/>
      <c r="P26" s="750"/>
      <c r="Q26" s="750"/>
      <c r="R26" s="750"/>
      <c r="S26" s="750"/>
      <c r="T26" s="751"/>
      <c r="U26" s="751"/>
    </row>
    <row r="27" customFormat="false" ht="15" hidden="false" customHeight="false" outlineLevel="0" collapsed="false">
      <c r="A27" s="509"/>
      <c r="B27" s="55"/>
      <c r="G27" s="509"/>
      <c r="H27" s="751"/>
      <c r="J27" s="750"/>
      <c r="K27" s="750"/>
      <c r="L27" s="750"/>
      <c r="M27" s="750"/>
      <c r="N27" s="750"/>
      <c r="O27" s="750"/>
      <c r="P27" s="750"/>
      <c r="Q27" s="750"/>
      <c r="R27" s="750"/>
      <c r="S27" s="750"/>
      <c r="T27" s="751"/>
      <c r="U27" s="75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2"/>
  <sheetViews>
    <sheetView showFormulas="false" showGridLines="false" showRowColHeaders="true" showZeros="true" rightToLeft="false" tabSelected="false" showOutlineSymbols="true" defaultGridColor="true" view="normal" topLeftCell="A22" colorId="64" zoomScale="55" zoomScaleNormal="55" zoomScalePageLayoutView="100" workbookViewId="0">
      <selection pane="topLeft" activeCell="O14" activeCellId="0" sqref="O14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60.29"/>
    <col collapsed="false" customWidth="true" hidden="true" outlineLevel="0" max="5" min="3" style="1" width="11.53"/>
    <col collapsed="false" customWidth="true" hidden="true" outlineLevel="0" max="6" min="6" style="1" width="9.71"/>
    <col collapsed="false" customWidth="true" hidden="true" outlineLevel="0" max="7" min="7" style="1" width="11.53"/>
  </cols>
  <sheetData>
    <row r="1" customFormat="false" ht="15.75" hidden="false" customHeight="false" outlineLevel="0" collapsed="false">
      <c r="A1" s="7" t="s">
        <v>0</v>
      </c>
      <c r="B1" s="7"/>
      <c r="C1" s="7" t="n">
        <f aca="false">OHJELMOINTINÄKYMÄ!C1</f>
        <v>0</v>
      </c>
      <c r="D1" s="7"/>
      <c r="E1" s="7"/>
      <c r="F1" s="7"/>
      <c r="G1" s="3"/>
      <c r="H1" s="9"/>
      <c r="I1" s="9"/>
    </row>
    <row r="2" customFormat="false" ht="15.75" hidden="false" customHeight="false" outlineLevel="0" collapsed="false">
      <c r="A2" s="7" t="s">
        <v>451</v>
      </c>
      <c r="B2" s="7"/>
      <c r="C2" s="7"/>
      <c r="D2" s="7"/>
      <c r="E2" s="7"/>
      <c r="F2" s="7"/>
      <c r="G2" s="7"/>
      <c r="H2" s="7"/>
      <c r="I2" s="7"/>
    </row>
    <row r="3" customFormat="false" ht="15.75" hidden="false" customHeight="false" outlineLevel="0" collapsed="false">
      <c r="A3" s="7" t="s">
        <v>452</v>
      </c>
      <c r="B3" s="7"/>
      <c r="C3" s="15" t="str">
        <f aca="false">OHJELMOINTINÄKYMÄ!C3</f>
        <v> </v>
      </c>
      <c r="D3" s="15"/>
      <c r="E3" s="7"/>
      <c r="F3" s="7"/>
      <c r="G3" s="3"/>
      <c r="H3" s="17"/>
      <c r="I3" s="16"/>
      <c r="N3" s="3" t="s">
        <v>453</v>
      </c>
    </row>
    <row r="4" customFormat="false" ht="15.75" hidden="false" customHeight="false" outlineLevel="0" collapsed="false">
      <c r="A4" s="23"/>
      <c r="B4" s="23"/>
      <c r="C4" s="23"/>
      <c r="D4" s="23"/>
      <c r="E4" s="23"/>
      <c r="F4" s="23"/>
      <c r="G4" s="681"/>
      <c r="H4" s="682"/>
      <c r="I4" s="682"/>
    </row>
    <row r="5" customFormat="false" ht="18" hidden="false" customHeight="false" outlineLevel="0" collapsed="false">
      <c r="A5" s="683" t="s">
        <v>454</v>
      </c>
      <c r="B5" s="23"/>
      <c r="C5" s="23"/>
      <c r="D5" s="23"/>
      <c r="E5" s="23"/>
      <c r="F5" s="23"/>
      <c r="G5" s="23"/>
      <c r="H5" s="682"/>
      <c r="I5" s="682"/>
    </row>
    <row r="6" customFormat="false" ht="15.75" hidden="false" customHeight="false" outlineLevel="0" collapsed="false">
      <c r="A6" s="566" t="s">
        <v>455</v>
      </c>
      <c r="B6" s="686"/>
      <c r="C6" s="23"/>
      <c r="D6" s="23"/>
      <c r="E6" s="23"/>
      <c r="F6" s="23"/>
      <c r="G6" s="23"/>
      <c r="H6" s="23"/>
      <c r="I6" s="682"/>
    </row>
    <row r="7" customFormat="false" ht="15.75" hidden="false" customHeight="false" outlineLevel="0" collapsed="false">
      <c r="A7" s="566"/>
      <c r="B7" s="7"/>
      <c r="C7" s="23"/>
      <c r="D7" s="23"/>
      <c r="E7" s="23"/>
      <c r="F7" s="23"/>
      <c r="G7" s="23"/>
      <c r="H7" s="23"/>
      <c r="I7" s="682"/>
    </row>
    <row r="8" customFormat="false" ht="15.75" hidden="false" customHeight="false" outlineLevel="0" collapsed="false">
      <c r="A8" s="25" t="s">
        <v>6</v>
      </c>
      <c r="B8" s="26"/>
      <c r="C8" s="689" t="s">
        <v>7</v>
      </c>
      <c r="D8" s="29" t="s">
        <v>7</v>
      </c>
      <c r="E8" s="689" t="s">
        <v>7</v>
      </c>
      <c r="F8" s="690" t="s">
        <v>7</v>
      </c>
      <c r="G8" s="689" t="s">
        <v>423</v>
      </c>
      <c r="H8" s="689" t="s">
        <v>7</v>
      </c>
      <c r="I8" s="689" t="s">
        <v>7</v>
      </c>
      <c r="J8" s="689" t="s">
        <v>7</v>
      </c>
      <c r="K8" s="689" t="s">
        <v>7</v>
      </c>
      <c r="L8" s="689" t="s">
        <v>8</v>
      </c>
      <c r="M8" s="752" t="s">
        <v>9</v>
      </c>
      <c r="N8" s="689" t="s">
        <v>424</v>
      </c>
      <c r="O8" s="689" t="s">
        <v>424</v>
      </c>
      <c r="P8" s="689" t="s">
        <v>424</v>
      </c>
      <c r="Q8" s="689" t="s">
        <v>424</v>
      </c>
      <c r="R8" s="689" t="s">
        <v>424</v>
      </c>
      <c r="S8" s="689" t="s">
        <v>424</v>
      </c>
      <c r="T8" s="689" t="s">
        <v>424</v>
      </c>
      <c r="U8" s="689" t="s">
        <v>424</v>
      </c>
      <c r="V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n">
        <f aca="false">OHJELMOINTINÄKYMÄ!C7</f>
        <v>2010</v>
      </c>
      <c r="D9" s="693" t="n">
        <f aca="false">OHJELMOINTINÄKYMÄ!D7</f>
        <v>2011</v>
      </c>
      <c r="E9" s="693" t="n">
        <f aca="false">OHJELMOINTINÄKYMÄ!E7</f>
        <v>2012</v>
      </c>
      <c r="F9" s="693" t="n">
        <f aca="false">OHJELMOINTINÄKYMÄ!F7</f>
        <v>2013</v>
      </c>
      <c r="G9" s="693" t="n">
        <f aca="false">OHJELMOINTINÄKYMÄ!G7</f>
        <v>2014</v>
      </c>
      <c r="H9" s="693" t="n">
        <f aca="false">OHJELMOINTINÄKYMÄ!H7</f>
        <v>2015</v>
      </c>
      <c r="I9" s="693" t="n">
        <f aca="false">OHJELMOINTINÄKYMÄ!I7</f>
        <v>2016</v>
      </c>
      <c r="J9" s="693" t="n">
        <f aca="false">OHJELMOINTINÄKYMÄ!J7</f>
        <v>2017</v>
      </c>
      <c r="K9" s="693" t="n">
        <f aca="false">OHJELMOINTINÄKYMÄ!K7</f>
        <v>2018</v>
      </c>
      <c r="L9" s="693" t="n">
        <f aca="false">OHJELMOINTINÄKYMÄ!L7</f>
        <v>2019</v>
      </c>
      <c r="M9" s="753" t="n">
        <f aca="false">OHJELMOINTINÄKYMÄ!M7</f>
        <v>2020</v>
      </c>
      <c r="N9" s="693" t="n">
        <f aca="false">OHJELMOINTINÄKYMÄ!O7</f>
        <v>2022</v>
      </c>
      <c r="O9" s="693" t="n">
        <f aca="false">OHJELMOINTINÄKYMÄ!P7</f>
        <v>2023</v>
      </c>
      <c r="P9" s="693" t="n">
        <f aca="false">OHJELMOINTINÄKYMÄ!Q7</f>
        <v>2024</v>
      </c>
      <c r="Q9" s="693" t="n">
        <f aca="false">OHJELMOINTINÄKYMÄ!R7</f>
        <v>2025</v>
      </c>
      <c r="R9" s="693" t="n">
        <f aca="false">OHJELMOINTINÄKYMÄ!S7</f>
        <v>2026</v>
      </c>
      <c r="S9" s="693" t="n">
        <f aca="false">OHJELMOINTINÄKYMÄ!T7</f>
        <v>2027</v>
      </c>
      <c r="T9" s="693" t="n">
        <f aca="false">OHJELMOINTINÄKYMÄ!U7</f>
        <v>2028</v>
      </c>
      <c r="U9" s="693" t="n">
        <f aca="false">OHJELMOINTINÄKYMÄ!V7</f>
        <v>2029</v>
      </c>
      <c r="V9" s="693" t="n">
        <f aca="false">OHJELMOINTINÄKYMÄ!W7</f>
        <v>2030</v>
      </c>
    </row>
    <row r="10" customFormat="false" ht="15" hidden="false" customHeight="false" outlineLevel="0" collapsed="false">
      <c r="A10" s="45"/>
      <c r="B10" s="46"/>
      <c r="C10" s="47" t="s">
        <v>427</v>
      </c>
      <c r="D10" s="47" t="s">
        <v>427</v>
      </c>
      <c r="E10" s="47" t="s">
        <v>427</v>
      </c>
      <c r="F10" s="47" t="s">
        <v>427</v>
      </c>
      <c r="G10" s="47" t="s">
        <v>427</v>
      </c>
      <c r="H10" s="47" t="s">
        <v>427</v>
      </c>
      <c r="I10" s="698" t="s">
        <v>427</v>
      </c>
      <c r="J10" s="698" t="s">
        <v>427</v>
      </c>
      <c r="K10" s="698" t="s">
        <v>427</v>
      </c>
      <c r="L10" s="698" t="s">
        <v>427</v>
      </c>
      <c r="M10" s="754" t="s">
        <v>427</v>
      </c>
      <c r="N10" s="698" t="s">
        <v>427</v>
      </c>
      <c r="O10" s="698" t="s">
        <v>427</v>
      </c>
      <c r="P10" s="698" t="s">
        <v>427</v>
      </c>
      <c r="Q10" s="698" t="s">
        <v>427</v>
      </c>
      <c r="R10" s="698" t="s">
        <v>427</v>
      </c>
      <c r="S10" s="698" t="s">
        <v>427</v>
      </c>
      <c r="T10" s="698" t="s">
        <v>427</v>
      </c>
      <c r="U10" s="698" t="s">
        <v>427</v>
      </c>
      <c r="V10" s="698" t="s">
        <v>427</v>
      </c>
    </row>
    <row r="11" customFormat="false" ht="15" hidden="false" customHeight="false" outlineLevel="0" collapsed="false">
      <c r="A11" s="54"/>
      <c r="B11" s="55"/>
      <c r="C11" s="56"/>
      <c r="D11" s="96"/>
      <c r="E11" s="96"/>
      <c r="F11" s="56"/>
      <c r="G11" s="56"/>
      <c r="H11" s="56"/>
      <c r="I11" s="702"/>
      <c r="J11" s="702"/>
      <c r="K11" s="702"/>
      <c r="L11" s="702"/>
      <c r="M11" s="755"/>
      <c r="N11" s="702"/>
      <c r="O11" s="702"/>
      <c r="P11" s="702"/>
      <c r="Q11" s="702"/>
      <c r="R11" s="702"/>
      <c r="S11" s="702"/>
      <c r="T11" s="702"/>
      <c r="U11" s="702"/>
      <c r="V11" s="702"/>
    </row>
    <row r="12" customFormat="false" ht="15.75" hidden="false" customHeight="false" outlineLevel="0" collapsed="false">
      <c r="A12" s="93" t="s">
        <v>346</v>
      </c>
      <c r="B12" s="37" t="s">
        <v>456</v>
      </c>
      <c r="C12" s="706"/>
      <c r="D12" s="705"/>
      <c r="E12" s="707"/>
      <c r="F12" s="704"/>
      <c r="G12" s="704"/>
      <c r="H12" s="713" t="n">
        <f aca="false">OHJELMOINTINÄKYMÄ!H319/1000</f>
        <v>13.777</v>
      </c>
      <c r="I12" s="713" t="n">
        <f aca="false">OHJELMOINTINÄKYMÄ!I319/1000</f>
        <v>12.838</v>
      </c>
      <c r="J12" s="713" t="n">
        <f aca="false">OHJELMOINTINÄKYMÄ!J319/1000</f>
        <v>12.077</v>
      </c>
      <c r="K12" s="713" t="n">
        <f aca="false">OHJELMOINTINÄKYMÄ!K319/1000</f>
        <v>13.54059151</v>
      </c>
      <c r="L12" s="713" t="n">
        <f aca="false">OHJELMOINTINÄKYMÄ!L319/1000</f>
        <v>11.62</v>
      </c>
      <c r="M12" s="756" t="e">
        <f aca="false">ohjelmointinäkymä!#REF!/1000</f>
        <v>#VALUE!</v>
      </c>
      <c r="N12" s="713" t="e">
        <f aca="false">ohjelmointinäkymä!#REF!/1000</f>
        <v>#VALUE!</v>
      </c>
      <c r="O12" s="713" t="e">
        <f aca="false">ohjelmointinäkymä!#REF!/1000</f>
        <v>#VALUE!</v>
      </c>
      <c r="P12" s="713" t="e">
        <f aca="false">ohjelmointinäkymä!#REF!/1000</f>
        <v>#VALUE!</v>
      </c>
      <c r="Q12" s="713" t="e">
        <f aca="false">ohjelmointinäkymä!#REF!/1000</f>
        <v>#VALUE!</v>
      </c>
      <c r="R12" s="713" t="e">
        <f aca="false">ohjelmointinäkymä!#REF!/1000</f>
        <v>#VALUE!</v>
      </c>
      <c r="S12" s="713" t="e">
        <f aca="false">ohjelmointinäkymä!#REF!/1000</f>
        <v>#VALUE!</v>
      </c>
      <c r="T12" s="713" t="e">
        <f aca="false">ohjelmointinäkymä!#REF!/1000</f>
        <v>#VALUE!</v>
      </c>
      <c r="U12" s="713" t="e">
        <f aca="false">ohjelmointinäkymä!#REF!/1000</f>
        <v>#VALUE!</v>
      </c>
      <c r="V12" s="713" t="e">
        <f aca="false">ohjelmointinäkymä!#REF!/1000</f>
        <v>#VALUE!</v>
      </c>
    </row>
    <row r="13" customFormat="false" ht="15.75" hidden="false" customHeight="false" outlineLevel="0" collapsed="false">
      <c r="A13" s="739" t="s">
        <v>347</v>
      </c>
      <c r="B13" s="37" t="s">
        <v>457</v>
      </c>
      <c r="C13" s="713" t="n">
        <f aca="false">OHJELMOINTINÄKYMÄ!C325/1000</f>
        <v>8.443313</v>
      </c>
      <c r="D13" s="713" t="n">
        <f aca="false">OHJELMOINTINÄKYMÄ!D325/1000</f>
        <v>4.549549</v>
      </c>
      <c r="E13" s="713" t="n">
        <f aca="false">OHJELMOINTINÄKYMÄ!E325/1000</f>
        <v>1.546</v>
      </c>
      <c r="F13" s="713" t="n">
        <f aca="false">OHJELMOINTINÄKYMÄ!F325/1000</f>
        <v>2.276</v>
      </c>
      <c r="G13" s="713" t="n">
        <f aca="false">OHJELMOINTINÄKYMÄ!G325/1000+OHJELMOINTINÄKYMÄ!G326/1000</f>
        <v>6.572</v>
      </c>
      <c r="H13" s="713" t="n">
        <f aca="false">OHJELMOINTINÄKYMÄ!H321/1000</f>
        <v>3.304</v>
      </c>
      <c r="I13" s="713" t="n">
        <f aca="false">OHJELMOINTINÄKYMÄ!I321/1000</f>
        <v>4.34</v>
      </c>
      <c r="J13" s="713" t="n">
        <f aca="false">OHJELMOINTINÄKYMÄ!J321/1000</f>
        <v>4.949</v>
      </c>
      <c r="K13" s="713" t="n">
        <f aca="false">OHJELMOINTINÄKYMÄ!K321/1000</f>
        <v>6.517</v>
      </c>
      <c r="L13" s="713" t="n">
        <f aca="false">OHJELMOINTINÄKYMÄ!L321/1000</f>
        <v>0.192</v>
      </c>
      <c r="M13" s="756" t="n">
        <f aca="false">OHJELMOINTINÄKYMÄ!M321/1000</f>
        <v>18.888017</v>
      </c>
      <c r="N13" s="713" t="n">
        <f aca="false">OHJELMOINTINÄKYMÄ!O321/1000</f>
        <v>14.4</v>
      </c>
      <c r="O13" s="713" t="n">
        <f aca="false">OHJELMOINTINÄKYMÄ!P321/1000</f>
        <v>6.2</v>
      </c>
      <c r="P13" s="713" t="n">
        <f aca="false">OHJELMOINTINÄKYMÄ!Q321/1000</f>
        <v>13</v>
      </c>
      <c r="Q13" s="713" t="n">
        <f aca="false">OHJELMOINTINÄKYMÄ!R321/1000</f>
        <v>13</v>
      </c>
      <c r="R13" s="713" t="n">
        <f aca="false">OHJELMOINTINÄKYMÄ!S321/1000</f>
        <v>12.4</v>
      </c>
      <c r="S13" s="713" t="n">
        <f aca="false">OHJELMOINTINÄKYMÄ!T321/1000</f>
        <v>9.8</v>
      </c>
      <c r="T13" s="713" t="n">
        <f aca="false">OHJELMOINTINÄKYMÄ!U321/1000</f>
        <v>16.8</v>
      </c>
      <c r="U13" s="713" t="n">
        <f aca="false">OHJELMOINTINÄKYMÄ!V321/1000</f>
        <v>39.6</v>
      </c>
      <c r="V13" s="713" t="n">
        <f aca="false">OHJELMOINTINÄKYMÄ!W321/1000</f>
        <v>41.2</v>
      </c>
    </row>
    <row r="14" customFormat="false" ht="15.75" hidden="false" customHeight="false" outlineLevel="0" collapsed="false">
      <c r="A14" s="739" t="s">
        <v>351</v>
      </c>
      <c r="B14" s="37" t="s">
        <v>458</v>
      </c>
      <c r="C14" s="713" t="n">
        <f aca="false">OHJELMOINTINÄKYMÄ!C337/1000</f>
        <v>3.345612</v>
      </c>
      <c r="D14" s="713" t="n">
        <f aca="false">OHJELMOINTINÄKYMÄ!D337/1000</f>
        <v>0.640684</v>
      </c>
      <c r="E14" s="713" t="n">
        <f aca="false">OHJELMOINTINÄKYMÄ!E337/1000</f>
        <v>0.892</v>
      </c>
      <c r="F14" s="713" t="n">
        <f aca="false">OHJELMOINTINÄKYMÄ!F337/1000</f>
        <v>2.587</v>
      </c>
      <c r="G14" s="713" t="n">
        <f aca="false">OHJELMOINTINÄKYMÄ!G337/1000+OHJELMOINTINÄKYMÄ!G338/1000</f>
        <v>6.669</v>
      </c>
      <c r="H14" s="713" t="n">
        <f aca="false">OHJELMOINTINÄKYMÄ!H349/1000</f>
        <v>10.473</v>
      </c>
      <c r="I14" s="713" t="n">
        <f aca="false">OHJELMOINTINÄKYMÄ!I349/1000</f>
        <v>8.498</v>
      </c>
      <c r="J14" s="713" t="n">
        <f aca="false">OHJELMOINTINÄKYMÄ!J349/1000</f>
        <v>7.128</v>
      </c>
      <c r="K14" s="713" t="n">
        <f aca="false">OHJELMOINTINÄKYMÄ!K349/1000</f>
        <v>7.024</v>
      </c>
      <c r="L14" s="713" t="n">
        <f aca="false">OHJELMOINTINÄKYMÄ!L349/1000</f>
        <v>11.428</v>
      </c>
      <c r="M14" s="756" t="n">
        <f aca="false">OHJELMOINTINÄKYMÄ!M349/1000</f>
        <v>9.65927</v>
      </c>
      <c r="N14" s="713" t="n">
        <f aca="false">OHJELMOINTINÄKYMÄ!O349/1000</f>
        <v>17.5</v>
      </c>
      <c r="O14" s="713" t="n">
        <f aca="false">OHJELMOINTINÄKYMÄ!P349/1000</f>
        <v>14.6</v>
      </c>
      <c r="P14" s="713" t="n">
        <f aca="false">OHJELMOINTINÄKYMÄ!Q349/1000</f>
        <v>9.8</v>
      </c>
      <c r="Q14" s="713" t="n">
        <f aca="false">OHJELMOINTINÄKYMÄ!R349/1000</f>
        <v>8.8</v>
      </c>
      <c r="R14" s="713" t="n">
        <f aca="false">OHJELMOINTINÄKYMÄ!S349/1000</f>
        <v>9</v>
      </c>
      <c r="S14" s="713" t="n">
        <f aca="false">OHJELMOINTINÄKYMÄ!T349/1000</f>
        <v>9.3</v>
      </c>
      <c r="T14" s="713" t="n">
        <f aca="false">OHJELMOINTINÄKYMÄ!U349/1000</f>
        <v>7.6</v>
      </c>
      <c r="U14" s="713" t="n">
        <f aca="false">OHJELMOINTINÄKYMÄ!V349/1000</f>
        <v>5</v>
      </c>
      <c r="V14" s="713" t="n">
        <f aca="false">OHJELMOINTINÄKYMÄ!W349/1000</f>
        <v>8.1</v>
      </c>
    </row>
    <row r="15" customFormat="false" ht="15.75" hidden="false" customHeight="false" outlineLevel="0" collapsed="false">
      <c r="A15" s="447" t="s">
        <v>249</v>
      </c>
      <c r="B15" s="37" t="s">
        <v>459</v>
      </c>
      <c r="C15" s="713"/>
      <c r="D15" s="713"/>
      <c r="E15" s="713"/>
      <c r="F15" s="713" t="n">
        <f aca="false">SUM(F16:F21)</f>
        <v>1.529</v>
      </c>
      <c r="G15" s="713" t="e">
        <f aca="false">SUM(G16:G21)</f>
        <v>#VALUE!</v>
      </c>
      <c r="H15" s="713" t="n">
        <f aca="false">OHJELMOINTINÄKYMÄ!H364/1000</f>
        <v>6.224</v>
      </c>
      <c r="I15" s="713" t="n">
        <f aca="false">OHJELMOINTINÄKYMÄ!I364/1000</f>
        <v>3.83</v>
      </c>
      <c r="J15" s="713" t="n">
        <f aca="false">OHJELMOINTINÄKYMÄ!J364/1000</f>
        <v>3.75</v>
      </c>
      <c r="K15" s="713" t="n">
        <f aca="false">OHJELMOINTINÄKYMÄ!K364/1000</f>
        <v>9.695</v>
      </c>
      <c r="L15" s="713" t="n">
        <f aca="false">OHJELMOINTINÄKYMÄ!L364/1000</f>
        <v>11.458</v>
      </c>
      <c r="M15" s="756" t="n">
        <f aca="false">OHJELMOINTINÄKYMÄ!M364/1000</f>
        <v>8.856689</v>
      </c>
      <c r="N15" s="713" t="n">
        <f aca="false">OHJELMOINTINÄKYMÄ!O364/1000</f>
        <v>0</v>
      </c>
      <c r="O15" s="713" t="n">
        <f aca="false">OHJELMOINTINÄKYMÄ!P364/1000</f>
        <v>0</v>
      </c>
      <c r="P15" s="713" t="n">
        <f aca="false">OHJELMOINTINÄKYMÄ!Q364/1000</f>
        <v>0</v>
      </c>
      <c r="Q15" s="713" t="n">
        <f aca="false">OHJELMOINTINÄKYMÄ!R364/1000</f>
        <v>0</v>
      </c>
      <c r="R15" s="713" t="n">
        <f aca="false">OHJELMOINTINÄKYMÄ!S364/1000</f>
        <v>0</v>
      </c>
      <c r="S15" s="713" t="n">
        <f aca="false">OHJELMOINTINÄKYMÄ!T364/1000</f>
        <v>0</v>
      </c>
      <c r="T15" s="713" t="n">
        <f aca="false">OHJELMOINTINÄKYMÄ!U364/1000</f>
        <v>0</v>
      </c>
      <c r="U15" s="713" t="n">
        <f aca="false">OHJELMOINTINÄKYMÄ!V364/1000</f>
        <v>0</v>
      </c>
      <c r="V15" s="713" t="n">
        <f aca="false">OHJELMOINTINÄKYMÄ!W364/1000</f>
        <v>0</v>
      </c>
    </row>
    <row r="16" customFormat="false" ht="15.75" hidden="false" customHeight="false" outlineLevel="0" collapsed="false">
      <c r="A16" s="38" t="s">
        <v>3</v>
      </c>
      <c r="B16" s="55" t="s">
        <v>365</v>
      </c>
      <c r="C16" s="750" t="n">
        <f aca="false">OHJELMOINTINÄKYMÄ!C369/1000</f>
        <v>0.451</v>
      </c>
      <c r="D16" s="750" t="n">
        <f aca="false">OHJELMOINTINÄKYMÄ!D369/1000</f>
        <v>1.521</v>
      </c>
      <c r="E16" s="750" t="n">
        <f aca="false">OHJELMOINTINÄKYMÄ!E369/1000</f>
        <v>1.502</v>
      </c>
      <c r="F16" s="750" t="n">
        <f aca="false">OHJELMOINTINÄKYMÄ!F369/1000</f>
        <v>0.584</v>
      </c>
      <c r="G16" s="750" t="e">
        <f aca="false">OHJELMOINTINÄKYMÄ!G369/1000+OHJELMOINTINÄKYMÄ!G370/1000</f>
        <v>#VALUE!</v>
      </c>
      <c r="H16" s="750" t="n">
        <f aca="false">OHJELMOINTINÄKYMÄ!H369/1000</f>
        <v>5.398</v>
      </c>
      <c r="I16" s="750" t="n">
        <f aca="false">OHJELMOINTINÄKYMÄ!I369/1000</f>
        <v>0.457</v>
      </c>
      <c r="J16" s="750" t="n">
        <f aca="false">OHJELMOINTINÄKYMÄ!J369/1000</f>
        <v>0.25</v>
      </c>
      <c r="K16" s="750" t="n">
        <f aca="false">OHJELMOINTINÄKYMÄ!K369/1000</f>
        <v>5</v>
      </c>
      <c r="L16" s="750" t="n">
        <f aca="false">OHJELMOINTINÄKYMÄ!L369/1000</f>
        <v>2.496</v>
      </c>
      <c r="M16" s="757" t="n">
        <f aca="false">OHJELMOINTINÄKYMÄ!M369/1000</f>
        <v>0.19915</v>
      </c>
      <c r="N16" s="750" t="n">
        <f aca="false">OHJELMOINTINÄKYMÄ!O369/1000</f>
        <v>0</v>
      </c>
      <c r="O16" s="750" t="n">
        <f aca="false">OHJELMOINTINÄKYMÄ!P369/1000</f>
        <v>0</v>
      </c>
      <c r="P16" s="750" t="n">
        <f aca="false">OHJELMOINTINÄKYMÄ!Q369/1000</f>
        <v>0</v>
      </c>
      <c r="Q16" s="750" t="n">
        <f aca="false">OHJELMOINTINÄKYMÄ!R369/1000</f>
        <v>0</v>
      </c>
      <c r="R16" s="750" t="n">
        <f aca="false">OHJELMOINTINÄKYMÄ!S369/1000</f>
        <v>0</v>
      </c>
      <c r="S16" s="750" t="n">
        <f aca="false">OHJELMOINTINÄKYMÄ!T369/1000</f>
        <v>0</v>
      </c>
      <c r="T16" s="750" t="n">
        <f aca="false">OHJELMOINTINÄKYMÄ!U369/1000</f>
        <v>0</v>
      </c>
      <c r="U16" s="750" t="n">
        <f aca="false">OHJELMOINTINÄKYMÄ!V369/1000</f>
        <v>0</v>
      </c>
      <c r="V16" s="750" t="n">
        <f aca="false">OHJELMOINTINÄKYMÄ!W369/1000</f>
        <v>0</v>
      </c>
    </row>
    <row r="17" customFormat="false" ht="15.75" hidden="false" customHeight="false" outlineLevel="0" collapsed="false">
      <c r="A17" s="38" t="s">
        <v>3</v>
      </c>
      <c r="B17" s="55" t="s">
        <v>367</v>
      </c>
      <c r="C17" s="750" t="n">
        <f aca="false">OHJELMOINTINÄKYMÄ!C375/1000</f>
        <v>0.04999993</v>
      </c>
      <c r="D17" s="750" t="n">
        <f aca="false">OHJELMOINTINÄKYMÄ!D375/1000</f>
        <v>0.70016676</v>
      </c>
      <c r="E17" s="750" t="n">
        <f aca="false">OHJELMOINTINÄKYMÄ!E375/1000</f>
        <v>1.009</v>
      </c>
      <c r="F17" s="750" t="n">
        <f aca="false">OHJELMOINTINÄKYMÄ!F375/1000</f>
        <v>0.885</v>
      </c>
      <c r="G17" s="750" t="e">
        <f aca="false">OHJELMOINTINÄKYMÄ!G375/1000+OHJELMOINTINÄKYMÄ!G376/1000</f>
        <v>#VALUE!</v>
      </c>
      <c r="H17" s="750" t="n">
        <f aca="false">OHJELMOINTINÄKYMÄ!H375/1000</f>
        <v>0.349</v>
      </c>
      <c r="I17" s="750" t="n">
        <f aca="false">OHJELMOINTINÄKYMÄ!I375/1000</f>
        <v>1.582</v>
      </c>
      <c r="J17" s="750" t="n">
        <f aca="false">OHJELMOINTINÄKYMÄ!J375/1000</f>
        <v>1.355</v>
      </c>
      <c r="K17" s="750" t="n">
        <f aca="false">OHJELMOINTINÄKYMÄ!K375/1000</f>
        <v>2.879</v>
      </c>
      <c r="L17" s="750" t="n">
        <f aca="false">OHJELMOINTINÄKYMÄ!L375/1000</f>
        <v>6.441</v>
      </c>
      <c r="M17" s="757" t="n">
        <f aca="false">OHJELMOINTINÄKYMÄ!M375/1000</f>
        <v>4.14605</v>
      </c>
      <c r="N17" s="750" t="n">
        <f aca="false">OHJELMOINTINÄKYMÄ!O375/1000</f>
        <v>0</v>
      </c>
      <c r="O17" s="750" t="n">
        <f aca="false">OHJELMOINTINÄKYMÄ!P375/1000</f>
        <v>0</v>
      </c>
      <c r="P17" s="750" t="n">
        <f aca="false">OHJELMOINTINÄKYMÄ!Q375/1000</f>
        <v>0</v>
      </c>
      <c r="Q17" s="750" t="n">
        <f aca="false">OHJELMOINTINÄKYMÄ!R375/1000</f>
        <v>0</v>
      </c>
      <c r="R17" s="750" t="n">
        <f aca="false">OHJELMOINTINÄKYMÄ!S375/1000</f>
        <v>0</v>
      </c>
      <c r="S17" s="750" t="n">
        <f aca="false">OHJELMOINTINÄKYMÄ!T375/1000</f>
        <v>0</v>
      </c>
      <c r="T17" s="750" t="n">
        <f aca="false">OHJELMOINTINÄKYMÄ!U375/1000</f>
        <v>0</v>
      </c>
      <c r="U17" s="750" t="n">
        <f aca="false">OHJELMOINTINÄKYMÄ!V375/1000</f>
        <v>0</v>
      </c>
      <c r="V17" s="750" t="n">
        <f aca="false">OHJELMOINTINÄKYMÄ!W375/1000</f>
        <v>0</v>
      </c>
    </row>
    <row r="18" customFormat="false" ht="15.75" hidden="false" customHeight="false" outlineLevel="0" collapsed="false">
      <c r="A18" s="38" t="s">
        <v>3</v>
      </c>
      <c r="B18" s="55" t="s">
        <v>151</v>
      </c>
      <c r="C18" s="750" t="n">
        <f aca="false">OHJELMOINTINÄKYMÄ!C381/1000</f>
        <v>0</v>
      </c>
      <c r="D18" s="750" t="n">
        <f aca="false">OHJELMOINTINÄKYMÄ!D381/1000</f>
        <v>0</v>
      </c>
      <c r="E18" s="750" t="n">
        <f aca="false">OHJELMOINTINÄKYMÄ!E381/1000</f>
        <v>0</v>
      </c>
      <c r="F18" s="750" t="n">
        <f aca="false">OHJELMOINTINÄKYMÄ!F381/1000</f>
        <v>0.06</v>
      </c>
      <c r="G18" s="750" t="e">
        <f aca="false">OHJELMOINTINÄKYMÄ!G381/1000+OHJELMOINTINÄKYMÄ!G382/1000</f>
        <v>#VALUE!</v>
      </c>
      <c r="H18" s="750" t="n">
        <f aca="false">OHJELMOINTINÄKYMÄ!H381/1000</f>
        <v>0.418</v>
      </c>
      <c r="I18" s="750" t="n">
        <f aca="false">OHJELMOINTINÄKYMÄ!I381/1000</f>
        <v>1.368</v>
      </c>
      <c r="J18" s="750" t="n">
        <f aca="false">OHJELMOINTINÄKYMÄ!J381/1000</f>
        <v>1.088</v>
      </c>
      <c r="K18" s="750" t="n">
        <f aca="false">OHJELMOINTINÄKYMÄ!K381/1000</f>
        <v>0.422</v>
      </c>
      <c r="L18" s="750" t="n">
        <f aca="false">OHJELMOINTINÄKYMÄ!L381/1000</f>
        <v>1.293</v>
      </c>
      <c r="M18" s="757" t="n">
        <f aca="false">OHJELMOINTINÄKYMÄ!M381/1000</f>
        <v>1.58283</v>
      </c>
      <c r="N18" s="750" t="n">
        <f aca="false">OHJELMOINTINÄKYMÄ!O381/1000</f>
        <v>0</v>
      </c>
      <c r="O18" s="750" t="n">
        <f aca="false">OHJELMOINTINÄKYMÄ!P381/1000</f>
        <v>0</v>
      </c>
      <c r="P18" s="750" t="n">
        <f aca="false">OHJELMOINTINÄKYMÄ!Q381/1000</f>
        <v>0</v>
      </c>
      <c r="Q18" s="750" t="n">
        <f aca="false">OHJELMOINTINÄKYMÄ!R381/1000</f>
        <v>0</v>
      </c>
      <c r="R18" s="750" t="n">
        <f aca="false">OHJELMOINTINÄKYMÄ!S381/1000</f>
        <v>0</v>
      </c>
      <c r="S18" s="750" t="n">
        <f aca="false">OHJELMOINTINÄKYMÄ!T381/1000</f>
        <v>0</v>
      </c>
      <c r="T18" s="750" t="n">
        <f aca="false">OHJELMOINTINÄKYMÄ!U381/1000</f>
        <v>0</v>
      </c>
      <c r="U18" s="750" t="n">
        <f aca="false">OHJELMOINTINÄKYMÄ!V381/1000</f>
        <v>0</v>
      </c>
      <c r="V18" s="750" t="n">
        <f aca="false">OHJELMOINTINÄKYMÄ!W381/1000</f>
        <v>0</v>
      </c>
    </row>
    <row r="19" customFormat="false" ht="15.75" hidden="false" customHeight="false" outlineLevel="0" collapsed="false">
      <c r="A19" s="38" t="s">
        <v>3</v>
      </c>
      <c r="B19" s="55" t="s">
        <v>166</v>
      </c>
      <c r="C19" s="750" t="n">
        <f aca="false">OHJELMOINTINÄKYMÄ!C384/1000</f>
        <v>0</v>
      </c>
      <c r="D19" s="750" t="n">
        <f aca="false">OHJELMOINTINÄKYMÄ!D384/1000</f>
        <v>0</v>
      </c>
      <c r="E19" s="750" t="n">
        <f aca="false">OHJELMOINTINÄKYMÄ!E384/1000</f>
        <v>0</v>
      </c>
      <c r="F19" s="750" t="n">
        <f aca="false">OHJELMOINTINÄKYMÄ!F384/1000</f>
        <v>0</v>
      </c>
      <c r="G19" s="750" t="e">
        <f aca="false">OHJELMOINTINÄKYMÄ!G384/1000+OHJELMOINTINÄKYMÄ!G385/1000</f>
        <v>#VALUE!</v>
      </c>
      <c r="H19" s="750" t="n">
        <f aca="false">OHJELMOINTINÄKYMÄ!H384/1000</f>
        <v>0</v>
      </c>
      <c r="I19" s="750" t="n">
        <f aca="false">OHJELMOINTINÄKYMÄ!I384/1000</f>
        <v>0</v>
      </c>
      <c r="J19" s="750" t="n">
        <f aca="false">OHJELMOINTINÄKYMÄ!J384/1000</f>
        <v>0.12</v>
      </c>
      <c r="K19" s="750" t="n">
        <f aca="false">OHJELMOINTINÄKYMÄ!K384/1000</f>
        <v>0.268</v>
      </c>
      <c r="L19" s="750" t="n">
        <f aca="false">OHJELMOINTINÄKYMÄ!L384/1000</f>
        <v>0.471</v>
      </c>
      <c r="M19" s="757" t="n">
        <f aca="false">OHJELMOINTINÄKYMÄ!M384/1000</f>
        <v>1.036373</v>
      </c>
      <c r="N19" s="750" t="n">
        <f aca="false">OHJELMOINTINÄKYMÄ!O384/1000</f>
        <v>0</v>
      </c>
      <c r="O19" s="750" t="n">
        <f aca="false">OHJELMOINTINÄKYMÄ!P384/1000</f>
        <v>0</v>
      </c>
      <c r="P19" s="750" t="n">
        <f aca="false">OHJELMOINTINÄKYMÄ!Q384/1000</f>
        <v>0</v>
      </c>
      <c r="Q19" s="750" t="n">
        <f aca="false">OHJELMOINTINÄKYMÄ!R384/1000</f>
        <v>0</v>
      </c>
      <c r="R19" s="750" t="n">
        <f aca="false">OHJELMOINTINÄKYMÄ!S384/1000</f>
        <v>0</v>
      </c>
      <c r="S19" s="750" t="n">
        <f aca="false">OHJELMOINTINÄKYMÄ!T384/1000</f>
        <v>0</v>
      </c>
      <c r="T19" s="750" t="n">
        <f aca="false">OHJELMOINTINÄKYMÄ!U384/1000</f>
        <v>0</v>
      </c>
      <c r="U19" s="750" t="n">
        <f aca="false">OHJELMOINTINÄKYMÄ!V384/1000</f>
        <v>0</v>
      </c>
      <c r="V19" s="750" t="n">
        <f aca="false">OHJELMOINTINÄKYMÄ!W384/1000</f>
        <v>0</v>
      </c>
    </row>
    <row r="20" customFormat="false" ht="15.75" hidden="false" customHeight="false" outlineLevel="0" collapsed="false">
      <c r="A20" s="38" t="s">
        <v>3</v>
      </c>
      <c r="B20" s="55" t="s">
        <v>266</v>
      </c>
      <c r="C20" s="750" t="n">
        <f aca="false">OHJELMOINTINÄKYMÄ!C385/1000</f>
        <v>0</v>
      </c>
      <c r="D20" s="750" t="n">
        <f aca="false">OHJELMOINTINÄKYMÄ!D385/1000</f>
        <v>0</v>
      </c>
      <c r="E20" s="750" t="n">
        <f aca="false">OHJELMOINTINÄKYMÄ!E385/1000</f>
        <v>0</v>
      </c>
      <c r="F20" s="750" t="n">
        <f aca="false">OHJELMOINTINÄKYMÄ!F387/1000</f>
        <v>0</v>
      </c>
      <c r="G20" s="750" t="e">
        <f aca="false">OHJELMOINTINÄKYMÄ!G387/1000+OHJELMOINTINÄKYMÄ!G388/1000</f>
        <v>#VALUE!</v>
      </c>
      <c r="H20" s="750" t="n">
        <f aca="false">OHJELMOINTINÄKYMÄ!H387/1000</f>
        <v>0</v>
      </c>
      <c r="I20" s="750" t="n">
        <f aca="false">OHJELMOINTINÄKYMÄ!I387/1000</f>
        <v>0.095</v>
      </c>
      <c r="J20" s="750" t="n">
        <f aca="false">OHJELMOINTINÄKYMÄ!J387/1000</f>
        <v>0.195</v>
      </c>
      <c r="K20" s="750" t="n">
        <f aca="false">OHJELMOINTINÄKYMÄ!K387/1000</f>
        <v>0.896</v>
      </c>
      <c r="L20" s="750" t="n">
        <f aca="false">OHJELMOINTINÄKYMÄ!L387/1000</f>
        <v>0.051</v>
      </c>
      <c r="M20" s="757" t="n">
        <f aca="false">OHJELMOINTINÄKYMÄ!M387/1000</f>
        <v>0.114308</v>
      </c>
      <c r="N20" s="750" t="n">
        <f aca="false">OHJELMOINTINÄKYMÄ!O387/1000</f>
        <v>0</v>
      </c>
      <c r="O20" s="750" t="n">
        <f aca="false">OHJELMOINTINÄKYMÄ!P387/1000</f>
        <v>0</v>
      </c>
      <c r="P20" s="750" t="n">
        <f aca="false">OHJELMOINTINÄKYMÄ!Q387/1000</f>
        <v>0</v>
      </c>
      <c r="Q20" s="750" t="n">
        <f aca="false">OHJELMOINTINÄKYMÄ!R387/1000</f>
        <v>0</v>
      </c>
      <c r="R20" s="750" t="n">
        <f aca="false">OHJELMOINTINÄKYMÄ!S387/1000</f>
        <v>0</v>
      </c>
      <c r="S20" s="750" t="n">
        <f aca="false">OHJELMOINTINÄKYMÄ!T387/1000</f>
        <v>0</v>
      </c>
      <c r="T20" s="750" t="n">
        <f aca="false">OHJELMOINTINÄKYMÄ!U387/1000</f>
        <v>0</v>
      </c>
      <c r="U20" s="750" t="n">
        <f aca="false">OHJELMOINTINÄKYMÄ!V387/1000</f>
        <v>0</v>
      </c>
      <c r="V20" s="750" t="n">
        <f aca="false">OHJELMOINTINÄKYMÄ!W387/1000</f>
        <v>0</v>
      </c>
    </row>
    <row r="21" customFormat="false" ht="15.75" hidden="false" customHeight="false" outlineLevel="0" collapsed="false">
      <c r="A21" s="38" t="s">
        <v>3</v>
      </c>
      <c r="B21" s="55" t="s">
        <v>268</v>
      </c>
      <c r="C21" s="750" t="n">
        <f aca="false">OHJELMOINTINÄKYMÄ!C386/1000</f>
        <v>0</v>
      </c>
      <c r="D21" s="750" t="n">
        <f aca="false">OHJELMOINTINÄKYMÄ!D386/1000</f>
        <v>0</v>
      </c>
      <c r="E21" s="750" t="n">
        <f aca="false">OHJELMOINTINÄKYMÄ!E386/1000</f>
        <v>0</v>
      </c>
      <c r="F21" s="750" t="n">
        <f aca="false">OHJELMOINTINÄKYMÄ!F386/1000+OHJELMOINTINÄKYMÄ!F389/1000</f>
        <v>0</v>
      </c>
      <c r="G21" s="750" t="e">
        <f aca="false">OHJELMOINTINÄKYMÄ!G390/1000+OHJELMOINTINÄKYMÄ!G391/1000</f>
        <v>#VALUE!</v>
      </c>
      <c r="H21" s="750" t="n">
        <f aca="false">OHJELMOINTINÄKYMÄ!H390/1000</f>
        <v>0.059</v>
      </c>
      <c r="I21" s="750" t="n">
        <f aca="false">OHJELMOINTINÄKYMÄ!I390/1000</f>
        <v>0.328</v>
      </c>
      <c r="J21" s="750" t="n">
        <f aca="false">OHJELMOINTINÄKYMÄ!J390/1000</f>
        <v>0.742</v>
      </c>
      <c r="K21" s="750" t="n">
        <f aca="false">OHJELMOINTINÄKYMÄ!K390/1000</f>
        <v>0.23</v>
      </c>
      <c r="L21" s="750" t="n">
        <f aca="false">OHJELMOINTINÄKYMÄ!L390/1000</f>
        <v>0.706</v>
      </c>
      <c r="M21" s="757" t="n">
        <f aca="false">OHJELMOINTINÄKYMÄ!M390/1000</f>
        <v>1.688293</v>
      </c>
      <c r="N21" s="750" t="n">
        <f aca="false">OHJELMOINTINÄKYMÄ!O390/1000</f>
        <v>0</v>
      </c>
      <c r="O21" s="750" t="n">
        <f aca="false">OHJELMOINTINÄKYMÄ!P390/1000</f>
        <v>0</v>
      </c>
      <c r="P21" s="750" t="n">
        <f aca="false">OHJELMOINTINÄKYMÄ!Q390/1000</f>
        <v>0</v>
      </c>
      <c r="Q21" s="750" t="n">
        <f aca="false">OHJELMOINTINÄKYMÄ!R390/1000</f>
        <v>0</v>
      </c>
      <c r="R21" s="750" t="n">
        <f aca="false">OHJELMOINTINÄKYMÄ!S390/1000</f>
        <v>0</v>
      </c>
      <c r="S21" s="750" t="n">
        <f aca="false">OHJELMOINTINÄKYMÄ!T390/1000</f>
        <v>0</v>
      </c>
      <c r="T21" s="750" t="n">
        <f aca="false">OHJELMOINTINÄKYMÄ!U390/1000</f>
        <v>0</v>
      </c>
      <c r="U21" s="750" t="n">
        <f aca="false">OHJELMOINTINÄKYMÄ!V390/1000</f>
        <v>0</v>
      </c>
      <c r="V21" s="750" t="n">
        <f aca="false">OHJELMOINTINÄKYMÄ!W390/1000</f>
        <v>0</v>
      </c>
    </row>
    <row r="22" customFormat="false" ht="15" hidden="false" customHeight="false" outlineLevel="0" collapsed="false">
      <c r="B22" s="55" t="s">
        <v>273</v>
      </c>
      <c r="M22" s="757" t="n">
        <f aca="false">OHJELMOINTINÄKYMÄ!M398/1000</f>
        <v>0.089685</v>
      </c>
      <c r="N22" s="750" t="n">
        <f aca="false">OHJELMOINTINÄKYMÄ!O398/1000</f>
        <v>0</v>
      </c>
      <c r="O22" s="750" t="n">
        <f aca="false">OHJELMOINTINÄKYMÄ!P398/1000</f>
        <v>0</v>
      </c>
      <c r="P22" s="750" t="n">
        <f aca="false">OHJELMOINTINÄKYMÄ!Q398/1000</f>
        <v>0</v>
      </c>
      <c r="Q22" s="750" t="n">
        <f aca="false">OHJELMOINTINÄKYMÄ!R398/1000</f>
        <v>0</v>
      </c>
      <c r="R22" s="750" t="n">
        <f aca="false">OHJELMOINTINÄKYMÄ!S398/1000</f>
        <v>0</v>
      </c>
      <c r="S22" s="750" t="n">
        <f aca="false">OHJELMOINTINÄKYMÄ!T398/1000</f>
        <v>0</v>
      </c>
      <c r="T22" s="750" t="n">
        <f aca="false">OHJELMOINTINÄKYMÄ!U398/1000</f>
        <v>0</v>
      </c>
      <c r="U22" s="750" t="n">
        <f aca="false">OHJELMOINTINÄKYMÄ!V398/1000</f>
        <v>0</v>
      </c>
      <c r="V22" s="750" t="n">
        <f aca="false">OHJELMOINTINÄKYMÄ!W398/1000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6" colorId="64" zoomScale="55" zoomScaleNormal="55" zoomScalePageLayoutView="100" workbookViewId="0">
      <selection pane="topLeft" activeCell="G66" activeCellId="0" sqref="G66"/>
    </sheetView>
  </sheetViews>
  <sheetFormatPr defaultColWidth="9.2890625" defaultRowHeight="15" zeroHeight="false" outlineLevelRow="0" outlineLevelCol="0"/>
  <cols>
    <col collapsed="false" customWidth="true" hidden="false" outlineLevel="0" max="1" min="1" style="23" width="9.71"/>
    <col collapsed="false" customWidth="true" hidden="false" outlineLevel="0" max="2" min="2" style="23" width="48.71"/>
    <col collapsed="false" customWidth="true" hidden="false" outlineLevel="0" max="7" min="3" style="23" width="12.71"/>
    <col collapsed="false" customWidth="true" hidden="false" outlineLevel="0" max="8" min="8" style="23" width="14.42"/>
    <col collapsed="false" customWidth="true" hidden="false" outlineLevel="0" max="14" min="9" style="23" width="12.71"/>
    <col collapsed="false" customWidth="true" hidden="false" outlineLevel="0" max="15" min="15" style="23" width="12.57"/>
    <col collapsed="false" customWidth="true" hidden="false" outlineLevel="0" max="16" min="16" style="23" width="11.71"/>
    <col collapsed="false" customWidth="false" hidden="false" outlineLevel="0" max="16384" min="17" style="23" width="9.29"/>
  </cols>
  <sheetData>
    <row r="1" customFormat="false" ht="15.75" hidden="false" customHeight="false" outlineLevel="0" collapsed="false">
      <c r="A1" s="7" t="s">
        <v>0</v>
      </c>
      <c r="B1" s="7"/>
      <c r="C1" s="7"/>
      <c r="D1" s="3"/>
      <c r="E1" s="9"/>
      <c r="F1" s="9"/>
      <c r="G1" s="9"/>
      <c r="H1" s="9"/>
    </row>
    <row r="2" customFormat="false" ht="15.75" hidden="false" customHeight="false" outlineLevel="0" collapsed="false">
      <c r="A2" s="7" t="s">
        <v>451</v>
      </c>
      <c r="B2" s="7"/>
      <c r="C2" s="7"/>
      <c r="D2" s="758"/>
      <c r="E2" s="7"/>
      <c r="F2" s="7"/>
      <c r="G2" s="7"/>
      <c r="H2" s="7"/>
    </row>
    <row r="3" customFormat="false" ht="18" hidden="false" customHeight="false" outlineLevel="0" collapsed="false">
      <c r="A3" s="7" t="s">
        <v>452</v>
      </c>
      <c r="B3" s="7"/>
      <c r="C3" s="7"/>
      <c r="D3" s="3"/>
      <c r="E3" s="759" t="s">
        <v>3</v>
      </c>
      <c r="F3" s="760" t="s">
        <v>3</v>
      </c>
      <c r="G3" s="761"/>
    </row>
    <row r="4" customFormat="false" ht="15.75" hidden="false" customHeight="false" outlineLevel="0" collapsed="false">
      <c r="D4" s="681"/>
      <c r="E4" s="682"/>
      <c r="F4" s="682"/>
    </row>
    <row r="5" customFormat="false" ht="18" hidden="false" customHeight="false" outlineLevel="0" collapsed="false">
      <c r="A5" s="683" t="s">
        <v>460</v>
      </c>
      <c r="E5" s="682"/>
      <c r="F5" s="682"/>
      <c r="I5" s="762" t="s">
        <v>461</v>
      </c>
    </row>
    <row r="6" customFormat="false" ht="15.75" hidden="false" customHeight="false" outlineLevel="0" collapsed="false">
      <c r="A6" s="566" t="s">
        <v>435</v>
      </c>
      <c r="B6" s="686"/>
      <c r="F6" s="682"/>
    </row>
    <row r="7" customFormat="false" ht="15.75" hidden="false" customHeight="false" outlineLevel="0" collapsed="false">
      <c r="A7" s="566" t="s">
        <v>455</v>
      </c>
      <c r="B7" s="7"/>
      <c r="F7" s="763"/>
    </row>
    <row r="8" customFormat="false" ht="15.75" hidden="false" customHeight="false" outlineLevel="0" collapsed="false">
      <c r="A8" s="25" t="s">
        <v>6</v>
      </c>
      <c r="B8" s="26"/>
      <c r="C8" s="690" t="s">
        <v>7</v>
      </c>
      <c r="D8" s="689" t="s">
        <v>7</v>
      </c>
      <c r="E8" s="689" t="s">
        <v>7</v>
      </c>
      <c r="F8" s="689" t="s">
        <v>7</v>
      </c>
      <c r="G8" s="689" t="s">
        <v>7</v>
      </c>
      <c r="H8" s="689" t="s">
        <v>7</v>
      </c>
      <c r="I8" s="689" t="s">
        <v>8</v>
      </c>
      <c r="J8" s="764" t="s">
        <v>9</v>
      </c>
      <c r="K8" s="689" t="s">
        <v>10</v>
      </c>
      <c r="L8" s="689" t="s">
        <v>10</v>
      </c>
      <c r="M8" s="689" t="s">
        <v>424</v>
      </c>
      <c r="N8" s="689" t="s">
        <v>424</v>
      </c>
      <c r="O8" s="689" t="s">
        <v>424</v>
      </c>
      <c r="P8" s="689" t="s">
        <v>424</v>
      </c>
      <c r="Q8" s="689" t="s">
        <v>424</v>
      </c>
      <c r="R8" s="689" t="s">
        <v>424</v>
      </c>
      <c r="S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n">
        <f aca="false">OHJELMOINTINÄKYMÄ!F7</f>
        <v>2013</v>
      </c>
      <c r="D9" s="693" t="n">
        <f aca="false">OHJELMOINTINÄKYMÄ!G7</f>
        <v>2014</v>
      </c>
      <c r="E9" s="693" t="n">
        <f aca="false">OHJELMOINTINÄKYMÄ!H7</f>
        <v>2015</v>
      </c>
      <c r="F9" s="693" t="n">
        <f aca="false">OHJELMOINTINÄKYMÄ!I7</f>
        <v>2016</v>
      </c>
      <c r="G9" s="693" t="n">
        <f aca="false">OHJELMOINTINÄKYMÄ!J7</f>
        <v>2017</v>
      </c>
      <c r="H9" s="693" t="n">
        <f aca="false">OHJELMOINTINÄKYMÄ!K7</f>
        <v>2018</v>
      </c>
      <c r="I9" s="693" t="n">
        <f aca="false">OHJELMOINTINÄKYMÄ!L7</f>
        <v>2019</v>
      </c>
      <c r="J9" s="765" t="n">
        <f aca="false">OHJELMOINTINÄKYMÄ!M7</f>
        <v>2020</v>
      </c>
      <c r="K9" s="693" t="n">
        <f aca="false">OHJELMOINTINÄKYMÄ!O7</f>
        <v>2022</v>
      </c>
      <c r="L9" s="693" t="n">
        <f aca="false">OHJELMOINTINÄKYMÄ!P7</f>
        <v>2023</v>
      </c>
      <c r="M9" s="693" t="n">
        <f aca="false">OHJELMOINTINÄKYMÄ!Q7</f>
        <v>2024</v>
      </c>
      <c r="N9" s="693" t="n">
        <f aca="false">OHJELMOINTINÄKYMÄ!R7</f>
        <v>2025</v>
      </c>
      <c r="O9" s="693" t="n">
        <f aca="false">OHJELMOINTINÄKYMÄ!S7</f>
        <v>2026</v>
      </c>
      <c r="P9" s="693" t="n">
        <f aca="false">OHJELMOINTINÄKYMÄ!T7</f>
        <v>2027</v>
      </c>
      <c r="Q9" s="693" t="n">
        <f aca="false">OHJELMOINTINÄKYMÄ!U7</f>
        <v>2028</v>
      </c>
      <c r="R9" s="693" t="n">
        <f aca="false">OHJELMOINTINÄKYMÄ!V7</f>
        <v>2029</v>
      </c>
      <c r="S9" s="693" t="n">
        <f aca="false">OHJELMOINTINÄKYMÄ!W7</f>
        <v>2030</v>
      </c>
    </row>
    <row r="10" customFormat="false" ht="15" hidden="false" customHeight="false" outlineLevel="0" collapsed="false">
      <c r="A10" s="45"/>
      <c r="B10" s="46"/>
      <c r="C10" s="728" t="s">
        <v>427</v>
      </c>
      <c r="D10" s="728" t="s">
        <v>427</v>
      </c>
      <c r="E10" s="728" t="s">
        <v>427</v>
      </c>
      <c r="F10" s="728" t="s">
        <v>427</v>
      </c>
      <c r="G10" s="728" t="s">
        <v>427</v>
      </c>
      <c r="H10" s="728" t="s">
        <v>427</v>
      </c>
      <c r="I10" s="728" t="s">
        <v>427</v>
      </c>
      <c r="J10" s="766" t="s">
        <v>427</v>
      </c>
      <c r="K10" s="728" t="s">
        <v>427</v>
      </c>
      <c r="L10" s="728" t="s">
        <v>427</v>
      </c>
      <c r="M10" s="728" t="s">
        <v>427</v>
      </c>
      <c r="N10" s="728" t="s">
        <v>427</v>
      </c>
      <c r="O10" s="728" t="s">
        <v>427</v>
      </c>
      <c r="P10" s="728" t="s">
        <v>427</v>
      </c>
      <c r="Q10" s="728" t="s">
        <v>427</v>
      </c>
      <c r="R10" s="728" t="s">
        <v>427</v>
      </c>
      <c r="S10" s="728" t="s">
        <v>427</v>
      </c>
    </row>
    <row r="11" customFormat="false" ht="15" hidden="false" customHeight="false" outlineLevel="0" collapsed="false">
      <c r="A11" s="54"/>
      <c r="B11" s="55"/>
      <c r="C11" s="96"/>
      <c r="D11" s="96"/>
      <c r="E11" s="96"/>
      <c r="F11" s="96"/>
      <c r="G11" s="96"/>
      <c r="H11" s="96"/>
      <c r="I11" s="96"/>
      <c r="J11" s="767"/>
      <c r="K11" s="96"/>
      <c r="L11" s="96"/>
      <c r="M11" s="96"/>
      <c r="N11" s="96"/>
      <c r="O11" s="96"/>
      <c r="P11" s="96"/>
      <c r="Q11" s="96"/>
      <c r="R11" s="96"/>
      <c r="S11" s="96"/>
    </row>
    <row r="12" customFormat="false" ht="15.75" hidden="false" customHeight="false" outlineLevel="0" collapsed="false">
      <c r="A12" s="72" t="s">
        <v>16</v>
      </c>
      <c r="B12" s="37" t="s">
        <v>43</v>
      </c>
      <c r="C12" s="768"/>
      <c r="D12" s="768"/>
      <c r="E12" s="768"/>
      <c r="F12" s="768"/>
      <c r="G12" s="768" t="n">
        <v>66.7</v>
      </c>
      <c r="H12" s="768" t="n">
        <v>64.5</v>
      </c>
      <c r="I12" s="768" t="n">
        <v>85.6</v>
      </c>
      <c r="J12" s="769" t="n">
        <v>107.6</v>
      </c>
      <c r="K12" s="768" t="n">
        <v>92.6</v>
      </c>
      <c r="L12" s="768" t="n">
        <v>79.6</v>
      </c>
      <c r="M12" s="768" t="n">
        <v>69.5</v>
      </c>
      <c r="N12" s="768" t="n">
        <v>62</v>
      </c>
      <c r="O12" s="768" t="n">
        <v>64.9</v>
      </c>
      <c r="P12" s="768" t="n">
        <v>76.4</v>
      </c>
      <c r="Q12" s="768" t="n">
        <v>63.1</v>
      </c>
      <c r="R12" s="768" t="n">
        <v>63.2</v>
      </c>
      <c r="S12" s="768" t="n">
        <v>63.4</v>
      </c>
    </row>
    <row r="13" customFormat="false" ht="15.75" hidden="false" customHeight="false" outlineLevel="0" collapsed="false">
      <c r="A13" s="72" t="s">
        <v>56</v>
      </c>
      <c r="B13" s="326" t="s">
        <v>462</v>
      </c>
      <c r="C13" s="713" t="n">
        <f aca="false">OHJELMOINTINÄKYMÄ!F56/1000</f>
        <v>70.252</v>
      </c>
      <c r="D13" s="713" t="e">
        <f aca="false">OHJELMOINTINÄKYMÄ!G56/1000</f>
        <v>#REF!</v>
      </c>
      <c r="E13" s="713" t="n">
        <f aca="false">OHJELMOINTINÄKYMÄ!H56/1000</f>
        <v>91.442</v>
      </c>
      <c r="F13" s="713" t="n">
        <f aca="false">OHJELMOINTINÄKYMÄ!I56/1000</f>
        <v>109.205</v>
      </c>
      <c r="G13" s="713" t="n">
        <f aca="false">OHJELMOINTINÄKYMÄ!J56/1000</f>
        <v>136.754</v>
      </c>
      <c r="H13" s="713" t="e">
        <f aca="false">OHJELMOINTINÄKYMÄ!K56/1000</f>
        <v>#REF!</v>
      </c>
      <c r="I13" s="713" t="n">
        <f aca="false">OHJELMOINTINÄKYMÄ!L56/1000</f>
        <v>158.719</v>
      </c>
      <c r="J13" s="770" t="n">
        <f aca="false">OHJELMOINTINÄKYMÄ!M56/1000</f>
        <v>173.212867</v>
      </c>
      <c r="K13" s="713" t="e">
        <f aca="false">OHJELMOINTINÄKYMÄ!O56/1000</f>
        <v>#REF!</v>
      </c>
      <c r="L13" s="713" t="e">
        <f aca="false">OHJELMOINTINÄKYMÄ!P56/1000</f>
        <v>#REF!</v>
      </c>
      <c r="M13" s="713" t="e">
        <f aca="false">OHJELMOINTINÄKYMÄ!Q56/1000</f>
        <v>#REF!</v>
      </c>
      <c r="N13" s="713" t="e">
        <f aca="false">OHJELMOINTINÄKYMÄ!R56/1000</f>
        <v>#REF!</v>
      </c>
      <c r="O13" s="713" t="e">
        <f aca="false">OHJELMOINTINÄKYMÄ!S56/1000</f>
        <v>#REF!</v>
      </c>
      <c r="P13" s="713" t="e">
        <f aca="false">OHJELMOINTINÄKYMÄ!T56/1000</f>
        <v>#REF!</v>
      </c>
      <c r="Q13" s="713" t="e">
        <f aca="false">OHJELMOINTINÄKYMÄ!U56/1000</f>
        <v>#REF!</v>
      </c>
      <c r="R13" s="713" t="e">
        <f aca="false">OHJELMOINTINÄKYMÄ!V56/1000</f>
        <v>#REF!</v>
      </c>
      <c r="S13" s="713" t="e">
        <f aca="false">OHJELMOINTINÄKYMÄ!W56/1000</f>
        <v>#REF!</v>
      </c>
    </row>
    <row r="14" customFormat="false" ht="15.75" hidden="false" customHeight="false" outlineLevel="0" collapsed="false">
      <c r="A14" s="72" t="s">
        <v>232</v>
      </c>
      <c r="B14" s="326" t="s">
        <v>233</v>
      </c>
      <c r="C14" s="713" t="n">
        <f aca="false">OHJELMOINTINÄKYMÄ!F313/1000</f>
        <v>20.574</v>
      </c>
      <c r="D14" s="713" t="n">
        <f aca="false">OHJELMOINTINÄKYMÄ!G313/1000</f>
        <v>20.563</v>
      </c>
      <c r="E14" s="713" t="n">
        <f aca="false">OHJELMOINTINÄKYMÄ!H313/1000</f>
        <v>20.001</v>
      </c>
      <c r="F14" s="713" t="n">
        <f aca="false">OHJELMOINTINÄKYMÄ!I313/1000</f>
        <v>16.668</v>
      </c>
      <c r="G14" s="713" t="n">
        <f aca="false">OHJELMOINTINÄKYMÄ!J313/1000</f>
        <v>15.827</v>
      </c>
      <c r="H14" s="713" t="n">
        <f aca="false">OHJELMOINTINÄKYMÄ!K313/1000</f>
        <v>23.23559151</v>
      </c>
      <c r="I14" s="713" t="n">
        <f aca="false">OHJELMOINTINÄKYMÄ!L313/1000</f>
        <v>23.078</v>
      </c>
      <c r="J14" s="770" t="n">
        <f aca="false">OHJELMOINTINÄKYMÄ!M313/1000</f>
        <v>37.40351524</v>
      </c>
      <c r="K14" s="713" t="n">
        <f aca="false">OHJELMOINTINÄKYMÄ!O313/1000</f>
        <v>32.7</v>
      </c>
      <c r="L14" s="713" t="n">
        <f aca="false">OHJELMOINTINÄKYMÄ!P313/1000</f>
        <v>20.8</v>
      </c>
      <c r="M14" s="713" t="n">
        <f aca="false">OHJELMOINTINÄKYMÄ!Q313/1000</f>
        <v>22.8</v>
      </c>
      <c r="N14" s="713" t="n">
        <f aca="false">OHJELMOINTINÄKYMÄ!R313/1000</f>
        <v>21.8</v>
      </c>
      <c r="O14" s="713" t="n">
        <f aca="false">OHJELMOINTINÄKYMÄ!S313/1000</f>
        <v>21.4</v>
      </c>
      <c r="P14" s="713" t="n">
        <f aca="false">OHJELMOINTINÄKYMÄ!T313/1000</f>
        <v>19.1</v>
      </c>
      <c r="Q14" s="713" t="n">
        <f aca="false">OHJELMOINTINÄKYMÄ!U313/1000</f>
        <v>24.4</v>
      </c>
      <c r="R14" s="713" t="n">
        <f aca="false">OHJELMOINTINÄKYMÄ!V313/1000</f>
        <v>44.6</v>
      </c>
      <c r="S14" s="713" t="n">
        <f aca="false">OHJELMOINTINÄKYMÄ!W313/1000</f>
        <v>49.3</v>
      </c>
    </row>
    <row r="15" customFormat="false" ht="15.75" hidden="false" customHeight="false" outlineLevel="0" collapsed="false">
      <c r="A15" s="54"/>
      <c r="B15" s="7"/>
      <c r="C15" s="402"/>
      <c r="D15" s="402"/>
      <c r="E15" s="402"/>
      <c r="F15" s="402"/>
      <c r="G15" s="402"/>
      <c r="H15" s="402"/>
      <c r="I15" s="402"/>
      <c r="J15" s="771"/>
      <c r="K15" s="402"/>
      <c r="L15" s="402"/>
      <c r="M15" s="402"/>
      <c r="N15" s="402"/>
    </row>
    <row r="16" customFormat="false" ht="15.75" hidden="false" customHeight="false" outlineLevel="0" collapsed="false">
      <c r="A16" s="772"/>
      <c r="B16" s="7"/>
      <c r="C16" s="773"/>
      <c r="D16" s="773"/>
      <c r="E16" s="773"/>
      <c r="F16" s="773"/>
    </row>
    <row r="17" customFormat="false" ht="15.75" hidden="false" customHeight="false" outlineLevel="0" collapsed="false">
      <c r="A17" s="566"/>
      <c r="B17" s="7"/>
      <c r="C17" s="773"/>
      <c r="D17" s="773"/>
      <c r="E17" s="773"/>
      <c r="F17" s="77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2" colorId="64" zoomScale="55" zoomScaleNormal="55" zoomScalePageLayoutView="100" workbookViewId="0">
      <selection pane="topLeft" activeCell="D19" activeCellId="0" sqref="D19"/>
    </sheetView>
  </sheetViews>
  <sheetFormatPr defaultColWidth="8.4453125" defaultRowHeight="12.75" zeroHeight="false" outlineLevelRow="0" outlineLevelCol="0"/>
  <cols>
    <col collapsed="false" customWidth="true" hidden="false" outlineLevel="0" max="4" min="4" style="1" width="18.29"/>
    <col collapsed="false" customWidth="true" hidden="false" outlineLevel="0" max="13" min="13" style="1" width="10.29"/>
  </cols>
  <sheetData>
    <row r="1" customFormat="false" ht="15.75" hidden="false" customHeight="false" outlineLevel="0" collapsed="false">
      <c r="A1" s="7" t="s">
        <v>0</v>
      </c>
      <c r="B1" s="7"/>
      <c r="C1" s="7"/>
      <c r="D1" s="3"/>
      <c r="E1" s="9"/>
      <c r="F1" s="9"/>
      <c r="G1" s="9"/>
      <c r="H1" s="9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customFormat="false" ht="15.75" hidden="false" customHeight="false" outlineLevel="0" collapsed="false">
      <c r="A2" s="7" t="s">
        <v>463</v>
      </c>
      <c r="B2" s="7"/>
      <c r="C2" s="7"/>
      <c r="D2" s="758"/>
      <c r="E2" s="7"/>
      <c r="F2" s="7"/>
      <c r="G2" s="7"/>
      <c r="H2" s="7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customFormat="false" ht="18" hidden="false" customHeight="false" outlineLevel="0" collapsed="false">
      <c r="A3" s="7" t="s">
        <v>464</v>
      </c>
      <c r="B3" s="7"/>
      <c r="C3" s="7"/>
      <c r="D3" s="3"/>
      <c r="E3" s="759" t="s">
        <v>3</v>
      </c>
      <c r="F3" s="760" t="s">
        <v>3</v>
      </c>
      <c r="G3" s="7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customFormat="false" ht="15.75" hidden="false" customHeight="false" outlineLevel="0" collapsed="false">
      <c r="A4" s="23"/>
      <c r="B4" s="23"/>
      <c r="C4" s="23"/>
      <c r="D4" s="681"/>
      <c r="E4" s="682"/>
      <c r="F4" s="68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customFormat="false" ht="18" hidden="false" customHeight="false" outlineLevel="0" collapsed="false">
      <c r="A5" s="683" t="s">
        <v>460</v>
      </c>
      <c r="B5" s="23"/>
      <c r="C5" s="23"/>
      <c r="D5" s="23"/>
      <c r="E5" s="682"/>
      <c r="F5" s="682"/>
      <c r="G5" s="23"/>
      <c r="H5" s="23"/>
      <c r="I5" s="762" t="s">
        <v>3</v>
      </c>
      <c r="J5" s="23"/>
      <c r="K5" s="23"/>
      <c r="L5" s="23"/>
      <c r="M5" s="774" t="n">
        <v>43255</v>
      </c>
      <c r="N5" s="23"/>
      <c r="O5" s="23"/>
      <c r="P5" s="23"/>
      <c r="Q5" s="23"/>
      <c r="R5" s="23"/>
    </row>
    <row r="6" customFormat="false" ht="15.75" hidden="false" customHeight="false" outlineLevel="0" collapsed="false">
      <c r="A6" s="566" t="s">
        <v>465</v>
      </c>
      <c r="B6" s="686"/>
      <c r="C6" s="23"/>
      <c r="D6" s="23"/>
      <c r="E6" s="23"/>
      <c r="F6" s="68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customFormat="false" ht="15.75" hidden="false" customHeight="false" outlineLevel="0" collapsed="false">
      <c r="A7" s="566"/>
      <c r="B7" s="7"/>
      <c r="C7" s="23"/>
      <c r="D7" s="23"/>
      <c r="E7" s="23"/>
      <c r="F7" s="76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customFormat="false" ht="15.75" hidden="false" customHeight="false" outlineLevel="0" collapsed="false">
      <c r="A8" s="25" t="s">
        <v>6</v>
      </c>
      <c r="B8" s="26"/>
      <c r="C8" s="690" t="s">
        <v>7</v>
      </c>
      <c r="D8" s="689" t="s">
        <v>7</v>
      </c>
      <c r="E8" s="689" t="s">
        <v>7</v>
      </c>
      <c r="F8" s="689" t="s">
        <v>7</v>
      </c>
      <c r="G8" s="689" t="s">
        <v>7</v>
      </c>
      <c r="H8" s="689" t="s">
        <v>7</v>
      </c>
      <c r="I8" s="689" t="s">
        <v>8</v>
      </c>
      <c r="J8" s="775" t="s">
        <v>9</v>
      </c>
      <c r="K8" s="689" t="s">
        <v>10</v>
      </c>
      <c r="L8" s="689" t="s">
        <v>10</v>
      </c>
      <c r="M8" s="689" t="s">
        <v>424</v>
      </c>
      <c r="N8" s="689" t="s">
        <v>424</v>
      </c>
      <c r="O8" s="689" t="s">
        <v>424</v>
      </c>
      <c r="P8" s="689" t="s">
        <v>424</v>
      </c>
      <c r="Q8" s="689" t="s">
        <v>424</v>
      </c>
      <c r="R8" s="689" t="s">
        <v>424</v>
      </c>
      <c r="S8" s="689" t="s">
        <v>424</v>
      </c>
    </row>
    <row r="9" customFormat="false" ht="15.75" hidden="false" customHeight="false" outlineLevel="0" collapsed="false">
      <c r="A9" s="36" t="s">
        <v>12</v>
      </c>
      <c r="B9" s="37" t="s">
        <v>425</v>
      </c>
      <c r="C9" s="693" t="n">
        <f aca="false">OHJELMOINTINÄKYMÄ!F7</f>
        <v>2013</v>
      </c>
      <c r="D9" s="693" t="n">
        <f aca="false">OHJELMOINTINÄKYMÄ!G7</f>
        <v>2014</v>
      </c>
      <c r="E9" s="693" t="n">
        <f aca="false">OHJELMOINTINÄKYMÄ!H7</f>
        <v>2015</v>
      </c>
      <c r="F9" s="693" t="n">
        <f aca="false">OHJELMOINTINÄKYMÄ!I7</f>
        <v>2016</v>
      </c>
      <c r="G9" s="693" t="n">
        <f aca="false">OHJELMOINTINÄKYMÄ!J7</f>
        <v>2017</v>
      </c>
      <c r="H9" s="693" t="n">
        <f aca="false">OHJELMOINTINÄKYMÄ!K7</f>
        <v>2018</v>
      </c>
      <c r="I9" s="693" t="n">
        <f aca="false">OHJELMOINTINÄKYMÄ!L7</f>
        <v>2019</v>
      </c>
      <c r="J9" s="776" t="n">
        <f aca="false">OHJELMOINTINÄKYMÄ!M7</f>
        <v>2020</v>
      </c>
      <c r="K9" s="693" t="n">
        <f aca="false">OHJELMOINTINÄKYMÄ!O7</f>
        <v>2022</v>
      </c>
      <c r="L9" s="693" t="n">
        <f aca="false">OHJELMOINTINÄKYMÄ!P7</f>
        <v>2023</v>
      </c>
      <c r="M9" s="693" t="n">
        <f aca="false">OHJELMOINTINÄKYMÄ!Q7</f>
        <v>2024</v>
      </c>
      <c r="N9" s="693" t="n">
        <f aca="false">OHJELMOINTINÄKYMÄ!R7</f>
        <v>2025</v>
      </c>
      <c r="O9" s="693" t="n">
        <f aca="false">OHJELMOINTINÄKYMÄ!S7</f>
        <v>2026</v>
      </c>
      <c r="P9" s="693" t="n">
        <f aca="false">OHJELMOINTINÄKYMÄ!T7</f>
        <v>2027</v>
      </c>
      <c r="Q9" s="693" t="n">
        <f aca="false">OHJELMOINTINÄKYMÄ!U7</f>
        <v>2028</v>
      </c>
      <c r="R9" s="693" t="n">
        <f aca="false">OHJELMOINTINÄKYMÄ!V7</f>
        <v>2029</v>
      </c>
      <c r="S9" s="693" t="n">
        <f aca="false">OHJELMOINTINÄKYMÄ!W7</f>
        <v>2030</v>
      </c>
    </row>
    <row r="10" customFormat="false" ht="15" hidden="false" customHeight="false" outlineLevel="0" collapsed="false">
      <c r="A10" s="45"/>
      <c r="B10" s="46"/>
      <c r="C10" s="728" t="s">
        <v>427</v>
      </c>
      <c r="D10" s="728" t="s">
        <v>427</v>
      </c>
      <c r="E10" s="728" t="s">
        <v>427</v>
      </c>
      <c r="F10" s="728" t="s">
        <v>427</v>
      </c>
      <c r="G10" s="728" t="s">
        <v>427</v>
      </c>
      <c r="H10" s="728" t="s">
        <v>427</v>
      </c>
      <c r="I10" s="728" t="s">
        <v>427</v>
      </c>
      <c r="J10" s="777" t="s">
        <v>427</v>
      </c>
      <c r="K10" s="728" t="s">
        <v>427</v>
      </c>
      <c r="L10" s="728" t="s">
        <v>427</v>
      </c>
      <c r="M10" s="728" t="s">
        <v>427</v>
      </c>
      <c r="N10" s="728" t="s">
        <v>427</v>
      </c>
      <c r="O10" s="728" t="s">
        <v>427</v>
      </c>
      <c r="P10" s="728" t="s">
        <v>427</v>
      </c>
      <c r="Q10" s="728" t="s">
        <v>427</v>
      </c>
      <c r="R10" s="728" t="s">
        <v>427</v>
      </c>
      <c r="S10" s="728" t="s">
        <v>427</v>
      </c>
    </row>
    <row r="11" customFormat="false" ht="15" hidden="false" customHeight="false" outlineLevel="0" collapsed="false">
      <c r="A11" s="54"/>
      <c r="B11" s="55"/>
      <c r="C11" s="96"/>
      <c r="D11" s="96"/>
      <c r="E11" s="96"/>
      <c r="F11" s="96"/>
      <c r="G11" s="96"/>
      <c r="H11" s="96"/>
      <c r="I11" s="96"/>
      <c r="J11" s="778"/>
      <c r="K11" s="96"/>
      <c r="L11" s="96"/>
      <c r="M11" s="96"/>
      <c r="N11" s="96"/>
      <c r="O11" s="96"/>
      <c r="P11" s="96"/>
      <c r="Q11" s="96"/>
      <c r="R11" s="96"/>
      <c r="S11" s="96"/>
    </row>
    <row r="12" customFormat="false" ht="15.75" hidden="false" customHeight="false" outlineLevel="0" collapsed="false">
      <c r="A12" s="72" t="s">
        <v>16</v>
      </c>
      <c r="B12" s="37" t="s">
        <v>466</v>
      </c>
      <c r="C12" s="768"/>
      <c r="D12" s="768"/>
      <c r="E12" s="768"/>
      <c r="F12" s="642"/>
      <c r="G12" s="689" t="s">
        <v>3</v>
      </c>
      <c r="H12" s="689" t="s">
        <v>3</v>
      </c>
      <c r="I12" s="689" t="s">
        <v>3</v>
      </c>
      <c r="J12" s="775" t="s">
        <v>3</v>
      </c>
      <c r="K12" s="689" t="s">
        <v>3</v>
      </c>
      <c r="L12" s="689" t="s">
        <v>3</v>
      </c>
      <c r="M12" s="689" t="s">
        <v>3</v>
      </c>
      <c r="N12" s="689" t="s">
        <v>3</v>
      </c>
      <c r="O12" s="689" t="s">
        <v>3</v>
      </c>
      <c r="P12" s="689" t="s">
        <v>3</v>
      </c>
      <c r="Q12" s="689" t="s">
        <v>3</v>
      </c>
      <c r="R12" s="689" t="s">
        <v>3</v>
      </c>
      <c r="S12" s="689" t="s">
        <v>3</v>
      </c>
    </row>
    <row r="13" customFormat="false" ht="15.75" hidden="false" customHeight="false" outlineLevel="0" collapsed="false">
      <c r="A13" s="17" t="n">
        <v>80101</v>
      </c>
      <c r="B13" s="201" t="s">
        <v>467</v>
      </c>
      <c r="C13" s="779"/>
      <c r="D13" s="779"/>
      <c r="E13" s="779"/>
      <c r="F13" s="779"/>
      <c r="G13" s="310"/>
      <c r="H13" s="780"/>
      <c r="I13" s="780" t="n">
        <v>12</v>
      </c>
      <c r="J13" s="781" t="n">
        <v>12</v>
      </c>
      <c r="K13" s="780" t="n">
        <v>12</v>
      </c>
      <c r="L13" s="780" t="n">
        <v>12</v>
      </c>
      <c r="M13" s="780" t="n">
        <v>12</v>
      </c>
      <c r="N13" s="780" t="n">
        <v>12</v>
      </c>
      <c r="O13" s="780" t="n">
        <v>12</v>
      </c>
      <c r="P13" s="780" t="n">
        <v>12</v>
      </c>
      <c r="Q13" s="780" t="n">
        <v>12</v>
      </c>
      <c r="R13" s="780" t="n">
        <v>12</v>
      </c>
      <c r="S13" s="780" t="n">
        <v>12</v>
      </c>
    </row>
    <row r="14" customFormat="false" ht="12.75" hidden="false" customHeight="false" outlineLevel="0" collapsed="false">
      <c r="A14" s="201" t="n">
        <v>80102</v>
      </c>
      <c r="B14" s="201" t="s">
        <v>468</v>
      </c>
      <c r="C14" s="201"/>
      <c r="D14" s="201"/>
      <c r="E14" s="201"/>
      <c r="F14" s="201"/>
      <c r="G14" s="782" t="n">
        <v>52.7</v>
      </c>
      <c r="H14" s="783" t="n">
        <v>44</v>
      </c>
      <c r="I14" s="784" t="n">
        <f aca="false">OHJELMOINTINÄKYMÄ!L22/1000</f>
        <v>55.557</v>
      </c>
      <c r="J14" s="785" t="n">
        <f aca="false">OHJELMOINTINÄKYMÄ!M22/1000</f>
        <v>96.405286</v>
      </c>
      <c r="K14" s="784" t="n">
        <f aca="false">OHJELMOINTINÄKYMÄ!O22/1000</f>
        <v>0</v>
      </c>
      <c r="L14" s="784" t="n">
        <f aca="false">OHJELMOINTINÄKYMÄ!P22/1000</f>
        <v>0</v>
      </c>
      <c r="M14" s="784" t="n">
        <f aca="false">OHJELMOINTINÄKYMÄ!Q22/1000</f>
        <v>0</v>
      </c>
      <c r="N14" s="784" t="n">
        <f aca="false">OHJELMOINTINÄKYMÄ!R22/1000</f>
        <v>0</v>
      </c>
      <c r="O14" s="784" t="n">
        <f aca="false">OHJELMOINTINÄKYMÄ!S22/1000</f>
        <v>0</v>
      </c>
      <c r="P14" s="784" t="n">
        <f aca="false">OHJELMOINTINÄKYMÄ!T22/1000</f>
        <v>0</v>
      </c>
      <c r="Q14" s="784" t="n">
        <f aca="false">OHJELMOINTINÄKYMÄ!U22/1000</f>
        <v>0</v>
      </c>
      <c r="R14" s="784" t="n">
        <f aca="false">OHJELMOINTINÄKYMÄ!V22/1000</f>
        <v>0</v>
      </c>
      <c r="S14" s="784" t="n">
        <f aca="false">OHJELMOINTINÄKYMÄ!W22/1000</f>
        <v>0</v>
      </c>
    </row>
    <row r="15" s="791" customFormat="true" ht="12.75" hidden="false" customHeight="false" outlineLevel="0" collapsed="false">
      <c r="A15" s="786" t="n">
        <v>80103</v>
      </c>
      <c r="B15" s="787" t="s">
        <v>469</v>
      </c>
      <c r="C15" s="787"/>
      <c r="D15" s="787"/>
      <c r="E15" s="787"/>
      <c r="F15" s="787"/>
      <c r="G15" s="788" t="n">
        <v>14</v>
      </c>
      <c r="H15" s="788" t="n">
        <v>20.4</v>
      </c>
      <c r="I15" s="788" t="n">
        <v>38</v>
      </c>
      <c r="J15" s="789" t="n">
        <f aca="false">OHJELMOINTINÄKYMÄ!M42/1000</f>
        <v>28.560129</v>
      </c>
      <c r="K15" s="790" t="n">
        <f aca="false">OHJELMOINTINÄKYMÄ!O42/1000</f>
        <v>19.9</v>
      </c>
      <c r="L15" s="790" t="n">
        <f aca="false">OHJELMOINTINÄKYMÄ!P42/1000</f>
        <v>18.7</v>
      </c>
      <c r="M15" s="790" t="n">
        <f aca="false">OHJELMOINTINÄKYMÄ!Q42/1000</f>
        <v>15.4</v>
      </c>
      <c r="N15" s="790" t="n">
        <f aca="false">OHJELMOINTINÄKYMÄ!R42/1000</f>
        <v>17.9</v>
      </c>
      <c r="O15" s="790" t="n">
        <f aca="false">OHJELMOINTINÄKYMÄ!S42/1000</f>
        <v>27.1</v>
      </c>
      <c r="P15" s="790" t="n">
        <f aca="false">OHJELMOINTINÄKYMÄ!T42/1000</f>
        <v>29.8</v>
      </c>
      <c r="Q15" s="790" t="n">
        <f aca="false">OHJELMOINTINÄKYMÄ!U42/1000</f>
        <v>28.4</v>
      </c>
      <c r="R15" s="790" t="n">
        <f aca="false">OHJELMOINTINÄKYMÄ!V42/1000</f>
        <v>35.9</v>
      </c>
      <c r="S15" s="790" t="n">
        <f aca="false">OHJELMOINTINÄKYMÄ!W42/1000</f>
        <v>35</v>
      </c>
    </row>
    <row r="16" customFormat="false" ht="12.75" hidden="false" customHeight="false" outlineLevel="0" collapsed="false">
      <c r="B16" s="201" t="s">
        <v>3</v>
      </c>
      <c r="C16" s="201"/>
      <c r="D16" s="20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S41"/>
  <sheetViews>
    <sheetView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AH29" activeCellId="0" sqref="AH29"/>
    </sheetView>
  </sheetViews>
  <sheetFormatPr defaultColWidth="8.4453125" defaultRowHeight="12.75" zeroHeight="false" outlineLevelRow="0" outlineLevelCol="0"/>
  <cols>
    <col collapsed="false" customWidth="true" hidden="false" outlineLevel="0" max="1" min="1" style="1" width="44.57"/>
    <col collapsed="false" customWidth="true" hidden="false" outlineLevel="0" max="9" min="2" style="1" width="9.29"/>
    <col collapsed="false" customWidth="true" hidden="true" outlineLevel="0" max="29" min="10" style="1" width="9.29"/>
    <col collapsed="false" customWidth="true" hidden="false" outlineLevel="0" max="33" min="32" style="1" width="9.29"/>
    <col collapsed="false" customWidth="true" hidden="false" outlineLevel="0" max="41" min="41" style="1" width="9.71"/>
  </cols>
  <sheetData>
    <row r="1" customFormat="false" ht="15.75" hidden="false" customHeight="false" outlineLevel="0" collapsed="false">
      <c r="A1" s="7" t="s">
        <v>470</v>
      </c>
      <c r="B1" s="7"/>
      <c r="C1" s="7"/>
      <c r="D1" s="7"/>
      <c r="E1" s="7"/>
      <c r="F1" s="7"/>
      <c r="G1" s="7"/>
      <c r="H1" s="7"/>
      <c r="I1" s="7"/>
    </row>
    <row r="3" customFormat="false" ht="15.75" hidden="false" customHeight="false" outlineLevel="0" collapsed="false">
      <c r="A3" s="7" t="s">
        <v>471</v>
      </c>
      <c r="B3" s="7"/>
      <c r="C3" s="7"/>
      <c r="D3" s="7"/>
      <c r="E3" s="7"/>
      <c r="I3" s="792" t="n">
        <v>42916</v>
      </c>
    </row>
    <row r="4" customFormat="false" ht="15.75" hidden="false" customHeight="false" outlineLevel="0" collapsed="false">
      <c r="A4" s="201" t="s">
        <v>472</v>
      </c>
      <c r="B4" s="201"/>
      <c r="C4" s="201"/>
      <c r="D4" s="201"/>
      <c r="E4" s="201"/>
      <c r="AH4" s="8" t="s">
        <v>473</v>
      </c>
      <c r="AI4" s="403"/>
      <c r="AJ4" s="403"/>
      <c r="AK4" s="403"/>
    </row>
    <row r="6" customFormat="false" ht="13.5" hidden="false" customHeight="false" outlineLevel="0" collapsed="false"/>
    <row r="7" customFormat="false" ht="15.75" hidden="false" customHeight="false" outlineLevel="0" collapsed="false">
      <c r="A7" s="793"/>
      <c r="B7" s="794"/>
      <c r="C7" s="794"/>
      <c r="D7" s="795" t="n">
        <v>2009</v>
      </c>
      <c r="E7" s="796"/>
      <c r="F7" s="794"/>
      <c r="G7" s="794"/>
      <c r="H7" s="795" t="n">
        <v>2010</v>
      </c>
      <c r="I7" s="795"/>
      <c r="J7" s="797"/>
      <c r="K7" s="795"/>
      <c r="L7" s="795" t="n">
        <v>2011</v>
      </c>
      <c r="M7" s="796"/>
      <c r="N7" s="795"/>
      <c r="O7" s="795"/>
      <c r="P7" s="795" t="n">
        <v>2012</v>
      </c>
      <c r="Q7" s="798"/>
      <c r="R7" s="797"/>
      <c r="S7" s="795"/>
      <c r="T7" s="795" t="n">
        <v>2013</v>
      </c>
      <c r="U7" s="796"/>
      <c r="V7" s="795"/>
      <c r="W7" s="795"/>
      <c r="X7" s="795" t="n">
        <v>2014</v>
      </c>
      <c r="Y7" s="799"/>
      <c r="Z7" s="795"/>
      <c r="AA7" s="795"/>
      <c r="AB7" s="795" t="n">
        <v>2015</v>
      </c>
      <c r="AC7" s="799"/>
      <c r="AD7" s="797"/>
      <c r="AE7" s="795"/>
      <c r="AF7" s="795" t="n">
        <v>2016</v>
      </c>
      <c r="AG7" s="799"/>
      <c r="AH7" s="795"/>
      <c r="AI7" s="795"/>
      <c r="AJ7" s="795" t="n">
        <v>2017</v>
      </c>
      <c r="AK7" s="799"/>
      <c r="AL7" s="795"/>
      <c r="AM7" s="795"/>
      <c r="AN7" s="795" t="n">
        <v>2018</v>
      </c>
      <c r="AO7" s="799"/>
      <c r="AP7" s="795"/>
      <c r="AQ7" s="795"/>
      <c r="AR7" s="795" t="n">
        <v>2019</v>
      </c>
      <c r="AS7" s="799"/>
    </row>
    <row r="8" customFormat="false" ht="12.75" hidden="false" customHeight="false" outlineLevel="0" collapsed="false">
      <c r="A8" s="800"/>
      <c r="B8" s="801" t="s">
        <v>474</v>
      </c>
      <c r="C8" s="802" t="s">
        <v>8</v>
      </c>
      <c r="D8" s="803" t="s">
        <v>7</v>
      </c>
      <c r="E8" s="804" t="s">
        <v>475</v>
      </c>
      <c r="F8" s="801" t="s">
        <v>474</v>
      </c>
      <c r="G8" s="802" t="s">
        <v>8</v>
      </c>
      <c r="H8" s="803" t="s">
        <v>7</v>
      </c>
      <c r="I8" s="804" t="s">
        <v>475</v>
      </c>
      <c r="J8" s="805" t="s">
        <v>474</v>
      </c>
      <c r="K8" s="803" t="s">
        <v>8</v>
      </c>
      <c r="L8" s="803" t="s">
        <v>7</v>
      </c>
      <c r="M8" s="806" t="s">
        <v>475</v>
      </c>
      <c r="N8" s="802" t="s">
        <v>474</v>
      </c>
      <c r="O8" s="802" t="s">
        <v>8</v>
      </c>
      <c r="P8" s="803" t="s">
        <v>7</v>
      </c>
      <c r="Q8" s="804" t="s">
        <v>475</v>
      </c>
      <c r="R8" s="801" t="s">
        <v>474</v>
      </c>
      <c r="S8" s="802" t="s">
        <v>8</v>
      </c>
      <c r="T8" s="803" t="s">
        <v>7</v>
      </c>
      <c r="U8" s="806" t="s">
        <v>475</v>
      </c>
      <c r="V8" s="802" t="s">
        <v>474</v>
      </c>
      <c r="W8" s="802" t="s">
        <v>8</v>
      </c>
      <c r="X8" s="803" t="s">
        <v>7</v>
      </c>
      <c r="Y8" s="807" t="s">
        <v>475</v>
      </c>
      <c r="Z8" s="808" t="s">
        <v>474</v>
      </c>
      <c r="AA8" s="808" t="s">
        <v>8</v>
      </c>
      <c r="AB8" s="809" t="s">
        <v>7</v>
      </c>
      <c r="AC8" s="810" t="s">
        <v>475</v>
      </c>
      <c r="AD8" s="811" t="s">
        <v>474</v>
      </c>
      <c r="AE8" s="808" t="s">
        <v>8</v>
      </c>
      <c r="AF8" s="809" t="s">
        <v>7</v>
      </c>
      <c r="AG8" s="810" t="s">
        <v>475</v>
      </c>
      <c r="AH8" s="808" t="s">
        <v>474</v>
      </c>
      <c r="AI8" s="808" t="s">
        <v>8</v>
      </c>
      <c r="AJ8" s="809" t="s">
        <v>7</v>
      </c>
      <c r="AK8" s="810" t="s">
        <v>475</v>
      </c>
      <c r="AL8" s="808" t="s">
        <v>474</v>
      </c>
      <c r="AM8" s="808" t="s">
        <v>8</v>
      </c>
      <c r="AN8" s="809" t="s">
        <v>7</v>
      </c>
      <c r="AO8" s="810" t="s">
        <v>475</v>
      </c>
      <c r="AP8" s="808" t="s">
        <v>474</v>
      </c>
      <c r="AQ8" s="808" t="s">
        <v>8</v>
      </c>
      <c r="AR8" s="809" t="s">
        <v>7</v>
      </c>
      <c r="AS8" s="810" t="s">
        <v>475</v>
      </c>
    </row>
    <row r="9" customFormat="false" ht="15.75" hidden="false" customHeight="false" outlineLevel="0" collapsed="false">
      <c r="A9" s="812" t="s">
        <v>393</v>
      </c>
      <c r="B9" s="813" t="n">
        <v>43.8</v>
      </c>
      <c r="C9" s="814" t="n">
        <v>41.9</v>
      </c>
      <c r="D9" s="815" t="n">
        <v>40.6</v>
      </c>
      <c r="E9" s="816" t="n">
        <f aca="false">D9/B9*100</f>
        <v>92.6940639269407</v>
      </c>
      <c r="F9" s="813" t="n">
        <v>41.76</v>
      </c>
      <c r="G9" s="814" t="n">
        <v>36.5</v>
      </c>
      <c r="H9" s="815" t="n">
        <v>28.4</v>
      </c>
      <c r="I9" s="816" t="n">
        <f aca="false">H9/F9*100</f>
        <v>68.007662835249</v>
      </c>
      <c r="J9" s="817" t="n">
        <v>31.2</v>
      </c>
      <c r="K9" s="815" t="n">
        <v>26.7</v>
      </c>
      <c r="L9" s="815" t="n">
        <v>28.8</v>
      </c>
      <c r="M9" s="818" t="n">
        <f aca="false">L9/J9*100</f>
        <v>92.3076923076923</v>
      </c>
      <c r="N9" s="814" t="n">
        <v>24.3</v>
      </c>
      <c r="O9" s="814" t="n">
        <v>22.8</v>
      </c>
      <c r="P9" s="815" t="n">
        <v>22.8</v>
      </c>
      <c r="Q9" s="816" t="n">
        <f aca="false">P9/N9*100</f>
        <v>93.8271604938272</v>
      </c>
      <c r="R9" s="813" t="n">
        <v>27.4</v>
      </c>
      <c r="S9" s="814" t="n">
        <v>27.4</v>
      </c>
      <c r="T9" s="815" t="n">
        <v>24.6</v>
      </c>
      <c r="U9" s="818" t="n">
        <f aca="false">T9/R9*100</f>
        <v>89.7810218978102</v>
      </c>
      <c r="V9" s="814" t="n">
        <v>26.3</v>
      </c>
      <c r="W9" s="814" t="n">
        <v>26</v>
      </c>
      <c r="X9" s="815" t="n">
        <v>21.3</v>
      </c>
      <c r="Y9" s="819" t="n">
        <f aca="false">X9/V9*100</f>
        <v>80.9885931558935</v>
      </c>
      <c r="Z9" s="820" t="n">
        <v>24.2</v>
      </c>
      <c r="AA9" s="820" t="n">
        <v>23.5</v>
      </c>
      <c r="AB9" s="821" t="n">
        <v>23.7</v>
      </c>
      <c r="AC9" s="822" t="n">
        <f aca="false">AB9/Z9*100</f>
        <v>97.9338842975207</v>
      </c>
      <c r="AD9" s="823" t="n">
        <v>20.9</v>
      </c>
      <c r="AE9" s="820" t="n">
        <v>20.4</v>
      </c>
      <c r="AF9" s="821" t="n">
        <v>18.6</v>
      </c>
      <c r="AG9" s="822" t="n">
        <f aca="false">AF9/AD9*100</f>
        <v>88.9952153110048</v>
      </c>
      <c r="AH9" s="820" t="n">
        <v>16.2</v>
      </c>
      <c r="AI9" s="820" t="n">
        <v>16.2</v>
      </c>
      <c r="AJ9" s="821" t="n">
        <v>16.2</v>
      </c>
      <c r="AK9" s="822" t="n">
        <f aca="false">AJ9/AH9*100</f>
        <v>100</v>
      </c>
      <c r="AL9" s="820" t="n">
        <v>17.6</v>
      </c>
      <c r="AM9" s="820" t="n">
        <v>17.6</v>
      </c>
      <c r="AN9" s="821" t="n">
        <v>16.1</v>
      </c>
      <c r="AO9" s="822" t="n">
        <f aca="false">AN9/AL9*100</f>
        <v>91.4772727272727</v>
      </c>
      <c r="AP9" s="820" t="n">
        <v>18.4</v>
      </c>
      <c r="AQ9" s="820" t="n">
        <v>17.5</v>
      </c>
      <c r="AR9" s="821" t="n">
        <v>22.8</v>
      </c>
      <c r="AS9" s="822" t="n">
        <f aca="false">AR9/AP9*100</f>
        <v>123.913043478261</v>
      </c>
    </row>
    <row r="10" customFormat="false" ht="15.75" hidden="false" customHeight="false" outlineLevel="0" collapsed="false">
      <c r="A10" s="812"/>
      <c r="B10" s="813"/>
      <c r="C10" s="814"/>
      <c r="D10" s="815"/>
      <c r="E10" s="816"/>
      <c r="F10" s="813"/>
      <c r="G10" s="814"/>
      <c r="H10" s="815"/>
      <c r="I10" s="816"/>
      <c r="J10" s="817"/>
      <c r="K10" s="815"/>
      <c r="L10" s="815"/>
      <c r="M10" s="818"/>
      <c r="N10" s="814"/>
      <c r="O10" s="814"/>
      <c r="P10" s="815"/>
      <c r="Q10" s="816"/>
      <c r="R10" s="813"/>
      <c r="S10" s="814"/>
      <c r="T10" s="815"/>
      <c r="U10" s="818"/>
      <c r="V10" s="814"/>
      <c r="W10" s="814"/>
      <c r="X10" s="815"/>
      <c r="Y10" s="819"/>
      <c r="Z10" s="820"/>
      <c r="AA10" s="820"/>
      <c r="AB10" s="821"/>
      <c r="AC10" s="822"/>
      <c r="AD10" s="823"/>
      <c r="AE10" s="820"/>
      <c r="AF10" s="821"/>
      <c r="AG10" s="822"/>
      <c r="AH10" s="820"/>
      <c r="AI10" s="820"/>
      <c r="AJ10" s="821"/>
      <c r="AK10" s="822"/>
      <c r="AL10" s="820"/>
      <c r="AM10" s="820"/>
      <c r="AN10" s="821"/>
      <c r="AO10" s="822"/>
      <c r="AP10" s="820"/>
      <c r="AQ10" s="820"/>
      <c r="AR10" s="821"/>
      <c r="AS10" s="822"/>
    </row>
    <row r="11" customFormat="false" ht="15.75" hidden="false" customHeight="false" outlineLevel="0" collapsed="false">
      <c r="A11" s="812" t="s">
        <v>476</v>
      </c>
      <c r="B11" s="824" t="n">
        <v>24.6</v>
      </c>
      <c r="C11" s="825" t="n">
        <v>23.9</v>
      </c>
      <c r="D11" s="826" t="n">
        <v>23.8</v>
      </c>
      <c r="E11" s="827" t="n">
        <f aca="false">D11/B11*100</f>
        <v>96.7479674796748</v>
      </c>
      <c r="F11" s="824" t="n">
        <v>27.7</v>
      </c>
      <c r="G11" s="825" t="n">
        <v>27</v>
      </c>
      <c r="H11" s="826" t="n">
        <v>27.5</v>
      </c>
      <c r="I11" s="827" t="n">
        <f aca="false">H11/F11*100</f>
        <v>99.2779783393502</v>
      </c>
      <c r="J11" s="828" t="n">
        <v>27.4</v>
      </c>
      <c r="K11" s="826" t="n">
        <v>26.9</v>
      </c>
      <c r="L11" s="826" t="n">
        <v>24.8</v>
      </c>
      <c r="M11" s="829" t="n">
        <f aca="false">L11/J11*100</f>
        <v>90.5109489051095</v>
      </c>
      <c r="N11" s="825" t="n">
        <v>20.4</v>
      </c>
      <c r="O11" s="825" t="n">
        <v>19.4</v>
      </c>
      <c r="P11" s="826" t="n">
        <v>18.1</v>
      </c>
      <c r="Q11" s="827" t="n">
        <f aca="false">P11/N11*100</f>
        <v>88.7254901960785</v>
      </c>
      <c r="R11" s="824" t="n">
        <v>27.7</v>
      </c>
      <c r="S11" s="825" t="n">
        <v>26.4</v>
      </c>
      <c r="T11" s="826" t="n">
        <v>23</v>
      </c>
      <c r="U11" s="829" t="n">
        <f aca="false">T11/R11*100</f>
        <v>83.0324909747292</v>
      </c>
      <c r="V11" s="825" t="n">
        <v>30.4</v>
      </c>
      <c r="W11" s="825" t="n">
        <v>26.2</v>
      </c>
      <c r="X11" s="826" t="n">
        <v>22.3</v>
      </c>
      <c r="Y11" s="830" t="n">
        <f aca="false">X11/V11*100</f>
        <v>73.3552631578947</v>
      </c>
      <c r="Z11" s="831" t="n">
        <v>37.7</v>
      </c>
      <c r="AA11" s="831" t="n">
        <v>30.9</v>
      </c>
      <c r="AB11" s="832" t="n">
        <v>24.7</v>
      </c>
      <c r="AC11" s="833" t="n">
        <f aca="false">AB11/Z11*100</f>
        <v>65.5172413793104</v>
      </c>
      <c r="AD11" s="834" t="n">
        <v>46.3</v>
      </c>
      <c r="AE11" s="831" t="n">
        <v>34</v>
      </c>
      <c r="AF11" s="832" t="n">
        <v>31.7</v>
      </c>
      <c r="AG11" s="833" t="n">
        <f aca="false">AF11/AD11*100</f>
        <v>68.4665226781858</v>
      </c>
      <c r="AH11" s="831" t="n">
        <v>50.3</v>
      </c>
      <c r="AI11" s="831" t="n">
        <v>33.9</v>
      </c>
      <c r="AJ11" s="832" t="n">
        <v>36.5</v>
      </c>
      <c r="AK11" s="833" t="n">
        <f aca="false">AJ11/AH11*100</f>
        <v>72.5646123260437</v>
      </c>
      <c r="AL11" s="831" t="n">
        <v>55.6</v>
      </c>
      <c r="AM11" s="831" t="n">
        <v>41.78</v>
      </c>
      <c r="AN11" s="832" t="n">
        <v>42</v>
      </c>
      <c r="AO11" s="833" t="n">
        <f aca="false">AN11/AL11*100</f>
        <v>75.5395683453237</v>
      </c>
      <c r="AP11" s="831" t="n">
        <v>56.8</v>
      </c>
      <c r="AQ11" s="831" t="n">
        <v>43.6</v>
      </c>
      <c r="AR11" s="832" t="n">
        <v>49.9</v>
      </c>
      <c r="AS11" s="833" t="n">
        <f aca="false">AR11/AP11*100</f>
        <v>87.8521126760563</v>
      </c>
    </row>
    <row r="12" customFormat="false" ht="15.75" hidden="false" customHeight="false" outlineLevel="0" collapsed="false">
      <c r="A12" s="812"/>
      <c r="B12" s="824"/>
      <c r="C12" s="825"/>
      <c r="D12" s="826"/>
      <c r="E12" s="827"/>
      <c r="F12" s="824"/>
      <c r="G12" s="825"/>
      <c r="H12" s="826"/>
      <c r="I12" s="827"/>
      <c r="J12" s="828"/>
      <c r="K12" s="826"/>
      <c r="L12" s="826"/>
      <c r="M12" s="829"/>
      <c r="N12" s="825"/>
      <c r="O12" s="825"/>
      <c r="P12" s="826"/>
      <c r="Q12" s="827"/>
      <c r="R12" s="824"/>
      <c r="S12" s="825"/>
      <c r="T12" s="826"/>
      <c r="U12" s="829"/>
      <c r="V12" s="825"/>
      <c r="W12" s="825"/>
      <c r="X12" s="826"/>
      <c r="Y12" s="830"/>
      <c r="Z12" s="831"/>
      <c r="AA12" s="831"/>
      <c r="AB12" s="832"/>
      <c r="AC12" s="833"/>
      <c r="AD12" s="834"/>
      <c r="AE12" s="831"/>
      <c r="AF12" s="832"/>
      <c r="AG12" s="833"/>
      <c r="AH12" s="831"/>
      <c r="AI12" s="831"/>
      <c r="AJ12" s="832"/>
      <c r="AK12" s="833"/>
      <c r="AL12" s="831"/>
      <c r="AM12" s="831"/>
      <c r="AN12" s="832"/>
      <c r="AO12" s="833"/>
      <c r="AP12" s="831"/>
      <c r="AQ12" s="831"/>
      <c r="AR12" s="832"/>
      <c r="AS12" s="833"/>
    </row>
    <row r="13" customFormat="false" ht="15.75" hidden="false" customHeight="false" outlineLevel="0" collapsed="false">
      <c r="A13" s="812" t="s">
        <v>477</v>
      </c>
      <c r="B13" s="835" t="n">
        <v>12.1</v>
      </c>
      <c r="C13" s="836" t="n">
        <v>12.1</v>
      </c>
      <c r="D13" s="837" t="n">
        <v>12.2</v>
      </c>
      <c r="E13" s="838" t="n">
        <f aca="false">D13/B13*100</f>
        <v>100.826446280992</v>
      </c>
      <c r="F13" s="835" t="n">
        <v>7.85</v>
      </c>
      <c r="G13" s="836" t="n">
        <v>4.8</v>
      </c>
      <c r="H13" s="837" t="n">
        <v>4</v>
      </c>
      <c r="I13" s="838" t="n">
        <f aca="false">H13/F13*100</f>
        <v>50.9554140127389</v>
      </c>
      <c r="J13" s="839" t="n">
        <v>4.1</v>
      </c>
      <c r="K13" s="837" t="n">
        <v>3.8</v>
      </c>
      <c r="L13" s="837" t="n">
        <v>2.5</v>
      </c>
      <c r="M13" s="840" t="n">
        <f aca="false">L13/J13*100</f>
        <v>60.9756097560976</v>
      </c>
      <c r="N13" s="836" t="n">
        <v>10</v>
      </c>
      <c r="O13" s="836" t="n">
        <v>10</v>
      </c>
      <c r="P13" s="837" t="n">
        <v>0.6</v>
      </c>
      <c r="Q13" s="838" t="n">
        <f aca="false">P13/N13*100</f>
        <v>6</v>
      </c>
      <c r="R13" s="835" t="n">
        <v>19.6</v>
      </c>
      <c r="S13" s="836" t="n">
        <v>10.3</v>
      </c>
      <c r="T13" s="837" t="n">
        <v>1.9</v>
      </c>
      <c r="U13" s="840" t="n">
        <f aca="false">T13/R13*100</f>
        <v>9.69387755102041</v>
      </c>
      <c r="V13" s="836" t="n">
        <v>16</v>
      </c>
      <c r="W13" s="836" t="n">
        <v>8.3</v>
      </c>
      <c r="X13" s="837" t="n">
        <v>2.7</v>
      </c>
      <c r="Y13" s="841" t="n">
        <f aca="false">X13/V13*100</f>
        <v>16.875</v>
      </c>
      <c r="Z13" s="842" t="n">
        <v>24.9</v>
      </c>
      <c r="AA13" s="842" t="n">
        <v>1.8</v>
      </c>
      <c r="AB13" s="843" t="n">
        <v>8.8</v>
      </c>
      <c r="AC13" s="844" t="n">
        <f aca="false">AB13/Z13*100</f>
        <v>35.3413654618474</v>
      </c>
      <c r="AD13" s="845" t="n">
        <v>17.6</v>
      </c>
      <c r="AE13" s="842" t="n">
        <v>1.7</v>
      </c>
      <c r="AF13" s="843" t="n">
        <v>8.8</v>
      </c>
      <c r="AG13" s="844" t="n">
        <f aca="false">AF13/AD13*100</f>
        <v>50</v>
      </c>
      <c r="AH13" s="842" t="n">
        <v>3.2</v>
      </c>
      <c r="AI13" s="842" t="n">
        <v>0.8</v>
      </c>
      <c r="AJ13" s="843" t="n">
        <v>1.1</v>
      </c>
      <c r="AK13" s="844" t="n">
        <f aca="false">AJ13/AH13*100</f>
        <v>34.375</v>
      </c>
      <c r="AL13" s="842" t="n">
        <v>2.3</v>
      </c>
      <c r="AM13" s="842" t="n">
        <v>0.8</v>
      </c>
      <c r="AN13" s="843" t="n">
        <v>1.6</v>
      </c>
      <c r="AO13" s="844" t="n">
        <f aca="false">AN13/AL13*100</f>
        <v>69.5652173913044</v>
      </c>
      <c r="AP13" s="842" t="n">
        <v>1.4</v>
      </c>
      <c r="AQ13" s="842" t="n">
        <v>0.8</v>
      </c>
      <c r="AR13" s="843" t="n">
        <v>0.9</v>
      </c>
      <c r="AS13" s="844" t="n">
        <f aca="false">AR13/AP13*100</f>
        <v>64.2857142857143</v>
      </c>
    </row>
    <row r="14" customFormat="false" ht="15.75" hidden="false" customHeight="false" outlineLevel="0" collapsed="false">
      <c r="A14" s="812"/>
      <c r="B14" s="835"/>
      <c r="C14" s="836"/>
      <c r="D14" s="837"/>
      <c r="E14" s="838"/>
      <c r="F14" s="835"/>
      <c r="G14" s="836"/>
      <c r="H14" s="837"/>
      <c r="I14" s="838"/>
      <c r="J14" s="839"/>
      <c r="K14" s="837"/>
      <c r="L14" s="837"/>
      <c r="M14" s="840"/>
      <c r="N14" s="836"/>
      <c r="O14" s="836"/>
      <c r="P14" s="837"/>
      <c r="Q14" s="838"/>
      <c r="R14" s="835"/>
      <c r="S14" s="836"/>
      <c r="T14" s="837"/>
      <c r="U14" s="840"/>
      <c r="V14" s="836"/>
      <c r="W14" s="836"/>
      <c r="X14" s="837"/>
      <c r="Y14" s="841"/>
      <c r="Z14" s="842"/>
      <c r="AA14" s="842"/>
      <c r="AB14" s="843"/>
      <c r="AC14" s="844"/>
      <c r="AD14" s="845"/>
      <c r="AE14" s="842"/>
      <c r="AF14" s="843"/>
      <c r="AG14" s="844"/>
      <c r="AH14" s="842"/>
      <c r="AI14" s="842"/>
      <c r="AJ14" s="843"/>
      <c r="AK14" s="844"/>
      <c r="AL14" s="842"/>
      <c r="AM14" s="842"/>
      <c r="AN14" s="843"/>
      <c r="AO14" s="844"/>
      <c r="AP14" s="842"/>
      <c r="AQ14" s="842"/>
      <c r="AR14" s="843"/>
      <c r="AS14" s="844"/>
    </row>
    <row r="15" customFormat="false" ht="15.75" hidden="false" customHeight="false" outlineLevel="0" collapsed="false">
      <c r="A15" s="812" t="s">
        <v>478</v>
      </c>
      <c r="B15" s="824" t="n">
        <v>3.2</v>
      </c>
      <c r="C15" s="825" t="n">
        <v>1.7</v>
      </c>
      <c r="D15" s="826" t="n">
        <v>1.1</v>
      </c>
      <c r="E15" s="827" t="n">
        <f aca="false">D15/B15*100</f>
        <v>34.375</v>
      </c>
      <c r="F15" s="824" t="n">
        <v>2.6</v>
      </c>
      <c r="G15" s="825" t="n">
        <v>1.4</v>
      </c>
      <c r="H15" s="826" t="n">
        <v>2.4</v>
      </c>
      <c r="I15" s="827" t="n">
        <f aca="false">H15/F15*100</f>
        <v>92.3076923076923</v>
      </c>
      <c r="J15" s="828" t="n">
        <v>0.9</v>
      </c>
      <c r="K15" s="826" t="n">
        <v>0.9</v>
      </c>
      <c r="L15" s="826" t="n">
        <v>0.9</v>
      </c>
      <c r="M15" s="829" t="n">
        <f aca="false">L15/J15*100</f>
        <v>100</v>
      </c>
      <c r="N15" s="825" t="n">
        <v>1.1</v>
      </c>
      <c r="O15" s="825" t="n">
        <v>1.1</v>
      </c>
      <c r="P15" s="826" t="n">
        <v>0.9</v>
      </c>
      <c r="Q15" s="827" t="n">
        <f aca="false">P15/N15*100</f>
        <v>81.8181818181818</v>
      </c>
      <c r="R15" s="824" t="n">
        <v>2.1</v>
      </c>
      <c r="S15" s="825" t="n">
        <v>2</v>
      </c>
      <c r="T15" s="826" t="n">
        <v>1.8</v>
      </c>
      <c r="U15" s="829" t="n">
        <f aca="false">T15/R15*100</f>
        <v>85.7142857142857</v>
      </c>
      <c r="V15" s="825" t="n">
        <v>1.4</v>
      </c>
      <c r="W15" s="825" t="n">
        <v>1.4</v>
      </c>
      <c r="X15" s="826" t="n">
        <v>1.4</v>
      </c>
      <c r="Y15" s="830" t="n">
        <f aca="false">X15/V15*100</f>
        <v>100</v>
      </c>
      <c r="Z15" s="831" t="n">
        <v>1.4</v>
      </c>
      <c r="AA15" s="831" t="n">
        <v>1.4</v>
      </c>
      <c r="AB15" s="832" t="n">
        <v>1.3</v>
      </c>
      <c r="AC15" s="833" t="n">
        <f aca="false">AB15/Z15*100</f>
        <v>92.8571428571429</v>
      </c>
      <c r="AD15" s="834" t="n">
        <v>1</v>
      </c>
      <c r="AE15" s="831" t="n">
        <v>1</v>
      </c>
      <c r="AF15" s="832" t="n">
        <v>1</v>
      </c>
      <c r="AG15" s="833" t="n">
        <f aca="false">AF15/AD15*100</f>
        <v>100</v>
      </c>
      <c r="AH15" s="831" t="n">
        <v>3.4</v>
      </c>
      <c r="AI15" s="831" t="n">
        <v>2</v>
      </c>
      <c r="AJ15" s="832" t="n">
        <v>2.9</v>
      </c>
      <c r="AK15" s="833" t="n">
        <f aca="false">AJ15/AH15*100</f>
        <v>85.2941176470588</v>
      </c>
      <c r="AL15" s="831" t="n">
        <v>2.1</v>
      </c>
      <c r="AM15" s="831" t="n">
        <v>1.8</v>
      </c>
      <c r="AN15" s="832" t="n">
        <v>1.2</v>
      </c>
      <c r="AO15" s="833" t="n">
        <f aca="false">AN15/AL15*100</f>
        <v>57.1428571428571</v>
      </c>
      <c r="AP15" s="831" t="n">
        <v>4.7</v>
      </c>
      <c r="AQ15" s="831" t="n">
        <v>3.7</v>
      </c>
      <c r="AR15" s="832" t="n">
        <v>3.1</v>
      </c>
      <c r="AS15" s="833" t="n">
        <f aca="false">AR15/AP15*100</f>
        <v>65.9574468085106</v>
      </c>
    </row>
    <row r="16" customFormat="false" ht="15.75" hidden="false" customHeight="false" outlineLevel="0" collapsed="false">
      <c r="A16" s="812"/>
      <c r="B16" s="824"/>
      <c r="C16" s="825"/>
      <c r="D16" s="826"/>
      <c r="E16" s="827"/>
      <c r="F16" s="824"/>
      <c r="G16" s="825"/>
      <c r="H16" s="826"/>
      <c r="I16" s="827"/>
      <c r="J16" s="828"/>
      <c r="K16" s="826"/>
      <c r="L16" s="826"/>
      <c r="M16" s="829"/>
      <c r="N16" s="825"/>
      <c r="O16" s="825"/>
      <c r="P16" s="826"/>
      <c r="Q16" s="827"/>
      <c r="R16" s="824"/>
      <c r="S16" s="825"/>
      <c r="T16" s="826"/>
      <c r="U16" s="829"/>
      <c r="V16" s="825"/>
      <c r="W16" s="825"/>
      <c r="X16" s="826"/>
      <c r="Y16" s="830"/>
      <c r="Z16" s="831"/>
      <c r="AA16" s="831"/>
      <c r="AB16" s="832"/>
      <c r="AC16" s="833"/>
      <c r="AD16" s="834"/>
      <c r="AE16" s="831"/>
      <c r="AF16" s="832"/>
      <c r="AG16" s="833"/>
      <c r="AH16" s="831"/>
      <c r="AI16" s="831"/>
      <c r="AJ16" s="832"/>
      <c r="AK16" s="833"/>
      <c r="AL16" s="831"/>
      <c r="AM16" s="831"/>
      <c r="AN16" s="832"/>
      <c r="AO16" s="833"/>
      <c r="AP16" s="831"/>
      <c r="AQ16" s="831"/>
      <c r="AR16" s="832"/>
      <c r="AS16" s="833"/>
    </row>
    <row r="17" customFormat="false" ht="15.75" hidden="false" customHeight="false" outlineLevel="0" collapsed="false">
      <c r="A17" s="812" t="s">
        <v>479</v>
      </c>
      <c r="B17" s="835" t="n">
        <v>40</v>
      </c>
      <c r="C17" s="836" t="n">
        <v>36.2</v>
      </c>
      <c r="D17" s="837" t="n">
        <v>26.4</v>
      </c>
      <c r="E17" s="838" t="n">
        <f aca="false">D17/B17*100</f>
        <v>66</v>
      </c>
      <c r="F17" s="835" t="n">
        <v>51.5</v>
      </c>
      <c r="G17" s="836" t="n">
        <v>42.6</v>
      </c>
      <c r="H17" s="837" t="n">
        <v>26.3</v>
      </c>
      <c r="I17" s="838" t="n">
        <f aca="false">H17/F17*100</f>
        <v>51.0679611650485</v>
      </c>
      <c r="J17" s="839" t="n">
        <v>47.3</v>
      </c>
      <c r="K17" s="837" t="n">
        <v>33.9</v>
      </c>
      <c r="L17" s="837" t="n">
        <v>29.8</v>
      </c>
      <c r="M17" s="840" t="n">
        <f aca="false">L17/J17*100</f>
        <v>63.0021141649049</v>
      </c>
      <c r="N17" s="836" t="n">
        <v>47</v>
      </c>
      <c r="O17" s="836" t="n">
        <v>38.6</v>
      </c>
      <c r="P17" s="837" t="n">
        <v>21</v>
      </c>
      <c r="Q17" s="838" t="n">
        <f aca="false">P17/N17*100</f>
        <v>44.6808510638298</v>
      </c>
      <c r="R17" s="835" t="n">
        <v>45.7</v>
      </c>
      <c r="S17" s="836" t="n">
        <v>42.5</v>
      </c>
      <c r="T17" s="837" t="n">
        <v>23</v>
      </c>
      <c r="U17" s="840" t="n">
        <f aca="false">T17/R17*100</f>
        <v>50.328227571116</v>
      </c>
      <c r="V17" s="836" t="n">
        <v>49</v>
      </c>
      <c r="W17" s="836" t="n">
        <v>40.6</v>
      </c>
      <c r="X17" s="837" t="n">
        <v>29.2</v>
      </c>
      <c r="Y17" s="841" t="n">
        <f aca="false">X17/V17*100</f>
        <v>59.5918367346939</v>
      </c>
      <c r="Z17" s="842" t="n">
        <v>63.2</v>
      </c>
      <c r="AA17" s="842" t="n">
        <v>43.9</v>
      </c>
      <c r="AB17" s="843" t="n">
        <v>35.7</v>
      </c>
      <c r="AC17" s="844" t="n">
        <f aca="false">AB17/Z17*100</f>
        <v>56.4873417721519</v>
      </c>
      <c r="AD17" s="845" t="n">
        <v>75.8</v>
      </c>
      <c r="AE17" s="842" t="n">
        <v>49.1</v>
      </c>
      <c r="AF17" s="843" t="n">
        <v>52.4</v>
      </c>
      <c r="AG17" s="844" t="n">
        <f aca="false">AF17/AD17*100</f>
        <v>69.1292875989446</v>
      </c>
      <c r="AH17" s="842" t="n">
        <v>81.7</v>
      </c>
      <c r="AI17" s="842" t="n">
        <v>59.1</v>
      </c>
      <c r="AJ17" s="843" t="n">
        <v>80.8</v>
      </c>
      <c r="AK17" s="844" t="n">
        <f aca="false">AJ17/AH17*100</f>
        <v>98.8984088127295</v>
      </c>
      <c r="AL17" s="842" t="n">
        <v>82.3</v>
      </c>
      <c r="AM17" s="842" t="n">
        <v>81.4</v>
      </c>
      <c r="AN17" s="843" t="n">
        <v>79.2</v>
      </c>
      <c r="AO17" s="844" t="n">
        <f aca="false">AN17/AL17*100</f>
        <v>96.2332928311057</v>
      </c>
      <c r="AP17" s="842" t="n">
        <v>73.4</v>
      </c>
      <c r="AQ17" s="842" t="n">
        <v>70.3</v>
      </c>
      <c r="AR17" s="843" t="n">
        <v>82</v>
      </c>
      <c r="AS17" s="844" t="n">
        <f aca="false">AR17/AP17*100</f>
        <v>111.716621253406</v>
      </c>
    </row>
    <row r="18" customFormat="false" ht="15.75" hidden="false" customHeight="false" outlineLevel="0" collapsed="false">
      <c r="A18" s="812"/>
      <c r="B18" s="846"/>
      <c r="C18" s="847"/>
      <c r="D18" s="848"/>
      <c r="E18" s="849"/>
      <c r="F18" s="846"/>
      <c r="G18" s="847"/>
      <c r="H18" s="848"/>
      <c r="I18" s="849"/>
      <c r="J18" s="850"/>
      <c r="K18" s="848"/>
      <c r="L18" s="848"/>
      <c r="M18" s="851"/>
      <c r="N18" s="847"/>
      <c r="O18" s="847"/>
      <c r="P18" s="848"/>
      <c r="Q18" s="849"/>
      <c r="R18" s="846"/>
      <c r="S18" s="847"/>
      <c r="T18" s="848"/>
      <c r="U18" s="851"/>
      <c r="V18" s="847"/>
      <c r="W18" s="847"/>
      <c r="X18" s="848"/>
      <c r="Y18" s="852"/>
      <c r="Z18" s="853"/>
      <c r="AA18" s="853"/>
      <c r="AB18" s="854"/>
      <c r="AC18" s="855"/>
      <c r="AD18" s="856"/>
      <c r="AE18" s="853"/>
      <c r="AF18" s="854"/>
      <c r="AG18" s="855"/>
      <c r="AH18" s="853"/>
      <c r="AI18" s="853"/>
      <c r="AJ18" s="854"/>
      <c r="AK18" s="855"/>
      <c r="AL18" s="853"/>
      <c r="AM18" s="853"/>
      <c r="AN18" s="854"/>
      <c r="AO18" s="855"/>
      <c r="AP18" s="853"/>
      <c r="AQ18" s="853"/>
      <c r="AR18" s="854"/>
      <c r="AS18" s="855"/>
    </row>
    <row r="19" customFormat="false" ht="15.75" hidden="false" customHeight="false" outlineLevel="0" collapsed="false">
      <c r="A19" s="812" t="s">
        <v>480</v>
      </c>
      <c r="B19" s="857" t="n">
        <v>0</v>
      </c>
      <c r="C19" s="858" t="n">
        <v>0</v>
      </c>
      <c r="D19" s="859" t="n">
        <v>0</v>
      </c>
      <c r="E19" s="860" t="n">
        <v>0</v>
      </c>
      <c r="F19" s="857" t="n">
        <v>0</v>
      </c>
      <c r="G19" s="858" t="n">
        <v>0</v>
      </c>
      <c r="H19" s="859" t="n">
        <v>0</v>
      </c>
      <c r="I19" s="860" t="n">
        <v>0</v>
      </c>
      <c r="J19" s="861" t="n">
        <v>0.9</v>
      </c>
      <c r="K19" s="859" t="n">
        <v>0.9</v>
      </c>
      <c r="L19" s="859" t="n">
        <v>0.2</v>
      </c>
      <c r="M19" s="862" t="n">
        <f aca="false">L19/J19*100</f>
        <v>22.2222222222222</v>
      </c>
      <c r="N19" s="858" t="n">
        <v>1.3</v>
      </c>
      <c r="O19" s="858" t="n">
        <v>1.2</v>
      </c>
      <c r="P19" s="859" t="n">
        <v>0.6</v>
      </c>
      <c r="Q19" s="860" t="n">
        <f aca="false">P19/N19*100</f>
        <v>46.1538461538462</v>
      </c>
      <c r="R19" s="857" t="n">
        <v>1.5</v>
      </c>
      <c r="S19" s="858" t="n">
        <v>1</v>
      </c>
      <c r="T19" s="859" t="n">
        <v>0.8</v>
      </c>
      <c r="U19" s="862" t="n">
        <f aca="false">T19/R19*100</f>
        <v>53.3333333333333</v>
      </c>
      <c r="V19" s="858" t="n">
        <v>2.1</v>
      </c>
      <c r="W19" s="858" t="n">
        <v>1.5</v>
      </c>
      <c r="X19" s="859" t="n">
        <v>1.3</v>
      </c>
      <c r="Y19" s="863" t="n">
        <f aca="false">X19/V19*100</f>
        <v>61.9047619047619</v>
      </c>
      <c r="Z19" s="864" t="n">
        <v>1.5</v>
      </c>
      <c r="AA19" s="864" t="n">
        <v>1.5</v>
      </c>
      <c r="AB19" s="865" t="n">
        <v>0</v>
      </c>
      <c r="AC19" s="866" t="n">
        <f aca="false">AB19/Z19*100</f>
        <v>0</v>
      </c>
      <c r="AD19" s="867" t="n">
        <v>1.5</v>
      </c>
      <c r="AE19" s="864" t="n">
        <v>1.5</v>
      </c>
      <c r="AF19" s="865" t="n">
        <v>0.1</v>
      </c>
      <c r="AG19" s="866" t="n">
        <f aca="false">AF19/AD19*100</f>
        <v>6.66666666666667</v>
      </c>
      <c r="AH19" s="864" t="s">
        <v>3</v>
      </c>
      <c r="AI19" s="864"/>
      <c r="AJ19" s="865"/>
      <c r="AK19" s="866"/>
      <c r="AL19" s="864"/>
      <c r="AM19" s="864"/>
      <c r="AN19" s="865"/>
      <c r="AO19" s="866"/>
      <c r="AP19" s="864"/>
      <c r="AQ19" s="864"/>
      <c r="AR19" s="865"/>
      <c r="AS19" s="866"/>
    </row>
    <row r="20" customFormat="false" ht="15.75" hidden="false" customHeight="false" outlineLevel="0" collapsed="false">
      <c r="A20" s="812"/>
      <c r="B20" s="868"/>
      <c r="C20" s="869"/>
      <c r="D20" s="870"/>
      <c r="E20" s="871"/>
      <c r="F20" s="868"/>
      <c r="G20" s="869"/>
      <c r="H20" s="870"/>
      <c r="I20" s="871"/>
      <c r="J20" s="872"/>
      <c r="K20" s="870"/>
      <c r="L20" s="870"/>
      <c r="M20" s="873"/>
      <c r="N20" s="869"/>
      <c r="O20" s="869"/>
      <c r="P20" s="870"/>
      <c r="Q20" s="871"/>
      <c r="R20" s="868"/>
      <c r="S20" s="869"/>
      <c r="T20" s="870"/>
      <c r="U20" s="873"/>
      <c r="V20" s="869"/>
      <c r="W20" s="869"/>
      <c r="X20" s="870"/>
      <c r="Y20" s="874"/>
      <c r="Z20" s="875"/>
      <c r="AA20" s="875"/>
      <c r="AB20" s="876"/>
      <c r="AC20" s="877"/>
      <c r="AD20" s="878"/>
      <c r="AE20" s="875"/>
      <c r="AF20" s="876"/>
      <c r="AG20" s="877"/>
      <c r="AH20" s="875"/>
      <c r="AI20" s="875"/>
      <c r="AJ20" s="876"/>
      <c r="AK20" s="877"/>
      <c r="AL20" s="875"/>
      <c r="AM20" s="875"/>
      <c r="AN20" s="876"/>
      <c r="AO20" s="877"/>
      <c r="AP20" s="875"/>
      <c r="AQ20" s="875"/>
      <c r="AR20" s="876"/>
      <c r="AS20" s="877"/>
    </row>
    <row r="21" customFormat="false" ht="16.5" hidden="false" customHeight="false" outlineLevel="0" collapsed="false">
      <c r="A21" s="879" t="s">
        <v>324</v>
      </c>
      <c r="B21" s="880" t="n">
        <f aca="false">SUM(B9:B19)</f>
        <v>123.7</v>
      </c>
      <c r="C21" s="880" t="n">
        <f aca="false">SUM(C9:C19)</f>
        <v>115.8</v>
      </c>
      <c r="D21" s="881" t="n">
        <f aca="false">SUM(D9:D19)</f>
        <v>104.1</v>
      </c>
      <c r="E21" s="882" t="n">
        <f aca="false">D21/B21*100</f>
        <v>84.1552142279709</v>
      </c>
      <c r="F21" s="880" t="n">
        <f aca="false">SUM(F9:F19)</f>
        <v>131.41</v>
      </c>
      <c r="G21" s="880" t="n">
        <f aca="false">SUM(G9:G19)</f>
        <v>112.3</v>
      </c>
      <c r="H21" s="881" t="n">
        <f aca="false">SUM(H9:H19)</f>
        <v>88.6</v>
      </c>
      <c r="I21" s="882" t="n">
        <f aca="false">H21/F21*100</f>
        <v>67.4225705806256</v>
      </c>
      <c r="J21" s="883" t="n">
        <f aca="false">SUM(J9:J19)</f>
        <v>111.8</v>
      </c>
      <c r="K21" s="883" t="n">
        <f aca="false">SUM(K9:K19)</f>
        <v>93.1</v>
      </c>
      <c r="L21" s="881" t="n">
        <f aca="false">SUM(L9:L19)</f>
        <v>87</v>
      </c>
      <c r="M21" s="884" t="n">
        <f aca="false">L21/J21*100</f>
        <v>77.8175313059034</v>
      </c>
      <c r="N21" s="885" t="n">
        <f aca="false">SUM(N9:N19)</f>
        <v>104.1</v>
      </c>
      <c r="O21" s="885" t="n">
        <f aca="false">SUM(O9:O19)</f>
        <v>93.1</v>
      </c>
      <c r="P21" s="881" t="n">
        <f aca="false">SUM(P9:P19)</f>
        <v>64</v>
      </c>
      <c r="Q21" s="882" t="n">
        <f aca="false">P21/N21*100</f>
        <v>61.4793467819405</v>
      </c>
      <c r="R21" s="880" t="n">
        <f aca="false">SUM(R9:R19)</f>
        <v>124</v>
      </c>
      <c r="S21" s="880" t="n">
        <f aca="false">SUM(S9:S19)</f>
        <v>109.6</v>
      </c>
      <c r="T21" s="881" t="n">
        <f aca="false">SUM(T9:T19)</f>
        <v>75.1</v>
      </c>
      <c r="U21" s="884" t="n">
        <f aca="false">T21/R21*100</f>
        <v>60.5645161290323</v>
      </c>
      <c r="V21" s="885" t="n">
        <f aca="false">SUM(V9:V19)</f>
        <v>125.2</v>
      </c>
      <c r="W21" s="880" t="n">
        <f aca="false">SUM(W9:W19)</f>
        <v>104</v>
      </c>
      <c r="X21" s="881" t="n">
        <f aca="false">SUM(X9:X19)</f>
        <v>78.2</v>
      </c>
      <c r="Y21" s="886" t="n">
        <f aca="false">X21/V21*100</f>
        <v>62.4600638977636</v>
      </c>
      <c r="Z21" s="887" t="n">
        <f aca="false">SUM(Z9:Z19)</f>
        <v>152.9</v>
      </c>
      <c r="AA21" s="880" t="n">
        <f aca="false">SUM(AA9:AA19)</f>
        <v>103</v>
      </c>
      <c r="AB21" s="888" t="n">
        <f aca="false">SUM(AB9:AB19)</f>
        <v>94.2</v>
      </c>
      <c r="AC21" s="889" t="n">
        <f aca="false">AB21/Z21*100</f>
        <v>61.6088947024199</v>
      </c>
      <c r="AD21" s="890" t="n">
        <f aca="false">SUM(AD9:AD19)</f>
        <v>163.1</v>
      </c>
      <c r="AE21" s="890" t="n">
        <f aca="false">SUM(AE9:AE19)</f>
        <v>107.7</v>
      </c>
      <c r="AF21" s="888" t="n">
        <f aca="false">SUM(AF9:AF19)</f>
        <v>112.6</v>
      </c>
      <c r="AG21" s="889" t="n">
        <f aca="false">AF21/AD21*100</f>
        <v>69.0374003678725</v>
      </c>
      <c r="AH21" s="887" t="n">
        <f aca="false">SUM(AH9:AH19)</f>
        <v>154.8</v>
      </c>
      <c r="AI21" s="887" t="n">
        <f aca="false">SUM(AI9:AI19)</f>
        <v>112</v>
      </c>
      <c r="AJ21" s="888" t="n">
        <f aca="false">SUM(AJ9:AJ19)</f>
        <v>137.5</v>
      </c>
      <c r="AK21" s="889" t="n">
        <f aca="false">AJ21/AH21*100</f>
        <v>88.8242894056848</v>
      </c>
      <c r="AL21" s="887" t="n">
        <f aca="false">SUM(AL9:AL19)</f>
        <v>159.9</v>
      </c>
      <c r="AM21" s="887" t="n">
        <f aca="false">SUM(AM9:AM19)</f>
        <v>143.38</v>
      </c>
      <c r="AN21" s="888" t="n">
        <f aca="false">SUM(AN9:AN19)</f>
        <v>140.1</v>
      </c>
      <c r="AO21" s="889" t="n">
        <f aca="false">AN21/AL21*100</f>
        <v>87.6172607879925</v>
      </c>
      <c r="AP21" s="887" t="n">
        <f aca="false">SUM(AP9:AP19)</f>
        <v>154.7</v>
      </c>
      <c r="AQ21" s="887" t="n">
        <f aca="false">SUM(AQ9:AQ19)</f>
        <v>135.9</v>
      </c>
      <c r="AR21" s="888" t="n">
        <f aca="false">SUM(AR9:AR19)</f>
        <v>158.7</v>
      </c>
      <c r="AS21" s="889" t="n">
        <f aca="false">AR21/AP21*100</f>
        <v>102.585649644473</v>
      </c>
    </row>
    <row r="23" customFormat="false" ht="15.75" hidden="false" customHeight="false" outlineLevel="0" collapsed="false">
      <c r="Z23" s="8"/>
      <c r="AA23" s="8"/>
    </row>
    <row r="24" customFormat="false" ht="15.75" hidden="false" customHeight="true" outlineLevel="0" collapsed="false"/>
    <row r="25" customFormat="false" ht="12.75" hidden="false" customHeight="false" outlineLevel="0" collapsed="false">
      <c r="A25" s="201"/>
      <c r="B25" s="201"/>
      <c r="C25" s="201"/>
      <c r="D25" s="201"/>
      <c r="E25" s="201"/>
      <c r="N25" s="201"/>
      <c r="O25" s="201"/>
      <c r="P25" s="201"/>
      <c r="Q25" s="891"/>
      <c r="R25" s="787"/>
      <c r="S25" s="787"/>
      <c r="T25" s="201"/>
      <c r="U25" s="891"/>
      <c r="V25" s="201"/>
      <c r="W25" s="201"/>
      <c r="X25" s="201"/>
      <c r="Y25" s="891"/>
      <c r="Z25" s="201"/>
      <c r="AA25" s="201"/>
      <c r="AB25" s="201"/>
      <c r="AC25" s="891"/>
      <c r="AD25" s="201"/>
      <c r="AE25" s="201"/>
      <c r="AF25" s="201"/>
      <c r="AG25" s="891"/>
    </row>
    <row r="26" customFormat="false" ht="12.75" hidden="false" customHeight="false" outlineLevel="0" collapsed="false">
      <c r="A26" s="3"/>
      <c r="B26" s="3"/>
      <c r="C26" s="3"/>
      <c r="D26" s="3"/>
      <c r="E26" s="3"/>
      <c r="I26" s="787"/>
      <c r="M26" s="787"/>
      <c r="Q26" s="891"/>
      <c r="U26" s="891"/>
      <c r="Y26" s="891"/>
      <c r="AC26" s="891"/>
      <c r="AG26" s="891"/>
    </row>
    <row r="28" customFormat="false" ht="15.75" hidden="false" customHeight="false" outlineLevel="0" collapsed="false">
      <c r="A28" s="7" t="s">
        <v>481</v>
      </c>
      <c r="B28" s="7"/>
      <c r="C28" s="7"/>
      <c r="D28" s="7"/>
      <c r="E28" s="7"/>
      <c r="AH28" s="8" t="s">
        <v>473</v>
      </c>
      <c r="AI28" s="8"/>
    </row>
    <row r="30" customFormat="false" ht="13.5" hidden="false" customHeight="false" outlineLevel="0" collapsed="false"/>
    <row r="31" customFormat="false" ht="15.75" hidden="false" customHeight="false" outlineLevel="0" collapsed="false">
      <c r="A31" s="793"/>
      <c r="B31" s="794"/>
      <c r="C31" s="794"/>
      <c r="D31" s="795" t="n">
        <v>2009</v>
      </c>
      <c r="E31" s="796"/>
      <c r="F31" s="794"/>
      <c r="G31" s="794"/>
      <c r="H31" s="795" t="n">
        <v>2010</v>
      </c>
      <c r="I31" s="795"/>
      <c r="J31" s="797"/>
      <c r="K31" s="795"/>
      <c r="L31" s="795" t="n">
        <v>2011</v>
      </c>
      <c r="M31" s="796"/>
      <c r="N31" s="795"/>
      <c r="O31" s="795"/>
      <c r="P31" s="795" t="n">
        <v>2012</v>
      </c>
      <c r="Q31" s="798"/>
      <c r="R31" s="797"/>
      <c r="S31" s="795"/>
      <c r="T31" s="795" t="n">
        <v>2013</v>
      </c>
      <c r="U31" s="798"/>
      <c r="V31" s="797"/>
      <c r="W31" s="795"/>
      <c r="X31" s="795" t="n">
        <v>2014</v>
      </c>
      <c r="Y31" s="799"/>
      <c r="Z31" s="795"/>
      <c r="AA31" s="795"/>
      <c r="AB31" s="795" t="n">
        <v>2015</v>
      </c>
      <c r="AC31" s="799"/>
      <c r="AD31" s="797"/>
      <c r="AE31" s="795"/>
      <c r="AF31" s="795" t="n">
        <v>2016</v>
      </c>
      <c r="AG31" s="794"/>
      <c r="AH31" s="797"/>
      <c r="AI31" s="795"/>
      <c r="AJ31" s="795" t="n">
        <v>2017</v>
      </c>
      <c r="AK31" s="799"/>
      <c r="AL31" s="795"/>
      <c r="AM31" s="795"/>
      <c r="AN31" s="795" t="n">
        <v>2018</v>
      </c>
      <c r="AO31" s="799"/>
      <c r="AP31" s="795"/>
      <c r="AQ31" s="795"/>
      <c r="AR31" s="795" t="n">
        <v>2019</v>
      </c>
      <c r="AS31" s="799"/>
    </row>
    <row r="32" customFormat="false" ht="12.75" hidden="false" customHeight="false" outlineLevel="0" collapsed="false">
      <c r="A32" s="800"/>
      <c r="B32" s="801" t="s">
        <v>474</v>
      </c>
      <c r="C32" s="802" t="s">
        <v>8</v>
      </c>
      <c r="D32" s="803" t="s">
        <v>7</v>
      </c>
      <c r="E32" s="804" t="s">
        <v>475</v>
      </c>
      <c r="F32" s="801" t="s">
        <v>474</v>
      </c>
      <c r="G32" s="802" t="s">
        <v>8</v>
      </c>
      <c r="H32" s="803" t="s">
        <v>7</v>
      </c>
      <c r="I32" s="804" t="s">
        <v>475</v>
      </c>
      <c r="J32" s="805" t="s">
        <v>474</v>
      </c>
      <c r="K32" s="803" t="s">
        <v>8</v>
      </c>
      <c r="L32" s="803" t="s">
        <v>7</v>
      </c>
      <c r="M32" s="806" t="s">
        <v>475</v>
      </c>
      <c r="N32" s="802" t="s">
        <v>474</v>
      </c>
      <c r="O32" s="802" t="s">
        <v>8</v>
      </c>
      <c r="P32" s="803" t="s">
        <v>7</v>
      </c>
      <c r="Q32" s="804" t="s">
        <v>475</v>
      </c>
      <c r="R32" s="801" t="s">
        <v>474</v>
      </c>
      <c r="S32" s="802" t="s">
        <v>8</v>
      </c>
      <c r="T32" s="803" t="s">
        <v>7</v>
      </c>
      <c r="U32" s="804" t="s">
        <v>475</v>
      </c>
      <c r="V32" s="801" t="s">
        <v>474</v>
      </c>
      <c r="W32" s="802" t="s">
        <v>8</v>
      </c>
      <c r="X32" s="803" t="s">
        <v>7</v>
      </c>
      <c r="Y32" s="807" t="s">
        <v>475</v>
      </c>
      <c r="Z32" s="808" t="s">
        <v>474</v>
      </c>
      <c r="AA32" s="808" t="s">
        <v>8</v>
      </c>
      <c r="AB32" s="809" t="s">
        <v>7</v>
      </c>
      <c r="AC32" s="810" t="s">
        <v>475</v>
      </c>
      <c r="AD32" s="811" t="s">
        <v>474</v>
      </c>
      <c r="AE32" s="808" t="s">
        <v>8</v>
      </c>
      <c r="AF32" s="809" t="s">
        <v>7</v>
      </c>
      <c r="AG32" s="892" t="s">
        <v>475</v>
      </c>
      <c r="AH32" s="811" t="s">
        <v>474</v>
      </c>
      <c r="AI32" s="808" t="s">
        <v>8</v>
      </c>
      <c r="AJ32" s="809" t="s">
        <v>7</v>
      </c>
      <c r="AK32" s="810" t="s">
        <v>475</v>
      </c>
      <c r="AL32" s="808" t="s">
        <v>474</v>
      </c>
      <c r="AM32" s="808" t="s">
        <v>8</v>
      </c>
      <c r="AN32" s="809" t="s">
        <v>7</v>
      </c>
      <c r="AO32" s="810" t="s">
        <v>475</v>
      </c>
      <c r="AP32" s="808" t="s">
        <v>474</v>
      </c>
      <c r="AQ32" s="808" t="s">
        <v>8</v>
      </c>
      <c r="AR32" s="809" t="s">
        <v>7</v>
      </c>
      <c r="AS32" s="810" t="s">
        <v>475</v>
      </c>
    </row>
    <row r="33" customFormat="false" ht="15.75" hidden="false" customHeight="false" outlineLevel="0" collapsed="false">
      <c r="A33" s="812" t="s">
        <v>315</v>
      </c>
      <c r="B33" s="813" t="n">
        <v>16</v>
      </c>
      <c r="C33" s="814" t="n">
        <v>13.5</v>
      </c>
      <c r="D33" s="815" t="n">
        <v>15.6</v>
      </c>
      <c r="E33" s="838" t="n">
        <f aca="false">D33/B33*100</f>
        <v>97.5</v>
      </c>
      <c r="F33" s="813" t="n">
        <v>13.1</v>
      </c>
      <c r="G33" s="814" t="n">
        <v>12.6</v>
      </c>
      <c r="H33" s="815" t="n">
        <v>13.1</v>
      </c>
      <c r="I33" s="838" t="n">
        <f aca="false">H33/F33*100</f>
        <v>100</v>
      </c>
      <c r="J33" s="817" t="n">
        <v>5.1</v>
      </c>
      <c r="K33" s="815" t="n">
        <v>5.1</v>
      </c>
      <c r="L33" s="815" t="n">
        <v>4.9</v>
      </c>
      <c r="M33" s="841" t="n">
        <f aca="false">L33/J33*100</f>
        <v>96.078431372549</v>
      </c>
      <c r="N33" s="814" t="n">
        <v>4.5</v>
      </c>
      <c r="O33" s="814" t="n">
        <v>4.5</v>
      </c>
      <c r="P33" s="815" t="n">
        <v>4.5</v>
      </c>
      <c r="Q33" s="838" t="n">
        <f aca="false">P33/N33*100</f>
        <v>100</v>
      </c>
      <c r="R33" s="813" t="n">
        <v>5.5</v>
      </c>
      <c r="S33" s="814" t="n">
        <v>5.5</v>
      </c>
      <c r="T33" s="815" t="n">
        <v>5.3</v>
      </c>
      <c r="U33" s="838" t="n">
        <f aca="false">T33/R33*100</f>
        <v>96.3636363636364</v>
      </c>
      <c r="V33" s="813" t="n">
        <v>4.6</v>
      </c>
      <c r="W33" s="814" t="n">
        <v>4.6</v>
      </c>
      <c r="X33" s="815" t="n">
        <v>4.6</v>
      </c>
      <c r="Y33" s="841" t="n">
        <f aca="false">X33/V33*100</f>
        <v>100</v>
      </c>
      <c r="Z33" s="820" t="n">
        <v>4.9</v>
      </c>
      <c r="AA33" s="820" t="n">
        <v>4.9</v>
      </c>
      <c r="AB33" s="821" t="n">
        <v>4.9</v>
      </c>
      <c r="AC33" s="838" t="n">
        <f aca="false">AB33/Z33*100</f>
        <v>100</v>
      </c>
      <c r="AD33" s="823" t="n">
        <v>6.7</v>
      </c>
      <c r="AE33" s="820" t="n">
        <v>6.7</v>
      </c>
      <c r="AF33" s="821" t="n">
        <v>6</v>
      </c>
      <c r="AG33" s="838" t="n">
        <f aca="false">AF33/AD33*100</f>
        <v>89.5522388059702</v>
      </c>
      <c r="AH33" s="823" t="n">
        <v>6.7</v>
      </c>
      <c r="AI33" s="820" t="n">
        <v>6</v>
      </c>
      <c r="AJ33" s="821" t="n">
        <v>4.9</v>
      </c>
      <c r="AK33" s="841" t="n">
        <f aca="false">AJ33/AH33*100</f>
        <v>73.134328358209</v>
      </c>
      <c r="AL33" s="820" t="n">
        <v>8.9</v>
      </c>
      <c r="AM33" s="820" t="n">
        <v>7.1</v>
      </c>
      <c r="AN33" s="821" t="n">
        <v>6.5</v>
      </c>
      <c r="AO33" s="841" t="n">
        <f aca="false">AN33/AL33*100</f>
        <v>73.0337078651685</v>
      </c>
      <c r="AP33" s="820" t="n">
        <v>12.3</v>
      </c>
      <c r="AQ33" s="820" t="n">
        <v>12.3</v>
      </c>
      <c r="AR33" s="821" t="n">
        <v>12</v>
      </c>
      <c r="AS33" s="841" t="n">
        <f aca="false">AR33/AP33*100</f>
        <v>97.5609756097561</v>
      </c>
    </row>
    <row r="34" customFormat="false" ht="15.75" hidden="false" customHeight="false" outlineLevel="0" collapsed="false">
      <c r="A34" s="812"/>
      <c r="B34" s="813"/>
      <c r="C34" s="814"/>
      <c r="D34" s="815"/>
      <c r="E34" s="816"/>
      <c r="F34" s="813"/>
      <c r="G34" s="814"/>
      <c r="H34" s="815"/>
      <c r="I34" s="816"/>
      <c r="J34" s="817"/>
      <c r="K34" s="815"/>
      <c r="L34" s="815"/>
      <c r="M34" s="818"/>
      <c r="N34" s="814"/>
      <c r="O34" s="814"/>
      <c r="P34" s="815"/>
      <c r="Q34" s="816"/>
      <c r="R34" s="813"/>
      <c r="S34" s="814"/>
      <c r="T34" s="815"/>
      <c r="U34" s="893"/>
      <c r="V34" s="813"/>
      <c r="W34" s="814"/>
      <c r="X34" s="815"/>
      <c r="Y34" s="819"/>
      <c r="Z34" s="820"/>
      <c r="AA34" s="820"/>
      <c r="AB34" s="821"/>
      <c r="AC34" s="822"/>
      <c r="AD34" s="823"/>
      <c r="AE34" s="820"/>
      <c r="AF34" s="821"/>
      <c r="AG34" s="894"/>
      <c r="AH34" s="823"/>
      <c r="AI34" s="820"/>
      <c r="AJ34" s="821"/>
      <c r="AK34" s="822"/>
      <c r="AL34" s="820"/>
      <c r="AM34" s="820"/>
      <c r="AN34" s="821"/>
      <c r="AO34" s="822"/>
      <c r="AP34" s="820"/>
      <c r="AQ34" s="820"/>
      <c r="AR34" s="821"/>
      <c r="AS34" s="822"/>
    </row>
    <row r="35" customFormat="false" ht="15.75" hidden="false" customHeight="false" outlineLevel="0" collapsed="false">
      <c r="A35" s="812" t="s">
        <v>482</v>
      </c>
      <c r="B35" s="813"/>
      <c r="C35" s="814"/>
      <c r="D35" s="815"/>
      <c r="E35" s="816"/>
      <c r="F35" s="813"/>
      <c r="G35" s="814"/>
      <c r="H35" s="815"/>
      <c r="I35" s="816"/>
      <c r="J35" s="817"/>
      <c r="K35" s="815"/>
      <c r="L35" s="815"/>
      <c r="M35" s="818"/>
      <c r="N35" s="814"/>
      <c r="O35" s="814"/>
      <c r="P35" s="815"/>
      <c r="Q35" s="816"/>
      <c r="R35" s="813"/>
      <c r="S35" s="814"/>
      <c r="T35" s="815"/>
      <c r="U35" s="893"/>
      <c r="V35" s="813"/>
      <c r="W35" s="814"/>
      <c r="X35" s="815"/>
      <c r="Y35" s="819"/>
      <c r="Z35" s="820"/>
      <c r="AA35" s="820"/>
      <c r="AB35" s="821"/>
      <c r="AC35" s="822"/>
      <c r="AD35" s="823"/>
      <c r="AE35" s="820"/>
      <c r="AF35" s="821"/>
      <c r="AG35" s="894"/>
      <c r="AH35" s="823" t="n">
        <v>10.1</v>
      </c>
      <c r="AI35" s="820" t="n">
        <v>8.3</v>
      </c>
      <c r="AJ35" s="821" t="n">
        <v>7.1</v>
      </c>
      <c r="AK35" s="841" t="n">
        <f aca="false">AJ35/AH35*100</f>
        <v>70.2970297029703</v>
      </c>
      <c r="AL35" s="820" t="n">
        <v>10.7</v>
      </c>
      <c r="AM35" s="820" t="n">
        <v>7.7</v>
      </c>
      <c r="AN35" s="821" t="n">
        <v>9.7</v>
      </c>
      <c r="AO35" s="841" t="n">
        <f aca="false">AN35/AL35*100</f>
        <v>90.6542056074766</v>
      </c>
      <c r="AP35" s="820" t="n">
        <v>8.6</v>
      </c>
      <c r="AQ35" s="820" t="n">
        <v>6.7</v>
      </c>
      <c r="AR35" s="821" t="n">
        <v>11.4</v>
      </c>
      <c r="AS35" s="841" t="n">
        <f aca="false">AR35/AP35*100</f>
        <v>132.558139534884</v>
      </c>
    </row>
    <row r="36" customFormat="false" ht="15.75" hidden="false" customHeight="false" outlineLevel="0" collapsed="false">
      <c r="A36" s="812"/>
      <c r="B36" s="813"/>
      <c r="C36" s="814"/>
      <c r="D36" s="815"/>
      <c r="E36" s="816"/>
      <c r="F36" s="813"/>
      <c r="G36" s="814"/>
      <c r="H36" s="815"/>
      <c r="I36" s="816"/>
      <c r="J36" s="817"/>
      <c r="K36" s="815"/>
      <c r="L36" s="815"/>
      <c r="M36" s="818"/>
      <c r="N36" s="814"/>
      <c r="O36" s="814"/>
      <c r="P36" s="815"/>
      <c r="Q36" s="816"/>
      <c r="R36" s="813"/>
      <c r="S36" s="814"/>
      <c r="T36" s="815"/>
      <c r="U36" s="893"/>
      <c r="V36" s="813"/>
      <c r="W36" s="814"/>
      <c r="X36" s="815"/>
      <c r="Y36" s="819"/>
      <c r="Z36" s="820"/>
      <c r="AA36" s="820"/>
      <c r="AB36" s="821"/>
      <c r="AC36" s="822"/>
      <c r="AD36" s="823"/>
      <c r="AE36" s="820"/>
      <c r="AF36" s="821"/>
      <c r="AG36" s="894"/>
      <c r="AH36" s="823"/>
      <c r="AI36" s="820"/>
      <c r="AJ36" s="821"/>
      <c r="AK36" s="822"/>
      <c r="AL36" s="820"/>
      <c r="AM36" s="820"/>
      <c r="AN36" s="821"/>
      <c r="AO36" s="822"/>
      <c r="AP36" s="820"/>
      <c r="AQ36" s="820"/>
      <c r="AR36" s="821"/>
      <c r="AS36" s="822"/>
    </row>
    <row r="37" customFormat="false" ht="15.75" hidden="false" customHeight="false" outlineLevel="0" collapsed="false">
      <c r="A37" s="812" t="s">
        <v>483</v>
      </c>
      <c r="B37" s="835" t="n">
        <v>9.6</v>
      </c>
      <c r="C37" s="836" t="n">
        <v>8.2</v>
      </c>
      <c r="D37" s="837" t="n">
        <v>4.8</v>
      </c>
      <c r="E37" s="838" t="n">
        <f aca="false">D37/B37*100</f>
        <v>50</v>
      </c>
      <c r="F37" s="835" t="n">
        <v>9.5</v>
      </c>
      <c r="G37" s="836" t="n">
        <v>6.4</v>
      </c>
      <c r="H37" s="837" t="n">
        <v>5.4</v>
      </c>
      <c r="I37" s="838" t="n">
        <f aca="false">H37/F37*100</f>
        <v>56.8421052631579</v>
      </c>
      <c r="J37" s="839" t="n">
        <v>4.7</v>
      </c>
      <c r="K37" s="837" t="n">
        <v>4.1</v>
      </c>
      <c r="L37" s="837" t="n">
        <v>3.4</v>
      </c>
      <c r="M37" s="841" t="n">
        <f aca="false">L37/J37*100</f>
        <v>72.3404255319149</v>
      </c>
      <c r="N37" s="836" t="n">
        <v>3.2</v>
      </c>
      <c r="O37" s="836" t="n">
        <v>2.2</v>
      </c>
      <c r="P37" s="837" t="n">
        <v>1</v>
      </c>
      <c r="Q37" s="838" t="n">
        <f aca="false">P37/N37*100</f>
        <v>31.25</v>
      </c>
      <c r="R37" s="835" t="n">
        <v>4</v>
      </c>
      <c r="S37" s="836" t="n">
        <v>3.7</v>
      </c>
      <c r="T37" s="837" t="n">
        <v>1.5</v>
      </c>
      <c r="U37" s="838" t="n">
        <f aca="false">T37/R37*100</f>
        <v>37.5</v>
      </c>
      <c r="V37" s="835" t="n">
        <v>5.2</v>
      </c>
      <c r="W37" s="836" t="n">
        <v>3.4</v>
      </c>
      <c r="X37" s="837" t="n">
        <v>1.8</v>
      </c>
      <c r="Y37" s="841" t="n">
        <f aca="false">X37/V37*100</f>
        <v>34.6153846153846</v>
      </c>
      <c r="Z37" s="842" t="n">
        <v>9.1</v>
      </c>
      <c r="AA37" s="842" t="n">
        <v>5.7</v>
      </c>
      <c r="AB37" s="843" t="n">
        <v>6.2</v>
      </c>
      <c r="AC37" s="838" t="n">
        <f aca="false">AB37/Z37*100</f>
        <v>68.1318681318681</v>
      </c>
      <c r="AD37" s="845" t="n">
        <v>5.6</v>
      </c>
      <c r="AE37" s="842" t="n">
        <v>2.7</v>
      </c>
      <c r="AF37" s="843" t="n">
        <v>3.8</v>
      </c>
      <c r="AG37" s="838" t="n">
        <f aca="false">AF37/AD37*100</f>
        <v>67.8571428571429</v>
      </c>
      <c r="AH37" s="845" t="s">
        <v>3</v>
      </c>
      <c r="AI37" s="842" t="s">
        <v>3</v>
      </c>
      <c r="AJ37" s="843" t="s">
        <v>3</v>
      </c>
      <c r="AK37" s="844"/>
      <c r="AL37" s="842"/>
      <c r="AM37" s="842"/>
      <c r="AN37" s="843"/>
      <c r="AO37" s="844"/>
      <c r="AP37" s="842"/>
      <c r="AQ37" s="842"/>
      <c r="AR37" s="843"/>
      <c r="AS37" s="844"/>
    </row>
    <row r="38" customFormat="false" ht="15.75" hidden="false" customHeight="false" outlineLevel="0" collapsed="false">
      <c r="A38" s="812"/>
      <c r="B38" s="846"/>
      <c r="C38" s="847"/>
      <c r="D38" s="848"/>
      <c r="E38" s="849"/>
      <c r="F38" s="846"/>
      <c r="G38" s="847"/>
      <c r="H38" s="848"/>
      <c r="I38" s="849"/>
      <c r="J38" s="850"/>
      <c r="K38" s="848"/>
      <c r="L38" s="848"/>
      <c r="M38" s="851"/>
      <c r="N38" s="847"/>
      <c r="O38" s="847"/>
      <c r="P38" s="848"/>
      <c r="Q38" s="849"/>
      <c r="R38" s="846"/>
      <c r="S38" s="847"/>
      <c r="T38" s="848"/>
      <c r="U38" s="895"/>
      <c r="V38" s="846"/>
      <c r="W38" s="847"/>
      <c r="X38" s="848"/>
      <c r="Y38" s="852"/>
      <c r="Z38" s="853"/>
      <c r="AA38" s="853"/>
      <c r="AB38" s="854"/>
      <c r="AC38" s="855"/>
      <c r="AD38" s="856"/>
      <c r="AE38" s="853"/>
      <c r="AF38" s="854"/>
      <c r="AG38" s="896"/>
      <c r="AH38" s="856"/>
      <c r="AI38" s="853"/>
      <c r="AJ38" s="854"/>
      <c r="AK38" s="855"/>
      <c r="AL38" s="853"/>
      <c r="AM38" s="853"/>
      <c r="AN38" s="854"/>
      <c r="AO38" s="855"/>
      <c r="AP38" s="853"/>
      <c r="AQ38" s="853"/>
      <c r="AR38" s="854"/>
      <c r="AS38" s="855"/>
    </row>
    <row r="39" customFormat="false" ht="15.75" hidden="false" customHeight="false" outlineLevel="0" collapsed="false">
      <c r="A39" s="812" t="s">
        <v>317</v>
      </c>
      <c r="B39" s="846"/>
      <c r="C39" s="847"/>
      <c r="D39" s="848"/>
      <c r="E39" s="849"/>
      <c r="F39" s="846"/>
      <c r="G39" s="847"/>
      <c r="H39" s="848"/>
      <c r="I39" s="849"/>
      <c r="J39" s="850"/>
      <c r="K39" s="848"/>
      <c r="L39" s="848"/>
      <c r="M39" s="851"/>
      <c r="N39" s="847"/>
      <c r="O39" s="847"/>
      <c r="P39" s="848"/>
      <c r="Q39" s="849"/>
      <c r="R39" s="846"/>
      <c r="S39" s="847"/>
      <c r="T39" s="848"/>
      <c r="U39" s="895"/>
      <c r="V39" s="846"/>
      <c r="W39" s="847"/>
      <c r="X39" s="848"/>
      <c r="Y39" s="852"/>
      <c r="Z39" s="853"/>
      <c r="AA39" s="853"/>
      <c r="AB39" s="854"/>
      <c r="AC39" s="855"/>
      <c r="AD39" s="856"/>
      <c r="AE39" s="853"/>
      <c r="AF39" s="854"/>
      <c r="AG39" s="896"/>
      <c r="AH39" s="856" t="n">
        <v>4.3</v>
      </c>
      <c r="AI39" s="853" t="n">
        <v>2.6</v>
      </c>
      <c r="AJ39" s="854" t="n">
        <v>3.8</v>
      </c>
      <c r="AK39" s="841" t="n">
        <f aca="false">AJ39/AH39*100</f>
        <v>88.3720930232558</v>
      </c>
      <c r="AL39" s="853" t="n">
        <v>5.6</v>
      </c>
      <c r="AM39" s="853" t="n">
        <v>5.1</v>
      </c>
      <c r="AN39" s="854" t="n">
        <v>7</v>
      </c>
      <c r="AO39" s="841" t="n">
        <f aca="false">AN39/AL39*100</f>
        <v>125</v>
      </c>
      <c r="AP39" s="853" t="n">
        <v>8.1</v>
      </c>
      <c r="AQ39" s="853" t="n">
        <v>8.1</v>
      </c>
      <c r="AR39" s="854" t="n">
        <v>11.5</v>
      </c>
      <c r="AS39" s="841" t="n">
        <f aca="false">AR39/AP39*100</f>
        <v>141.975308641975</v>
      </c>
    </row>
    <row r="40" customFormat="false" ht="15.75" hidden="false" customHeight="false" outlineLevel="0" collapsed="false">
      <c r="A40" s="812"/>
      <c r="B40" s="846"/>
      <c r="C40" s="847"/>
      <c r="D40" s="848"/>
      <c r="E40" s="849"/>
      <c r="F40" s="846"/>
      <c r="G40" s="847"/>
      <c r="H40" s="848"/>
      <c r="I40" s="849"/>
      <c r="J40" s="850"/>
      <c r="K40" s="848"/>
      <c r="L40" s="848"/>
      <c r="M40" s="851"/>
      <c r="N40" s="847"/>
      <c r="O40" s="847"/>
      <c r="P40" s="848"/>
      <c r="Q40" s="849"/>
      <c r="R40" s="846"/>
      <c r="S40" s="847"/>
      <c r="T40" s="848"/>
      <c r="U40" s="895"/>
      <c r="V40" s="846"/>
      <c r="W40" s="847"/>
      <c r="X40" s="848"/>
      <c r="Y40" s="852"/>
      <c r="Z40" s="853"/>
      <c r="AA40" s="853"/>
      <c r="AB40" s="854"/>
      <c r="AC40" s="855"/>
      <c r="AD40" s="856"/>
      <c r="AE40" s="853"/>
      <c r="AF40" s="854" t="s">
        <v>3</v>
      </c>
      <c r="AG40" s="896"/>
      <c r="AH40" s="856"/>
      <c r="AI40" s="853"/>
      <c r="AJ40" s="854"/>
      <c r="AK40" s="855"/>
      <c r="AL40" s="853"/>
      <c r="AM40" s="853"/>
      <c r="AN40" s="854"/>
      <c r="AO40" s="855"/>
      <c r="AP40" s="853"/>
      <c r="AQ40" s="853"/>
      <c r="AR40" s="854"/>
      <c r="AS40" s="855"/>
    </row>
    <row r="41" customFormat="false" ht="16.5" hidden="false" customHeight="false" outlineLevel="0" collapsed="false">
      <c r="A41" s="879" t="s">
        <v>324</v>
      </c>
      <c r="B41" s="880" t="n">
        <f aca="false">SUM(B33:B40)</f>
        <v>25.6</v>
      </c>
      <c r="C41" s="880" t="n">
        <f aca="false">SUM(C33:C40)</f>
        <v>21.7</v>
      </c>
      <c r="D41" s="881" t="n">
        <f aca="false">SUM(D33:D40)</f>
        <v>20.4</v>
      </c>
      <c r="E41" s="882" t="n">
        <f aca="false">D41/B41*100</f>
        <v>79.6875</v>
      </c>
      <c r="F41" s="880" t="n">
        <f aca="false">SUM(F33:F40)</f>
        <v>22.6</v>
      </c>
      <c r="G41" s="880" t="n">
        <f aca="false">SUM(G33:G40)</f>
        <v>19</v>
      </c>
      <c r="H41" s="881" t="n">
        <f aca="false">SUM(H33:H40)</f>
        <v>18.5</v>
      </c>
      <c r="I41" s="882" t="n">
        <f aca="false">H41/F41*100</f>
        <v>81.858407079646</v>
      </c>
      <c r="J41" s="883" t="n">
        <f aca="false">SUM(J33:J40)</f>
        <v>9.8</v>
      </c>
      <c r="K41" s="883" t="n">
        <f aca="false">SUM(K33:K40)</f>
        <v>9.2</v>
      </c>
      <c r="L41" s="881" t="n">
        <f aca="false">SUM(L33:L40)</f>
        <v>8.3</v>
      </c>
      <c r="M41" s="884" t="n">
        <f aca="false">L41/J41*100</f>
        <v>84.6938775510204</v>
      </c>
      <c r="N41" s="885" t="n">
        <f aca="false">SUM(N33:N40)</f>
        <v>7.7</v>
      </c>
      <c r="O41" s="885" t="n">
        <f aca="false">SUM(O33:O40)</f>
        <v>6.7</v>
      </c>
      <c r="P41" s="881" t="n">
        <f aca="false">SUM(P33:P40)</f>
        <v>5.5</v>
      </c>
      <c r="Q41" s="882" t="n">
        <f aca="false">P41/N41*100</f>
        <v>71.4285714285714</v>
      </c>
      <c r="R41" s="880" t="n">
        <f aca="false">SUM(R33:R40)</f>
        <v>9.5</v>
      </c>
      <c r="S41" s="880" t="n">
        <f aca="false">SUM(S33:S40)</f>
        <v>9.2</v>
      </c>
      <c r="T41" s="881" t="n">
        <f aca="false">SUM(T33:T40)</f>
        <v>6.8</v>
      </c>
      <c r="U41" s="897" t="n">
        <f aca="false">T41/R41*100</f>
        <v>71.5789473684211</v>
      </c>
      <c r="V41" s="880" t="n">
        <f aca="false">SUM(V33:V40)</f>
        <v>9.8</v>
      </c>
      <c r="W41" s="880" t="n">
        <f aca="false">SUM(W33:W40)</f>
        <v>8</v>
      </c>
      <c r="X41" s="881" t="n">
        <f aca="false">SUM(X33:X40)</f>
        <v>6.4</v>
      </c>
      <c r="Y41" s="886" t="n">
        <f aca="false">X41/V41*100</f>
        <v>65.3061224489796</v>
      </c>
      <c r="Z41" s="887" t="n">
        <f aca="false">SUM(Z33:Z40)</f>
        <v>14</v>
      </c>
      <c r="AA41" s="880" t="n">
        <f aca="false">SUM(AA33:AA40)</f>
        <v>10.6</v>
      </c>
      <c r="AB41" s="888" t="n">
        <f aca="false">SUM(AB33:AB40)</f>
        <v>11.1</v>
      </c>
      <c r="AC41" s="889" t="n">
        <f aca="false">AB41/Z41*100</f>
        <v>79.2857142857143</v>
      </c>
      <c r="AD41" s="890" t="n">
        <f aca="false">SUM(AD33:AD40)</f>
        <v>12.3</v>
      </c>
      <c r="AE41" s="890" t="n">
        <f aca="false">SUM(AE33:AE40)</f>
        <v>9.4</v>
      </c>
      <c r="AF41" s="888" t="n">
        <f aca="false">SUM(AF33:AF40)</f>
        <v>9.8</v>
      </c>
      <c r="AG41" s="898" t="n">
        <f aca="false">AF41/AD41*100</f>
        <v>79.6747967479675</v>
      </c>
      <c r="AH41" s="890" t="n">
        <f aca="false">SUM(AH33:AH40)</f>
        <v>21.1</v>
      </c>
      <c r="AI41" s="887" t="n">
        <f aca="false">SUM(AI33:AI40)</f>
        <v>16.9</v>
      </c>
      <c r="AJ41" s="888" t="n">
        <f aca="false">SUM(AJ33:AJ40)</f>
        <v>15.8</v>
      </c>
      <c r="AK41" s="889" t="n">
        <f aca="false">AJ41/AH41*100</f>
        <v>74.8815165876777</v>
      </c>
      <c r="AL41" s="887" t="n">
        <f aca="false">SUM(AL33:AL40)</f>
        <v>25.2</v>
      </c>
      <c r="AM41" s="887" t="n">
        <f aca="false">SUM(AM33:AM40)</f>
        <v>19.9</v>
      </c>
      <c r="AN41" s="888" t="n">
        <f aca="false">SUM(AN33:AN40)</f>
        <v>23.2</v>
      </c>
      <c r="AO41" s="889" t="n">
        <f aca="false">AN41/AL41*100</f>
        <v>92.0634920634921</v>
      </c>
      <c r="AP41" s="887" t="n">
        <f aca="false">SUM(AP33:AP40)</f>
        <v>29</v>
      </c>
      <c r="AQ41" s="887" t="n">
        <f aca="false">SUM(AQ33:AQ40)</f>
        <v>27.1</v>
      </c>
      <c r="AR41" s="888" t="n">
        <f aca="false">SUM(AR33:AR40)</f>
        <v>34.9</v>
      </c>
      <c r="AS41" s="889" t="n">
        <f aca="false">AR41/AP41*100</f>
        <v>120.344827586207</v>
      </c>
    </row>
  </sheetData>
  <conditionalFormatting sqref="F8:Y21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F8:Y21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Z8:AC20 Z21 AB21:AC21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Z8:AC20 Z21 AB21:AC21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AD8:AG21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D8:AG21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AH8:AK21">
    <cfRule type="colorScale" priority="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H8:AK21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L8:AO21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L8:AO2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AA21">
    <cfRule type="colorScale" priority="1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A21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Z32:AC32 Z41 AB41:AC41 Z34:AC36 Z33:AB33 Z38:AC40 Z37:AB37">
    <cfRule type="colorScale" priority="1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Z32:AC32 Z41 AB41:AC41 Z34:AC36 Z33:AB33 Z38:AC40 Z37:AB37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AA41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A41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F32:Y41">
    <cfRule type="colorScale" priority="1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F32:Y41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D32:AG32 AD34:AG36 AD33:AF33 AD38:AG41 AD37:AF37">
    <cfRule type="colorScale" priority="2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D32:AG32 AD34:AG36 AD33:AF33 AD38:AG41 AD37:AF37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AH32:AK32 AH34:AK34 AH33:AJ33 AH36:AK38 AH35:AJ35 AH40:AK41 AH39:AJ39">
    <cfRule type="colorScale" priority="2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H32:AK32 AH34:AK34 AH33:AJ33 AH36:AK38 AH35:AJ35 AH40:AK41 AH39:AJ39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AL32:AO32 AL34:AO34 AL33:AN33 AL36:AO38 AL35:AN35 AL39:AN39 AL40:AO41">
    <cfRule type="colorScale" priority="2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L32:AO32 AL34:AO34 AL33:AN33 AL36:AO38 AL35:AN35 AL39:AN39 AL40:AO41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AO33 AC33 AK39 AK35 AK33 AG37 AG33 AC37 AO35 AO39">
    <cfRule type="colorScale" priority="2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O33 AC33 AK39 AK35 AK33 AG37 AG33 AC37 AO35 AO39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B32:E41">
    <cfRule type="colorScale" priority="2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32:E41">
    <cfRule type="colorScale" priority="29">
      <colorScale>
        <cfvo type="min" val="0"/>
        <cfvo type="max" val="0"/>
        <color rgb="FFFCFCFF"/>
        <color rgb="FFF8696B"/>
      </colorScale>
    </cfRule>
  </conditionalFormatting>
  <conditionalFormatting sqref="B8:E21">
    <cfRule type="colorScale" priority="3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B8:E21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P8:AS21">
    <cfRule type="colorScale" priority="3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P8:AS21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AP32:AS32 AP34:AS34 AP33:AR33 AP36:AS38 AP35:AR35 AP39:AR39 AP40:AS41">
    <cfRule type="colorScale" priority="3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P32:AS32 AP34:AS34 AP33:AR33 AP36:AS38 AP35:AR35 AP39:AR39 AP40:AS41">
    <cfRule type="colorScale" priority="35">
      <colorScale>
        <cfvo type="min" val="0"/>
        <cfvo type="max" val="0"/>
        <color rgb="FFFCFCFF"/>
        <color rgb="FFF8696B"/>
      </colorScale>
    </cfRule>
  </conditionalFormatting>
  <conditionalFormatting sqref="AS35 AS33 AS39">
    <cfRule type="colorScale" priority="3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S35 AS33 AS39">
    <cfRule type="colorScale" priority="3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62AF756DB2C7624EB8F103FFFECC76D3" ma:contentTypeVersion="0" ma:contentTypeDescription="Luo uusi asiakirja." ma:contentTypeScope="" ma:versionID="517b5b029989778f6946144756222e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0100cabb18a25d4bc9820569b44e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CCA76-C597-4217-8EF3-A01954540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E37E01-3B62-4A78-BDA4-15B39A9DA7C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76E7D9A-D2FB-4664-ABDC-7856F28530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1740</TotalTime>
  <Application>LibreOffice/7.5.0.3$MacOSX_X86_64 LibreOffice_project/c21113d003cd3efa8c53188764377a8272d9d6de</Application>
  <AppVersion>15.0000</AppVersion>
  <Company>HKR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2004-10-21T18:39:44Z</dcterms:created>
  <dc:creator>Osmo Torvinen</dc:creator>
  <dc:description/>
  <dc:language>en-US</dc:language>
  <cp:lastModifiedBy/>
  <cp:lastPrinted>2020-02-19T14:43:29Z</cp:lastPrinted>
  <dcterms:modified xsi:type="dcterms:W3CDTF">2023-03-29T16:35:44Z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0x01010062AF756DB2C7624EB8F103FFFECC76D3</vt:lpwstr>
  </property>
</Properties>
</file>