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anneJ\Documents\Varaani\HKI-lisä\Laskuri\"/>
    </mc:Choice>
  </mc:AlternateContent>
  <xr:revisionPtr revIDLastSave="0" documentId="13_ncr:1_{8BEC57FD-3818-4862-896A-282C7A6676D5}" xr6:coauthVersionLast="47" xr6:coauthVersionMax="47" xr10:uidLastSave="{00000000-0000-0000-0000-000000000000}"/>
  <bookViews>
    <workbookView xWindow="420" yWindow="1125" windowWidth="38040" windowHeight="18855" activeTab="5" xr2:uid="{00000000-000D-0000-FFFF-FFFF00000000}"/>
  </bookViews>
  <sheets>
    <sheet name="Kansi" sheetId="7" r:id="rId1"/>
    <sheet name="Vakiot" sheetId="10" r:id="rId2"/>
    <sheet name="Palkan Helsinki-lisä" sheetId="5" r:id="rId3"/>
    <sheet name="Palkan Helsinki-lisä-old" sheetId="8" r:id="rId4"/>
    <sheet name="Työllistämisen Helsinki-lisä" sheetId="4" r:id="rId5"/>
    <sheet name="Palkkatuettu oppisopimus" sheetId="6" r:id="rId6"/>
    <sheet name="Palkkatuettu oppisopimus-old" sheetId="11" r:id="rId7"/>
  </sheets>
  <definedNames>
    <definedName name="HEL_Lisä_Max">Vakiot!$B$12</definedName>
    <definedName name="Max_100" comment="Maksimi palkkatuki 100% palkkatuella">Vakiot!$F$5</definedName>
    <definedName name="Max_50" comment="Maksimi palkkatuki 50% palkkatuella">Vakiot!$F$7</definedName>
    <definedName name="max_70" comment="Maksimi palkkatuki 70% palkkatuella">Vakiot!$F$6</definedName>
    <definedName name="Palkkatuki_max_yritys">Vakiot!#REF!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6" l="1"/>
  <c r="E54" i="6"/>
  <c r="F54" i="6"/>
  <c r="C61" i="6"/>
  <c r="C67" i="6" s="1"/>
  <c r="C68" i="6" s="1"/>
  <c r="C48" i="6"/>
  <c r="C66" i="6"/>
  <c r="F61" i="6"/>
  <c r="F74" i="6"/>
  <c r="F48" i="6"/>
  <c r="E66" i="6"/>
  <c r="E61" i="6"/>
  <c r="F79" i="6"/>
  <c r="F66" i="6"/>
  <c r="F53" i="6"/>
  <c r="E53" i="6"/>
  <c r="D53" i="6"/>
  <c r="C53" i="6"/>
  <c r="K52" i="5"/>
  <c r="K57" i="5"/>
  <c r="S57" i="5"/>
  <c r="Q57" i="5"/>
  <c r="P57" i="5"/>
  <c r="O57" i="5"/>
  <c r="S52" i="5"/>
  <c r="Q52" i="5"/>
  <c r="P52" i="5"/>
  <c r="O52" i="5"/>
  <c r="E57" i="5"/>
  <c r="E45" i="5"/>
  <c r="D45" i="5"/>
  <c r="C45" i="5"/>
  <c r="U45" i="5"/>
  <c r="S40" i="5" l="1"/>
  <c r="R40" i="5"/>
  <c r="Q40" i="5"/>
  <c r="P40" i="5"/>
  <c r="O40" i="5"/>
  <c r="N40" i="5"/>
  <c r="M40" i="5"/>
  <c r="J40" i="5"/>
  <c r="I40" i="5"/>
  <c r="H40" i="5"/>
  <c r="G40" i="5"/>
  <c r="E40" i="5"/>
  <c r="C40" i="5"/>
  <c r="D40" i="5"/>
  <c r="F47" i="6"/>
  <c r="F60" i="6" s="1"/>
  <c r="E47" i="6"/>
  <c r="D47" i="6"/>
  <c r="C47" i="6"/>
  <c r="F44" i="6"/>
  <c r="E44" i="6"/>
  <c r="D44" i="6"/>
  <c r="C44" i="6"/>
  <c r="F42" i="6"/>
  <c r="F43" i="6" s="1"/>
  <c r="E42" i="6"/>
  <c r="E43" i="6" s="1"/>
  <c r="E67" i="6" s="1"/>
  <c r="E68" i="6" s="1"/>
  <c r="D42" i="6"/>
  <c r="D43" i="6" s="1"/>
  <c r="C42" i="6"/>
  <c r="C43" i="6" s="1"/>
  <c r="F83" i="11"/>
  <c r="F77" i="11"/>
  <c r="F70" i="11"/>
  <c r="F64" i="11"/>
  <c r="F57" i="11"/>
  <c r="D57" i="11"/>
  <c r="D59" i="11" s="1"/>
  <c r="C57" i="11"/>
  <c r="C59" i="11" s="1"/>
  <c r="F52" i="11"/>
  <c r="F51" i="11"/>
  <c r="F46" i="11"/>
  <c r="F47" i="11" s="1"/>
  <c r="D55" i="6" l="1"/>
  <c r="E55" i="6"/>
  <c r="E85" i="6" s="1"/>
  <c r="F71" i="11"/>
  <c r="F72" i="11" s="1"/>
  <c r="F80" i="6"/>
  <c r="F67" i="6"/>
  <c r="F55" i="6"/>
  <c r="C54" i="6"/>
  <c r="C55" i="6" s="1"/>
  <c r="C85" i="6" s="1"/>
  <c r="F58" i="11"/>
  <c r="F59" i="11" s="1"/>
  <c r="F84" i="11"/>
  <c r="F85" i="11" s="1"/>
  <c r="F89" i="11" l="1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T37" i="5"/>
  <c r="T40" i="5" s="1"/>
  <c r="S37" i="5"/>
  <c r="R37" i="5"/>
  <c r="Q37" i="5"/>
  <c r="P37" i="5"/>
  <c r="O37" i="5"/>
  <c r="N37" i="5"/>
  <c r="M37" i="5"/>
  <c r="L37" i="5"/>
  <c r="L40" i="5" s="1"/>
  <c r="K37" i="5"/>
  <c r="K40" i="5" s="1"/>
  <c r="J37" i="5"/>
  <c r="I37" i="5"/>
  <c r="H37" i="5"/>
  <c r="G37" i="5"/>
  <c r="F37" i="5"/>
  <c r="F40" i="5" s="1"/>
  <c r="E37" i="5"/>
  <c r="D37" i="5"/>
  <c r="C37" i="5"/>
  <c r="T35" i="5"/>
  <c r="T36" i="5" s="1"/>
  <c r="S35" i="5"/>
  <c r="R35" i="5"/>
  <c r="Q35" i="5"/>
  <c r="P35" i="5"/>
  <c r="O35" i="5"/>
  <c r="N35" i="5"/>
  <c r="M35" i="5"/>
  <c r="M36" i="5" s="1"/>
  <c r="L35" i="5"/>
  <c r="L36" i="5" s="1"/>
  <c r="L58" i="5" s="1"/>
  <c r="L59" i="5" s="1"/>
  <c r="K35" i="5"/>
  <c r="K36" i="5" s="1"/>
  <c r="K58" i="5" s="1"/>
  <c r="K59" i="5" s="1"/>
  <c r="J35" i="5"/>
  <c r="I35" i="5"/>
  <c r="I36" i="5" s="1"/>
  <c r="H35" i="5"/>
  <c r="H36" i="5" s="1"/>
  <c r="G35" i="5"/>
  <c r="G36" i="5" s="1"/>
  <c r="F35" i="5"/>
  <c r="F36" i="5" s="1"/>
  <c r="E35" i="5"/>
  <c r="E36" i="5" s="1"/>
  <c r="D35" i="5"/>
  <c r="D36" i="5" s="1"/>
  <c r="C35" i="5"/>
  <c r="C36" i="5" s="1"/>
  <c r="C46" i="5" s="1"/>
  <c r="E59" i="8"/>
  <c r="E61" i="8" s="1"/>
  <c r="E67" i="8" s="1"/>
  <c r="E54" i="8"/>
  <c r="F47" i="8"/>
  <c r="E47" i="8"/>
  <c r="D47" i="8"/>
  <c r="C47" i="8"/>
  <c r="E42" i="8"/>
  <c r="D42" i="8"/>
  <c r="D48" i="8" s="1"/>
  <c r="D67" i="8" s="1"/>
  <c r="C42" i="8"/>
  <c r="C48" i="8" s="1"/>
  <c r="C67" i="8" s="1"/>
  <c r="F68" i="6"/>
  <c r="G34" i="4"/>
  <c r="G36" i="4" s="1"/>
  <c r="G42" i="4" s="1"/>
  <c r="F34" i="4"/>
  <c r="F36" i="4" s="1"/>
  <c r="E34" i="4"/>
  <c r="E36" i="4" s="1"/>
  <c r="D34" i="4"/>
  <c r="D36" i="4" s="1"/>
  <c r="C34" i="4"/>
  <c r="C36" i="4" s="1"/>
  <c r="D85" i="6"/>
  <c r="E52" i="5"/>
  <c r="F42" i="4"/>
  <c r="E42" i="4"/>
  <c r="D42" i="4"/>
  <c r="C42" i="4"/>
  <c r="E58" i="5" l="1"/>
  <c r="E59" i="5" s="1"/>
  <c r="K46" i="5"/>
  <c r="K47" i="5" s="1"/>
  <c r="K65" i="5" s="1"/>
  <c r="C47" i="5"/>
  <c r="C65" i="5" s="1"/>
  <c r="N36" i="5"/>
  <c r="N46" i="5" s="1"/>
  <c r="N47" i="5" s="1"/>
  <c r="N65" i="5" s="1"/>
  <c r="F46" i="5"/>
  <c r="F47" i="5" s="1"/>
  <c r="F65" i="5" s="1"/>
  <c r="H46" i="5"/>
  <c r="H47" i="5" s="1"/>
  <c r="H65" i="5" s="1"/>
  <c r="J36" i="5"/>
  <c r="J46" i="5" s="1"/>
  <c r="J47" i="5" s="1"/>
  <c r="J65" i="5" s="1"/>
  <c r="O36" i="5"/>
  <c r="L47" i="5"/>
  <c r="L65" i="5" s="1"/>
  <c r="T46" i="5"/>
  <c r="T47" i="5" s="1"/>
  <c r="T65" i="5" s="1"/>
  <c r="G46" i="5"/>
  <c r="G47" i="5" s="1"/>
  <c r="G65" i="5" s="1"/>
  <c r="D46" i="5"/>
  <c r="D47" i="5" s="1"/>
  <c r="D65" i="5" s="1"/>
  <c r="I46" i="5"/>
  <c r="I47" i="5" s="1"/>
  <c r="I65" i="5" s="1"/>
  <c r="E46" i="5"/>
  <c r="E47" i="5" s="1"/>
  <c r="E65" i="5" s="1"/>
  <c r="M46" i="5"/>
  <c r="M47" i="5" s="1"/>
  <c r="M65" i="5" s="1"/>
  <c r="P36" i="5"/>
  <c r="Q36" i="5"/>
  <c r="R36" i="5"/>
  <c r="R46" i="5" s="1"/>
  <c r="R47" i="5" s="1"/>
  <c r="R65" i="5" s="1"/>
  <c r="S36" i="5"/>
  <c r="F81" i="6"/>
  <c r="O46" i="5" l="1"/>
  <c r="O47" i="5" s="1"/>
  <c r="O58" i="5"/>
  <c r="O59" i="5" s="1"/>
  <c r="S46" i="5"/>
  <c r="S47" i="5" s="1"/>
  <c r="S58" i="5"/>
  <c r="S59" i="5" s="1"/>
  <c r="Q46" i="5"/>
  <c r="Q47" i="5" s="1"/>
  <c r="Q58" i="5"/>
  <c r="Q59" i="5" s="1"/>
  <c r="P46" i="5"/>
  <c r="P47" i="5" s="1"/>
  <c r="P58" i="5"/>
  <c r="P59" i="5" s="1"/>
  <c r="F85" i="6"/>
  <c r="P65" i="5" l="1"/>
  <c r="Q65" i="5"/>
  <c r="O65" i="5"/>
  <c r="S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tc={C6EC848A-3DCB-4EB2-BE32-B9732A4F9301}</author>
    <author>tc={25A071BD-338B-4CDE-A02F-6B4F97CB4F20}</author>
    <author>tc={52F7102F-29A6-435E-A089-E9187FEFDFDF}</author>
    <author>tc={15379B39-E0B0-4671-94D9-AE615E7F7EF2}</author>
    <author>tc={E6E2E05C-38F8-401B-8533-D62D56290061}</author>
    <author>tc={351B45ED-55B0-4B43-B2DC-210722DFB866}</author>
    <author>tc={84298F58-0345-4831-A261-9E4A4E4F9CC8}</author>
    <author>tc={108AB84D-3CAB-4685-9D51-66397AF0B56B}</author>
    <author>JanneJ</author>
    <author>tc={8C4F1FA0-57A2-4FCD-BA33-0453312119B6}</author>
    <author>tc={A5FE85D7-F87E-4974-BF73-95688A2F19E4}</author>
    <author>tc={7BB5C5E4-1BFD-41C4-9885-D9A3FD942433}</author>
    <author>tc={391C54A0-4898-4E62-B47A-97CE6E44294C}</author>
  </authors>
  <commentList>
    <comment ref="L3" authorId="0" shapeId="0" xr:uid="{C6EC848A-3DCB-4EB2-BE32-B9732A4F930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Palkka muuttuu kesken Helsinki-lisä jakson</t>
        </r>
      </text>
    </comment>
    <comment ref="F11" authorId="1" shapeId="0" xr:uid="{25A071BD-338B-4CDE-A02F-6B4F97CB4F20}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Jos haluamme oikeita testitapauksia, niin meidän täytyy muuttaa aloitus ja lopetuspäivämääriä hakemusten mukaisiksi. Onko tämä testin kannalta mahdollista?
</t>
        </r>
      </text>
    </comment>
    <comment ref="L13" authorId="2" shapeId="0" xr:uid="{52F7102F-29A6-435E-A089-E9187FEFDFD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  </r>
      </text>
    </comment>
    <comment ref="L14" authorId="3" shapeId="0" xr:uid="{15379B39-E0B0-4671-94D9-AE615E7F7EF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  </r>
      </text>
    </comment>
    <comment ref="L15" authorId="4" shapeId="0" xr:uid="{E6E2E05C-38F8-401B-8533-D62D5629006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  </r>
      </text>
    </comment>
    <comment ref="E17" authorId="5" shapeId="0" xr:uid="{351B45ED-55B0-4B43-B2DC-210722DFB86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Valtiontukimaksimi on joko 50% tai 100%. Mistä tämä luku on otettu?</t>
        </r>
      </text>
    </comment>
    <comment ref="F21" authorId="6" shapeId="0" xr:uid="{84298F58-0345-4831-A261-9E4A4E4F9CC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työaika on 93,30%, tässä täytyy sallia luku kahden desimaalin tarkkuudella</t>
        </r>
      </text>
    </comment>
    <comment ref="L21" authorId="7" shapeId="0" xr:uid="{108AB84D-3CAB-4685-9D51-66397AF0B56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Hakemuksessa on kaksi palkkatukipäätöstä, josta ensimmäinen ajalle 8.3.2021-7.9.2021, työaika 80%, toinen myöhemmin tehty palkkatukipäätös korvaa ensimmäisen päätöksen huhtikuusta alkaen ja on ajalle 1.4.2021-7.9.2021, työaika 100%</t>
        </r>
      </text>
    </comment>
    <comment ref="B37" authorId="8" shapeId="0" xr:uid="{AAA8B7DA-E1F6-4478-B7A8-83B682A11BFC}">
      <text>
        <r>
          <rPr>
            <b/>
            <sz val="9"/>
            <color indexed="81"/>
            <rFont val="Tahoma"/>
            <family val="2"/>
          </rPr>
          <t>JanneJ:</t>
        </r>
        <r>
          <rPr>
            <sz val="9"/>
            <color indexed="81"/>
            <rFont val="Tahoma"/>
            <family val="2"/>
          </rPr>
          <t xml:space="preserve">
Lasketaan vain jos palkkatuki on 100% 
</t>
        </r>
      </text>
    </comment>
    <comment ref="E47" authorId="9" shapeId="0" xr:uid="{8C4F1FA0-57A2-4FCD-BA33-0453312119B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Saan eri tuloksen kuin Invisionissa, siellä on 690 samassa esimerkissä
Reply:
    tämä on saatu kertomalla 2,03kkx340€=690,2 eli pyöristys 690. Jos sinulla on ollut tukiaika kuukausina esim. 2,0333, niin silloin tulokseksi tosiaan tulisi 691,322 eli pyöristettynä 691€</t>
        </r>
      </text>
    </comment>
    <comment ref="H47" authorId="10" shapeId="0" xr:uid="{A5FE85D7-F87E-4974-BF73-95688A2F19E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Pyöristetty laskusta 11,97x215=2573,55</t>
        </r>
      </text>
    </comment>
    <comment ref="E65" authorId="11" shapeId="0" xr:uid="{7BB5C5E4-1BFD-41C4-9885-D9A3FD94243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Sama tässä, desimaaleja ei ilmoiteta</t>
        </r>
      </text>
    </comment>
    <comment ref="H65" authorId="12" shapeId="0" xr:uid="{391C54A0-4898-4E62-B47A-97CE6E44294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Matti: päivitetty kukausien määrän laskenta ilman pyöristystä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tc={C6EC848A-3DCB-4EB2-BE32-B9732A4F9301}</author>
    <author>tc={25A071BD-338B-4CDE-A02F-6B4F97CB4F20}</author>
    <author>tc={52F7102F-29A6-435E-A089-E9187FEFDFDF}</author>
    <author>tc={15379B39-E0B0-4671-94D9-AE615E7F7EF2}</author>
    <author>tc={E6E2E05C-38F8-401B-8533-D62D56290061}</author>
    <author>tc={351B45ED-55B0-4B43-B2DC-210722DFB866}</author>
    <author>tc={84298F58-0345-4831-A261-9E4A4E4F9CC8}</author>
    <author>tc={108AB84D-3CAB-4685-9D51-66397AF0B56B}</author>
    <author>tc={40C5CA3F-D87A-4B05-9D99-6B4BADE6D398}</author>
    <author>tc={FDEB7308-C9B6-4932-99D6-76D8017CA572}</author>
    <author>tc={676BB169-9779-4077-A941-2E55117338AB}</author>
    <author>tc={8C4F1FA0-57A2-4FCD-BA33-0453312119B6}</author>
    <author>tc={A5FE85D7-F87E-4974-BF73-95688A2F19E4}</author>
    <author>tc={ACE46109-E222-4883-9558-64C45D63F8B5}</author>
    <author>tc={7BB5C5E4-1BFD-41C4-9885-D9A3FD942433}</author>
    <author>tc={391C54A0-4898-4E62-B47A-97CE6E44294C}</author>
  </authors>
  <commentList>
    <comment ref="L5" authorId="0" shapeId="0" xr:uid="{93A07328-5AC5-4EDF-8A80-FF2995B02A9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Palkka muuttuu kesken Helsinki-lisä jakson</t>
        </r>
      </text>
    </comment>
    <comment ref="F13" authorId="1" shapeId="0" xr:uid="{C3543015-5536-4ED4-9E4E-7C8FCFE21F9C}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Jos haluamme oikeita testitapauksia, niin meidän täytyy muuttaa aloitus ja lopetuspäivämääriä hakemusten mukaisiksi. Onko tämä testin kannalta mahdollista?
</t>
        </r>
      </text>
    </comment>
    <comment ref="L15" authorId="2" shapeId="0" xr:uid="{A82C5221-56CB-409B-B6E4-76D63EE5001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  </r>
      </text>
    </comment>
    <comment ref="L16" authorId="3" shapeId="0" xr:uid="{009B11FE-62C9-4028-A9D5-0261F687C48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  </r>
      </text>
    </comment>
    <comment ref="L17" authorId="4" shapeId="0" xr:uid="{3BA6F2DE-151C-490D-A975-C9702DE509E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  </r>
      </text>
    </comment>
    <comment ref="E19" authorId="5" shapeId="0" xr:uid="{8ADEDC5E-0016-4602-B96F-291AEB67675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Valtiontukimaksimi on joko 50% tai 100%. Mistä tämä luku on otettu?</t>
        </r>
      </text>
    </comment>
    <comment ref="F23" authorId="6" shapeId="0" xr:uid="{54562B7A-265E-4A5C-9C0F-FEEFD3AB9A3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työaika on 93,30%, tässä täytyy sallia luku kahden desimaalin tarkkuudella</t>
        </r>
      </text>
    </comment>
    <comment ref="L23" authorId="7" shapeId="0" xr:uid="{93CA794D-18F7-48DF-ABE1-45EFFD07DD6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Hakemuksessa on kaksi palkkatukipäätöstä, josta ensimmäinen ajalle 8.3.2021-7.9.2021, työaika 80%, toinen myöhemmin tehty palkkatukipäätös korvaa ensimmäisen päätöksen huhtikuusta alkaen ja on ajalle 1.4.2021-7.9.2021, työaika 100%</t>
        </r>
      </text>
    </comment>
    <comment ref="H37" authorId="8" shapeId="0" xr:uid="{8DF667F1-E251-439A-B9C1-38399FA255E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Palkkauskustannukset laskettu: bruttopalkka+sivukulut+(lomaraha/11,97kk)
Reply:
    Matti: päivitetty kukausien määrän laskenta ilman pyöristystä</t>
        </r>
      </text>
    </comment>
    <comment ref="L37" authorId="9" shapeId="0" xr:uid="{399B296B-AA59-4955-9183-F22C2F826B0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ajalle 7.3.-31.3.2021 2034,0 ja ajalle 1.4.-7.9.2021 2488,16</t>
        </r>
      </text>
    </comment>
    <comment ref="H48" authorId="10" shapeId="0" xr:uid="{C711C6AA-5FBF-4C18-BFC9-673F6A4F5258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Pyöristetty laskusta 1074,67-859,73=214,93</t>
        </r>
      </text>
    </comment>
    <comment ref="E49" authorId="11" shapeId="0" xr:uid="{F22DE8EA-0A03-428B-86CF-CE70D328276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Saan eri tuloksen kuin Invisionissa, siellä on 690 samassa esimerkissä
Reply:
    tämä on saatu kertomalla 2,03kkx340€=690,2 eli pyöristys 690. Jos sinulla on ollut tukiaika kuukausina esim. 2,0333, niin silloin tulokseksi tosiaan tulisi 691,322 eli pyöristettynä 691€</t>
        </r>
      </text>
    </comment>
    <comment ref="H49" authorId="12" shapeId="0" xr:uid="{FFB05B99-37B2-43B4-B7D3-E88E0D7BABC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Pyöristetty laskusta 11,97x215=2573,55</t>
        </r>
      </text>
    </comment>
    <comment ref="E60" authorId="13" shapeId="0" xr:uid="{96DDE838-6185-41C5-93A4-92C5E208D1F2}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Helsinki-lisä myönnetään euron tarkkuudella, eli pyöristetään lähimpään kokonaiseen euromäärään
</t>
        </r>
      </text>
    </comment>
    <comment ref="E67" authorId="14" shapeId="0" xr:uid="{BA10C713-60FE-4014-9D6C-FF34FB92D16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Sama tässä, desimaaleja ei ilmoiteta</t>
        </r>
      </text>
    </comment>
    <comment ref="H67" authorId="15" shapeId="0" xr:uid="{852F0C8E-AF0A-4383-916B-CCA3B41D6B1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Matti: päivitetty kukausien määrän laskenta ilman pyöristystä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tc={5AB7DA13-1AC4-4169-9894-BAF67AC9B684}</author>
    <author>tc={C1E2C252-2C8C-48FC-B0C2-E99452F9DEE6}</author>
    <author>tc={7B0053E7-6449-4F95-B424-1931145AFC67}</author>
  </authors>
  <commentList>
    <comment ref="E10" authorId="0" shapeId="0" xr:uid="{5AB7DA13-1AC4-4169-9894-BAF67AC9B68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  </r>
      </text>
    </comment>
    <comment ref="F10" authorId="1" shapeId="0" xr:uid="{C1E2C252-2C8C-48FC-B0C2-E99452F9DEE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  </r>
      </text>
    </comment>
    <comment ref="G10" authorId="2" shapeId="0" xr:uid="{7B0053E7-6449-4F95-B424-1931145AFC6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tc={E9CF2E1B-48CE-478B-9C46-178E6E0F38C0}</author>
    <author>tc={6EF342C0-8BFF-45D2-8DB7-F300C749412C}</author>
  </authors>
  <commentList>
    <comment ref="C47" authorId="0" shapeId="0" xr:uid="{E9CF2E1B-48CE-478B-9C46-178E6E0F38C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Lasketaan esim. (0,3x(1752+469))+((1106/12)x0,3)=691,25</t>
        </r>
      </text>
    </comment>
    <comment ref="D47" authorId="0" shapeId="0" xr:uid="{AC6DE009-01E2-4B3B-B9C6-7784C7D4DF6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Lasketaan esim. (0,3x(1752+469))+((1106/12)x0,3)=691,25</t>
        </r>
      </text>
    </comment>
    <comment ref="E47" authorId="0" shapeId="0" xr:uid="{624567A9-C897-415E-B3EC-A05107023FA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Lasketaan esim. (0,3x(1752+469))+((1106/12)x0,3)=691,25</t>
        </r>
      </text>
    </comment>
    <comment ref="F47" authorId="0" shapeId="0" xr:uid="{25700A72-EF83-4BEB-8F03-1BD3A26E12D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Lasketaan esim. (0,3x(1752+469))+((1106/12)x0,3)=691,25</t>
        </r>
      </text>
    </comment>
    <comment ref="B48" authorId="1" shapeId="0" xr:uid="{6EF342C0-8BFF-45D2-8DB7-F300C749412C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Koulutuskorvaus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tc={E9CF2E1B-48CE-478B-9C46-178E6E0F38C0}</author>
    <author>tc={6EF342C0-8BFF-45D2-8DB7-F300C749412C}</author>
  </authors>
  <commentList>
    <comment ref="C51" authorId="0" shapeId="0" xr:uid="{BC65C6F1-AD14-47B2-9710-CE1A13A84EF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Lasketaan esim. (0,3x(1752+469))+((1106/12)x0,3)=691,25</t>
        </r>
      </text>
    </comment>
    <comment ref="B52" authorId="1" shapeId="0" xr:uid="{7AC3BAFF-D75A-4F5B-975C-69EE7B35EC3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Koulutuskorvaus</t>
        </r>
      </text>
    </comment>
  </commentList>
</comments>
</file>

<file path=xl/sharedStrings.xml><?xml version="1.0" encoding="utf-8"?>
<sst xmlns="http://schemas.openxmlformats.org/spreadsheetml/2006/main" count="636" uniqueCount="164">
  <si>
    <t>Ensimmäisessä sarakkeessa testin ajoon liittyvät ohjauskoodit</t>
  </si>
  <si>
    <t>TESTIN KUVAUS</t>
  </si>
  <si>
    <t>perustapaus</t>
  </si>
  <si>
    <t>ei helsinki-lisää</t>
  </si>
  <si>
    <t>InVision screen "palkan - Kahdella ajalla"</t>
  </si>
  <si>
    <t>LASKENNAN SYÖTTEET</t>
  </si>
  <si>
    <t>application.TEST_FLAGS</t>
  </si>
  <si>
    <t>Kirjoita soluun "SKIP" niin sarakeen testitapausta ei ajeta</t>
  </si>
  <si>
    <t>SKIP</t>
  </si>
  <si>
    <t>application.company.company_form</t>
  </si>
  <si>
    <t>yhtiömuoto (ry/oy)</t>
  </si>
  <si>
    <t>ry</t>
  </si>
  <si>
    <t>application.association_has_business_activities</t>
  </si>
  <si>
    <t>Harjoittaako työnantaja elinkeinotoimintaa</t>
  </si>
  <si>
    <t>kyllä</t>
  </si>
  <si>
    <t>ei</t>
  </si>
  <si>
    <t>application.benefit_type</t>
  </si>
  <si>
    <t>Haettava tukimuoto</t>
  </si>
  <si>
    <t>Palkan Helsinki-lisä</t>
  </si>
  <si>
    <t>application.start_date</t>
  </si>
  <si>
    <t>Alkaen päivästä</t>
  </si>
  <si>
    <t>application.end_date</t>
  </si>
  <si>
    <t>Päättyen päivään</t>
  </si>
  <si>
    <t>application.calculation.monthly_pay</t>
  </si>
  <si>
    <t>Bruttopalkka/kk</t>
  </si>
  <si>
    <t>application.calculation.other_expenses</t>
  </si>
  <si>
    <t>Sivukulut/kk</t>
  </si>
  <si>
    <t>application.calculation.vacation_money</t>
  </si>
  <si>
    <t>Lomaraha yht</t>
  </si>
  <si>
    <t>application.calculation.state_aid_max_percentage</t>
  </si>
  <si>
    <t>Valtiotukimaksimi %</t>
  </si>
  <si>
    <t>Palkkatukipäätöksen tiedot</t>
  </si>
  <si>
    <t>application.pay_subsidy_1.pay_subsidy_percent</t>
  </si>
  <si>
    <t>Palkkatukiprosentti</t>
  </si>
  <si>
    <t>application.pay_subsidy_1.work_time_percent</t>
  </si>
  <si>
    <t>Työaika %</t>
  </si>
  <si>
    <t>application.pay_subsidy_1.start_date</t>
  </si>
  <si>
    <t>Palkkatuen alkupäivä</t>
  </si>
  <si>
    <t>application.pay_subsidy_1.end_date</t>
  </si>
  <si>
    <t>Palkkatuen päättymispäivä</t>
  </si>
  <si>
    <t>Toisen palkkatukipäätöksen tiedot (jätä tyhjäksi jos päätöstä ei ole)</t>
  </si>
  <si>
    <t>application.pay_subsidy_2.pay_subsidy_percent</t>
  </si>
  <si>
    <t>application.pay_subsidy_2.work_time_percent</t>
  </si>
  <si>
    <t>application.pay_subsidy_2.start_date</t>
  </si>
  <si>
    <t>application.pay_subsidy_2.end_date</t>
  </si>
  <si>
    <t>LASKENNAN VÄLITULOKSET</t>
  </si>
  <si>
    <t>expected_results.salary_costs</t>
  </si>
  <si>
    <t>Palkkauskustannukset/kk</t>
  </si>
  <si>
    <t>expected_results.state_aid_max_monthly_eur</t>
  </si>
  <si>
    <t>Valtiotuen korvaama enimmäismäärä/kk</t>
  </si>
  <si>
    <t>Ajanjakso #1</t>
  </si>
  <si>
    <t>Vähennettävät korvaukset</t>
  </si>
  <si>
    <t>expected_results.time_range_1.pay_subsidy_monthly_eur</t>
  </si>
  <si>
    <t>Palkkatuki eur/kk</t>
  </si>
  <si>
    <t>Helsinki-lisää myönnetään tälle ajanjaksolle:</t>
  </si>
  <si>
    <t>expected_results.time_range_1.start_date</t>
  </si>
  <si>
    <t>alkaen</t>
  </si>
  <si>
    <t>expected_results.time_range_1.end_date</t>
  </si>
  <si>
    <t>päättyen</t>
  </si>
  <si>
    <t>expected_results.time_range_1.duration</t>
  </si>
  <si>
    <t>ajanjakson pituus kk</t>
  </si>
  <si>
    <t>expected_results.time_range_1.monthly_amount</t>
  </si>
  <si>
    <t>Helsinki-lisä /kk</t>
  </si>
  <si>
    <t>expected_results.time_range_1.total_amount</t>
  </si>
  <si>
    <t>Yhteensä ajanjaksolta</t>
  </si>
  <si>
    <t>Ajanjakso #2 (jätä tyhjäksi jos koko jakso lasketaan samoilla perusteilla)</t>
  </si>
  <si>
    <t>expected_results.time_range_2.pay_subsidy_monthly_eur</t>
  </si>
  <si>
    <t>expected_results.time_range_2.start_date</t>
  </si>
  <si>
    <t>expected_results.time_range_2.end_date</t>
  </si>
  <si>
    <t>expected_results.time_range_2.duration</t>
  </si>
  <si>
    <t>expected_results.time_range_2.monthly_amount</t>
  </si>
  <si>
    <t>expected_results.time_range_2.total_amount</t>
  </si>
  <si>
    <t>Myönnettävät ajanjaksot yhteensä</t>
  </si>
  <si>
    <t>LASKENNAN TULOS</t>
  </si>
  <si>
    <t>expected_results.calculated_benefit_amount</t>
  </si>
  <si>
    <t>Helsinki-lisä YHT</t>
  </si>
  <si>
    <t>osa kuukautta</t>
  </si>
  <si>
    <t>maksimikesto</t>
  </si>
  <si>
    <t>minimikesto</t>
  </si>
  <si>
    <t>poikkeava myöntämisaika</t>
  </si>
  <si>
    <t>Työllistämisen Helsinki-lisä</t>
  </si>
  <si>
    <t>expected_results.monthly_amount</t>
  </si>
  <si>
    <t>Helsinki-lisää myönnetään ajalle:</t>
  </si>
  <si>
    <t>expected_results.start_date</t>
  </si>
  <si>
    <t>expected_results.end_date</t>
  </si>
  <si>
    <t>expected_results.duration</t>
  </si>
  <si>
    <t>expected_results.total_amount</t>
  </si>
  <si>
    <t>oy</t>
  </si>
  <si>
    <t>Palkkatuettu oppisopimus</t>
  </si>
  <si>
    <t xml:space="preserve"> </t>
  </si>
  <si>
    <t>Palkkatukipäätöksen tiedot (jätä tyhjäksi jos päätöstä ei ole)</t>
  </si>
  <si>
    <t>Koulutuskorvauksen tiedot (jätä tyhjäksi jos koulutuskorvausta ei ole)</t>
  </si>
  <si>
    <t>application.training_compensation_1.monthly_amount</t>
  </si>
  <si>
    <t>Koulutuskorvaus eur/kk</t>
  </si>
  <si>
    <t>application.training_compensation_1.start_date</t>
  </si>
  <si>
    <t>Koulutuskorvauksen alkupäivä</t>
  </si>
  <si>
    <t>application.training_compensation_1.end_date</t>
  </si>
  <si>
    <t>Koulutuskorvauksen päättymispäivä</t>
  </si>
  <si>
    <t>Toisen koulutuskorvauksen tiedot (jätä tyhjäksi jos sama koulutuskorvaus koko hakuajan)</t>
  </si>
  <si>
    <t>application.training_compensation_2.monthly_amount</t>
  </si>
  <si>
    <t>application.training_compensation_2.start_date</t>
  </si>
  <si>
    <t>application.training_compensation_2.end_date</t>
  </si>
  <si>
    <t>expected_results.time_range_1.training_compensation_monthly_eur</t>
  </si>
  <si>
    <t>expected_results.time_range_2.training_compensation_monthly_eur</t>
  </si>
  <si>
    <t>Ajanjakso #3 (jätä tyhjäksi jos koko jakso lasketaan samoilla perusteilla)</t>
  </si>
  <si>
    <t>expected_results.time_range_3.pay_subsidy_monthly_eur</t>
  </si>
  <si>
    <t>expected_results.time_range_3.training_compensation_monthly_eur</t>
  </si>
  <si>
    <t>expected_results.time_range_3.start_date</t>
  </si>
  <si>
    <t>expected_results.time_range_3.end_date</t>
  </si>
  <si>
    <t>expected_results.time_range_3.duration</t>
  </si>
  <si>
    <t>expected_results.time_range_3.monthly_amount</t>
  </si>
  <si>
    <t>expected_results.time_range_3.total_amount</t>
  </si>
  <si>
    <t>Tätä exceliä käytetään laskurin testien ajamiseen käsittelijän koodia testattaessa</t>
  </si>
  <si>
    <t>Toisessa selite suomeksi</t>
  </si>
  <si>
    <t>Testi arvoja ja tuloksia sarakkeesta C- alkaen</t>
  </si>
  <si>
    <t>Versio</t>
  </si>
  <si>
    <t>Päivä</t>
  </si>
  <si>
    <t>Kommentti</t>
  </si>
  <si>
    <t>v2.0</t>
  </si>
  <si>
    <t>Lomaraha/kk</t>
  </si>
  <si>
    <t>Vakiot</t>
  </si>
  <si>
    <t>Työnantajamuoto:</t>
  </si>
  <si>
    <t>Prosentit</t>
  </si>
  <si>
    <t>Yritys ja/tai elinkeinoa harjoittava yhteisö</t>
  </si>
  <si>
    <t>Valtion tukien enimmäismäärä</t>
  </si>
  <si>
    <t>Palkkatukiprosentti %
yritykset</t>
  </si>
  <si>
    <t>Palkkatukiprosentti %
yhdistykset</t>
  </si>
  <si>
    <t>Maksimi tuki €</t>
  </si>
  <si>
    <t>Yleishyödyllinen yhteisö</t>
  </si>
  <si>
    <t>Tukiylärajat</t>
  </si>
  <si>
    <t>Helsinki-lisä_max/kk</t>
  </si>
  <si>
    <t>65% työaikaa vastaava bruttopalkka
kertoimella 1.23 korotettuna</t>
  </si>
  <si>
    <t>v2.1</t>
  </si>
  <si>
    <t xml:space="preserve">korjaus: palkkatuki laskettu väärin, jos palkkatuki 75% maksimituki pitää olla 100%, muutama päivämäärä korjattu, </t>
  </si>
  <si>
    <t>v.2.2</t>
  </si>
  <si>
    <t>Poistettu testit, joissa on toinen palkkatukijakso,
Lisätty testejä joissa palkkatuki loppuu ennen Helsinki-lisää</t>
  </si>
  <si>
    <t>Koodi lukee kolme sheettiä, -old loppuiset ovat vanhojen sääntöjen aikaan käytetyt mukana referenssinä
Työllistämisen Helsinki-lisä on ilmeisesti poistumassa 1.7.2023, uudet palkkatuki säännöt ei vaikuta sen laskentaan</t>
  </si>
  <si>
    <t>Helsinki-lisä laskurin testitapaukset - päivitetty 1.7.2023 voimaan tulevien palkkatukiehtojen mukaan</t>
  </si>
  <si>
    <t>Vakiot otettu käyttöön Vakiot-sheetiltä
Vuodet 21-&gt;23, 22-&gt;24
100% palkkatuen laskenta lisätty (65% työajan brutto * 1.23)
Laskenta uusien sääntöjen mukana
Kaikki laskenta tehdään kaavoilla, vanhassa oli välillä numeroita.</t>
  </si>
  <si>
    <t>v.2.3</t>
  </si>
  <si>
    <t>Kaikki arvot lasketaan nyt kaavoilla, pieniä korjauksia</t>
  </si>
  <si>
    <t>v2.3</t>
  </si>
  <si>
    <t>perustapaus
max 100%
palkkatuki 70%, maksimi H-lisä</t>
  </si>
  <si>
    <t xml:space="preserve">perustapaus
max 50%
palkkatuki 50%, </t>
  </si>
  <si>
    <t>max 100%
palkkatuki 70%, 
palkkatuki aika lyhyempi kuin H-lisä
tuki aika ei ole tasan kk</t>
  </si>
  <si>
    <t>max 100%
palkkatuki 100% (100/65 tapaus), vajaa työaika</t>
  </si>
  <si>
    <t xml:space="preserve">oy
perustapaus
max 50%
palkkatuki 50%, </t>
  </si>
  <si>
    <t xml:space="preserve">oy
perustapaus
max 100%
palkkatuki 70%, </t>
  </si>
  <si>
    <t>max 100%
palkkatuki 50%, maksimi H-lisä, tukiaika ei tasan kk</t>
  </si>
  <si>
    <t xml:space="preserve">ry
perustapaus
max 100%
palkkatuki 70%, </t>
  </si>
  <si>
    <t>max 100%
palkkatuki 100% (100/65 tapaus), vajaa työaika, palkkatuki aika lyhyempi</t>
  </si>
  <si>
    <t>Testaa testin väliin jättämistä, H-lisä/kk tahallisesti väärin</t>
  </si>
  <si>
    <t>oy, perustapausmax 100%
palkkatuki 50%, maksimi H-lisä, tukiaika ei tasan kk</t>
  </si>
  <si>
    <t>max 50%
palkkatuki 50%, 
H-lisä aika pitempi kuin palkkatuki</t>
  </si>
  <si>
    <t>max 100%
palkkatuki 70%, 
H-lisä aika pitempi kuin palkkatuki</t>
  </si>
  <si>
    <t>max 100%
palkkatuki 50%, 
H-lisä aika pitempi kuin palkkatuki</t>
  </si>
  <si>
    <t xml:space="preserve">oy, max 100%
palkkatuki 70%, 
</t>
  </si>
  <si>
    <t>oy,
max 100%
palkkatuki 70%, 
H-lisä aika pitempi kuin palkkatuki</t>
  </si>
  <si>
    <t>max 100%
palkkatuki 100% (100/65 tapaus), 100% työaika,</t>
  </si>
  <si>
    <t>Dokumentaatiota lisätty: testien kuvaukset</t>
  </si>
  <si>
    <t>Palkkatuki, loppuu ennen H-lisää ja koulutuskorvausta</t>
  </si>
  <si>
    <t>Perustapaus oy, kulukorvaus aika pidempi kuin H-lisä</t>
  </si>
  <si>
    <t>Kaksi oppisopimus jaksoa, palkkatuki loppuu ensin</t>
  </si>
  <si>
    <t>Palkkatuki loppuu ennen H-lisää ja koulutuskorvausta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</si>
</sst>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#,##0\ &quot;€&quot;;[Red]\-#,##0\ &quot;€&quot;"/>
    <numFmt numFmtId="8" formatCode="#,##0.00\ &quot;€&quot;;[Red]\-#,##0.00\ &quot;€&quot;"/>
    <numFmt numFmtId="164" formatCode="#,##0.00\ [$€-40B]"/>
    <numFmt numFmtId="165" formatCode="0.0000000"/>
    <numFmt numFmtId="166" formatCode="_-* #,##0.00\ [$€-40B]_-;\-* #,##0.00\ [$€-40B]_-;_-* &quot;-&quot;??\ [$€-40B]_-;_-@_-"/>
    <numFmt numFmtId="167" formatCode="#,##0.00\ &quot;€&quot;"/>
    <numFmt numFmtId="168" formatCode="#,##0.00\ _€"/>
    <numFmt numFmtId="169" formatCode="0.0000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i/>
      <sz val="12"/>
      <color theme="1"/>
      <name val="Calibri"/>
    </font>
    <font>
      <sz val="12"/>
      <color rgb="FFFF0000"/>
      <name val="Calibri"/>
    </font>
    <font>
      <sz val="12"/>
      <color rgb="FF000000"/>
      <name val="Calibri"/>
      <charset val="1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sz val="12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6" fontId="1" fillId="0" borderId="0" xfId="0" applyNumberFormat="1" applyFont="1"/>
    <xf numFmtId="2" fontId="1" fillId="0" borderId="0" xfId="0" applyNumberFormat="1" applyFont="1"/>
    <xf numFmtId="8" fontId="1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164" fontId="1" fillId="0" borderId="0" xfId="0" applyNumberFormat="1" applyFont="1" applyAlignment="1">
      <alignment horizontal="left" indent="1"/>
    </xf>
    <xf numFmtId="164" fontId="4" fillId="0" borderId="0" xfId="0" applyNumberFormat="1" applyFont="1"/>
    <xf numFmtId="0" fontId="7" fillId="0" borderId="0" xfId="0" applyFont="1"/>
    <xf numFmtId="0" fontId="6" fillId="0" borderId="0" xfId="0" applyFont="1"/>
    <xf numFmtId="14" fontId="0" fillId="0" borderId="0" xfId="0" applyNumberFormat="1"/>
    <xf numFmtId="0" fontId="7" fillId="2" borderId="0" xfId="0" applyFont="1" applyFill="1"/>
    <xf numFmtId="0" fontId="8" fillId="0" borderId="0" xfId="0" applyFont="1"/>
    <xf numFmtId="0" fontId="6" fillId="0" borderId="0" xfId="0" applyFont="1" applyAlignment="1">
      <alignment horizontal="left" inden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top" wrapText="1"/>
    </xf>
    <xf numFmtId="9" fontId="0" fillId="4" borderId="1" xfId="0" applyNumberFormat="1" applyFill="1" applyBorder="1"/>
    <xf numFmtId="166" fontId="0" fillId="4" borderId="1" xfId="0" applyNumberFormat="1" applyFill="1" applyBorder="1"/>
    <xf numFmtId="167" fontId="0" fillId="0" borderId="0" xfId="0" applyNumberFormat="1"/>
    <xf numFmtId="0" fontId="0" fillId="0" borderId="0" xfId="0" applyAlignment="1">
      <alignment wrapText="1"/>
    </xf>
    <xf numFmtId="0" fontId="0" fillId="4" borderId="1" xfId="0" applyFill="1" applyBorder="1"/>
    <xf numFmtId="9" fontId="0" fillId="4" borderId="1" xfId="0" applyNumberForma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7" fontId="0" fillId="4" borderId="1" xfId="0" applyNumberFormat="1" applyFill="1" applyBorder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left" wrapText="1" indent="1"/>
    </xf>
    <xf numFmtId="0" fontId="11" fillId="0" borderId="0" xfId="0" applyFont="1"/>
    <xf numFmtId="169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" fillId="0" borderId="6" xfId="0" applyFont="1" applyBorder="1"/>
    <xf numFmtId="164" fontId="1" fillId="0" borderId="6" xfId="0" applyNumberFormat="1" applyFont="1" applyBorder="1"/>
    <xf numFmtId="14" fontId="12" fillId="0" borderId="0" xfId="0" applyNumberFormat="1" applyFont="1"/>
    <xf numFmtId="0" fontId="12" fillId="0" borderId="0" xfId="0" applyFont="1"/>
    <xf numFmtId="164" fontId="12" fillId="0" borderId="0" xfId="0" applyNumberFormat="1" applyFon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sti-Helia Mirkka" id="{6D75A251-2E9C-408D-92F0-CE49CCF1513F}" userId="S::mirkka.kesti-helia@hel.fi::1ba25dab-9416-4631-90e7-67433f0bb31c" providerId="AD"/>
  <person displayName="haavikko" id="{368C1523-2C14-4314-BA46-474B6635AFDB}" userId="S::haavikko_dataflow.fi#ext#@helsinginkaupunki.onmicrosoft.com::46bbd0a9-7aac-4843-afc8-f55eb3730f6c" providerId="AD"/>
</personList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21-09-30T09:29:32.75" personId="{6D75A251-2E9C-408D-92F0-CE49CCF1513F}" id="{C6EC848A-3DCB-4EB2-BE32-B9732A4F9301}">
    <text>Palkka muuttuu kesken Helsinki-lisä jakson</text>
  </threadedComment>
  <threadedComment ref="F13" dT="2021-09-20T04:58:03.44" personId="{6D75A251-2E9C-408D-92F0-CE49CCF1513F}" id="{25A071BD-338B-4CDE-A02F-6B4F97CB4F20}">
    <text xml:space="preserve">Jos haluamme oikeita testitapauksia, niin meidän täytyy muuttaa aloitus ja lopetuspäivämääriä hakemusten mukaisiksi. Onko tämä testin kannalta mahdollista?
</text>
  </threadedComment>
  <threadedComment ref="L15" dT="2021-09-29T11:35:51.92" personId="{6D75A251-2E9C-408D-92F0-CE49CCF1513F}" id="{52F7102F-29A6-435E-A089-E9187FEFDFDF}">
    <text>Bruttopalkka ajalle 8.3.2021-31.3.2021 on 1330,27€, sivukulut 638,12 € ja lomaraha yht. 399,08€ , Bruttopalkka ajalle 1.4.2021-7.9.2021 on 1662,84€, sivukulut 737,89€ ja lomaraha yht. 457,25€</text>
  </threadedComment>
  <threadedComment ref="L16" dT="2021-09-29T11:58:12.55" personId="{6D75A251-2E9C-408D-92F0-CE49CCF1513F}" id="{15379B39-E0B0-4671-94D9-AE615E7F7EF2}">
    <text>Bruttopalkka ajalle 8.3.2021-31.3.2021 on 1330,27€, sivukulut 638,12 € ja lomaraha yht. 399,08€ , Bruttopalkka ajalle 1.4.2021-7.9.2021 on 1662,84€, sivukulut 737,89€ ja lomaraha yht. 457,25€</text>
  </threadedComment>
  <threadedComment ref="L17" dT="2021-09-29T11:58:19.81" personId="{6D75A251-2E9C-408D-92F0-CE49CCF1513F}" id="{E6E2E05C-38F8-401B-8533-D62D56290061}">
    <text>Bruttopalkka ajalle 8.3.2021-31.3.2021 on 1330,27€, sivukulut 638,12 € ja lomaraha yht. 399,08€ , Bruttopalkka ajalle 1.4.2021-7.9.2021 on 1662,84€, sivukulut 737,89€ ja lomaraha yht. 457,25€</text>
  </threadedComment>
  <threadedComment ref="E19" dT="2021-09-20T04:56:18.39" personId="{6D75A251-2E9C-408D-92F0-CE49CCF1513F}" id="{351B45ED-55B0-4B43-B2DC-210722DFB866}" done="1">
    <text>Valtiontukimaksimi on joko 50% tai 100%. Mistä tämä luku on otettu?</text>
  </threadedComment>
  <threadedComment ref="F23" dT="2021-09-20T08:49:37.69" personId="{6D75A251-2E9C-408D-92F0-CE49CCF1513F}" id="{84298F58-0345-4831-A261-9E4A4E4F9CC8}">
    <text>työaika on 93,30%, tässä täytyy sallia luku kahden desimaalin tarkkuudella</text>
  </threadedComment>
  <threadedComment ref="L23" dT="2021-09-29T11:32:47.25" personId="{6D75A251-2E9C-408D-92F0-CE49CCF1513F}" id="{108AB84D-3CAB-4685-9D51-66397AF0B56B}">
    <text>Hakemuksessa on kaksi palkkatukipäätöstä, josta ensimmäinen ajalle 8.3.2021-7.9.2021, työaika 80%, toinen myöhemmin tehty palkkatukipäätös korvaa ensimmäisen päätöksen huhtikuusta alkaen ja on ajalle 1.4.2021-7.9.2021, työaika 100%</text>
  </threadedComment>
  <threadedComment ref="H37" dT="2021-09-21T10:37:36.02" personId="{6D75A251-2E9C-408D-92F0-CE49CCF1513F}" id="{40C5CA3F-D87A-4B05-9D99-6B4BADE6D398}">
    <text>Palkkauskustannukset laskettu: bruttopalkka+sivukulut+(lomaraha/11,97kk)</text>
  </threadedComment>
  <threadedComment ref="H37" dT="2021-11-22T07:55:57.78" personId="{368C1523-2C14-4314-BA46-474B6635AFDB}" id="{193B4173-697D-4E66-87FA-3722F7E2CDEC}" parentId="{40C5CA3F-D87A-4B05-9D99-6B4BADE6D398}">
    <text>Matti: päivitetty kukausien määrän laskenta ilman pyöristystä</text>
  </threadedComment>
  <threadedComment ref="L37" dT="2021-09-29T12:11:29.49" personId="{6D75A251-2E9C-408D-92F0-CE49CCF1513F}" id="{FDEB7308-C9B6-4932-99D6-76D8017CA572}">
    <text>ajalle 7.3.-31.3.2021 2034,0 ja ajalle 1.4.-7.9.2021 2488,16</text>
  </threadedComment>
  <threadedComment ref="H48" dT="2021-09-21T10:46:18.67" personId="{6D75A251-2E9C-408D-92F0-CE49CCF1513F}" id="{676BB169-9779-4077-A941-2E55117338AB}">
    <text>Pyöristetty laskusta 1074,67-859,73=214,93</text>
  </threadedComment>
  <threadedComment ref="E49" dT="2021-09-20T11:29:45.52" personId="{368C1523-2C14-4314-BA46-474B6635AFDB}" id="{8C4F1FA0-57A2-4FCD-BA33-0453312119B6}">
    <text>Saan eri tuloksen kuin Invisionissa, siellä on 690 samassa esimerkissä</text>
  </threadedComment>
  <threadedComment ref="E49" dT="2021-09-21T10:54:57.78" personId="{6D75A251-2E9C-408D-92F0-CE49CCF1513F}" id="{83164A3C-9B48-4726-9D56-33B651CE8D84}" parentId="{8C4F1FA0-57A2-4FCD-BA33-0453312119B6}">
    <text>tämä on saatu kertomalla 2,03kkx340€=690,2 eli pyöristys 690. Jos sinulla on ollut tukiaika kuukausina esim. 2,0333, niin silloin tulokseksi tosiaan tulisi 691,322 eli pyöristettynä 691€</text>
  </threadedComment>
  <threadedComment ref="H49" dT="2021-09-21T10:47:07.96" personId="{6D75A251-2E9C-408D-92F0-CE49CCF1513F}" id="{A5FE85D7-F87E-4974-BF73-95688A2F19E4}">
    <text>Pyöristetty laskusta 11,97x215=2573,55</text>
  </threadedComment>
  <threadedComment ref="E60" dT="2021-09-20T08:52:44.10" personId="{6D75A251-2E9C-408D-92F0-CE49CCF1513F}" id="{ACE46109-E222-4883-9558-64C45D63F8B5}">
    <text xml:space="preserve">Helsinki-lisä myönnetään euron tarkkuudella, eli pyöristetään lähimpään kokonaiseen euromäärään
</text>
  </threadedComment>
  <threadedComment ref="E67" dT="2021-09-20T08:54:28.26" personId="{6D75A251-2E9C-408D-92F0-CE49CCF1513F}" id="{7BB5C5E4-1BFD-41C4-9885-D9A3FD942433}">
    <text>Sama tässä, desimaaleja ei ilmoiteta</text>
  </threadedComment>
  <threadedComment ref="H67" dT="2021-11-22T07:56:15.01" personId="{368C1523-2C14-4314-BA46-474B6635AFDB}" id="{391C54A0-4898-4E62-B47A-97CE6E44294C}">
    <text>Matti: päivitetty kukausien määrän laskenta ilman pyöristystä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0" dT="2021-10-04T07:38:34.72" personId="{6D75A251-2E9C-408D-92F0-CE49CCF1513F}" id="{5AB7DA13-1AC4-4169-9894-BAF67AC9B684}" done="1">
    <text>Työllistämisen Helsinki-lisää ei myönnetä työnantajalle, joka ei harjoita elinkeinotoimintaa.</text>
  </threadedComment>
  <threadedComment ref="F10" dT="2021-10-04T07:38:28.77" personId="{6D75A251-2E9C-408D-92F0-CE49CCF1513F}" id="{C1E2C252-2C8C-48FC-B0C2-E99452F9DEE6}" done="1">
    <text>Työllistämisen Helsinki-lisää ei myönnetä työnantajalle, joka ei harjoita elinkeinotoimintaa.</text>
  </threadedComment>
  <threadedComment ref="G10" dT="2021-10-04T07:38:18.43" personId="{6D75A251-2E9C-408D-92F0-CE49CCF1513F}" id="{7B0053E7-6449-4F95-B424-1931145AFC67}" done="1">
    <text>Työllistämisen Helsinki-lisää ei myönnetä työnantajalle, joka ei harjoita elinkeinotoimintaa.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1" dT="2021-09-21T08:21:03.20" personId="{6D75A251-2E9C-408D-92F0-CE49CCF1513F}" id="{E9CF2E1B-48CE-478B-9C46-178E6E0F38C0}">
    <text>Lasketaan esim. (0,3x(1752+469))+((1106/12)x0,3)=691,25</text>
  </threadedComment>
  <threadedComment ref="B52" dT="2021-09-21T08:15:13.41" personId="{6D75A251-2E9C-408D-92F0-CE49CCF1513F}" id="{6EF342C0-8BFF-45D2-8DB7-F300C749412C}">
    <text>Koulutuskorvaus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3540-AF7E-4AFA-97E6-7F3210E773B6}">
  <dimension ref="B2:D17"/>
  <sheetViews>
    <sheetView workbookViewId="0">
      <selection activeCell="D18" sqref="D18"/>
    </sheetView>
  </sheetViews>
  <sheetFormatPr defaultRowHeight="15.75" x14ac:dyDescent="0.25"/>
  <cols>
    <col min="4" max="4" width="99.5" customWidth="1"/>
  </cols>
  <sheetData>
    <row r="2" spans="2:4" x14ac:dyDescent="0.25">
      <c r="B2" s="20" t="s">
        <v>137</v>
      </c>
    </row>
    <row r="4" spans="2:4" x14ac:dyDescent="0.25">
      <c r="D4" t="s">
        <v>112</v>
      </c>
    </row>
    <row r="5" spans="2:4" ht="31.5" x14ac:dyDescent="0.25">
      <c r="D5" s="34" t="s">
        <v>136</v>
      </c>
    </row>
    <row r="6" spans="2:4" x14ac:dyDescent="0.25">
      <c r="D6" s="1" t="s">
        <v>0</v>
      </c>
    </row>
    <row r="7" spans="2:4" x14ac:dyDescent="0.25">
      <c r="D7" s="21" t="s">
        <v>113</v>
      </c>
    </row>
    <row r="8" spans="2:4" x14ac:dyDescent="0.25">
      <c r="D8" s="21" t="s">
        <v>114</v>
      </c>
    </row>
    <row r="9" spans="2:4" x14ac:dyDescent="0.25">
      <c r="D9" s="21"/>
    </row>
    <row r="12" spans="2:4" x14ac:dyDescent="0.25">
      <c r="B12" s="23" t="s">
        <v>115</v>
      </c>
      <c r="C12" s="23" t="s">
        <v>116</v>
      </c>
      <c r="D12" s="23" t="s">
        <v>117</v>
      </c>
    </row>
    <row r="13" spans="2:4" ht="78.75" x14ac:dyDescent="0.25">
      <c r="B13" t="s">
        <v>118</v>
      </c>
      <c r="C13" s="22">
        <v>45050</v>
      </c>
      <c r="D13" s="34" t="s">
        <v>138</v>
      </c>
    </row>
    <row r="14" spans="2:4" x14ac:dyDescent="0.25">
      <c r="B14" t="s">
        <v>132</v>
      </c>
      <c r="C14" s="22">
        <v>45054</v>
      </c>
      <c r="D14" t="s">
        <v>133</v>
      </c>
    </row>
    <row r="15" spans="2:4" ht="31.5" x14ac:dyDescent="0.25">
      <c r="B15" t="s">
        <v>134</v>
      </c>
      <c r="C15" s="22">
        <v>45056</v>
      </c>
      <c r="D15" s="34" t="s">
        <v>135</v>
      </c>
    </row>
    <row r="16" spans="2:4" x14ac:dyDescent="0.25">
      <c r="B16" t="s">
        <v>139</v>
      </c>
      <c r="C16" s="22">
        <v>45057</v>
      </c>
      <c r="D16" s="34" t="s">
        <v>140</v>
      </c>
    </row>
    <row r="17" spans="2:4" x14ac:dyDescent="0.25">
      <c r="B17" t="s">
        <v>141</v>
      </c>
      <c r="C17" s="22">
        <v>45058</v>
      </c>
      <c r="D17" s="34" t="s">
        <v>159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50B9-7EB2-4DC2-BE65-6152BB4D0C0A}">
  <dimension ref="A1:G32"/>
  <sheetViews>
    <sheetView zoomScale="80" zoomScaleNormal="80" workbookViewId="0">
      <selection activeCell="F6" sqref="F6"/>
    </sheetView>
  </sheetViews>
  <sheetFormatPr defaultColWidth="10.75" defaultRowHeight="15.75" x14ac:dyDescent="0.25"/>
  <cols>
    <col min="1" max="3" width="25.75" customWidth="1"/>
    <col min="4" max="5" width="29.375" style="37" customWidth="1"/>
    <col min="6" max="6" width="32.75" customWidth="1"/>
    <col min="7" max="7" width="23.25" customWidth="1"/>
    <col min="8" max="8" width="10.75" customWidth="1"/>
  </cols>
  <sheetData>
    <row r="1" spans="1:7" ht="31.5" x14ac:dyDescent="0.25">
      <c r="A1" s="45" t="s">
        <v>120</v>
      </c>
      <c r="B1" s="45"/>
      <c r="C1" s="45"/>
      <c r="D1" s="45"/>
      <c r="E1" s="26"/>
    </row>
    <row r="2" spans="1:7" x14ac:dyDescent="0.25">
      <c r="A2" s="27"/>
      <c r="B2" s="27"/>
      <c r="C2" s="27"/>
      <c r="D2" s="27"/>
      <c r="E2" s="27"/>
    </row>
    <row r="3" spans="1:7" ht="18.75" x14ac:dyDescent="0.3">
      <c r="A3" s="28" t="s">
        <v>121</v>
      </c>
      <c r="B3" s="20"/>
      <c r="C3" s="46" t="s">
        <v>122</v>
      </c>
      <c r="D3" s="47"/>
      <c r="E3" s="47"/>
      <c r="F3" s="47"/>
    </row>
    <row r="4" spans="1:7" s="27" customFormat="1" ht="31.5" x14ac:dyDescent="0.25">
      <c r="A4" s="29" t="s">
        <v>123</v>
      </c>
      <c r="C4" s="30" t="s">
        <v>124</v>
      </c>
      <c r="D4" s="30" t="s">
        <v>125</v>
      </c>
      <c r="E4" s="30" t="s">
        <v>126</v>
      </c>
      <c r="F4" s="30" t="s">
        <v>127</v>
      </c>
    </row>
    <row r="5" spans="1:7" x14ac:dyDescent="0.25">
      <c r="A5" s="29" t="s">
        <v>128</v>
      </c>
      <c r="C5" s="31">
        <v>1</v>
      </c>
      <c r="D5" s="31">
        <v>0.7</v>
      </c>
      <c r="E5" s="31">
        <v>1</v>
      </c>
      <c r="F5" s="32">
        <v>2020</v>
      </c>
      <c r="G5" s="33"/>
    </row>
    <row r="6" spans="1:7" x14ac:dyDescent="0.25">
      <c r="A6" s="34"/>
      <c r="C6" s="31">
        <v>0.5</v>
      </c>
      <c r="D6" s="31">
        <v>0.5</v>
      </c>
      <c r="E6" s="31">
        <v>0.7</v>
      </c>
      <c r="F6" s="32">
        <v>1770</v>
      </c>
    </row>
    <row r="7" spans="1:7" x14ac:dyDescent="0.25">
      <c r="C7" s="35"/>
      <c r="D7" s="31"/>
      <c r="E7" s="31">
        <v>0.5</v>
      </c>
      <c r="F7" s="32">
        <v>1260</v>
      </c>
    </row>
    <row r="8" spans="1:7" x14ac:dyDescent="0.25">
      <c r="C8" s="35"/>
      <c r="D8" s="36"/>
      <c r="E8" s="36"/>
      <c r="F8" s="36"/>
    </row>
    <row r="9" spans="1:7" x14ac:dyDescent="0.25">
      <c r="D9"/>
      <c r="E9"/>
    </row>
    <row r="10" spans="1:7" x14ac:dyDescent="0.25">
      <c r="D10"/>
      <c r="E10"/>
    </row>
    <row r="11" spans="1:7" ht="18.75" x14ac:dyDescent="0.3">
      <c r="A11" s="48" t="s">
        <v>129</v>
      </c>
      <c r="B11" s="49"/>
      <c r="F11" s="33"/>
    </row>
    <row r="12" spans="1:7" x14ac:dyDescent="0.25">
      <c r="A12" s="29" t="s">
        <v>130</v>
      </c>
      <c r="B12" s="38">
        <v>800</v>
      </c>
      <c r="D12"/>
      <c r="E12"/>
    </row>
    <row r="13" spans="1:7" x14ac:dyDescent="0.25">
      <c r="A13" s="39"/>
      <c r="B13" s="37"/>
      <c r="D13"/>
      <c r="E13"/>
    </row>
    <row r="14" spans="1:7" x14ac:dyDescent="0.25">
      <c r="A14" s="34"/>
      <c r="B14" s="39"/>
      <c r="C14" s="39"/>
    </row>
    <row r="15" spans="1:7" x14ac:dyDescent="0.25">
      <c r="C15" s="37"/>
    </row>
    <row r="16" spans="1:7" x14ac:dyDescent="0.25">
      <c r="B16" s="40"/>
      <c r="C16" s="37"/>
    </row>
    <row r="17" spans="1:3" x14ac:dyDescent="0.25">
      <c r="A17" s="34"/>
      <c r="B17" s="39"/>
      <c r="C17" s="37"/>
    </row>
    <row r="18" spans="1:3" x14ac:dyDescent="0.25">
      <c r="B18" s="41"/>
      <c r="C18" s="37"/>
    </row>
    <row r="26" spans="1:3" x14ac:dyDescent="0.25">
      <c r="C26" s="33"/>
    </row>
    <row r="27" spans="1:3" x14ac:dyDescent="0.25">
      <c r="C27" s="33"/>
    </row>
    <row r="28" spans="1:3" x14ac:dyDescent="0.25">
      <c r="C28" s="33"/>
    </row>
    <row r="32" spans="1:3" x14ac:dyDescent="0.25">
      <c r="C32" s="37"/>
    </row>
  </sheetData>
  <mergeCells count="3">
    <mergeCell ref="A1:D1"/>
    <mergeCell ref="C3:F3"/>
    <mergeCell ref="A11:B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BC34-3A38-45D6-9211-F1F705D1E76B}">
  <dimension ref="A1:AV66"/>
  <sheetViews>
    <sheetView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T4" sqref="T4"/>
    </sheetView>
  </sheetViews>
  <sheetFormatPr defaultRowHeight="15.75" outlineLevelRow="1" x14ac:dyDescent="0.25"/>
  <cols>
    <col min="1" max="1" width="49.875" style="1" bestFit="1" customWidth="1"/>
    <col min="2" max="2" width="37.625" style="1" customWidth="1"/>
    <col min="3" max="3" width="12.375" style="1" customWidth="1"/>
    <col min="4" max="5" width="11.125" style="1" customWidth="1"/>
    <col min="6" max="6" width="11" style="1" customWidth="1"/>
    <col min="7" max="7" width="11.25" style="1" customWidth="1"/>
    <col min="8" max="9" width="12.5" style="1" customWidth="1"/>
    <col min="10" max="10" width="10.125" style="1" bestFit="1" customWidth="1"/>
    <col min="11" max="11" width="12.25" style="1" customWidth="1"/>
    <col min="12" max="12" width="13.625" style="1" customWidth="1"/>
    <col min="13" max="13" width="11.25" style="1" customWidth="1"/>
    <col min="14" max="14" width="9.625" style="1" bestFit="1" customWidth="1"/>
    <col min="15" max="15" width="10.125" style="1" bestFit="1" customWidth="1"/>
    <col min="16" max="16" width="9.125" style="1" bestFit="1" customWidth="1"/>
    <col min="17" max="17" width="10.125" style="1" bestFit="1" customWidth="1"/>
    <col min="18" max="18" width="9.125" style="1" bestFit="1" customWidth="1"/>
    <col min="19" max="19" width="12.125" style="1" customWidth="1"/>
    <col min="20" max="20" width="9.5" style="1" bestFit="1" customWidth="1"/>
    <col min="21" max="21" width="10.375" style="1" bestFit="1" customWidth="1"/>
    <col min="22" max="16384" width="9" style="1"/>
  </cols>
  <sheetData>
    <row r="1" spans="1:20" x14ac:dyDescent="0.25">
      <c r="B1" s="1" t="s">
        <v>0</v>
      </c>
    </row>
    <row r="2" spans="1:20" x14ac:dyDescent="0.25">
      <c r="B2" s="24" t="s">
        <v>1</v>
      </c>
    </row>
    <row r="3" spans="1:20" ht="141.75" outlineLevel="1" x14ac:dyDescent="0.25">
      <c r="B3" s="5" t="s">
        <v>1</v>
      </c>
      <c r="C3" s="55" t="s">
        <v>142</v>
      </c>
      <c r="D3" s="55" t="s">
        <v>143</v>
      </c>
      <c r="E3" s="55" t="s">
        <v>144</v>
      </c>
      <c r="F3" s="56" t="s">
        <v>145</v>
      </c>
      <c r="G3" s="56" t="s">
        <v>146</v>
      </c>
      <c r="H3" s="56" t="s">
        <v>147</v>
      </c>
      <c r="I3" s="56" t="s">
        <v>148</v>
      </c>
      <c r="J3" s="56" t="s">
        <v>149</v>
      </c>
      <c r="K3" s="56" t="s">
        <v>150</v>
      </c>
      <c r="L3" s="56" t="s">
        <v>151</v>
      </c>
      <c r="M3" s="56" t="s">
        <v>152</v>
      </c>
      <c r="N3" s="55" t="s">
        <v>142</v>
      </c>
      <c r="O3" s="56" t="s">
        <v>153</v>
      </c>
      <c r="P3" s="56" t="s">
        <v>154</v>
      </c>
      <c r="Q3" s="56" t="s">
        <v>155</v>
      </c>
      <c r="R3" s="56" t="s">
        <v>156</v>
      </c>
      <c r="S3" s="56" t="s">
        <v>157</v>
      </c>
      <c r="T3" s="56" t="s">
        <v>158</v>
      </c>
    </row>
    <row r="5" spans="1:20" x14ac:dyDescent="0.25">
      <c r="B5" s="5" t="s">
        <v>5</v>
      </c>
    </row>
    <row r="6" spans="1:20" x14ac:dyDescent="0.25">
      <c r="B6" s="5"/>
    </row>
    <row r="7" spans="1:20" x14ac:dyDescent="0.25">
      <c r="A7" s="1" t="s">
        <v>6</v>
      </c>
      <c r="B7" s="7" t="s">
        <v>7</v>
      </c>
      <c r="L7" s="24" t="s">
        <v>8</v>
      </c>
    </row>
    <row r="8" spans="1:20" x14ac:dyDescent="0.25">
      <c r="A8" s="1" t="s">
        <v>9</v>
      </c>
      <c r="B8" s="7" t="s">
        <v>10</v>
      </c>
      <c r="C8" s="1" t="s">
        <v>11</v>
      </c>
      <c r="D8" s="1" t="s">
        <v>11</v>
      </c>
      <c r="E8" s="1" t="s">
        <v>11</v>
      </c>
      <c r="F8" s="1" t="s">
        <v>11</v>
      </c>
      <c r="G8" s="21" t="s">
        <v>87</v>
      </c>
      <c r="H8" s="21" t="s">
        <v>87</v>
      </c>
      <c r="I8" s="1" t="s">
        <v>11</v>
      </c>
      <c r="J8" s="1" t="s">
        <v>11</v>
      </c>
      <c r="K8" s="1" t="s">
        <v>11</v>
      </c>
      <c r="L8" s="1" t="s">
        <v>11</v>
      </c>
      <c r="M8" s="21" t="s">
        <v>87</v>
      </c>
      <c r="N8" s="1" t="s">
        <v>11</v>
      </c>
      <c r="O8" s="1" t="s">
        <v>11</v>
      </c>
      <c r="P8" s="1" t="s">
        <v>11</v>
      </c>
      <c r="Q8" s="1" t="s">
        <v>11</v>
      </c>
      <c r="R8" s="21" t="s">
        <v>87</v>
      </c>
      <c r="S8" s="21" t="s">
        <v>87</v>
      </c>
      <c r="T8" s="1" t="s">
        <v>11</v>
      </c>
    </row>
    <row r="9" spans="1:20" x14ac:dyDescent="0.25">
      <c r="A9" s="1" t="s">
        <v>12</v>
      </c>
      <c r="B9" s="7" t="s">
        <v>13</v>
      </c>
      <c r="C9" s="1" t="s">
        <v>14</v>
      </c>
      <c r="D9" s="1" t="s">
        <v>14</v>
      </c>
      <c r="E9" s="1" t="s">
        <v>14</v>
      </c>
      <c r="F9" s="1" t="s">
        <v>15</v>
      </c>
      <c r="G9" s="1" t="s">
        <v>14</v>
      </c>
      <c r="H9" s="1" t="s">
        <v>14</v>
      </c>
      <c r="I9" s="1" t="s">
        <v>15</v>
      </c>
      <c r="J9" s="1" t="s">
        <v>14</v>
      </c>
      <c r="K9" s="1" t="s">
        <v>15</v>
      </c>
      <c r="L9" s="1" t="s">
        <v>15</v>
      </c>
      <c r="M9" s="1" t="s">
        <v>15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15</v>
      </c>
      <c r="S9" s="1" t="s">
        <v>14</v>
      </c>
      <c r="T9" s="1" t="s">
        <v>15</v>
      </c>
    </row>
    <row r="10" spans="1:20" x14ac:dyDescent="0.25">
      <c r="A10" s="1" t="s">
        <v>16</v>
      </c>
      <c r="B10" s="7" t="s">
        <v>17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T10" s="1" t="s">
        <v>18</v>
      </c>
    </row>
    <row r="11" spans="1:20" x14ac:dyDescent="0.25">
      <c r="A11" s="1" t="s">
        <v>19</v>
      </c>
      <c r="B11" s="7" t="s">
        <v>20</v>
      </c>
      <c r="C11" s="4">
        <v>45170</v>
      </c>
      <c r="D11" s="4">
        <v>45170</v>
      </c>
      <c r="E11" s="4">
        <v>45117</v>
      </c>
      <c r="F11" s="4">
        <v>45170</v>
      </c>
      <c r="G11" s="4">
        <v>44979</v>
      </c>
      <c r="H11" s="4">
        <v>44969</v>
      </c>
      <c r="I11" s="4">
        <v>45229</v>
      </c>
      <c r="J11" s="4">
        <v>45028</v>
      </c>
      <c r="K11" s="4">
        <v>45184</v>
      </c>
      <c r="L11" s="4">
        <v>44993</v>
      </c>
      <c r="M11" s="4">
        <v>44969</v>
      </c>
      <c r="N11" s="4">
        <v>45105</v>
      </c>
      <c r="O11" s="4">
        <v>44986</v>
      </c>
      <c r="P11" s="4">
        <v>45161</v>
      </c>
      <c r="Q11" s="4">
        <v>44983</v>
      </c>
      <c r="R11" s="4">
        <v>45017</v>
      </c>
      <c r="S11" s="4">
        <v>45184</v>
      </c>
      <c r="T11" s="4">
        <v>45139</v>
      </c>
    </row>
    <row r="12" spans="1:20" x14ac:dyDescent="0.25">
      <c r="A12" s="1" t="s">
        <v>21</v>
      </c>
      <c r="B12" s="7" t="s">
        <v>22</v>
      </c>
      <c r="C12" s="4">
        <v>45230</v>
      </c>
      <c r="D12" s="4">
        <v>45230</v>
      </c>
      <c r="E12" s="4">
        <v>45240</v>
      </c>
      <c r="F12" s="4">
        <v>45535</v>
      </c>
      <c r="G12" s="4">
        <v>45343</v>
      </c>
      <c r="H12" s="4">
        <v>45332</v>
      </c>
      <c r="I12" s="4">
        <v>45291</v>
      </c>
      <c r="J12" s="4">
        <v>45210</v>
      </c>
      <c r="K12" s="4">
        <v>45366</v>
      </c>
      <c r="L12" s="4">
        <v>45176</v>
      </c>
      <c r="M12" s="4">
        <v>45334</v>
      </c>
      <c r="N12" s="4">
        <v>45470</v>
      </c>
      <c r="O12" s="4">
        <v>45350</v>
      </c>
      <c r="P12" s="4">
        <v>45526</v>
      </c>
      <c r="Q12" s="4">
        <v>45348</v>
      </c>
      <c r="R12" s="4">
        <v>45107</v>
      </c>
      <c r="S12" s="4">
        <v>45549</v>
      </c>
      <c r="T12" s="4">
        <v>45353</v>
      </c>
    </row>
    <row r="13" spans="1:20" x14ac:dyDescent="0.25">
      <c r="A13" s="1" t="s">
        <v>23</v>
      </c>
      <c r="B13" s="7" t="s">
        <v>24</v>
      </c>
      <c r="C13" s="3">
        <v>2500</v>
      </c>
      <c r="D13" s="3">
        <v>2500</v>
      </c>
      <c r="E13" s="3">
        <v>3200</v>
      </c>
      <c r="F13" s="3">
        <v>2178</v>
      </c>
      <c r="G13" s="3">
        <v>2520</v>
      </c>
      <c r="H13" s="3">
        <v>1600</v>
      </c>
      <c r="I13" s="3">
        <v>1500</v>
      </c>
      <c r="J13" s="3">
        <v>2400</v>
      </c>
      <c r="K13" s="3">
        <v>1330.27</v>
      </c>
      <c r="L13" s="3">
        <v>1330.27</v>
      </c>
      <c r="M13" s="3">
        <v>1470.88</v>
      </c>
      <c r="N13" s="3">
        <v>1700</v>
      </c>
      <c r="O13" s="3">
        <v>3000</v>
      </c>
      <c r="P13" s="3">
        <v>2300</v>
      </c>
      <c r="Q13" s="3">
        <v>2054</v>
      </c>
      <c r="R13" s="3">
        <v>2133.67</v>
      </c>
      <c r="S13" s="3">
        <v>2500</v>
      </c>
      <c r="T13" s="3">
        <v>1928.92</v>
      </c>
    </row>
    <row r="14" spans="1:20" x14ac:dyDescent="0.25">
      <c r="A14" s="1" t="s">
        <v>25</v>
      </c>
      <c r="B14" s="7" t="s">
        <v>26</v>
      </c>
      <c r="C14" s="3">
        <v>200</v>
      </c>
      <c r="D14" s="3">
        <v>200</v>
      </c>
      <c r="E14" s="3">
        <v>200</v>
      </c>
      <c r="F14" s="3">
        <v>421.44</v>
      </c>
      <c r="G14" s="3">
        <v>608.33000000000004</v>
      </c>
      <c r="H14" s="3">
        <v>389.76</v>
      </c>
      <c r="I14" s="3">
        <v>300.25</v>
      </c>
      <c r="J14" s="3">
        <v>624</v>
      </c>
      <c r="K14" s="3">
        <v>656.04</v>
      </c>
      <c r="L14" s="3">
        <v>638.12</v>
      </c>
      <c r="M14" s="3">
        <v>614.11</v>
      </c>
      <c r="N14" s="3">
        <v>378.6</v>
      </c>
      <c r="O14" s="3">
        <v>621</v>
      </c>
      <c r="P14" s="3">
        <v>430</v>
      </c>
      <c r="Q14" s="3">
        <v>370.66</v>
      </c>
      <c r="R14" s="3">
        <v>576.35</v>
      </c>
      <c r="S14" s="3">
        <v>562</v>
      </c>
      <c r="T14" s="3">
        <v>560.94000000000005</v>
      </c>
    </row>
    <row r="15" spans="1:20" x14ac:dyDescent="0.25">
      <c r="A15" s="1" t="s">
        <v>27</v>
      </c>
      <c r="B15" s="25" t="s">
        <v>119</v>
      </c>
      <c r="C15" s="3">
        <v>0</v>
      </c>
      <c r="D15" s="3">
        <v>0</v>
      </c>
      <c r="E15" s="3">
        <v>0</v>
      </c>
      <c r="F15" s="3">
        <v>0</v>
      </c>
      <c r="G15" s="3">
        <v>149</v>
      </c>
      <c r="H15" s="3">
        <v>160</v>
      </c>
      <c r="I15" s="3">
        <v>50.25</v>
      </c>
      <c r="J15" s="3">
        <v>890</v>
      </c>
      <c r="K15" s="3">
        <v>83.61</v>
      </c>
      <c r="L15" s="3">
        <v>66.88</v>
      </c>
      <c r="M15" s="3">
        <v>81.06</v>
      </c>
      <c r="N15" s="3">
        <v>71.03</v>
      </c>
      <c r="O15" s="3">
        <v>152.94</v>
      </c>
      <c r="P15" s="3">
        <v>125.35</v>
      </c>
      <c r="Q15" s="3">
        <v>121.75</v>
      </c>
      <c r="R15" s="3">
        <v>311.87</v>
      </c>
      <c r="S15" s="3">
        <v>150</v>
      </c>
      <c r="T15" s="3">
        <v>0</v>
      </c>
    </row>
    <row r="16" spans="1:20" x14ac:dyDescent="0.25"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48" x14ac:dyDescent="0.25">
      <c r="A17" s="1" t="s">
        <v>29</v>
      </c>
      <c r="B17" s="7" t="s">
        <v>30</v>
      </c>
      <c r="C17" s="2">
        <v>1</v>
      </c>
      <c r="D17" s="2">
        <v>0.5</v>
      </c>
      <c r="E17" s="2">
        <v>1</v>
      </c>
      <c r="F17" s="2">
        <v>1</v>
      </c>
      <c r="G17" s="2">
        <v>0.5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0.5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</row>
    <row r="18" spans="1:48" x14ac:dyDescent="0.25">
      <c r="B18" s="7"/>
    </row>
    <row r="19" spans="1:48" x14ac:dyDescent="0.25">
      <c r="B19" s="6" t="s">
        <v>31</v>
      </c>
    </row>
    <row r="20" spans="1:48" x14ac:dyDescent="0.25">
      <c r="A20" s="1" t="s">
        <v>32</v>
      </c>
      <c r="B20" s="7" t="s">
        <v>33</v>
      </c>
      <c r="C20" s="2">
        <v>0.7</v>
      </c>
      <c r="D20" s="2">
        <v>0.5</v>
      </c>
      <c r="E20" s="2">
        <v>0.7</v>
      </c>
      <c r="F20" s="2">
        <v>1</v>
      </c>
      <c r="G20" s="2">
        <v>0.5</v>
      </c>
      <c r="H20" s="2">
        <v>0.7</v>
      </c>
      <c r="I20" s="2">
        <v>0.5</v>
      </c>
      <c r="J20" s="2">
        <v>0.7</v>
      </c>
      <c r="K20" s="2">
        <v>1</v>
      </c>
      <c r="L20" s="2">
        <v>1</v>
      </c>
      <c r="M20" s="2">
        <v>0.5</v>
      </c>
      <c r="N20" s="2">
        <v>0.7</v>
      </c>
      <c r="O20" s="2">
        <v>0.5</v>
      </c>
      <c r="P20" s="2">
        <v>0.7</v>
      </c>
      <c r="Q20" s="2">
        <v>0.5</v>
      </c>
      <c r="R20" s="2">
        <v>0.7</v>
      </c>
      <c r="S20" s="2">
        <v>0.7</v>
      </c>
      <c r="T20" s="2">
        <v>1</v>
      </c>
    </row>
    <row r="21" spans="1:48" x14ac:dyDescent="0.25">
      <c r="A21" s="1" t="s">
        <v>34</v>
      </c>
      <c r="B21" s="7" t="s">
        <v>35</v>
      </c>
      <c r="C21" s="13"/>
      <c r="D21" s="13"/>
      <c r="E21" s="13"/>
      <c r="F21" s="13">
        <v>0.93300000000000005</v>
      </c>
      <c r="G21" s="13"/>
      <c r="H21" s="13"/>
      <c r="I21" s="13"/>
      <c r="J21" s="13"/>
      <c r="K21" s="13">
        <v>0.8</v>
      </c>
      <c r="L21" s="13">
        <v>0.8</v>
      </c>
      <c r="M21" s="13"/>
      <c r="N21" s="13"/>
      <c r="O21" s="13"/>
      <c r="P21" s="13"/>
      <c r="Q21" s="13"/>
      <c r="R21" s="13"/>
      <c r="S21" s="13"/>
      <c r="T21" s="13">
        <v>0.64049999999999996</v>
      </c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x14ac:dyDescent="0.25">
      <c r="A22" s="1" t="s">
        <v>36</v>
      </c>
      <c r="B22" s="7" t="s">
        <v>37</v>
      </c>
      <c r="C22" s="4">
        <v>45170</v>
      </c>
      <c r="D22" s="4">
        <v>45170</v>
      </c>
      <c r="E22" s="4">
        <v>45117</v>
      </c>
      <c r="F22" s="4">
        <v>45170</v>
      </c>
      <c r="G22" s="4">
        <v>44979</v>
      </c>
      <c r="H22" s="4">
        <v>44968</v>
      </c>
      <c r="I22" s="4">
        <v>45108</v>
      </c>
      <c r="J22" s="4">
        <v>45028</v>
      </c>
      <c r="K22" s="4">
        <v>45184</v>
      </c>
      <c r="L22" s="4">
        <v>44993</v>
      </c>
      <c r="M22" s="4">
        <v>44969</v>
      </c>
      <c r="N22" s="4">
        <v>45105</v>
      </c>
      <c r="O22" s="4">
        <v>44986</v>
      </c>
      <c r="P22" s="4">
        <v>45161</v>
      </c>
      <c r="Q22" s="4">
        <v>45001</v>
      </c>
      <c r="R22" s="4">
        <v>45017</v>
      </c>
      <c r="S22" s="4">
        <v>45184</v>
      </c>
      <c r="T22" s="4">
        <v>45139</v>
      </c>
    </row>
    <row r="23" spans="1:48" x14ac:dyDescent="0.25">
      <c r="A23" s="1" t="s">
        <v>38</v>
      </c>
      <c r="B23" s="7" t="s">
        <v>39</v>
      </c>
      <c r="C23" s="4">
        <v>45230</v>
      </c>
      <c r="D23" s="4">
        <v>45230</v>
      </c>
      <c r="E23" s="4">
        <v>45179</v>
      </c>
      <c r="F23" s="4">
        <v>45535</v>
      </c>
      <c r="G23" s="4">
        <v>45343</v>
      </c>
      <c r="H23" s="4">
        <v>45332</v>
      </c>
      <c r="I23" s="4">
        <v>45291</v>
      </c>
      <c r="J23" s="4">
        <v>45210</v>
      </c>
      <c r="K23" s="4">
        <v>45365</v>
      </c>
      <c r="L23" s="4">
        <v>45176</v>
      </c>
      <c r="M23" s="4">
        <v>45334</v>
      </c>
      <c r="N23" s="4">
        <v>45470</v>
      </c>
      <c r="O23" s="4">
        <v>45291</v>
      </c>
      <c r="P23" s="4">
        <v>45344</v>
      </c>
      <c r="Q23" s="4">
        <v>45291</v>
      </c>
      <c r="R23" s="4">
        <v>45107</v>
      </c>
      <c r="S23" s="4">
        <v>45365</v>
      </c>
      <c r="T23" s="4">
        <v>45353</v>
      </c>
    </row>
    <row r="25" spans="1:48" x14ac:dyDescent="0.25">
      <c r="B25" s="6" t="s">
        <v>40</v>
      </c>
    </row>
    <row r="26" spans="1:48" x14ac:dyDescent="0.25">
      <c r="A26" s="1" t="s">
        <v>41</v>
      </c>
      <c r="B26" s="7" t="s">
        <v>33</v>
      </c>
      <c r="G26" s="2"/>
      <c r="H26" s="2"/>
      <c r="K26" s="2"/>
      <c r="L26" s="2">
        <v>1</v>
      </c>
      <c r="O26" s="2"/>
      <c r="Q26" s="2"/>
    </row>
    <row r="27" spans="1:48" s="13" customFormat="1" x14ac:dyDescent="0.25">
      <c r="A27" s="1" t="s">
        <v>42</v>
      </c>
      <c r="B27" s="7" t="s">
        <v>35</v>
      </c>
      <c r="L27" s="13">
        <v>1</v>
      </c>
    </row>
    <row r="28" spans="1:48" x14ac:dyDescent="0.25">
      <c r="A28" s="1" t="s">
        <v>43</v>
      </c>
      <c r="B28" s="7" t="s">
        <v>37</v>
      </c>
      <c r="G28" s="4"/>
      <c r="H28" s="4"/>
      <c r="L28" s="4">
        <v>45017</v>
      </c>
      <c r="O28" s="4"/>
      <c r="P28" s="4"/>
      <c r="Q28" s="4"/>
    </row>
    <row r="29" spans="1:48" x14ac:dyDescent="0.25">
      <c r="A29" s="1" t="s">
        <v>44</v>
      </c>
      <c r="B29" s="7" t="s">
        <v>39</v>
      </c>
      <c r="G29" s="4"/>
      <c r="H29" s="4"/>
      <c r="L29" s="4">
        <v>45176</v>
      </c>
      <c r="O29" s="4"/>
      <c r="P29" s="4"/>
      <c r="Q29" s="4"/>
    </row>
    <row r="30" spans="1:48" x14ac:dyDescent="0.25">
      <c r="B30" s="7"/>
    </row>
    <row r="32" spans="1:48" x14ac:dyDescent="0.25">
      <c r="I32" s="14"/>
    </row>
    <row r="33" spans="1:21" x14ac:dyDescent="0.25">
      <c r="B33" s="5" t="s">
        <v>45</v>
      </c>
      <c r="I33" s="3"/>
    </row>
    <row r="35" spans="1:21" x14ac:dyDescent="0.25">
      <c r="A35" s="1" t="s">
        <v>46</v>
      </c>
      <c r="B35" s="7" t="s">
        <v>47</v>
      </c>
      <c r="C35" s="3">
        <f>C13+C14+C15</f>
        <v>2700</v>
      </c>
      <c r="D35" s="3">
        <f t="shared" ref="D35:T35" si="0">D13+D14+D15</f>
        <v>2700</v>
      </c>
      <c r="E35" s="3">
        <f t="shared" si="0"/>
        <v>3400</v>
      </c>
      <c r="F35" s="3">
        <f t="shared" si="0"/>
        <v>2599.44</v>
      </c>
      <c r="G35" s="3">
        <f t="shared" si="0"/>
        <v>3277.33</v>
      </c>
      <c r="H35" s="3">
        <f t="shared" si="0"/>
        <v>2149.7600000000002</v>
      </c>
      <c r="I35" s="3">
        <f t="shared" si="0"/>
        <v>1850.5</v>
      </c>
      <c r="J35" s="3">
        <f t="shared" si="0"/>
        <v>3914</v>
      </c>
      <c r="K35" s="3">
        <f t="shared" si="0"/>
        <v>2069.92</v>
      </c>
      <c r="L35" s="3">
        <f t="shared" si="0"/>
        <v>2035.27</v>
      </c>
      <c r="M35" s="3">
        <f t="shared" si="0"/>
        <v>2166.0500000000002</v>
      </c>
      <c r="N35" s="3">
        <f t="shared" si="0"/>
        <v>2149.63</v>
      </c>
      <c r="O35" s="3">
        <f t="shared" si="0"/>
        <v>3773.94</v>
      </c>
      <c r="P35" s="3">
        <f t="shared" si="0"/>
        <v>2855.35</v>
      </c>
      <c r="Q35" s="3">
        <f t="shared" si="0"/>
        <v>2546.41</v>
      </c>
      <c r="R35" s="3">
        <f t="shared" si="0"/>
        <v>3021.89</v>
      </c>
      <c r="S35" s="3">
        <f t="shared" si="0"/>
        <v>3212</v>
      </c>
      <c r="T35" s="3">
        <f t="shared" si="0"/>
        <v>2489.86</v>
      </c>
    </row>
    <row r="36" spans="1:21" x14ac:dyDescent="0.25">
      <c r="A36" s="1" t="s">
        <v>48</v>
      </c>
      <c r="B36" s="7" t="s">
        <v>49</v>
      </c>
      <c r="C36" s="3">
        <f>C17*C35</f>
        <v>2700</v>
      </c>
      <c r="D36" s="3">
        <f t="shared" ref="D36:T36" si="1">D17*D35</f>
        <v>1350</v>
      </c>
      <c r="E36" s="3">
        <f t="shared" si="1"/>
        <v>3400</v>
      </c>
      <c r="F36" s="3">
        <f t="shared" si="1"/>
        <v>2599.44</v>
      </c>
      <c r="G36" s="3">
        <f t="shared" si="1"/>
        <v>1638.665</v>
      </c>
      <c r="H36" s="3">
        <f t="shared" si="1"/>
        <v>2149.7600000000002</v>
      </c>
      <c r="I36" s="3">
        <f t="shared" si="1"/>
        <v>1850.5</v>
      </c>
      <c r="J36" s="3">
        <f t="shared" si="1"/>
        <v>3914</v>
      </c>
      <c r="K36" s="3">
        <f t="shared" si="1"/>
        <v>2069.92</v>
      </c>
      <c r="L36" s="3">
        <f t="shared" si="1"/>
        <v>2035.27</v>
      </c>
      <c r="M36" s="3">
        <f t="shared" si="1"/>
        <v>2166.0500000000002</v>
      </c>
      <c r="N36" s="3">
        <f t="shared" si="1"/>
        <v>2149.63</v>
      </c>
      <c r="O36" s="3">
        <f t="shared" si="1"/>
        <v>1886.97</v>
      </c>
      <c r="P36" s="3">
        <f t="shared" si="1"/>
        <v>2855.35</v>
      </c>
      <c r="Q36" s="3">
        <f t="shared" si="1"/>
        <v>2546.41</v>
      </c>
      <c r="R36" s="3">
        <f t="shared" si="1"/>
        <v>3021.89</v>
      </c>
      <c r="S36" s="3">
        <f t="shared" si="1"/>
        <v>3212</v>
      </c>
      <c r="T36" s="3">
        <f t="shared" si="1"/>
        <v>2489.86</v>
      </c>
    </row>
    <row r="37" spans="1:21" ht="31.5" x14ac:dyDescent="0.25">
      <c r="B37" s="42" t="s">
        <v>131</v>
      </c>
      <c r="C37" s="3">
        <f>IFERROR(C13/C21*65%*1.23,0)</f>
        <v>0</v>
      </c>
      <c r="D37" s="3">
        <f t="shared" ref="D37:T37" si="2">IFERROR(D13/D21*65%*1.23,0)</f>
        <v>0</v>
      </c>
      <c r="E37" s="3">
        <f t="shared" si="2"/>
        <v>0</v>
      </c>
      <c r="F37" s="3">
        <f t="shared" si="2"/>
        <v>1866.3569131832799</v>
      </c>
      <c r="G37" s="3">
        <f t="shared" si="2"/>
        <v>0</v>
      </c>
      <c r="H37" s="3">
        <f t="shared" si="2"/>
        <v>0</v>
      </c>
      <c r="I37" s="3">
        <f t="shared" si="2"/>
        <v>0</v>
      </c>
      <c r="J37" s="3">
        <f t="shared" si="2"/>
        <v>0</v>
      </c>
      <c r="K37" s="3">
        <f t="shared" si="2"/>
        <v>1329.43858125</v>
      </c>
      <c r="L37" s="3">
        <f t="shared" si="2"/>
        <v>1329.43858125</v>
      </c>
      <c r="M37" s="3">
        <f t="shared" si="2"/>
        <v>0</v>
      </c>
      <c r="N37" s="3">
        <f t="shared" si="2"/>
        <v>0</v>
      </c>
      <c r="O37" s="3">
        <f t="shared" si="2"/>
        <v>0</v>
      </c>
      <c r="P37" s="3">
        <f t="shared" si="2"/>
        <v>0</v>
      </c>
      <c r="Q37" s="3">
        <f t="shared" si="2"/>
        <v>0</v>
      </c>
      <c r="R37" s="3">
        <f t="shared" si="2"/>
        <v>0</v>
      </c>
      <c r="S37" s="3">
        <f t="shared" si="2"/>
        <v>0</v>
      </c>
      <c r="T37" s="3">
        <f t="shared" si="2"/>
        <v>2407.761967213115</v>
      </c>
    </row>
    <row r="38" spans="1:21" x14ac:dyDescent="0.25">
      <c r="B38" s="6" t="s">
        <v>50</v>
      </c>
    </row>
    <row r="39" spans="1:21" x14ac:dyDescent="0.25">
      <c r="B39" s="8" t="s">
        <v>51</v>
      </c>
    </row>
    <row r="40" spans="1:21" x14ac:dyDescent="0.25">
      <c r="A40" s="1" t="s">
        <v>52</v>
      </c>
      <c r="B40" s="7" t="s">
        <v>53</v>
      </c>
      <c r="C40" s="3">
        <f t="shared" ref="C40:T40" si="3">IF(C20=50%,MIN(50%*C13,Max_50),IF(C20=70%,MIN(70%*C13,max_70),IF(C20=100%,MIN(100%*C37,Max_100),"")))</f>
        <v>1750</v>
      </c>
      <c r="D40" s="3">
        <f t="shared" si="3"/>
        <v>1250</v>
      </c>
      <c r="E40" s="3">
        <f t="shared" si="3"/>
        <v>1770</v>
      </c>
      <c r="F40" s="3">
        <f t="shared" si="3"/>
        <v>1866.3569131832799</v>
      </c>
      <c r="G40" s="3">
        <f t="shared" si="3"/>
        <v>1260</v>
      </c>
      <c r="H40" s="3">
        <f t="shared" si="3"/>
        <v>1120</v>
      </c>
      <c r="I40" s="3">
        <f t="shared" si="3"/>
        <v>750</v>
      </c>
      <c r="J40" s="3">
        <f t="shared" si="3"/>
        <v>1680</v>
      </c>
      <c r="K40" s="3">
        <f t="shared" si="3"/>
        <v>1329.43858125</v>
      </c>
      <c r="L40" s="3">
        <f t="shared" si="3"/>
        <v>1329.43858125</v>
      </c>
      <c r="M40" s="3">
        <f t="shared" si="3"/>
        <v>735.44</v>
      </c>
      <c r="N40" s="3">
        <f t="shared" si="3"/>
        <v>1190</v>
      </c>
      <c r="O40" s="3">
        <f t="shared" si="3"/>
        <v>1260</v>
      </c>
      <c r="P40" s="3">
        <f t="shared" si="3"/>
        <v>1610</v>
      </c>
      <c r="Q40" s="3">
        <f t="shared" si="3"/>
        <v>1027</v>
      </c>
      <c r="R40" s="3">
        <f t="shared" si="3"/>
        <v>1493.569</v>
      </c>
      <c r="S40" s="3">
        <f t="shared" si="3"/>
        <v>1750</v>
      </c>
      <c r="T40" s="3">
        <f t="shared" si="3"/>
        <v>2020</v>
      </c>
    </row>
    <row r="42" spans="1:21" x14ac:dyDescent="0.25">
      <c r="B42" s="7" t="s">
        <v>54</v>
      </c>
    </row>
    <row r="43" spans="1:21" x14ac:dyDescent="0.25">
      <c r="A43" s="1" t="s">
        <v>55</v>
      </c>
      <c r="B43" s="9" t="s">
        <v>56</v>
      </c>
      <c r="C43" s="4">
        <v>45170</v>
      </c>
      <c r="D43" s="4">
        <v>45170</v>
      </c>
      <c r="E43" s="4">
        <v>45117</v>
      </c>
      <c r="F43" s="4">
        <v>45170</v>
      </c>
      <c r="G43" s="4">
        <v>44979</v>
      </c>
      <c r="H43" s="4">
        <v>44969</v>
      </c>
      <c r="I43" s="4">
        <v>45229</v>
      </c>
      <c r="J43" s="4">
        <v>45028</v>
      </c>
      <c r="K43" s="4">
        <v>45184</v>
      </c>
      <c r="L43" s="4">
        <v>44993</v>
      </c>
      <c r="M43" s="4">
        <v>44969</v>
      </c>
      <c r="N43" s="4">
        <v>45105</v>
      </c>
      <c r="O43" s="4">
        <v>44986</v>
      </c>
      <c r="P43" s="4">
        <v>45161</v>
      </c>
      <c r="Q43" s="4">
        <v>45001</v>
      </c>
      <c r="R43" s="4">
        <v>45017</v>
      </c>
      <c r="S43" s="4">
        <v>45184</v>
      </c>
      <c r="T43" s="4">
        <v>45139</v>
      </c>
      <c r="U43" s="4">
        <v>45054</v>
      </c>
    </row>
    <row r="44" spans="1:21" x14ac:dyDescent="0.25">
      <c r="A44" s="1" t="s">
        <v>57</v>
      </c>
      <c r="B44" s="9" t="s">
        <v>58</v>
      </c>
      <c r="C44" s="4">
        <v>45230</v>
      </c>
      <c r="D44" s="4">
        <v>45230</v>
      </c>
      <c r="E44" s="4">
        <v>45179</v>
      </c>
      <c r="F44" s="4">
        <v>45535</v>
      </c>
      <c r="G44" s="4">
        <v>45343</v>
      </c>
      <c r="H44" s="4">
        <v>45332</v>
      </c>
      <c r="I44" s="4">
        <v>45291</v>
      </c>
      <c r="J44" s="4">
        <v>45210</v>
      </c>
      <c r="K44" s="4">
        <v>45365</v>
      </c>
      <c r="L44" s="4">
        <v>45016</v>
      </c>
      <c r="M44" s="4">
        <v>45334</v>
      </c>
      <c r="N44" s="4">
        <v>45470</v>
      </c>
      <c r="O44" s="4">
        <v>45291</v>
      </c>
      <c r="P44" s="4">
        <v>45344</v>
      </c>
      <c r="Q44" s="4">
        <v>45291</v>
      </c>
      <c r="R44" s="4">
        <v>45107</v>
      </c>
      <c r="S44" s="4">
        <v>45365</v>
      </c>
      <c r="T44" s="4">
        <v>45353</v>
      </c>
      <c r="U44" s="4">
        <v>45054</v>
      </c>
    </row>
    <row r="45" spans="1:21" x14ac:dyDescent="0.25">
      <c r="A45" s="1" t="s">
        <v>59</v>
      </c>
      <c r="B45" s="9" t="s">
        <v>60</v>
      </c>
      <c r="C45" s="11">
        <f t="shared" ref="C45:E45" si="4">ROUND((DAYS360(C43,C44,TRUE) +1) / 30, 2)</f>
        <v>2</v>
      </c>
      <c r="D45" s="11">
        <f t="shared" si="4"/>
        <v>2</v>
      </c>
      <c r="E45" s="11">
        <f t="shared" si="4"/>
        <v>2.0299999999999998</v>
      </c>
      <c r="F45" s="11">
        <f t="shared" ref="F45:T45" si="5">ROUND((DAYS360(F43,F44,TRUE) +1) / 30, 2)</f>
        <v>12</v>
      </c>
      <c r="G45" s="11">
        <f t="shared" si="5"/>
        <v>12</v>
      </c>
      <c r="H45" s="11">
        <f t="shared" si="5"/>
        <v>11.97</v>
      </c>
      <c r="I45" s="11">
        <f t="shared" si="5"/>
        <v>2.0299999999999998</v>
      </c>
      <c r="J45" s="11">
        <f t="shared" si="5"/>
        <v>6</v>
      </c>
      <c r="K45" s="11">
        <f t="shared" si="5"/>
        <v>6</v>
      </c>
      <c r="L45" s="11">
        <f t="shared" si="5"/>
        <v>0.77</v>
      </c>
      <c r="M45" s="11">
        <f t="shared" si="5"/>
        <v>12.03</v>
      </c>
      <c r="N45" s="11">
        <f t="shared" si="5"/>
        <v>12</v>
      </c>
      <c r="O45" s="11">
        <f t="shared" si="5"/>
        <v>10</v>
      </c>
      <c r="P45" s="11">
        <f t="shared" si="5"/>
        <v>6</v>
      </c>
      <c r="Q45" s="11">
        <f t="shared" si="5"/>
        <v>9.5</v>
      </c>
      <c r="R45" s="11">
        <f t="shared" si="5"/>
        <v>3</v>
      </c>
      <c r="S45" s="11">
        <f t="shared" si="5"/>
        <v>6</v>
      </c>
      <c r="T45" s="11">
        <f t="shared" si="5"/>
        <v>7.07</v>
      </c>
      <c r="U45" s="44">
        <f>ROUND((DAYS360(U43,U44,TRUE) +1) / 30, 9)</f>
        <v>3.3333333E-2</v>
      </c>
    </row>
    <row r="46" spans="1:21" x14ac:dyDescent="0.25">
      <c r="A46" s="1" t="s">
        <v>61</v>
      </c>
      <c r="B46" s="9" t="s">
        <v>62</v>
      </c>
      <c r="C46" s="3">
        <f t="shared" ref="C46:T46" si="6">ROUND(MAX(MIN(C36-C40,HEL_Lisä_Max),0 ),0)</f>
        <v>800</v>
      </c>
      <c r="D46" s="3">
        <f t="shared" si="6"/>
        <v>100</v>
      </c>
      <c r="E46" s="3">
        <f t="shared" si="6"/>
        <v>800</v>
      </c>
      <c r="F46" s="3">
        <f t="shared" si="6"/>
        <v>733</v>
      </c>
      <c r="G46" s="3">
        <f t="shared" si="6"/>
        <v>379</v>
      </c>
      <c r="H46" s="3">
        <f t="shared" si="6"/>
        <v>800</v>
      </c>
      <c r="I46" s="3">
        <f t="shared" si="6"/>
        <v>800</v>
      </c>
      <c r="J46" s="3">
        <f t="shared" si="6"/>
        <v>800</v>
      </c>
      <c r="K46" s="3">
        <f t="shared" si="6"/>
        <v>740</v>
      </c>
      <c r="L46" s="3">
        <v>666</v>
      </c>
      <c r="M46" s="3">
        <f t="shared" si="6"/>
        <v>800</v>
      </c>
      <c r="N46" s="3">
        <f t="shared" si="6"/>
        <v>800</v>
      </c>
      <c r="O46" s="3">
        <f t="shared" si="6"/>
        <v>627</v>
      </c>
      <c r="P46" s="3">
        <f t="shared" si="6"/>
        <v>800</v>
      </c>
      <c r="Q46" s="3">
        <f t="shared" si="6"/>
        <v>800</v>
      </c>
      <c r="R46" s="3">
        <f t="shared" si="6"/>
        <v>800</v>
      </c>
      <c r="S46" s="3">
        <f t="shared" si="6"/>
        <v>800</v>
      </c>
      <c r="T46" s="3">
        <f t="shared" si="6"/>
        <v>470</v>
      </c>
    </row>
    <row r="47" spans="1:21" x14ac:dyDescent="0.25">
      <c r="A47" s="1" t="s">
        <v>63</v>
      </c>
      <c r="B47" s="9" t="s">
        <v>64</v>
      </c>
      <c r="C47" s="3">
        <f>ROUND(C45*C46,0)</f>
        <v>1600</v>
      </c>
      <c r="D47" s="3">
        <f>ROUND(D45*D46,0)</f>
        <v>200</v>
      </c>
      <c r="E47" s="3">
        <f t="shared" ref="E47:T47" si="7">ROUND(E45*E46,0)</f>
        <v>1624</v>
      </c>
      <c r="F47" s="3">
        <f t="shared" si="7"/>
        <v>8796</v>
      </c>
      <c r="G47" s="3">
        <f t="shared" si="7"/>
        <v>4548</v>
      </c>
      <c r="H47" s="3">
        <f t="shared" si="7"/>
        <v>9576</v>
      </c>
      <c r="I47" s="3">
        <f t="shared" si="7"/>
        <v>1624</v>
      </c>
      <c r="J47" s="3">
        <f t="shared" si="7"/>
        <v>4800</v>
      </c>
      <c r="K47" s="3">
        <f t="shared" si="7"/>
        <v>4440</v>
      </c>
      <c r="L47" s="3">
        <f t="shared" si="7"/>
        <v>513</v>
      </c>
      <c r="M47" s="3">
        <f t="shared" si="7"/>
        <v>9624</v>
      </c>
      <c r="N47" s="3">
        <f t="shared" si="7"/>
        <v>9600</v>
      </c>
      <c r="O47" s="3">
        <f t="shared" si="7"/>
        <v>6270</v>
      </c>
      <c r="P47" s="3">
        <f t="shared" si="7"/>
        <v>4800</v>
      </c>
      <c r="Q47" s="3">
        <f t="shared" si="7"/>
        <v>7600</v>
      </c>
      <c r="R47" s="3">
        <f t="shared" si="7"/>
        <v>2400</v>
      </c>
      <c r="S47" s="3">
        <f t="shared" si="7"/>
        <v>4800</v>
      </c>
      <c r="T47" s="3">
        <f t="shared" si="7"/>
        <v>3323</v>
      </c>
    </row>
    <row r="48" spans="1:21" x14ac:dyDescent="0.25">
      <c r="C48" s="3"/>
      <c r="D48" s="3"/>
      <c r="E48" s="3"/>
    </row>
    <row r="49" spans="1:19" x14ac:dyDescent="0.25">
      <c r="B49" s="24" t="s">
        <v>65</v>
      </c>
      <c r="C49" s="3"/>
      <c r="D49" s="3"/>
      <c r="E49" s="3"/>
    </row>
    <row r="50" spans="1:19" x14ac:dyDescent="0.25">
      <c r="C50" s="3"/>
      <c r="D50" s="3"/>
      <c r="E50" s="3"/>
    </row>
    <row r="51" spans="1:19" x14ac:dyDescent="0.25">
      <c r="B51" s="8" t="s">
        <v>51</v>
      </c>
    </row>
    <row r="52" spans="1:19" x14ac:dyDescent="0.25">
      <c r="A52" s="1" t="s">
        <v>66</v>
      </c>
      <c r="B52" s="7" t="s">
        <v>53</v>
      </c>
      <c r="C52" s="3"/>
      <c r="D52" s="3"/>
      <c r="E52" s="3">
        <f>E30*E48</f>
        <v>0</v>
      </c>
      <c r="K52" s="3">
        <f>K30*K48</f>
        <v>0</v>
      </c>
      <c r="L52" s="1">
        <v>1617.31</v>
      </c>
      <c r="O52" s="3">
        <f>O30*O48</f>
        <v>0</v>
      </c>
      <c r="P52" s="3">
        <f>P30*P48</f>
        <v>0</v>
      </c>
      <c r="Q52" s="3">
        <f>Q30*Q48</f>
        <v>0</v>
      </c>
      <c r="S52" s="3">
        <f>S30*S48</f>
        <v>0</v>
      </c>
    </row>
    <row r="54" spans="1:19" x14ac:dyDescent="0.25">
      <c r="B54" s="7" t="s">
        <v>54</v>
      </c>
    </row>
    <row r="55" spans="1:19" x14ac:dyDescent="0.25">
      <c r="A55" s="1" t="s">
        <v>67</v>
      </c>
      <c r="B55" s="9" t="s">
        <v>56</v>
      </c>
      <c r="C55" s="4"/>
      <c r="D55" s="4"/>
      <c r="E55" s="4">
        <v>45180</v>
      </c>
      <c r="K55" s="4">
        <v>45366</v>
      </c>
      <c r="L55" s="52">
        <v>45017</v>
      </c>
      <c r="O55" s="4">
        <v>45292</v>
      </c>
      <c r="P55" s="4">
        <v>45345</v>
      </c>
      <c r="Q55" s="4">
        <v>45292</v>
      </c>
      <c r="S55" s="4">
        <v>45366</v>
      </c>
    </row>
    <row r="56" spans="1:19" x14ac:dyDescent="0.25">
      <c r="A56" s="1" t="s">
        <v>68</v>
      </c>
      <c r="B56" s="9" t="s">
        <v>58</v>
      </c>
      <c r="C56" s="4"/>
      <c r="D56" s="4"/>
      <c r="E56" s="4">
        <v>45240</v>
      </c>
      <c r="K56" s="4">
        <v>45366</v>
      </c>
      <c r="L56" s="52">
        <v>45176</v>
      </c>
      <c r="O56" s="4">
        <v>45350</v>
      </c>
      <c r="P56" s="4">
        <v>45526</v>
      </c>
      <c r="Q56" s="4">
        <v>45348</v>
      </c>
      <c r="S56" s="4">
        <v>45549</v>
      </c>
    </row>
    <row r="57" spans="1:19" x14ac:dyDescent="0.25">
      <c r="A57" s="1" t="s">
        <v>69</v>
      </c>
      <c r="B57" s="9" t="s">
        <v>60</v>
      </c>
      <c r="C57" s="4"/>
      <c r="D57" s="4"/>
      <c r="E57" s="11">
        <f t="shared" ref="E57" si="8">ROUND((DAYS360(E55,E56,TRUE) +1) / 30, 2)</f>
        <v>2</v>
      </c>
      <c r="K57" s="11">
        <f t="shared" ref="K57" si="9">ROUND((DAYS360(K55,K56,TRUE) +1) / 30, 2)</f>
        <v>0.03</v>
      </c>
      <c r="L57" s="53">
        <v>5.23</v>
      </c>
      <c r="O57" s="11">
        <f t="shared" ref="O57:Q57" si="10">ROUND((DAYS360(O55,O56,TRUE) +1) / 30, 2)</f>
        <v>1.93</v>
      </c>
      <c r="P57" s="11">
        <f t="shared" si="10"/>
        <v>6</v>
      </c>
      <c r="Q57" s="11">
        <f t="shared" si="10"/>
        <v>1.87</v>
      </c>
      <c r="S57" s="11">
        <f t="shared" ref="S57" si="11">ROUND((DAYS360(S55,S56,TRUE) +1) / 30, 2)</f>
        <v>6</v>
      </c>
    </row>
    <row r="58" spans="1:19" x14ac:dyDescent="0.25">
      <c r="A58" s="1" t="s">
        <v>70</v>
      </c>
      <c r="B58" s="9" t="s">
        <v>62</v>
      </c>
      <c r="C58" s="3"/>
      <c r="D58" s="3"/>
      <c r="E58" s="3">
        <f>ROUND(MAX(MIN(E36-E52,HEL_Lisä_Max),0 ),0)</f>
        <v>800</v>
      </c>
      <c r="K58" s="3">
        <f>ROUND(MAX(MIN(K36-K52,HEL_Lisä_Max),0 ),0)</f>
        <v>800</v>
      </c>
      <c r="L58" s="54">
        <f>ROUND(MAX(MIN(L36-L52,HEL_Lisä_Max),0 ),0)</f>
        <v>418</v>
      </c>
      <c r="O58" s="3">
        <f>ROUND(MAX(MIN(O36-O52,HEL_Lisä_Max),0 ),0)</f>
        <v>800</v>
      </c>
      <c r="P58" s="3">
        <f>ROUND(MAX(MIN(P36-P52,HEL_Lisä_Max),0 ),0)</f>
        <v>800</v>
      </c>
      <c r="Q58" s="3">
        <f>ROUND(MAX(MIN(Q36-Q52,HEL_Lisä_Max),0 ),0)</f>
        <v>800</v>
      </c>
      <c r="S58" s="3">
        <f>ROUND(MAX(MIN(S36-S52,HEL_Lisä_Max),0 ),0)</f>
        <v>800</v>
      </c>
    </row>
    <row r="59" spans="1:19" x14ac:dyDescent="0.25">
      <c r="A59" s="1" t="s">
        <v>71</v>
      </c>
      <c r="B59" s="9" t="s">
        <v>64</v>
      </c>
      <c r="C59" s="3"/>
      <c r="D59" s="3"/>
      <c r="E59" s="3">
        <f>ROUND(E57*E58,0)</f>
        <v>1600</v>
      </c>
      <c r="K59" s="3">
        <f>ROUND(K57*K58,0)</f>
        <v>24</v>
      </c>
      <c r="L59" s="54">
        <f>ROUND(L57*L58,0)</f>
        <v>2186</v>
      </c>
      <c r="O59" s="3">
        <f>ROUND(O57*O58,0)</f>
        <v>1544</v>
      </c>
      <c r="P59" s="3">
        <f>ROUND(P57*P58,0)</f>
        <v>4800</v>
      </c>
      <c r="Q59" s="3">
        <f>ROUND(Q57*Q58,0)</f>
        <v>1496</v>
      </c>
      <c r="S59" s="3">
        <f>ROUND(S57*S58,0)</f>
        <v>4800</v>
      </c>
    </row>
    <row r="60" spans="1:19" x14ac:dyDescent="0.25">
      <c r="C60" s="3"/>
      <c r="D60" s="3"/>
      <c r="E60" s="3"/>
    </row>
    <row r="61" spans="1:19" x14ac:dyDescent="0.25">
      <c r="B61" s="1" t="s">
        <v>72</v>
      </c>
      <c r="C61" s="3"/>
      <c r="D61" s="3"/>
      <c r="E61" s="3"/>
      <c r="L61" s="1">
        <v>4480</v>
      </c>
    </row>
    <row r="63" spans="1:19" x14ac:dyDescent="0.25">
      <c r="B63" s="5" t="s">
        <v>73</v>
      </c>
    </row>
    <row r="65" spans="1:20" ht="16.5" thickBot="1" x14ac:dyDescent="0.3">
      <c r="A65" s="50" t="s">
        <v>74</v>
      </c>
      <c r="B65" s="50" t="s">
        <v>75</v>
      </c>
      <c r="C65" s="51">
        <f>C47+C59</f>
        <v>1600</v>
      </c>
      <c r="D65" s="51">
        <f>D47+D59</f>
        <v>200</v>
      </c>
      <c r="E65" s="51">
        <f>E47+E59</f>
        <v>3224</v>
      </c>
      <c r="F65" s="51">
        <f t="shared" ref="F65:T65" si="12">F47+F59</f>
        <v>8796</v>
      </c>
      <c r="G65" s="51">
        <f t="shared" si="12"/>
        <v>4548</v>
      </c>
      <c r="H65" s="51">
        <f t="shared" si="12"/>
        <v>9576</v>
      </c>
      <c r="I65" s="51">
        <f t="shared" si="12"/>
        <v>1624</v>
      </c>
      <c r="J65" s="51">
        <f t="shared" si="12"/>
        <v>4800</v>
      </c>
      <c r="K65" s="51">
        <f t="shared" si="12"/>
        <v>4464</v>
      </c>
      <c r="L65" s="51">
        <f t="shared" si="12"/>
        <v>2699</v>
      </c>
      <c r="M65" s="51">
        <f t="shared" si="12"/>
        <v>9624</v>
      </c>
      <c r="N65" s="51">
        <f t="shared" si="12"/>
        <v>9600</v>
      </c>
      <c r="O65" s="51">
        <f t="shared" si="12"/>
        <v>7814</v>
      </c>
      <c r="P65" s="51">
        <f t="shared" si="12"/>
        <v>9600</v>
      </c>
      <c r="Q65" s="51">
        <f t="shared" si="12"/>
        <v>9096</v>
      </c>
      <c r="R65" s="51">
        <f t="shared" si="12"/>
        <v>2400</v>
      </c>
      <c r="S65" s="51">
        <f t="shared" si="12"/>
        <v>9600</v>
      </c>
      <c r="T65" s="51">
        <f t="shared" si="12"/>
        <v>3323</v>
      </c>
    </row>
    <row r="66" spans="1:20" ht="16.5" thickTop="1" x14ac:dyDescent="0.25"/>
  </sheetData>
  <dataValidations count="1">
    <dataValidation type="list" allowBlank="1" showInputMessage="1" showErrorMessage="1" sqref="C9:M9" xr:uid="{74C3B7D4-7F4C-4D7E-89EB-C1308069A366}">
      <formula1>"kyllä,ei"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DEA9-F040-44E7-BA9E-24C57EE0111E}">
  <dimension ref="A1:AV67"/>
  <sheetViews>
    <sheetView workbookViewId="0">
      <selection activeCell="C48" sqref="C48"/>
    </sheetView>
  </sheetViews>
  <sheetFormatPr defaultRowHeight="15.75" x14ac:dyDescent="0.25"/>
  <cols>
    <col min="1" max="1" width="49.875" style="1" bestFit="1" customWidth="1"/>
    <col min="2" max="2" width="37.625" style="1" customWidth="1"/>
    <col min="3" max="3" width="12.375" style="1" customWidth="1"/>
    <col min="4" max="4" width="11.125" style="1" customWidth="1"/>
    <col min="5" max="5" width="10.25" style="1" customWidth="1"/>
    <col min="6" max="6" width="11" style="1" customWidth="1"/>
    <col min="7" max="7" width="11.25" style="1" customWidth="1"/>
    <col min="8" max="9" width="12.5" style="1" customWidth="1"/>
    <col min="10" max="10" width="10.125" style="1" bestFit="1" customWidth="1"/>
    <col min="11" max="11" width="12.25" style="1" customWidth="1"/>
    <col min="12" max="12" width="13.625" style="1" customWidth="1"/>
    <col min="13" max="13" width="11.25" style="1" customWidth="1"/>
    <col min="14" max="14" width="9.625" style="1" bestFit="1" customWidth="1"/>
    <col min="15" max="15" width="10.125" style="1" bestFit="1" customWidth="1"/>
    <col min="16" max="16" width="9.125" style="1" bestFit="1" customWidth="1"/>
    <col min="17" max="17" width="10.125" style="1" bestFit="1" customWidth="1"/>
    <col min="18" max="19" width="9.125" style="1" bestFit="1" customWidth="1"/>
    <col min="20" max="20" width="9.5" style="1" bestFit="1" customWidth="1"/>
    <col min="21" max="16384" width="9" style="1"/>
  </cols>
  <sheetData>
    <row r="1" spans="1:20" x14ac:dyDescent="0.25">
      <c r="B1" s="1" t="s">
        <v>0</v>
      </c>
    </row>
    <row r="5" spans="1:20" x14ac:dyDescent="0.25">
      <c r="B5" s="5" t="s">
        <v>1</v>
      </c>
      <c r="C5" s="1" t="s">
        <v>2</v>
      </c>
      <c r="D5" s="1" t="s">
        <v>3</v>
      </c>
      <c r="E5" s="1" t="s">
        <v>4</v>
      </c>
    </row>
    <row r="7" spans="1:20" x14ac:dyDescent="0.25">
      <c r="B7" s="5" t="s">
        <v>5</v>
      </c>
    </row>
    <row r="8" spans="1:20" x14ac:dyDescent="0.25">
      <c r="B8" s="5"/>
    </row>
    <row r="9" spans="1:20" x14ac:dyDescent="0.25">
      <c r="A9" s="1" t="s">
        <v>6</v>
      </c>
      <c r="B9" s="7" t="s">
        <v>7</v>
      </c>
      <c r="L9" s="1" t="s">
        <v>8</v>
      </c>
    </row>
    <row r="10" spans="1:20" x14ac:dyDescent="0.25">
      <c r="A10" s="1" t="s">
        <v>9</v>
      </c>
      <c r="B10" s="7" t="s">
        <v>10</v>
      </c>
      <c r="C10" s="1" t="s">
        <v>11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 t="s">
        <v>11</v>
      </c>
      <c r="M10" s="1" t="s">
        <v>11</v>
      </c>
      <c r="N10" s="1" t="s">
        <v>11</v>
      </c>
      <c r="O10" s="1" t="s">
        <v>11</v>
      </c>
      <c r="P10" s="1" t="s">
        <v>11</v>
      </c>
      <c r="Q10" s="1" t="s">
        <v>11</v>
      </c>
      <c r="R10" s="1" t="s">
        <v>11</v>
      </c>
      <c r="S10" s="1" t="s">
        <v>11</v>
      </c>
      <c r="T10" s="1" t="s">
        <v>11</v>
      </c>
    </row>
    <row r="11" spans="1:20" x14ac:dyDescent="0.25">
      <c r="A11" s="1" t="s">
        <v>12</v>
      </c>
      <c r="B11" s="7" t="s">
        <v>13</v>
      </c>
      <c r="C11" s="1" t="s">
        <v>14</v>
      </c>
      <c r="D11" s="1" t="s">
        <v>14</v>
      </c>
      <c r="E11" s="1" t="s">
        <v>14</v>
      </c>
      <c r="F11" s="1" t="s">
        <v>15</v>
      </c>
      <c r="G11" s="1" t="s">
        <v>14</v>
      </c>
      <c r="H11" s="1" t="s">
        <v>14</v>
      </c>
      <c r="I11" s="1" t="s">
        <v>15</v>
      </c>
      <c r="J11" s="1" t="s">
        <v>14</v>
      </c>
      <c r="K11" s="1" t="s">
        <v>15</v>
      </c>
      <c r="L11" s="1" t="s">
        <v>15</v>
      </c>
      <c r="M11" s="1" t="s">
        <v>15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15</v>
      </c>
      <c r="S11" s="1" t="s">
        <v>14</v>
      </c>
      <c r="T11" s="1" t="s">
        <v>15</v>
      </c>
    </row>
    <row r="12" spans="1:20" x14ac:dyDescent="0.25">
      <c r="A12" s="1" t="s">
        <v>16</v>
      </c>
      <c r="B12" s="7" t="s">
        <v>17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18</v>
      </c>
      <c r="S12" s="1" t="s">
        <v>18</v>
      </c>
      <c r="T12" s="1" t="s">
        <v>18</v>
      </c>
    </row>
    <row r="13" spans="1:20" x14ac:dyDescent="0.25">
      <c r="A13" s="1" t="s">
        <v>19</v>
      </c>
      <c r="B13" s="7" t="s">
        <v>20</v>
      </c>
      <c r="C13" s="4">
        <v>44440</v>
      </c>
      <c r="D13" s="4">
        <v>44440</v>
      </c>
      <c r="E13" s="4">
        <v>44387</v>
      </c>
      <c r="F13" s="4">
        <v>44440</v>
      </c>
      <c r="G13" s="4">
        <v>44249</v>
      </c>
      <c r="H13" s="4">
        <v>44239</v>
      </c>
      <c r="I13" s="4">
        <v>44499</v>
      </c>
      <c r="J13" s="4">
        <v>44298</v>
      </c>
      <c r="K13" s="4">
        <v>44454</v>
      </c>
      <c r="L13" s="4">
        <v>44263</v>
      </c>
      <c r="M13" s="4">
        <v>44239</v>
      </c>
      <c r="N13" s="4">
        <v>44375</v>
      </c>
      <c r="O13" s="4">
        <v>44256</v>
      </c>
      <c r="P13" s="4">
        <v>44431</v>
      </c>
      <c r="Q13" s="4">
        <v>44253</v>
      </c>
      <c r="R13" s="4">
        <v>44287</v>
      </c>
      <c r="S13" s="4">
        <v>44454</v>
      </c>
      <c r="T13" s="4">
        <v>44409</v>
      </c>
    </row>
    <row r="14" spans="1:20" x14ac:dyDescent="0.25">
      <c r="A14" s="1" t="s">
        <v>21</v>
      </c>
      <c r="B14" s="7" t="s">
        <v>22</v>
      </c>
      <c r="C14" s="4">
        <v>44500</v>
      </c>
      <c r="D14" s="4">
        <v>44500</v>
      </c>
      <c r="E14" s="4">
        <v>44510</v>
      </c>
      <c r="F14" s="4">
        <v>44804</v>
      </c>
      <c r="G14" s="4">
        <v>44613</v>
      </c>
      <c r="H14" s="4">
        <v>44602</v>
      </c>
      <c r="I14" s="4">
        <v>44561</v>
      </c>
      <c r="J14" s="4">
        <v>44480</v>
      </c>
      <c r="K14" s="4">
        <v>44634</v>
      </c>
      <c r="L14" s="4">
        <v>44446</v>
      </c>
      <c r="M14" s="4">
        <v>44603</v>
      </c>
      <c r="N14" s="4">
        <v>44739</v>
      </c>
      <c r="O14" s="4">
        <v>44620</v>
      </c>
      <c r="P14" s="4">
        <v>44795</v>
      </c>
      <c r="Q14" s="4">
        <v>44618</v>
      </c>
      <c r="R14" s="4">
        <v>44377</v>
      </c>
      <c r="S14" s="4">
        <v>44453</v>
      </c>
      <c r="T14" s="4">
        <v>44622</v>
      </c>
    </row>
    <row r="15" spans="1:20" x14ac:dyDescent="0.25">
      <c r="A15" s="1" t="s">
        <v>23</v>
      </c>
      <c r="B15" s="7" t="s">
        <v>24</v>
      </c>
      <c r="C15" s="3">
        <v>2500</v>
      </c>
      <c r="D15" s="3">
        <v>2500</v>
      </c>
      <c r="E15" s="3">
        <v>3200</v>
      </c>
      <c r="F15" s="3">
        <v>2178</v>
      </c>
      <c r="G15" s="3">
        <v>2520</v>
      </c>
      <c r="H15" s="3">
        <v>1600</v>
      </c>
      <c r="I15" s="3">
        <v>1946.71</v>
      </c>
      <c r="J15" s="3">
        <v>2400</v>
      </c>
      <c r="K15" s="3">
        <v>1330.27</v>
      </c>
      <c r="L15" s="3">
        <v>1330.27</v>
      </c>
      <c r="M15" s="3">
        <v>1470.88</v>
      </c>
      <c r="N15" s="1">
        <v>1700</v>
      </c>
      <c r="O15" s="1">
        <v>3000</v>
      </c>
      <c r="P15" s="1">
        <v>2300</v>
      </c>
      <c r="Q15" s="1">
        <v>2054</v>
      </c>
      <c r="R15" s="1">
        <v>2133.67</v>
      </c>
      <c r="S15" s="1">
        <v>2500</v>
      </c>
      <c r="T15" s="1">
        <v>1928.92</v>
      </c>
    </row>
    <row r="16" spans="1:20" x14ac:dyDescent="0.25">
      <c r="A16" s="1" t="s">
        <v>25</v>
      </c>
      <c r="B16" s="7" t="s">
        <v>26</v>
      </c>
      <c r="C16" s="3">
        <v>200</v>
      </c>
      <c r="D16" s="3">
        <v>200</v>
      </c>
      <c r="E16" s="3">
        <v>200</v>
      </c>
      <c r="F16" s="3">
        <v>421.44</v>
      </c>
      <c r="G16" s="3">
        <v>608.33000000000004</v>
      </c>
      <c r="H16" s="3">
        <v>389.76</v>
      </c>
      <c r="I16" s="3">
        <v>558.25</v>
      </c>
      <c r="J16" s="3">
        <v>624</v>
      </c>
      <c r="K16" s="3">
        <v>656.04</v>
      </c>
      <c r="L16" s="3">
        <v>638.12</v>
      </c>
      <c r="M16" s="3">
        <v>614.11</v>
      </c>
      <c r="N16" s="1">
        <v>378.6</v>
      </c>
      <c r="O16" s="1">
        <v>621</v>
      </c>
      <c r="P16" s="1">
        <v>430</v>
      </c>
      <c r="Q16" s="1">
        <v>370.66</v>
      </c>
      <c r="R16" s="1">
        <v>576.35</v>
      </c>
      <c r="S16" s="1">
        <v>562</v>
      </c>
      <c r="T16" s="1">
        <v>560.94000000000005</v>
      </c>
    </row>
    <row r="17" spans="1:48" x14ac:dyDescent="0.25">
      <c r="A17" s="1" t="s">
        <v>27</v>
      </c>
      <c r="B17" s="7" t="s">
        <v>28</v>
      </c>
      <c r="C17" s="3">
        <v>0</v>
      </c>
      <c r="D17" s="3">
        <v>0</v>
      </c>
      <c r="E17" s="3">
        <v>0</v>
      </c>
      <c r="F17" s="3">
        <v>0</v>
      </c>
      <c r="G17" s="3">
        <v>1787.62</v>
      </c>
      <c r="H17" s="3">
        <v>1910.26</v>
      </c>
      <c r="I17" s="3">
        <v>238.56</v>
      </c>
      <c r="J17" s="3">
        <v>890</v>
      </c>
      <c r="K17" s="3">
        <v>498.85</v>
      </c>
      <c r="L17" s="3">
        <v>399.08</v>
      </c>
      <c r="M17" s="3">
        <v>970</v>
      </c>
      <c r="N17" s="1">
        <v>850</v>
      </c>
      <c r="O17" s="1">
        <v>1820</v>
      </c>
      <c r="P17" s="1">
        <v>1500</v>
      </c>
      <c r="Q17" s="1">
        <v>1461</v>
      </c>
      <c r="R17" s="1">
        <v>925.2</v>
      </c>
      <c r="S17" s="1">
        <v>2720</v>
      </c>
      <c r="T17" s="1">
        <v>0</v>
      </c>
    </row>
    <row r="18" spans="1:48" x14ac:dyDescent="0.25">
      <c r="B18" s="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48" x14ac:dyDescent="0.25">
      <c r="A19" s="1" t="s">
        <v>29</v>
      </c>
      <c r="B19" s="7" t="s">
        <v>30</v>
      </c>
      <c r="C19" s="2">
        <v>0.5</v>
      </c>
      <c r="D19" s="2">
        <v>0.5</v>
      </c>
      <c r="E19" s="2">
        <v>0.5</v>
      </c>
      <c r="F19" s="2">
        <v>1</v>
      </c>
      <c r="G19" s="2">
        <v>0.5</v>
      </c>
      <c r="H19" s="2">
        <v>0.5</v>
      </c>
      <c r="I19" s="2">
        <v>1</v>
      </c>
      <c r="J19" s="2">
        <v>0.5</v>
      </c>
      <c r="K19" s="2">
        <v>1</v>
      </c>
      <c r="L19" s="2">
        <v>1</v>
      </c>
      <c r="M19" s="2">
        <v>1</v>
      </c>
      <c r="N19" s="2">
        <v>0.5</v>
      </c>
      <c r="O19" s="2">
        <v>0.5</v>
      </c>
      <c r="P19" s="2">
        <v>0.5</v>
      </c>
      <c r="Q19" s="2">
        <v>1</v>
      </c>
      <c r="R19" s="2">
        <v>1</v>
      </c>
      <c r="S19" s="2">
        <v>0.5</v>
      </c>
      <c r="T19" s="2">
        <v>1</v>
      </c>
    </row>
    <row r="20" spans="1:48" x14ac:dyDescent="0.25">
      <c r="B20" s="7"/>
    </row>
    <row r="21" spans="1:48" x14ac:dyDescent="0.25">
      <c r="B21" s="6" t="s">
        <v>31</v>
      </c>
    </row>
    <row r="22" spans="1:48" x14ac:dyDescent="0.25">
      <c r="A22" s="1" t="s">
        <v>32</v>
      </c>
      <c r="B22" s="7" t="s">
        <v>33</v>
      </c>
      <c r="C22" s="2">
        <v>0.4</v>
      </c>
      <c r="D22" s="2">
        <v>0.5</v>
      </c>
      <c r="E22" s="2">
        <v>0.4</v>
      </c>
      <c r="F22" s="2">
        <v>1</v>
      </c>
      <c r="G22" s="2">
        <v>0.5</v>
      </c>
      <c r="H22" s="2">
        <v>0.4</v>
      </c>
      <c r="I22" s="2">
        <v>0.5</v>
      </c>
      <c r="J22" s="2">
        <v>0.3</v>
      </c>
      <c r="K22" s="2">
        <v>1</v>
      </c>
      <c r="L22" s="2">
        <v>1</v>
      </c>
      <c r="M22" s="2">
        <v>0.5</v>
      </c>
      <c r="N22" s="2">
        <v>0.4</v>
      </c>
      <c r="O22" s="2">
        <v>0.5</v>
      </c>
      <c r="P22" s="2">
        <v>0.3</v>
      </c>
      <c r="Q22" s="2">
        <v>0.5</v>
      </c>
      <c r="R22" s="2">
        <v>0.4</v>
      </c>
      <c r="S22" s="2">
        <v>0.3</v>
      </c>
      <c r="T22" s="2">
        <v>1</v>
      </c>
    </row>
    <row r="23" spans="1:48" x14ac:dyDescent="0.25">
      <c r="A23" s="1" t="s">
        <v>34</v>
      </c>
      <c r="B23" s="7" t="s">
        <v>35</v>
      </c>
      <c r="C23" s="13"/>
      <c r="D23" s="13"/>
      <c r="E23" s="13"/>
      <c r="F23" s="13">
        <v>0.93300000000000005</v>
      </c>
      <c r="G23" s="13"/>
      <c r="H23" s="13"/>
      <c r="I23" s="13"/>
      <c r="J23" s="13"/>
      <c r="K23" s="13">
        <v>0.8</v>
      </c>
      <c r="L23" s="13">
        <v>0.8</v>
      </c>
      <c r="M23" s="13"/>
      <c r="N23" s="13"/>
      <c r="O23" s="13"/>
      <c r="P23" s="13"/>
      <c r="Q23" s="13"/>
      <c r="R23" s="13"/>
      <c r="S23" s="13"/>
      <c r="T23" s="13">
        <v>0.64049999999999996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x14ac:dyDescent="0.25">
      <c r="A24" s="1" t="s">
        <v>36</v>
      </c>
      <c r="B24" s="7" t="s">
        <v>37</v>
      </c>
      <c r="C24" s="4">
        <v>44440</v>
      </c>
      <c r="D24" s="4">
        <v>44440</v>
      </c>
      <c r="E24" s="4">
        <v>44387</v>
      </c>
      <c r="F24" s="4">
        <v>44440</v>
      </c>
      <c r="G24" s="4">
        <v>44249</v>
      </c>
      <c r="H24" s="4">
        <v>44238</v>
      </c>
      <c r="I24" s="4">
        <v>44378</v>
      </c>
      <c r="J24" s="4">
        <v>44298</v>
      </c>
      <c r="K24" s="4">
        <v>44454</v>
      </c>
      <c r="L24" s="4">
        <v>44263</v>
      </c>
      <c r="M24" s="4">
        <v>44239</v>
      </c>
      <c r="N24" s="4">
        <v>44375</v>
      </c>
      <c r="O24" s="4">
        <v>44256</v>
      </c>
      <c r="P24" s="4">
        <v>44431</v>
      </c>
      <c r="Q24" s="4">
        <v>44271</v>
      </c>
      <c r="R24" s="4">
        <v>44287</v>
      </c>
      <c r="S24" s="4">
        <v>44454</v>
      </c>
      <c r="T24" s="4">
        <v>44409</v>
      </c>
    </row>
    <row r="25" spans="1:48" x14ac:dyDescent="0.25">
      <c r="A25" s="1" t="s">
        <v>38</v>
      </c>
      <c r="B25" s="7" t="s">
        <v>39</v>
      </c>
      <c r="C25" s="4">
        <v>44500</v>
      </c>
      <c r="D25" s="4">
        <v>44500</v>
      </c>
      <c r="E25" s="4">
        <v>44449</v>
      </c>
      <c r="F25" s="4">
        <v>44804</v>
      </c>
      <c r="G25" s="4">
        <v>44561</v>
      </c>
      <c r="H25" s="4">
        <v>44561</v>
      </c>
      <c r="I25" s="4">
        <v>44561</v>
      </c>
      <c r="J25" s="4">
        <v>44480</v>
      </c>
      <c r="K25" s="4">
        <v>44634</v>
      </c>
      <c r="L25" s="4">
        <v>44446</v>
      </c>
      <c r="M25" s="4">
        <v>44603</v>
      </c>
      <c r="N25" s="4">
        <v>44739</v>
      </c>
      <c r="O25" s="4">
        <v>44561</v>
      </c>
      <c r="P25" s="4">
        <v>44614</v>
      </c>
      <c r="Q25" s="4">
        <v>44561</v>
      </c>
      <c r="R25" s="4">
        <v>44377</v>
      </c>
      <c r="S25" s="4">
        <v>44634</v>
      </c>
      <c r="T25" s="4">
        <v>44622</v>
      </c>
    </row>
    <row r="27" spans="1:48" x14ac:dyDescent="0.25">
      <c r="B27" s="6" t="s">
        <v>40</v>
      </c>
    </row>
    <row r="28" spans="1:48" x14ac:dyDescent="0.25">
      <c r="A28" s="1" t="s">
        <v>41</v>
      </c>
      <c r="B28" s="7" t="s">
        <v>33</v>
      </c>
      <c r="G28" s="2">
        <v>0.5</v>
      </c>
      <c r="H28" s="2">
        <v>0.4</v>
      </c>
      <c r="L28" s="2">
        <v>1</v>
      </c>
      <c r="O28" s="2">
        <v>0.5</v>
      </c>
      <c r="Q28" s="2">
        <v>0.5</v>
      </c>
    </row>
    <row r="29" spans="1:48" s="13" customFormat="1" x14ac:dyDescent="0.25">
      <c r="A29" s="1" t="s">
        <v>42</v>
      </c>
      <c r="B29" s="7" t="s">
        <v>35</v>
      </c>
      <c r="L29" s="13">
        <v>1</v>
      </c>
    </row>
    <row r="30" spans="1:48" x14ac:dyDescent="0.25">
      <c r="A30" s="1" t="s">
        <v>43</v>
      </c>
      <c r="B30" s="7" t="s">
        <v>37</v>
      </c>
      <c r="G30" s="4">
        <v>44562</v>
      </c>
      <c r="H30" s="4">
        <v>44562</v>
      </c>
      <c r="L30" s="4">
        <v>44287</v>
      </c>
      <c r="O30" s="4">
        <v>44562</v>
      </c>
      <c r="P30" s="4"/>
      <c r="Q30" s="4">
        <v>44562</v>
      </c>
    </row>
    <row r="31" spans="1:48" x14ac:dyDescent="0.25">
      <c r="A31" s="1" t="s">
        <v>44</v>
      </c>
      <c r="B31" s="7" t="s">
        <v>39</v>
      </c>
      <c r="G31" s="4">
        <v>44613</v>
      </c>
      <c r="H31" s="4">
        <v>44602</v>
      </c>
      <c r="L31" s="4">
        <v>44446</v>
      </c>
      <c r="O31" s="4">
        <v>44620</v>
      </c>
      <c r="P31" s="4"/>
      <c r="Q31" s="4">
        <v>45000</v>
      </c>
    </row>
    <row r="32" spans="1:48" x14ac:dyDescent="0.25">
      <c r="B32" s="7"/>
    </row>
    <row r="34" spans="1:20" x14ac:dyDescent="0.25">
      <c r="I34" s="14"/>
    </row>
    <row r="35" spans="1:20" x14ac:dyDescent="0.25">
      <c r="B35" s="5" t="s">
        <v>45</v>
      </c>
      <c r="I35" s="3"/>
    </row>
    <row r="37" spans="1:20" x14ac:dyDescent="0.25">
      <c r="A37" s="1" t="s">
        <v>46</v>
      </c>
      <c r="B37" s="7" t="s">
        <v>47</v>
      </c>
      <c r="C37" s="1">
        <v>2700</v>
      </c>
      <c r="D37" s="1">
        <v>2700</v>
      </c>
      <c r="E37" s="1">
        <v>3400</v>
      </c>
      <c r="F37" s="1">
        <v>2599.44</v>
      </c>
      <c r="G37" s="1">
        <v>3277.3</v>
      </c>
      <c r="H37" s="16">
        <v>2149.39</v>
      </c>
      <c r="I37" s="1">
        <v>2624.24</v>
      </c>
      <c r="J37" s="1">
        <v>3172.33</v>
      </c>
      <c r="K37" s="1">
        <v>2069.4499999999998</v>
      </c>
      <c r="L37" s="1">
        <v>2034.9</v>
      </c>
      <c r="M37" s="1">
        <v>2165.8200000000002</v>
      </c>
      <c r="N37" s="1">
        <v>2149.4299999999998</v>
      </c>
      <c r="O37" s="1">
        <v>3772.67</v>
      </c>
      <c r="P37" s="15">
        <v>2855</v>
      </c>
      <c r="Q37" s="1">
        <v>2546.41</v>
      </c>
      <c r="R37" s="1">
        <v>3018.42</v>
      </c>
      <c r="S37" s="1">
        <v>3288.67</v>
      </c>
      <c r="T37" s="1">
        <v>2489.86</v>
      </c>
    </row>
    <row r="38" spans="1:20" x14ac:dyDescent="0.25">
      <c r="A38" s="1" t="s">
        <v>48</v>
      </c>
      <c r="B38" s="7" t="s">
        <v>49</v>
      </c>
      <c r="C38" s="1">
        <v>1400</v>
      </c>
      <c r="D38" s="1">
        <v>1400</v>
      </c>
      <c r="E38" s="1">
        <v>1700</v>
      </c>
      <c r="F38" s="1">
        <v>2599.44</v>
      </c>
      <c r="G38" s="1">
        <v>1638.65</v>
      </c>
      <c r="H38" s="1">
        <v>1074.67</v>
      </c>
      <c r="I38" s="1">
        <v>2624.24</v>
      </c>
      <c r="J38" s="1">
        <v>1512</v>
      </c>
      <c r="K38" s="1">
        <v>2069.4499999999998</v>
      </c>
      <c r="L38" s="1">
        <v>2034.9</v>
      </c>
      <c r="M38" s="1">
        <v>2084.9899999999998</v>
      </c>
      <c r="N38" s="1">
        <v>1074.72</v>
      </c>
      <c r="O38" s="1">
        <v>1886.33</v>
      </c>
      <c r="P38" s="15">
        <v>1427.5</v>
      </c>
      <c r="Q38" s="1">
        <v>2546.41</v>
      </c>
      <c r="R38" s="1">
        <v>3018.42</v>
      </c>
      <c r="S38" s="1">
        <v>1644.33</v>
      </c>
      <c r="T38" s="1">
        <v>2489.86</v>
      </c>
    </row>
    <row r="40" spans="1:20" x14ac:dyDescent="0.25">
      <c r="B40" s="6" t="s">
        <v>50</v>
      </c>
    </row>
    <row r="41" spans="1:20" x14ac:dyDescent="0.25">
      <c r="B41" s="8" t="s">
        <v>51</v>
      </c>
    </row>
    <row r="42" spans="1:20" x14ac:dyDescent="0.25">
      <c r="A42" s="1" t="s">
        <v>52</v>
      </c>
      <c r="B42" s="7" t="s">
        <v>53</v>
      </c>
      <c r="C42" s="3">
        <f>C22*C37</f>
        <v>1080</v>
      </c>
      <c r="D42" s="3">
        <f>D22*D37</f>
        <v>1350</v>
      </c>
      <c r="E42" s="3">
        <f>E22*E37</f>
        <v>1360</v>
      </c>
      <c r="F42" s="1">
        <v>1800</v>
      </c>
      <c r="G42" s="1">
        <v>1474.48</v>
      </c>
      <c r="H42" s="1">
        <v>859.73</v>
      </c>
      <c r="I42" s="1">
        <v>1312.12</v>
      </c>
      <c r="J42" s="1">
        <v>951.7</v>
      </c>
      <c r="K42" s="1">
        <v>1681.43</v>
      </c>
      <c r="L42" s="1">
        <v>1653.36</v>
      </c>
      <c r="M42" s="1">
        <v>1082.9100000000001</v>
      </c>
      <c r="N42" s="1">
        <v>859.77</v>
      </c>
      <c r="O42" s="1">
        <v>1475.83</v>
      </c>
      <c r="P42" s="15">
        <v>856.5</v>
      </c>
      <c r="Q42" s="1">
        <v>1273.2</v>
      </c>
      <c r="R42" s="1">
        <v>1207.3699999999999</v>
      </c>
      <c r="S42" s="1">
        <v>986.6</v>
      </c>
      <c r="T42" s="1">
        <v>1800</v>
      </c>
    </row>
    <row r="44" spans="1:20" x14ac:dyDescent="0.25">
      <c r="B44" s="7" t="s">
        <v>54</v>
      </c>
    </row>
    <row r="45" spans="1:20" x14ac:dyDescent="0.25">
      <c r="A45" s="1" t="s">
        <v>55</v>
      </c>
      <c r="B45" s="9" t="s">
        <v>56</v>
      </c>
      <c r="C45" s="4">
        <v>44440</v>
      </c>
      <c r="D45" s="4">
        <v>44440</v>
      </c>
      <c r="E45" s="4">
        <v>44387</v>
      </c>
      <c r="F45" s="4">
        <v>44440</v>
      </c>
      <c r="G45" s="4">
        <v>44249</v>
      </c>
      <c r="H45" s="4">
        <v>44239</v>
      </c>
      <c r="I45" s="4">
        <v>44499</v>
      </c>
      <c r="J45" s="4">
        <v>44298</v>
      </c>
      <c r="K45" s="4">
        <v>44454</v>
      </c>
      <c r="L45" s="4">
        <v>44263</v>
      </c>
      <c r="M45" s="4">
        <v>44239</v>
      </c>
      <c r="N45" s="4">
        <v>44375</v>
      </c>
      <c r="O45" s="4">
        <v>44256</v>
      </c>
      <c r="P45" s="4">
        <v>44431</v>
      </c>
      <c r="Q45" s="4">
        <v>44271</v>
      </c>
      <c r="R45" s="4">
        <v>44287</v>
      </c>
      <c r="S45" s="4">
        <v>44454</v>
      </c>
      <c r="T45" s="4">
        <v>44409</v>
      </c>
    </row>
    <row r="46" spans="1:20" x14ac:dyDescent="0.25">
      <c r="A46" s="1" t="s">
        <v>57</v>
      </c>
      <c r="B46" s="9" t="s">
        <v>58</v>
      </c>
      <c r="C46" s="4">
        <v>44500</v>
      </c>
      <c r="D46" s="4">
        <v>44500</v>
      </c>
      <c r="E46" s="4">
        <v>44449</v>
      </c>
      <c r="F46" s="4">
        <v>44804</v>
      </c>
      <c r="G46" s="4">
        <v>44613</v>
      </c>
      <c r="H46" s="4">
        <v>44602</v>
      </c>
      <c r="I46" s="4">
        <v>44561</v>
      </c>
      <c r="J46" s="4">
        <v>44480</v>
      </c>
      <c r="K46" s="4">
        <v>44634</v>
      </c>
      <c r="L46" s="4">
        <v>44286</v>
      </c>
      <c r="M46" s="4">
        <v>44603</v>
      </c>
      <c r="N46" s="4">
        <v>44739</v>
      </c>
      <c r="O46" s="4">
        <v>44620</v>
      </c>
      <c r="P46" s="4">
        <v>44614</v>
      </c>
      <c r="Q46" s="4">
        <v>44635</v>
      </c>
      <c r="R46" s="4">
        <v>44377</v>
      </c>
      <c r="S46" s="4">
        <v>44634</v>
      </c>
      <c r="T46" s="4">
        <v>44622</v>
      </c>
    </row>
    <row r="47" spans="1:20" x14ac:dyDescent="0.25">
      <c r="A47" s="1" t="s">
        <v>59</v>
      </c>
      <c r="B47" s="9" t="s">
        <v>60</v>
      </c>
      <c r="C47" s="11">
        <f>(DAYS360(C45,C46,TRUE) +1) / 30</f>
        <v>2</v>
      </c>
      <c r="D47" s="11">
        <f>(DAYS360(D45,D46,TRUE) +1) / 30</f>
        <v>2</v>
      </c>
      <c r="E47" s="11">
        <f>ROUND((DAYS360(E45,E46,TRUE) +1) / 30, 2)</f>
        <v>2.0299999999999998</v>
      </c>
      <c r="F47" s="11">
        <f>(DAYS360(F45,F46,TRUE) +1) / 30</f>
        <v>12</v>
      </c>
      <c r="G47" s="1">
        <v>12</v>
      </c>
      <c r="H47" s="1">
        <v>11.97</v>
      </c>
      <c r="I47" s="1">
        <v>2.0299999999999998</v>
      </c>
      <c r="J47" s="1">
        <v>6</v>
      </c>
      <c r="K47" s="1">
        <v>6</v>
      </c>
      <c r="L47" s="1">
        <v>0.77</v>
      </c>
      <c r="M47" s="1">
        <v>12</v>
      </c>
      <c r="N47" s="1">
        <v>12</v>
      </c>
      <c r="O47" s="1">
        <v>12</v>
      </c>
      <c r="P47" s="1">
        <v>6</v>
      </c>
      <c r="Q47" s="1">
        <v>12</v>
      </c>
      <c r="R47" s="1">
        <v>3</v>
      </c>
      <c r="S47" s="1">
        <v>6</v>
      </c>
      <c r="T47" s="1">
        <v>7.07</v>
      </c>
    </row>
    <row r="48" spans="1:20" x14ac:dyDescent="0.25">
      <c r="A48" s="1" t="s">
        <v>61</v>
      </c>
      <c r="B48" s="9" t="s">
        <v>62</v>
      </c>
      <c r="C48" s="3">
        <f>C37*C19-C42</f>
        <v>270</v>
      </c>
      <c r="D48" s="3">
        <f>D37*D19-D42</f>
        <v>0</v>
      </c>
      <c r="E48" s="3">
        <v>340</v>
      </c>
      <c r="F48" s="10">
        <v>799</v>
      </c>
      <c r="G48" s="1">
        <v>164</v>
      </c>
      <c r="H48" s="1">
        <v>215</v>
      </c>
      <c r="I48" s="1">
        <v>800</v>
      </c>
      <c r="J48" s="1">
        <v>634</v>
      </c>
      <c r="K48" s="1">
        <v>388</v>
      </c>
      <c r="L48" s="1">
        <v>382</v>
      </c>
      <c r="M48" s="1">
        <v>800</v>
      </c>
      <c r="N48" s="1">
        <v>215</v>
      </c>
      <c r="O48" s="15">
        <v>411</v>
      </c>
      <c r="P48" s="15">
        <v>571</v>
      </c>
      <c r="Q48" s="1">
        <v>800</v>
      </c>
      <c r="R48" s="1">
        <v>800</v>
      </c>
      <c r="S48" s="1">
        <v>658</v>
      </c>
      <c r="T48" s="1">
        <v>690</v>
      </c>
    </row>
    <row r="49" spans="1:20" x14ac:dyDescent="0.25">
      <c r="A49" s="1" t="s">
        <v>63</v>
      </c>
      <c r="B49" s="9" t="s">
        <v>64</v>
      </c>
      <c r="C49" s="3"/>
      <c r="D49" s="3"/>
      <c r="E49" s="3">
        <v>691</v>
      </c>
      <c r="F49" s="1">
        <v>9588</v>
      </c>
      <c r="G49" s="1">
        <v>1968</v>
      </c>
      <c r="H49" s="1">
        <v>2574</v>
      </c>
      <c r="I49" s="1">
        <v>1627</v>
      </c>
      <c r="J49" s="1">
        <v>3804</v>
      </c>
      <c r="K49" s="1">
        <v>2328</v>
      </c>
      <c r="L49" s="1">
        <v>293</v>
      </c>
      <c r="M49" s="1">
        <v>9600</v>
      </c>
      <c r="N49" s="1">
        <v>2580</v>
      </c>
      <c r="O49" s="15">
        <v>4932</v>
      </c>
      <c r="P49" s="15">
        <v>3426</v>
      </c>
      <c r="Q49" s="1">
        <v>9600</v>
      </c>
      <c r="R49" s="1">
        <v>2400</v>
      </c>
      <c r="S49" s="1">
        <v>39484</v>
      </c>
      <c r="T49" s="1">
        <v>4876</v>
      </c>
    </row>
    <row r="50" spans="1:20" x14ac:dyDescent="0.25">
      <c r="C50" s="3"/>
      <c r="D50" s="3"/>
      <c r="E50" s="3"/>
    </row>
    <row r="51" spans="1:20" x14ac:dyDescent="0.25">
      <c r="B51" s="1" t="s">
        <v>65</v>
      </c>
      <c r="C51" s="3"/>
      <c r="D51" s="3"/>
      <c r="E51" s="3"/>
    </row>
    <row r="52" spans="1:20" x14ac:dyDescent="0.25">
      <c r="C52" s="3"/>
      <c r="D52" s="3"/>
      <c r="E52" s="3"/>
    </row>
    <row r="53" spans="1:20" x14ac:dyDescent="0.25">
      <c r="B53" s="8" t="s">
        <v>51</v>
      </c>
    </row>
    <row r="54" spans="1:20" x14ac:dyDescent="0.25">
      <c r="A54" s="1" t="s">
        <v>66</v>
      </c>
      <c r="B54" s="7" t="s">
        <v>53</v>
      </c>
      <c r="C54" s="3"/>
      <c r="D54" s="3"/>
      <c r="E54" s="3">
        <f>E32*E50</f>
        <v>0</v>
      </c>
      <c r="L54" s="1">
        <v>1617.31</v>
      </c>
      <c r="P54" s="1">
        <v>0</v>
      </c>
    </row>
    <row r="56" spans="1:20" x14ac:dyDescent="0.25">
      <c r="B56" s="7" t="s">
        <v>54</v>
      </c>
    </row>
    <row r="57" spans="1:20" x14ac:dyDescent="0.25">
      <c r="A57" s="1" t="s">
        <v>67</v>
      </c>
      <c r="B57" s="9" t="s">
        <v>56</v>
      </c>
      <c r="C57" s="4"/>
      <c r="D57" s="4"/>
      <c r="E57" s="4">
        <v>44450</v>
      </c>
      <c r="L57" s="4">
        <v>44287</v>
      </c>
      <c r="P57" s="4">
        <v>44615</v>
      </c>
      <c r="S57" s="4">
        <v>44635</v>
      </c>
    </row>
    <row r="58" spans="1:20" x14ac:dyDescent="0.25">
      <c r="A58" s="1" t="s">
        <v>68</v>
      </c>
      <c r="B58" s="9" t="s">
        <v>58</v>
      </c>
      <c r="C58" s="4"/>
      <c r="D58" s="4"/>
      <c r="E58" s="4">
        <v>44510</v>
      </c>
      <c r="L58" s="4">
        <v>44446</v>
      </c>
      <c r="P58" s="4">
        <v>44795</v>
      </c>
      <c r="S58" s="4">
        <v>44818</v>
      </c>
    </row>
    <row r="59" spans="1:20" x14ac:dyDescent="0.25">
      <c r="A59" s="1" t="s">
        <v>69</v>
      </c>
      <c r="B59" s="9" t="s">
        <v>60</v>
      </c>
      <c r="C59" s="4"/>
      <c r="D59" s="4"/>
      <c r="E59" s="11">
        <f>(DAYS360(E57,E58,TRUE) +1) / 30</f>
        <v>2</v>
      </c>
      <c r="L59" s="1">
        <v>5.23</v>
      </c>
      <c r="P59" s="1">
        <v>6</v>
      </c>
      <c r="S59" s="1">
        <v>6</v>
      </c>
    </row>
    <row r="60" spans="1:20" x14ac:dyDescent="0.25">
      <c r="A60" s="1" t="s">
        <v>70</v>
      </c>
      <c r="B60" s="9" t="s">
        <v>62</v>
      </c>
      <c r="C60" s="3"/>
      <c r="D60" s="3"/>
      <c r="E60" s="3">
        <v>800</v>
      </c>
      <c r="L60" s="1">
        <v>800</v>
      </c>
      <c r="P60" s="1">
        <v>800</v>
      </c>
      <c r="S60" s="1">
        <v>800</v>
      </c>
    </row>
    <row r="61" spans="1:20" x14ac:dyDescent="0.25">
      <c r="A61" s="1" t="s">
        <v>71</v>
      </c>
      <c r="B61" s="9" t="s">
        <v>64</v>
      </c>
      <c r="C61" s="3"/>
      <c r="D61" s="3"/>
      <c r="E61" s="3">
        <f>ROUND(E59*E60,0)</f>
        <v>1600</v>
      </c>
      <c r="L61" s="1">
        <v>4187</v>
      </c>
      <c r="P61" s="1">
        <v>4800</v>
      </c>
      <c r="S61" s="1">
        <v>4800</v>
      </c>
    </row>
    <row r="62" spans="1:20" x14ac:dyDescent="0.25">
      <c r="C62" s="3"/>
      <c r="D62" s="3"/>
      <c r="E62" s="3"/>
    </row>
    <row r="63" spans="1:20" x14ac:dyDescent="0.25">
      <c r="B63" s="1" t="s">
        <v>72</v>
      </c>
      <c r="C63" s="3"/>
      <c r="D63" s="3"/>
      <c r="E63" s="3"/>
      <c r="L63" s="1">
        <v>4480</v>
      </c>
    </row>
    <row r="65" spans="1:20" x14ac:dyDescent="0.25">
      <c r="B65" s="5" t="s">
        <v>73</v>
      </c>
    </row>
    <row r="67" spans="1:20" x14ac:dyDescent="0.25">
      <c r="A67" s="1" t="s">
        <v>74</v>
      </c>
      <c r="B67" s="1" t="s">
        <v>75</v>
      </c>
      <c r="C67" s="3">
        <f>C48*2</f>
        <v>540</v>
      </c>
      <c r="D67" s="3">
        <f>D48*2</f>
        <v>0</v>
      </c>
      <c r="E67" s="3">
        <f>E49+E61</f>
        <v>2291</v>
      </c>
      <c r="F67" s="10">
        <v>9588</v>
      </c>
      <c r="G67" s="1">
        <v>1968</v>
      </c>
      <c r="H67" s="1">
        <v>2573</v>
      </c>
      <c r="I67" s="1">
        <v>1627</v>
      </c>
      <c r="J67" s="1">
        <v>3804</v>
      </c>
      <c r="K67" s="1">
        <v>2328</v>
      </c>
      <c r="L67" s="1">
        <v>4480</v>
      </c>
      <c r="M67" s="1">
        <v>9600</v>
      </c>
      <c r="N67" s="1">
        <v>2580</v>
      </c>
      <c r="O67" s="15">
        <v>4932</v>
      </c>
      <c r="P67" s="15">
        <v>8226</v>
      </c>
      <c r="Q67" s="1">
        <v>9600</v>
      </c>
      <c r="R67" s="1">
        <v>2400</v>
      </c>
      <c r="S67" s="1">
        <v>8748</v>
      </c>
      <c r="T67" s="1">
        <v>4876</v>
      </c>
    </row>
  </sheetData>
  <dataValidations count="1">
    <dataValidation type="list" allowBlank="1" showInputMessage="1" showErrorMessage="1" sqref="C11:M11" xr:uid="{563E5DC6-2D2B-49F9-9C66-C99A8EBE3CFF}">
      <formula1>"kyllä,ei"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E8AE-FBF8-4578-9728-3F8C1DE2072A}">
  <dimension ref="A5:O44"/>
  <sheetViews>
    <sheetView workbookViewId="0">
      <selection activeCell="A26" sqref="A26"/>
    </sheetView>
  </sheetViews>
  <sheetFormatPr defaultRowHeight="15.75" x14ac:dyDescent="0.25"/>
  <cols>
    <col min="1" max="1" width="49.875" style="1" bestFit="1" customWidth="1"/>
    <col min="2" max="2" width="56.5" style="1" customWidth="1"/>
    <col min="3" max="4" width="20.375" style="1" bestFit="1" customWidth="1"/>
    <col min="5" max="10" width="14.75" style="1" bestFit="1" customWidth="1"/>
    <col min="11" max="16384" width="9" style="1"/>
  </cols>
  <sheetData>
    <row r="5" spans="1:15" x14ac:dyDescent="0.25">
      <c r="B5" s="5" t="s">
        <v>1</v>
      </c>
      <c r="C5" s="1" t="s">
        <v>2</v>
      </c>
      <c r="D5" s="1" t="s">
        <v>76</v>
      </c>
      <c r="E5" s="1" t="s">
        <v>77</v>
      </c>
      <c r="F5" s="1" t="s">
        <v>78</v>
      </c>
      <c r="G5" s="1" t="s">
        <v>79</v>
      </c>
    </row>
    <row r="7" spans="1:15" x14ac:dyDescent="0.25">
      <c r="B7" s="5" t="s">
        <v>5</v>
      </c>
    </row>
    <row r="8" spans="1:15" x14ac:dyDescent="0.25">
      <c r="B8" s="5"/>
      <c r="C8" s="5"/>
    </row>
    <row r="9" spans="1:15" x14ac:dyDescent="0.25">
      <c r="A9" s="1" t="s">
        <v>6</v>
      </c>
      <c r="B9" s="7" t="s">
        <v>7</v>
      </c>
    </row>
    <row r="10" spans="1:15" x14ac:dyDescent="0.25">
      <c r="A10" s="1" t="s">
        <v>12</v>
      </c>
      <c r="B10" s="1" t="s">
        <v>13</v>
      </c>
      <c r="C10" s="1" t="s">
        <v>14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</row>
    <row r="11" spans="1:15" x14ac:dyDescent="0.25">
      <c r="A11" s="1" t="s">
        <v>16</v>
      </c>
      <c r="B11" s="1" t="s">
        <v>17</v>
      </c>
      <c r="C11" s="1" t="s">
        <v>80</v>
      </c>
      <c r="D11" s="1" t="s">
        <v>80</v>
      </c>
      <c r="E11" s="1" t="s">
        <v>80</v>
      </c>
      <c r="F11" s="1" t="s">
        <v>80</v>
      </c>
      <c r="G11" s="1" t="s">
        <v>80</v>
      </c>
      <c r="H11" s="1" t="s">
        <v>80</v>
      </c>
    </row>
    <row r="12" spans="1:15" x14ac:dyDescent="0.25">
      <c r="A12" s="1" t="s">
        <v>19</v>
      </c>
      <c r="B12" s="1" t="s">
        <v>20</v>
      </c>
      <c r="C12" s="17">
        <v>44440</v>
      </c>
      <c r="D12" s="17">
        <v>44440</v>
      </c>
      <c r="E12" s="17">
        <v>44440</v>
      </c>
      <c r="F12" s="17">
        <v>44440</v>
      </c>
      <c r="G12" s="17">
        <v>44440</v>
      </c>
      <c r="H12" s="4">
        <v>44466</v>
      </c>
      <c r="I12" s="4"/>
      <c r="J12" s="4"/>
      <c r="K12" s="4"/>
      <c r="L12" s="4"/>
      <c r="M12" s="4"/>
      <c r="N12" s="4"/>
      <c r="O12" s="4"/>
    </row>
    <row r="13" spans="1:15" x14ac:dyDescent="0.25">
      <c r="A13" s="1" t="s">
        <v>21</v>
      </c>
      <c r="B13" s="1" t="s">
        <v>22</v>
      </c>
      <c r="C13" s="17">
        <v>44500</v>
      </c>
      <c r="D13" s="17">
        <v>44484</v>
      </c>
      <c r="E13" s="17">
        <v>44804</v>
      </c>
      <c r="F13" s="17">
        <v>44469</v>
      </c>
      <c r="G13" s="17">
        <v>44500</v>
      </c>
      <c r="H13" s="4">
        <v>44830</v>
      </c>
      <c r="I13" s="4"/>
      <c r="J13" s="4"/>
      <c r="K13" s="4"/>
      <c r="L13" s="4"/>
      <c r="M13" s="4"/>
      <c r="N13" s="4"/>
      <c r="O13" s="4"/>
    </row>
    <row r="14" spans="1:15" x14ac:dyDescent="0.25">
      <c r="A14" s="1" t="s">
        <v>23</v>
      </c>
      <c r="B14" s="1" t="s">
        <v>24</v>
      </c>
      <c r="C14" s="3">
        <v>2500</v>
      </c>
      <c r="D14" s="3">
        <v>2500</v>
      </c>
      <c r="E14" s="3">
        <v>2500</v>
      </c>
      <c r="F14" s="3">
        <v>2500</v>
      </c>
      <c r="G14" s="3">
        <v>2500</v>
      </c>
      <c r="H14" s="3">
        <v>3300</v>
      </c>
      <c r="I14" s="3"/>
      <c r="J14" s="3"/>
      <c r="K14" s="3"/>
      <c r="L14" s="3"/>
      <c r="M14" s="3"/>
      <c r="N14" s="3"/>
    </row>
    <row r="15" spans="1:15" x14ac:dyDescent="0.25">
      <c r="A15" s="1" t="s">
        <v>25</v>
      </c>
      <c r="B15" s="1" t="s">
        <v>26</v>
      </c>
      <c r="C15" s="3">
        <v>200</v>
      </c>
      <c r="D15" s="3">
        <v>200</v>
      </c>
      <c r="E15" s="3">
        <v>200</v>
      </c>
      <c r="F15" s="3">
        <v>200</v>
      </c>
      <c r="G15" s="3">
        <v>200</v>
      </c>
      <c r="H15" s="3">
        <v>946.2</v>
      </c>
      <c r="I15" s="3"/>
      <c r="J15" s="3"/>
      <c r="K15" s="3"/>
      <c r="L15" s="3"/>
      <c r="M15" s="3"/>
      <c r="N15" s="3"/>
    </row>
    <row r="16" spans="1:15" x14ac:dyDescent="0.25">
      <c r="A16" s="1" t="s">
        <v>27</v>
      </c>
      <c r="B16" s="1" t="s">
        <v>28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6350</v>
      </c>
      <c r="I16" s="3"/>
      <c r="J16" s="3"/>
      <c r="K16" s="3"/>
      <c r="L16" s="3"/>
      <c r="M16" s="3"/>
      <c r="N16" s="3"/>
    </row>
    <row r="17" spans="1:14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1" t="s">
        <v>29</v>
      </c>
      <c r="B18" s="1" t="s">
        <v>30</v>
      </c>
      <c r="C18" s="2">
        <v>0.5</v>
      </c>
      <c r="D18" s="2">
        <v>0.5</v>
      </c>
      <c r="E18" s="2">
        <v>0.5</v>
      </c>
      <c r="F18" s="2">
        <v>0.5</v>
      </c>
      <c r="G18" s="2">
        <v>0.5</v>
      </c>
      <c r="H18" s="2">
        <v>0.5</v>
      </c>
      <c r="I18" s="2"/>
      <c r="J18" s="2"/>
      <c r="K18" s="2"/>
      <c r="L18" s="2"/>
    </row>
    <row r="23" spans="1:14" x14ac:dyDescent="0.25">
      <c r="B23" s="5" t="s">
        <v>45</v>
      </c>
    </row>
    <row r="28" spans="1:14" x14ac:dyDescent="0.25">
      <c r="A28" s="1" t="s">
        <v>81</v>
      </c>
      <c r="B28" s="1" t="s">
        <v>62</v>
      </c>
      <c r="C28" s="3">
        <v>500</v>
      </c>
      <c r="D28" s="3">
        <v>500</v>
      </c>
      <c r="E28" s="3">
        <v>500</v>
      </c>
      <c r="F28" s="3">
        <v>500</v>
      </c>
      <c r="G28" s="3">
        <v>500</v>
      </c>
      <c r="H28" s="1">
        <v>500</v>
      </c>
    </row>
    <row r="29" spans="1:14" x14ac:dyDescent="0.25">
      <c r="C29" s="3"/>
      <c r="D29" s="3"/>
    </row>
    <row r="31" spans="1:14" x14ac:dyDescent="0.25">
      <c r="B31" s="1" t="s">
        <v>82</v>
      </c>
    </row>
    <row r="32" spans="1:14" x14ac:dyDescent="0.25">
      <c r="A32" s="1" t="s">
        <v>83</v>
      </c>
      <c r="B32" s="9" t="s">
        <v>56</v>
      </c>
      <c r="C32" s="4">
        <v>44440</v>
      </c>
      <c r="D32" s="4">
        <v>44440</v>
      </c>
      <c r="E32" s="4">
        <v>44440</v>
      </c>
      <c r="F32" s="4">
        <v>44440</v>
      </c>
      <c r="G32" s="4">
        <v>44440</v>
      </c>
      <c r="H32" s="4">
        <v>44466</v>
      </c>
    </row>
    <row r="33" spans="1:15" x14ac:dyDescent="0.25">
      <c r="A33" s="1" t="s">
        <v>84</v>
      </c>
      <c r="B33" s="9" t="s">
        <v>58</v>
      </c>
      <c r="C33" s="4">
        <v>44500</v>
      </c>
      <c r="D33" s="4">
        <v>44484</v>
      </c>
      <c r="E33" s="4">
        <v>44804</v>
      </c>
      <c r="F33" s="4">
        <v>44469</v>
      </c>
      <c r="G33" s="4">
        <v>44469</v>
      </c>
      <c r="H33" s="4">
        <v>44830</v>
      </c>
    </row>
    <row r="34" spans="1:15" x14ac:dyDescent="0.25">
      <c r="A34" s="1" t="s">
        <v>85</v>
      </c>
      <c r="B34" s="9" t="s">
        <v>60</v>
      </c>
      <c r="C34" s="11">
        <f>(DAYS360(C32,C33,TRUE) +1) / 30</f>
        <v>2</v>
      </c>
      <c r="D34" s="11">
        <f>(DAYS360(D32,D33,TRUE) +1) / 30</f>
        <v>1.5</v>
      </c>
      <c r="E34" s="11">
        <f>(DAYS360(E32,E33,TRUE) +1) / 30</f>
        <v>12</v>
      </c>
      <c r="F34" s="11">
        <f>(DAYS360(F32,F33,TRUE) +1) / 30</f>
        <v>1</v>
      </c>
      <c r="G34" s="11">
        <f>(DAYS360(G32,G33,TRUE) +1) / 30</f>
        <v>1</v>
      </c>
      <c r="H34" s="1">
        <v>12</v>
      </c>
    </row>
    <row r="35" spans="1:15" x14ac:dyDescent="0.25">
      <c r="A35" s="1" t="s">
        <v>81</v>
      </c>
      <c r="B35" s="9" t="s">
        <v>62</v>
      </c>
      <c r="C35" s="3">
        <v>500</v>
      </c>
      <c r="D35" s="3">
        <v>500</v>
      </c>
      <c r="E35" s="3">
        <v>500</v>
      </c>
      <c r="F35" s="3">
        <v>500</v>
      </c>
      <c r="G35" s="3">
        <v>500</v>
      </c>
      <c r="H35" s="3">
        <v>500</v>
      </c>
      <c r="I35" s="3"/>
      <c r="J35" s="3"/>
      <c r="K35" s="3"/>
      <c r="L35" s="3"/>
      <c r="M35" s="3"/>
      <c r="N35" s="3"/>
      <c r="O35" s="3"/>
    </row>
    <row r="36" spans="1:15" x14ac:dyDescent="0.25">
      <c r="A36" s="1" t="s">
        <v>86</v>
      </c>
      <c r="B36" s="9" t="s">
        <v>64</v>
      </c>
      <c r="C36" s="3">
        <f>C34*C35</f>
        <v>1000</v>
      </c>
      <c r="D36" s="3">
        <f>D34*D35</f>
        <v>750</v>
      </c>
      <c r="E36" s="3">
        <f>E34*E35</f>
        <v>6000</v>
      </c>
      <c r="F36" s="3">
        <f>F34*F35</f>
        <v>500</v>
      </c>
      <c r="G36" s="3">
        <f>G34*G35</f>
        <v>500</v>
      </c>
      <c r="H36" s="3">
        <v>6000</v>
      </c>
      <c r="I36" s="3"/>
      <c r="J36" s="3"/>
      <c r="K36" s="3"/>
      <c r="L36" s="3"/>
      <c r="M36" s="3"/>
      <c r="N36" s="3"/>
      <c r="O36" s="3"/>
    </row>
    <row r="37" spans="1:15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B40" s="5" t="s">
        <v>73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1" t="s">
        <v>74</v>
      </c>
      <c r="B42" s="1" t="s">
        <v>75</v>
      </c>
      <c r="C42" s="3">
        <f>C28*2</f>
        <v>1000</v>
      </c>
      <c r="D42" s="3">
        <f>D28*1.5</f>
        <v>750</v>
      </c>
      <c r="E42" s="3">
        <f>12*E28</f>
        <v>6000</v>
      </c>
      <c r="F42" s="3">
        <f>1*F28</f>
        <v>500</v>
      </c>
      <c r="G42" s="3">
        <f>G36</f>
        <v>500</v>
      </c>
      <c r="H42" s="3">
        <v>6000</v>
      </c>
      <c r="I42" s="3"/>
      <c r="J42" s="3"/>
      <c r="K42" s="3"/>
      <c r="L42" s="3"/>
      <c r="M42" s="3"/>
      <c r="N42" s="3"/>
      <c r="O42" s="3"/>
    </row>
    <row r="43" spans="1:15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</sheetData>
  <dataValidations count="1">
    <dataValidation type="list" allowBlank="1" showInputMessage="1" showErrorMessage="1" sqref="C10:O10" xr:uid="{F2F0EA9B-DD85-4176-94EF-8CDDBACC16C9}">
      <formula1>"kyllä,ei"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CE17-365F-4CD6-A28B-9E2140F5A365}">
  <dimension ref="A1:S85"/>
  <sheetViews>
    <sheetView tabSelected="1" workbookViewId="0">
      <pane xSplit="2" ySplit="14" topLeftCell="C15" activePane="bottomRight" state="frozen"/>
      <selection pane="topRight" activeCell="C1" sqref="C1"/>
      <selection pane="bottomLeft" activeCell="A14" sqref="A14"/>
      <selection pane="bottomRight" activeCell="C15" sqref="C15"/>
    </sheetView>
  </sheetViews>
  <sheetFormatPr defaultRowHeight="15.75" outlineLevelRow="1" x14ac:dyDescent="0.25"/>
  <cols>
    <col min="1" max="1" width="43" style="1" bestFit="1" customWidth="1"/>
    <col min="2" max="2" width="56.5" style="1" customWidth="1"/>
    <col min="3" max="4" width="20.375" style="1" bestFit="1" customWidth="1"/>
    <col min="5" max="5" width="16.625" style="1" customWidth="1"/>
    <col min="6" max="9" width="14.75" style="1" bestFit="1" customWidth="1"/>
    <col min="10" max="16384" width="9" style="1"/>
  </cols>
  <sheetData>
    <row r="1" spans="1:14" x14ac:dyDescent="0.25">
      <c r="B1" s="5" t="s">
        <v>1</v>
      </c>
    </row>
    <row r="2" spans="1:14" ht="78.75" outlineLevel="1" x14ac:dyDescent="0.25">
      <c r="B2" s="5" t="s">
        <v>1</v>
      </c>
      <c r="C2" s="56" t="s">
        <v>163</v>
      </c>
      <c r="D2" s="56" t="s">
        <v>161</v>
      </c>
      <c r="E2" s="56" t="s">
        <v>160</v>
      </c>
      <c r="F2" s="56" t="s">
        <v>162</v>
      </c>
    </row>
    <row r="3" spans="1:14" x14ac:dyDescent="0.25">
      <c r="B3" s="5" t="s">
        <v>5</v>
      </c>
    </row>
    <row r="4" spans="1:14" x14ac:dyDescent="0.25">
      <c r="B4" s="5"/>
    </row>
    <row r="5" spans="1:14" x14ac:dyDescent="0.25">
      <c r="A5" s="1" t="s">
        <v>6</v>
      </c>
      <c r="B5" s="7" t="s">
        <v>7</v>
      </c>
    </row>
    <row r="6" spans="1:14" x14ac:dyDescent="0.25">
      <c r="A6" s="1" t="s">
        <v>9</v>
      </c>
      <c r="B6" s="7" t="s">
        <v>10</v>
      </c>
      <c r="C6" s="1" t="s">
        <v>11</v>
      </c>
      <c r="D6" s="15" t="s">
        <v>87</v>
      </c>
      <c r="E6" s="1" t="s">
        <v>11</v>
      </c>
      <c r="F6" s="1" t="s">
        <v>11</v>
      </c>
    </row>
    <row r="7" spans="1:14" x14ac:dyDescent="0.25">
      <c r="A7" s="1" t="s">
        <v>12</v>
      </c>
      <c r="B7" s="1" t="s">
        <v>13</v>
      </c>
      <c r="C7" s="1" t="s">
        <v>14</v>
      </c>
      <c r="D7" s="1" t="s">
        <v>15</v>
      </c>
      <c r="E7" s="1" t="s">
        <v>14</v>
      </c>
      <c r="F7" s="1" t="s">
        <v>15</v>
      </c>
    </row>
    <row r="8" spans="1:14" x14ac:dyDescent="0.25">
      <c r="A8" s="1" t="s">
        <v>16</v>
      </c>
      <c r="B8" s="1" t="s">
        <v>17</v>
      </c>
      <c r="C8" s="1" t="s">
        <v>88</v>
      </c>
      <c r="D8" s="1" t="s">
        <v>88</v>
      </c>
      <c r="E8" s="1" t="s">
        <v>88</v>
      </c>
      <c r="F8" s="1" t="s">
        <v>88</v>
      </c>
    </row>
    <row r="9" spans="1:14" x14ac:dyDescent="0.25">
      <c r="A9" s="1" t="s">
        <v>19</v>
      </c>
      <c r="B9" s="1" t="s">
        <v>20</v>
      </c>
      <c r="C9" s="4">
        <v>44961</v>
      </c>
      <c r="D9" s="4">
        <v>45106</v>
      </c>
      <c r="E9" s="4">
        <v>44965</v>
      </c>
      <c r="F9" s="4">
        <v>45141</v>
      </c>
      <c r="G9" s="4"/>
      <c r="H9" s="4"/>
      <c r="I9" s="4"/>
      <c r="J9" s="4"/>
      <c r="K9" s="4"/>
      <c r="L9" s="4"/>
      <c r="M9" s="4"/>
      <c r="N9" s="4"/>
    </row>
    <row r="10" spans="1:14" x14ac:dyDescent="0.25">
      <c r="A10" s="1" t="s">
        <v>21</v>
      </c>
      <c r="B10" s="1" t="s">
        <v>22</v>
      </c>
      <c r="C10" s="4">
        <v>45325</v>
      </c>
      <c r="D10" s="4">
        <v>45471</v>
      </c>
      <c r="E10" s="4">
        <v>45329</v>
      </c>
      <c r="F10" s="4">
        <v>45506</v>
      </c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1" t="s">
        <v>23</v>
      </c>
      <c r="B11" s="1" t="s">
        <v>24</v>
      </c>
      <c r="C11" s="3">
        <v>1752</v>
      </c>
      <c r="D11" s="3">
        <v>1470.88</v>
      </c>
      <c r="E11" s="3">
        <v>1470</v>
      </c>
      <c r="F11" s="3">
        <v>1250</v>
      </c>
      <c r="G11" s="3"/>
      <c r="H11" s="3"/>
      <c r="I11" s="3"/>
      <c r="J11" s="3"/>
      <c r="K11" s="3"/>
      <c r="L11" s="3"/>
      <c r="M11" s="3"/>
    </row>
    <row r="12" spans="1:14" x14ac:dyDescent="0.25">
      <c r="A12" s="1" t="s">
        <v>25</v>
      </c>
      <c r="B12" s="1" t="s">
        <v>26</v>
      </c>
      <c r="C12" s="3">
        <v>460</v>
      </c>
      <c r="D12" s="3">
        <v>535.12</v>
      </c>
      <c r="E12" s="3">
        <v>303.7</v>
      </c>
      <c r="F12" s="3">
        <v>250</v>
      </c>
      <c r="G12" s="3"/>
      <c r="H12" s="3" t="s">
        <v>89</v>
      </c>
      <c r="I12" s="3"/>
      <c r="J12" s="3"/>
      <c r="K12" s="3"/>
      <c r="L12" s="3"/>
      <c r="M12" s="3"/>
    </row>
    <row r="13" spans="1:14" x14ac:dyDescent="0.25">
      <c r="A13" s="1" t="s">
        <v>27</v>
      </c>
      <c r="B13" s="21" t="s">
        <v>119</v>
      </c>
      <c r="C13" s="3">
        <v>92.17</v>
      </c>
      <c r="D13" s="57">
        <v>88.89</v>
      </c>
      <c r="E13" s="3">
        <v>26.75</v>
      </c>
      <c r="F13" s="3">
        <v>100</v>
      </c>
      <c r="G13" s="3"/>
      <c r="H13" s="3"/>
      <c r="I13" s="3"/>
      <c r="J13" s="3"/>
      <c r="K13" s="3"/>
      <c r="L13" s="3"/>
      <c r="M13" s="3"/>
    </row>
    <row r="14" spans="1:14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5">
      <c r="A15" s="1" t="s">
        <v>29</v>
      </c>
      <c r="B15" s="1" t="s">
        <v>30</v>
      </c>
      <c r="C15" s="2">
        <v>1</v>
      </c>
      <c r="D15" s="2">
        <v>1</v>
      </c>
      <c r="E15" s="2">
        <v>1</v>
      </c>
      <c r="F15" s="2">
        <v>1</v>
      </c>
      <c r="G15" s="2"/>
      <c r="H15" s="2"/>
      <c r="I15" s="2"/>
      <c r="J15" s="2"/>
      <c r="K15" s="2"/>
    </row>
    <row r="17" spans="1:12" x14ac:dyDescent="0.25">
      <c r="B17" s="6" t="s">
        <v>90</v>
      </c>
    </row>
    <row r="18" spans="1:12" x14ac:dyDescent="0.25">
      <c r="A18" s="1" t="s">
        <v>32</v>
      </c>
      <c r="B18" s="1" t="s">
        <v>33</v>
      </c>
      <c r="C18" s="2">
        <v>0.5</v>
      </c>
      <c r="D18" s="2">
        <v>0.5</v>
      </c>
      <c r="E18" s="2">
        <v>0.7</v>
      </c>
      <c r="F18" s="2">
        <v>0.7</v>
      </c>
      <c r="G18" s="2"/>
      <c r="H18" s="2"/>
      <c r="I18" s="2"/>
      <c r="J18" s="2"/>
      <c r="K18" s="2"/>
      <c r="L18" s="2"/>
    </row>
    <row r="19" spans="1:12" s="13" customFormat="1" x14ac:dyDescent="0.25">
      <c r="A19" s="1" t="s">
        <v>34</v>
      </c>
      <c r="B19" s="1" t="s">
        <v>35</v>
      </c>
    </row>
    <row r="20" spans="1:12" x14ac:dyDescent="0.25">
      <c r="A20" s="1" t="s">
        <v>36</v>
      </c>
      <c r="B20" s="1" t="s">
        <v>37</v>
      </c>
      <c r="C20" s="4">
        <v>44961</v>
      </c>
      <c r="D20" s="4">
        <v>45195</v>
      </c>
      <c r="E20" s="4">
        <v>44965</v>
      </c>
      <c r="F20" s="4">
        <v>45141</v>
      </c>
    </row>
    <row r="21" spans="1:12" x14ac:dyDescent="0.25">
      <c r="A21" s="1" t="s">
        <v>38</v>
      </c>
      <c r="B21" s="1" t="s">
        <v>39</v>
      </c>
      <c r="C21" s="4">
        <v>45291</v>
      </c>
      <c r="D21" s="4">
        <v>45654</v>
      </c>
      <c r="E21" s="4">
        <v>45291</v>
      </c>
      <c r="F21" s="4">
        <v>45324</v>
      </c>
    </row>
    <row r="23" spans="1:12" x14ac:dyDescent="0.25">
      <c r="B23" s="1" t="s">
        <v>40</v>
      </c>
    </row>
    <row r="24" spans="1:12" x14ac:dyDescent="0.25">
      <c r="A24" s="1" t="s">
        <v>41</v>
      </c>
      <c r="B24" s="1" t="s">
        <v>33</v>
      </c>
      <c r="C24" s="2"/>
      <c r="E24" s="2"/>
      <c r="F24" s="2"/>
    </row>
    <row r="25" spans="1:12" s="13" customFormat="1" x14ac:dyDescent="0.25">
      <c r="A25" s="1" t="s">
        <v>42</v>
      </c>
      <c r="B25" s="1" t="s">
        <v>35</v>
      </c>
    </row>
    <row r="26" spans="1:12" x14ac:dyDescent="0.25">
      <c r="A26" s="1" t="s">
        <v>43</v>
      </c>
      <c r="B26" s="1" t="s">
        <v>37</v>
      </c>
      <c r="C26" s="4"/>
      <c r="E26" s="4"/>
      <c r="F26" s="4"/>
    </row>
    <row r="27" spans="1:12" x14ac:dyDescent="0.25">
      <c r="A27" s="1" t="s">
        <v>44</v>
      </c>
      <c r="B27" s="1" t="s">
        <v>39</v>
      </c>
      <c r="C27" s="4"/>
      <c r="E27" s="4"/>
      <c r="F27" s="4"/>
    </row>
    <row r="29" spans="1:12" x14ac:dyDescent="0.25">
      <c r="B29" s="6" t="s">
        <v>91</v>
      </c>
    </row>
    <row r="30" spans="1:12" s="3" customFormat="1" x14ac:dyDescent="0.25">
      <c r="A30" s="3" t="s">
        <v>92</v>
      </c>
      <c r="B30" s="3" t="s">
        <v>93</v>
      </c>
      <c r="C30" s="3">
        <v>100</v>
      </c>
      <c r="D30" s="3">
        <v>80</v>
      </c>
      <c r="E30" s="3">
        <v>200</v>
      </c>
      <c r="F30" s="3">
        <v>100</v>
      </c>
    </row>
    <row r="31" spans="1:12" x14ac:dyDescent="0.25">
      <c r="A31" s="1" t="s">
        <v>94</v>
      </c>
      <c r="B31" s="1" t="s">
        <v>95</v>
      </c>
      <c r="C31" s="4">
        <v>44961</v>
      </c>
      <c r="D31" s="4">
        <v>45106</v>
      </c>
      <c r="E31" s="4">
        <v>44965</v>
      </c>
      <c r="F31" s="4">
        <v>45078</v>
      </c>
    </row>
    <row r="32" spans="1:12" x14ac:dyDescent="0.25">
      <c r="A32" s="1" t="s">
        <v>96</v>
      </c>
      <c r="B32" s="1" t="s">
        <v>97</v>
      </c>
      <c r="C32" s="4">
        <v>45325</v>
      </c>
      <c r="D32" s="4">
        <v>45471</v>
      </c>
      <c r="E32" s="4">
        <v>45329</v>
      </c>
      <c r="F32" s="4">
        <v>45291</v>
      </c>
    </row>
    <row r="34" spans="1:8" x14ac:dyDescent="0.25">
      <c r="B34" s="6" t="s">
        <v>98</v>
      </c>
    </row>
    <row r="35" spans="1:8" s="3" customFormat="1" x14ac:dyDescent="0.25">
      <c r="A35" s="3" t="s">
        <v>99</v>
      </c>
      <c r="B35" s="3" t="s">
        <v>93</v>
      </c>
      <c r="F35" s="3">
        <v>50</v>
      </c>
    </row>
    <row r="36" spans="1:8" x14ac:dyDescent="0.25">
      <c r="A36" s="1" t="s">
        <v>100</v>
      </c>
      <c r="B36" s="1" t="s">
        <v>95</v>
      </c>
      <c r="F36" s="4">
        <v>45292</v>
      </c>
    </row>
    <row r="37" spans="1:8" x14ac:dyDescent="0.25">
      <c r="A37" s="1" t="s">
        <v>101</v>
      </c>
      <c r="B37" s="1" t="s">
        <v>97</v>
      </c>
      <c r="F37" s="4">
        <v>45574</v>
      </c>
    </row>
    <row r="40" spans="1:8" x14ac:dyDescent="0.25">
      <c r="B40" s="5" t="s">
        <v>45</v>
      </c>
      <c r="D40" s="3"/>
    </row>
    <row r="41" spans="1:8" x14ac:dyDescent="0.25">
      <c r="C41" s="3"/>
      <c r="D41" s="3"/>
    </row>
    <row r="42" spans="1:8" x14ac:dyDescent="0.25">
      <c r="A42" s="1" t="s">
        <v>46</v>
      </c>
      <c r="B42" s="1" t="s">
        <v>47</v>
      </c>
      <c r="C42" s="3">
        <f>C11+C12+C13</f>
        <v>2304.17</v>
      </c>
      <c r="D42" s="3">
        <f>D11+D12+D13</f>
        <v>2094.89</v>
      </c>
      <c r="E42" s="3">
        <f>E11+E12+E13</f>
        <v>1800.45</v>
      </c>
      <c r="F42" s="3">
        <f>F11+F12+F13</f>
        <v>1600</v>
      </c>
    </row>
    <row r="43" spans="1:8" x14ac:dyDescent="0.25">
      <c r="A43" s="1" t="s">
        <v>48</v>
      </c>
      <c r="B43" s="1" t="s">
        <v>49</v>
      </c>
      <c r="C43" s="3">
        <f>C15*C42</f>
        <v>2304.17</v>
      </c>
      <c r="D43" s="3">
        <f>D15*D42</f>
        <v>2094.89</v>
      </c>
      <c r="E43" s="3">
        <f>E15*E42</f>
        <v>1800.45</v>
      </c>
      <c r="F43" s="3">
        <f>F15*F42</f>
        <v>1600</v>
      </c>
    </row>
    <row r="44" spans="1:8" ht="31.5" x14ac:dyDescent="0.25">
      <c r="B44" s="42" t="s">
        <v>131</v>
      </c>
      <c r="C44" s="3">
        <f>IFERROR(C20/C28*65%*1.23,0)</f>
        <v>0</v>
      </c>
      <c r="D44" s="3">
        <f>IFERROR(D20/D28*65%*1.23,0)</f>
        <v>0</v>
      </c>
      <c r="E44" s="3">
        <f>IFERROR(E20/E28*65%*1.23,0)</f>
        <v>0</v>
      </c>
      <c r="F44" s="3">
        <f>IFERROR(F20/F28*65%*1.23,0)</f>
        <v>0</v>
      </c>
      <c r="G44" s="3"/>
      <c r="H44" s="3"/>
    </row>
    <row r="45" spans="1:8" x14ac:dyDescent="0.25">
      <c r="B45" s="43" t="s">
        <v>50</v>
      </c>
    </row>
    <row r="46" spans="1:8" x14ac:dyDescent="0.25">
      <c r="B46" s="8" t="s">
        <v>51</v>
      </c>
      <c r="D46" s="3"/>
    </row>
    <row r="47" spans="1:8" x14ac:dyDescent="0.25">
      <c r="A47" s="1" t="s">
        <v>52</v>
      </c>
      <c r="B47" s="7" t="s">
        <v>53</v>
      </c>
      <c r="C47" s="3">
        <f>IF(C18=50%,MIN(50%*C11,Max_50),IF(C18=70%,MIN(70%*C11,max_70),IF(C18=100%,MIN(100%*C44,Max_100),"")))</f>
        <v>876</v>
      </c>
      <c r="D47" s="3">
        <f>IF(D18=50%,MIN(50%*D11,Max_50),IF(D18=70%,MIN(70%*D11,max_70),IF(D18=100%,MIN(100%*D44,Max_100),"")))</f>
        <v>735.44</v>
      </c>
      <c r="E47" s="3">
        <f>IF(E18=50%,MIN(50%*E11,Max_50),IF(E18=70%,MIN(70%*E11,max_70),IF(E18=100%,MIN(100%*E44,Max_100),"")))</f>
        <v>1029</v>
      </c>
      <c r="F47" s="3">
        <f>IF(F18=50%,MIN(50%*F11,Max_50),IF(F18=70%,MIN(70%*F11,max_70),IF(F18=100%,MIN(100%*F44,Max_100),"")))</f>
        <v>875</v>
      </c>
    </row>
    <row r="48" spans="1:8" s="3" customFormat="1" x14ac:dyDescent="0.25">
      <c r="A48" s="3" t="s">
        <v>102</v>
      </c>
      <c r="B48" s="18" t="s">
        <v>93</v>
      </c>
      <c r="C48" s="3">
        <f>C30</f>
        <v>100</v>
      </c>
      <c r="D48" s="3">
        <v>80</v>
      </c>
      <c r="E48" s="3">
        <v>200</v>
      </c>
      <c r="F48" s="3">
        <f>F30</f>
        <v>100</v>
      </c>
    </row>
    <row r="50" spans="1:19" x14ac:dyDescent="0.25">
      <c r="B50" s="1" t="s">
        <v>82</v>
      </c>
    </row>
    <row r="51" spans="1:19" x14ac:dyDescent="0.25">
      <c r="A51" s="1" t="s">
        <v>55</v>
      </c>
      <c r="B51" s="9" t="s">
        <v>56</v>
      </c>
      <c r="C51" s="4">
        <v>44961</v>
      </c>
      <c r="D51" s="4">
        <v>45106</v>
      </c>
      <c r="E51" s="4">
        <v>44965</v>
      </c>
      <c r="F51" s="4">
        <v>45141</v>
      </c>
    </row>
    <row r="52" spans="1:19" x14ac:dyDescent="0.25">
      <c r="A52" s="1" t="s">
        <v>57</v>
      </c>
      <c r="B52" s="9" t="s">
        <v>58</v>
      </c>
      <c r="C52" s="4">
        <v>45291</v>
      </c>
      <c r="D52" s="4">
        <v>45471</v>
      </c>
      <c r="E52" s="4">
        <v>45291</v>
      </c>
      <c r="F52" s="4">
        <v>45291</v>
      </c>
    </row>
    <row r="53" spans="1:19" x14ac:dyDescent="0.25">
      <c r="A53" s="1" t="s">
        <v>59</v>
      </c>
      <c r="B53" s="9" t="s">
        <v>60</v>
      </c>
      <c r="C53" s="11">
        <f>ROUND((DAYS360(C51,C52,TRUE) +1) / 30,2)</f>
        <v>10.9</v>
      </c>
      <c r="D53" s="11">
        <f>ROUND((DAYS360(D51,D52,TRUE) +1) / 30,2)</f>
        <v>12</v>
      </c>
      <c r="E53" s="11">
        <f>ROUND((DAYS360(E51,E52,TRUE) +1) / 30,2)</f>
        <v>10.77</v>
      </c>
      <c r="F53" s="11">
        <f>ROUND((DAYS360(F51,F52,TRUE) +1) / 30,2)</f>
        <v>4.93</v>
      </c>
    </row>
    <row r="54" spans="1:19" x14ac:dyDescent="0.25">
      <c r="A54" s="1" t="s">
        <v>61</v>
      </c>
      <c r="B54" s="9" t="s">
        <v>62</v>
      </c>
      <c r="C54" s="3">
        <f>ROUND(MAX(MIN(C43-C47-C30,HEL_Lisä_Max),0 ),0)</f>
        <v>800</v>
      </c>
      <c r="D54" s="3">
        <f>ROUND(MAX(MIN(D43-D47-D48,HEL_Lisä_Max),0 ),0)</f>
        <v>800</v>
      </c>
      <c r="E54" s="3">
        <f>ROUND(MAX(MIN(E43-E47-E48,HEL_Lisä_Max),0 ),0)</f>
        <v>571</v>
      </c>
      <c r="F54" s="3">
        <f>ROUND(MAX(MIN(F43-F47-F48,HEL_Lisä_Max),0 ),0)</f>
        <v>625</v>
      </c>
    </row>
    <row r="55" spans="1:19" x14ac:dyDescent="0.25">
      <c r="A55" s="1" t="s">
        <v>63</v>
      </c>
      <c r="B55" s="9" t="s">
        <v>64</v>
      </c>
      <c r="C55" s="3">
        <f>ROUND(C54*C53,0)</f>
        <v>8720</v>
      </c>
      <c r="D55" s="3">
        <f>ROUND(D54*D53,0)</f>
        <v>9600</v>
      </c>
      <c r="E55" s="3">
        <f>ROUND(E54*E53,0)</f>
        <v>6150</v>
      </c>
      <c r="F55" s="3">
        <f>ROUND(F54*F53,0)</f>
        <v>3081</v>
      </c>
    </row>
    <row r="56" spans="1:19" x14ac:dyDescent="0.25">
      <c r="C56" s="3"/>
      <c r="D56" s="3"/>
    </row>
    <row r="57" spans="1:19" x14ac:dyDescent="0.25">
      <c r="B57" s="24" t="s">
        <v>65</v>
      </c>
      <c r="C57" s="3"/>
      <c r="D57" s="3"/>
      <c r="E57" s="3"/>
    </row>
    <row r="58" spans="1:19" x14ac:dyDescent="0.25">
      <c r="C58" s="3"/>
      <c r="D58" s="3"/>
      <c r="E58" s="3"/>
    </row>
    <row r="59" spans="1:19" x14ac:dyDescent="0.25">
      <c r="B59" s="8" t="s">
        <v>51</v>
      </c>
    </row>
    <row r="60" spans="1:19" x14ac:dyDescent="0.25">
      <c r="A60" s="1" t="s">
        <v>66</v>
      </c>
      <c r="B60" s="7" t="s">
        <v>53</v>
      </c>
      <c r="C60" s="3"/>
      <c r="D60" s="3"/>
      <c r="E60" s="3">
        <v>0</v>
      </c>
      <c r="F60" s="3">
        <f>F47</f>
        <v>875</v>
      </c>
    </row>
    <row r="61" spans="1:19" x14ac:dyDescent="0.25">
      <c r="A61" s="1" t="s">
        <v>103</v>
      </c>
      <c r="B61" s="7" t="s">
        <v>93</v>
      </c>
      <c r="C61" s="3">
        <f>C48</f>
        <v>100</v>
      </c>
      <c r="E61" s="3">
        <f>E48</f>
        <v>200</v>
      </c>
      <c r="F61" s="3">
        <f>F35</f>
        <v>50</v>
      </c>
    </row>
    <row r="62" spans="1:19" x14ac:dyDescent="0.25">
      <c r="B62" s="7"/>
    </row>
    <row r="63" spans="1:19" x14ac:dyDescent="0.25">
      <c r="B63" s="7" t="s">
        <v>54</v>
      </c>
    </row>
    <row r="64" spans="1:19" x14ac:dyDescent="0.25">
      <c r="A64" s="1" t="s">
        <v>67</v>
      </c>
      <c r="B64" s="9" t="s">
        <v>56</v>
      </c>
      <c r="C64" s="4">
        <v>45292</v>
      </c>
      <c r="D64" s="4"/>
      <c r="E64" s="4">
        <v>45292</v>
      </c>
      <c r="F64" s="4">
        <v>45292</v>
      </c>
      <c r="L64" s="4"/>
      <c r="P64" s="4"/>
      <c r="S64" s="4"/>
    </row>
    <row r="65" spans="1:19" x14ac:dyDescent="0.25">
      <c r="A65" s="1" t="s">
        <v>68</v>
      </c>
      <c r="B65" s="9" t="s">
        <v>58</v>
      </c>
      <c r="C65" s="4">
        <v>45325</v>
      </c>
      <c r="D65" s="4"/>
      <c r="E65" s="4">
        <v>45329</v>
      </c>
      <c r="F65" s="4">
        <v>45324</v>
      </c>
      <c r="L65" s="4"/>
      <c r="P65" s="4"/>
      <c r="S65" s="4"/>
    </row>
    <row r="66" spans="1:19" x14ac:dyDescent="0.25">
      <c r="A66" s="1" t="s">
        <v>69</v>
      </c>
      <c r="B66" s="9" t="s">
        <v>60</v>
      </c>
      <c r="C66" s="11">
        <f>ROUND((DAYS360(C64,C65,TRUE) +1) / 30,2)</f>
        <v>1.1000000000000001</v>
      </c>
      <c r="D66" s="4"/>
      <c r="E66" s="11">
        <f>ROUND((DAYS360(E64,E65,TRUE) +1) / 30,2)</f>
        <v>1.23</v>
      </c>
      <c r="F66" s="11">
        <f>ROUND((DAYS360(F64,F65,TRUE) +1) / 30,2)</f>
        <v>1.07</v>
      </c>
    </row>
    <row r="67" spans="1:19" x14ac:dyDescent="0.25">
      <c r="A67" s="1" t="s">
        <v>70</v>
      </c>
      <c r="B67" s="9" t="s">
        <v>62</v>
      </c>
      <c r="C67" s="3">
        <f>ROUND(MAX(MIN(C43-C60-C61,HEL_Lisä_Max),0 ),0)</f>
        <v>800</v>
      </c>
      <c r="D67" s="3"/>
      <c r="E67" s="3">
        <f>ROUND(MAX(MIN(E43-E60-E61,HEL_Lisä_Max),0 ),0)</f>
        <v>800</v>
      </c>
      <c r="F67" s="3">
        <f>ROUND(MAX(MIN(F43-F60-F61,HEL_Lisä_Max),0 ),0)</f>
        <v>675</v>
      </c>
    </row>
    <row r="68" spans="1:19" x14ac:dyDescent="0.25">
      <c r="A68" s="1" t="s">
        <v>71</v>
      </c>
      <c r="B68" s="9" t="s">
        <v>64</v>
      </c>
      <c r="C68" s="3">
        <f>ROUND(C66*C67,0)</f>
        <v>880</v>
      </c>
      <c r="D68" s="3"/>
      <c r="E68" s="3">
        <f>ROUND(E66*E67,0)</f>
        <v>984</v>
      </c>
      <c r="F68" s="3">
        <f>ROUND(F66*F67,0)</f>
        <v>722</v>
      </c>
    </row>
    <row r="69" spans="1:19" x14ac:dyDescent="0.25">
      <c r="C69" s="3"/>
      <c r="D69" s="3"/>
      <c r="E69" s="3"/>
    </row>
    <row r="70" spans="1:19" x14ac:dyDescent="0.25">
      <c r="B70" s="24" t="s">
        <v>104</v>
      </c>
      <c r="C70" s="3"/>
      <c r="D70" s="3"/>
      <c r="E70" s="3"/>
    </row>
    <row r="71" spans="1:19" x14ac:dyDescent="0.25">
      <c r="C71" s="3"/>
      <c r="D71" s="3"/>
      <c r="E71" s="3"/>
    </row>
    <row r="72" spans="1:19" x14ac:dyDescent="0.25">
      <c r="B72" s="8" t="s">
        <v>51</v>
      </c>
    </row>
    <row r="73" spans="1:19" x14ac:dyDescent="0.25">
      <c r="A73" s="1" t="s">
        <v>105</v>
      </c>
      <c r="B73" s="7" t="s">
        <v>53</v>
      </c>
      <c r="C73" s="3"/>
      <c r="D73" s="3"/>
      <c r="E73" s="3"/>
      <c r="F73" s="3">
        <v>0</v>
      </c>
    </row>
    <row r="74" spans="1:19" x14ac:dyDescent="0.25">
      <c r="A74" s="1" t="s">
        <v>106</v>
      </c>
      <c r="B74" s="7" t="s">
        <v>93</v>
      </c>
      <c r="F74" s="3">
        <f>F35</f>
        <v>50</v>
      </c>
    </row>
    <row r="75" spans="1:19" x14ac:dyDescent="0.25">
      <c r="B75" s="7"/>
    </row>
    <row r="76" spans="1:19" x14ac:dyDescent="0.25">
      <c r="B76" s="7" t="s">
        <v>54</v>
      </c>
    </row>
    <row r="77" spans="1:19" x14ac:dyDescent="0.25">
      <c r="A77" s="1" t="s">
        <v>107</v>
      </c>
      <c r="B77" s="9" t="s">
        <v>56</v>
      </c>
      <c r="C77" s="4"/>
      <c r="D77" s="4"/>
      <c r="E77" s="4"/>
      <c r="F77" s="4">
        <v>45325</v>
      </c>
      <c r="L77" s="4"/>
      <c r="P77" s="4"/>
      <c r="S77" s="4"/>
    </row>
    <row r="78" spans="1:19" x14ac:dyDescent="0.25">
      <c r="A78" s="1" t="s">
        <v>108</v>
      </c>
      <c r="B78" s="9" t="s">
        <v>58</v>
      </c>
      <c r="C78" s="4"/>
      <c r="D78" s="4"/>
      <c r="E78" s="4"/>
      <c r="F78" s="4">
        <v>45506</v>
      </c>
      <c r="L78" s="4"/>
      <c r="P78" s="4"/>
      <c r="S78" s="4"/>
    </row>
    <row r="79" spans="1:19" x14ac:dyDescent="0.25">
      <c r="A79" s="1" t="s">
        <v>109</v>
      </c>
      <c r="B79" s="9" t="s">
        <v>60</v>
      </c>
      <c r="C79" s="4"/>
      <c r="D79" s="4"/>
      <c r="E79" s="11"/>
      <c r="F79" s="11">
        <f>ROUND((DAYS360(F77,F78,TRUE) +1) / 30,2)</f>
        <v>6</v>
      </c>
    </row>
    <row r="80" spans="1:19" x14ac:dyDescent="0.25">
      <c r="A80" s="1" t="s">
        <v>110</v>
      </c>
      <c r="B80" s="9" t="s">
        <v>62</v>
      </c>
      <c r="C80" s="3"/>
      <c r="D80" s="3"/>
      <c r="E80" s="3"/>
      <c r="F80" s="3">
        <f>ROUND(MAX(MIN(F43-F73-F74,HEL_Lisä_Max),0 ),0)</f>
        <v>800</v>
      </c>
    </row>
    <row r="81" spans="1:6" x14ac:dyDescent="0.25">
      <c r="A81" s="1" t="s">
        <v>111</v>
      </c>
      <c r="B81" s="9" t="s">
        <v>64</v>
      </c>
      <c r="C81" s="3"/>
      <c r="D81" s="3"/>
      <c r="E81" s="3"/>
      <c r="F81" s="3">
        <f>F79*F80</f>
        <v>4800</v>
      </c>
    </row>
    <row r="82" spans="1:6" x14ac:dyDescent="0.25">
      <c r="C82" s="3"/>
      <c r="D82" s="3"/>
      <c r="E82" s="3"/>
    </row>
    <row r="83" spans="1:6" x14ac:dyDescent="0.25">
      <c r="B83" s="5" t="s">
        <v>73</v>
      </c>
    </row>
    <row r="85" spans="1:6" x14ac:dyDescent="0.25">
      <c r="A85" s="1" t="s">
        <v>74</v>
      </c>
      <c r="B85" s="1" t="s">
        <v>75</v>
      </c>
      <c r="C85" s="3">
        <f>ROUND(C81+C68+C55,0)</f>
        <v>9600</v>
      </c>
      <c r="D85" s="3">
        <f>ROUND(D81+D68+D55,0)</f>
        <v>9600</v>
      </c>
      <c r="E85" s="3">
        <f>ROUND(E81+E68+E55,0)</f>
        <v>7134</v>
      </c>
      <c r="F85" s="3">
        <f>ROUND(F81+F68+F55,0)</f>
        <v>8603</v>
      </c>
    </row>
  </sheetData>
  <dataValidations count="1">
    <dataValidation type="list" allowBlank="1" showInputMessage="1" showErrorMessage="1" sqref="C7:N7" xr:uid="{934D1134-CED9-4124-9A63-3538EC09BA9F}">
      <formula1>"kyllä,ei"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721DB-A4C7-4B4E-AA2E-B452AE68552D}">
  <dimension ref="A5:S89"/>
  <sheetViews>
    <sheetView workbookViewId="0">
      <selection activeCell="A68" sqref="A68"/>
    </sheetView>
  </sheetViews>
  <sheetFormatPr defaultRowHeight="15.75" x14ac:dyDescent="0.25"/>
  <cols>
    <col min="1" max="1" width="43" style="1" bestFit="1" customWidth="1"/>
    <col min="2" max="2" width="56.5" style="1" customWidth="1"/>
    <col min="3" max="4" width="20.375" style="1" bestFit="1" customWidth="1"/>
    <col min="5" max="9" width="14.75" style="1" bestFit="1" customWidth="1"/>
    <col min="10" max="16384" width="9" style="1"/>
  </cols>
  <sheetData>
    <row r="5" spans="1:14" x14ac:dyDescent="0.25">
      <c r="B5" s="5" t="s">
        <v>1</v>
      </c>
      <c r="C5" s="1" t="s">
        <v>2</v>
      </c>
    </row>
    <row r="7" spans="1:14" x14ac:dyDescent="0.25">
      <c r="B7" s="5" t="s">
        <v>5</v>
      </c>
    </row>
    <row r="8" spans="1:14" x14ac:dyDescent="0.25">
      <c r="B8" s="5"/>
    </row>
    <row r="9" spans="1:14" x14ac:dyDescent="0.25">
      <c r="A9" s="1" t="s">
        <v>6</v>
      </c>
      <c r="B9" s="7" t="s">
        <v>7</v>
      </c>
    </row>
    <row r="10" spans="1:14" x14ac:dyDescent="0.25">
      <c r="A10" s="1" t="s">
        <v>9</v>
      </c>
      <c r="B10" s="7" t="s">
        <v>10</v>
      </c>
      <c r="C10" s="1" t="s">
        <v>11</v>
      </c>
      <c r="D10" s="15" t="s">
        <v>87</v>
      </c>
      <c r="E10" s="1" t="s">
        <v>11</v>
      </c>
      <c r="F10" s="1" t="s">
        <v>11</v>
      </c>
    </row>
    <row r="11" spans="1:14" x14ac:dyDescent="0.2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14</v>
      </c>
      <c r="F11" s="1" t="s">
        <v>15</v>
      </c>
    </row>
    <row r="12" spans="1:14" x14ac:dyDescent="0.25">
      <c r="A12" s="1" t="s">
        <v>16</v>
      </c>
      <c r="B12" s="1" t="s">
        <v>17</v>
      </c>
      <c r="C12" s="1" t="s">
        <v>88</v>
      </c>
      <c r="D12" s="1" t="s">
        <v>88</v>
      </c>
      <c r="E12" s="1" t="s">
        <v>88</v>
      </c>
      <c r="F12" s="1" t="s">
        <v>88</v>
      </c>
    </row>
    <row r="13" spans="1:14" x14ac:dyDescent="0.25">
      <c r="A13" s="1" t="s">
        <v>19</v>
      </c>
      <c r="B13" s="1" t="s">
        <v>20</v>
      </c>
      <c r="C13" s="4">
        <v>44231</v>
      </c>
      <c r="D13" s="4">
        <v>44376</v>
      </c>
      <c r="E13" s="4">
        <v>44235</v>
      </c>
      <c r="F13" s="4">
        <v>44411</v>
      </c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1" t="s">
        <v>21</v>
      </c>
      <c r="B14" s="1" t="s">
        <v>22</v>
      </c>
      <c r="C14" s="4">
        <v>44595</v>
      </c>
      <c r="D14" s="4">
        <v>44740</v>
      </c>
      <c r="E14" s="4">
        <v>44599</v>
      </c>
      <c r="F14" s="4">
        <v>44775</v>
      </c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1" t="s">
        <v>23</v>
      </c>
      <c r="B15" s="1" t="s">
        <v>24</v>
      </c>
      <c r="C15" s="3">
        <v>1752</v>
      </c>
      <c r="D15" s="3">
        <v>1470.88</v>
      </c>
      <c r="E15" s="3">
        <v>1470</v>
      </c>
      <c r="F15" s="3">
        <v>1250</v>
      </c>
      <c r="G15" s="3"/>
      <c r="H15" s="3"/>
      <c r="I15" s="3"/>
      <c r="J15" s="3"/>
      <c r="K15" s="3"/>
      <c r="L15" s="3"/>
      <c r="M15" s="3"/>
    </row>
    <row r="16" spans="1:14" x14ac:dyDescent="0.25">
      <c r="A16" s="1" t="s">
        <v>25</v>
      </c>
      <c r="B16" s="1" t="s">
        <v>26</v>
      </c>
      <c r="C16" s="3">
        <v>460</v>
      </c>
      <c r="D16" s="3">
        <v>535.12</v>
      </c>
      <c r="E16" s="3">
        <v>303.7</v>
      </c>
      <c r="F16" s="3">
        <v>250</v>
      </c>
      <c r="G16" s="3"/>
      <c r="H16" s="3" t="s">
        <v>89</v>
      </c>
      <c r="I16" s="3"/>
      <c r="J16" s="3"/>
      <c r="K16" s="3"/>
      <c r="L16" s="3"/>
      <c r="M16" s="3"/>
    </row>
    <row r="17" spans="1:13" x14ac:dyDescent="0.25">
      <c r="A17" s="1" t="s">
        <v>27</v>
      </c>
      <c r="B17" s="1" t="s">
        <v>28</v>
      </c>
      <c r="C17" s="3">
        <v>1106</v>
      </c>
      <c r="D17" s="19">
        <v>1066.67</v>
      </c>
      <c r="E17" s="3">
        <v>320.94</v>
      </c>
      <c r="F17" s="3">
        <v>1200</v>
      </c>
      <c r="G17" s="3"/>
      <c r="H17" s="3"/>
      <c r="I17" s="3"/>
      <c r="J17" s="3"/>
      <c r="K17" s="3"/>
      <c r="L17" s="3"/>
      <c r="M17" s="3"/>
    </row>
    <row r="18" spans="1:13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1" t="s">
        <v>29</v>
      </c>
      <c r="B19" s="1" t="s">
        <v>30</v>
      </c>
      <c r="C19" s="2">
        <v>1</v>
      </c>
      <c r="D19" s="2">
        <v>1</v>
      </c>
      <c r="E19" s="2">
        <v>1</v>
      </c>
      <c r="F19" s="2">
        <v>1</v>
      </c>
      <c r="G19" s="2"/>
      <c r="H19" s="2"/>
      <c r="I19" s="2"/>
      <c r="J19" s="2"/>
      <c r="K19" s="2"/>
    </row>
    <row r="21" spans="1:13" x14ac:dyDescent="0.25">
      <c r="B21" s="6" t="s">
        <v>90</v>
      </c>
    </row>
    <row r="22" spans="1:13" x14ac:dyDescent="0.25">
      <c r="A22" s="1" t="s">
        <v>32</v>
      </c>
      <c r="B22" s="1" t="s">
        <v>33</v>
      </c>
      <c r="C22" s="2">
        <v>0.3</v>
      </c>
      <c r="D22" s="2">
        <v>0.3</v>
      </c>
      <c r="E22" s="2">
        <v>0.5</v>
      </c>
      <c r="F22" s="2">
        <v>0.5</v>
      </c>
      <c r="G22" s="2"/>
      <c r="H22" s="2"/>
      <c r="I22" s="2"/>
      <c r="J22" s="2"/>
      <c r="K22" s="2"/>
      <c r="L22" s="2"/>
    </row>
    <row r="23" spans="1:13" s="13" customFormat="1" x14ac:dyDescent="0.25">
      <c r="A23" s="1" t="s">
        <v>34</v>
      </c>
      <c r="B23" s="1" t="s">
        <v>35</v>
      </c>
    </row>
    <row r="24" spans="1:13" x14ac:dyDescent="0.25">
      <c r="A24" s="1" t="s">
        <v>36</v>
      </c>
      <c r="B24" s="1" t="s">
        <v>37</v>
      </c>
      <c r="C24" s="4">
        <v>44231</v>
      </c>
      <c r="D24" s="4">
        <v>44465</v>
      </c>
      <c r="E24" s="4">
        <v>44235</v>
      </c>
      <c r="F24" s="4">
        <v>44411</v>
      </c>
    </row>
    <row r="25" spans="1:13" x14ac:dyDescent="0.25">
      <c r="A25" s="1" t="s">
        <v>38</v>
      </c>
      <c r="B25" s="1" t="s">
        <v>39</v>
      </c>
      <c r="C25" s="4">
        <v>44561</v>
      </c>
      <c r="D25" s="4">
        <v>44923</v>
      </c>
      <c r="E25" s="4">
        <v>44561</v>
      </c>
      <c r="F25" s="4">
        <v>44594</v>
      </c>
    </row>
    <row r="27" spans="1:13" x14ac:dyDescent="0.25">
      <c r="B27" s="1" t="s">
        <v>40</v>
      </c>
    </row>
    <row r="28" spans="1:13" x14ac:dyDescent="0.25">
      <c r="A28" s="1" t="s">
        <v>41</v>
      </c>
      <c r="B28" s="1" t="s">
        <v>33</v>
      </c>
      <c r="C28" s="2">
        <v>0.3</v>
      </c>
      <c r="E28" s="2">
        <v>0.5</v>
      </c>
      <c r="F28" s="2">
        <v>0.4</v>
      </c>
    </row>
    <row r="29" spans="1:13" s="13" customFormat="1" x14ac:dyDescent="0.25">
      <c r="A29" s="1" t="s">
        <v>42</v>
      </c>
      <c r="B29" s="1" t="s">
        <v>35</v>
      </c>
    </row>
    <row r="30" spans="1:13" x14ac:dyDescent="0.25">
      <c r="A30" s="1" t="s">
        <v>43</v>
      </c>
      <c r="B30" s="1" t="s">
        <v>37</v>
      </c>
      <c r="C30" s="4">
        <v>44562</v>
      </c>
      <c r="E30" s="4">
        <v>44562</v>
      </c>
      <c r="F30" s="4">
        <v>44595</v>
      </c>
    </row>
    <row r="31" spans="1:13" x14ac:dyDescent="0.25">
      <c r="A31" s="1" t="s">
        <v>44</v>
      </c>
      <c r="B31" s="1" t="s">
        <v>39</v>
      </c>
      <c r="C31" s="4">
        <v>44595</v>
      </c>
      <c r="E31" s="4">
        <v>44599</v>
      </c>
      <c r="F31" s="4">
        <v>44775</v>
      </c>
    </row>
    <row r="33" spans="1:6" x14ac:dyDescent="0.25">
      <c r="B33" s="6" t="s">
        <v>91</v>
      </c>
    </row>
    <row r="34" spans="1:6" s="3" customFormat="1" x14ac:dyDescent="0.25">
      <c r="A34" s="3" t="s">
        <v>92</v>
      </c>
      <c r="B34" s="3" t="s">
        <v>93</v>
      </c>
      <c r="C34" s="3">
        <v>0</v>
      </c>
      <c r="D34" s="3">
        <v>80</v>
      </c>
      <c r="E34" s="3">
        <v>200</v>
      </c>
      <c r="F34" s="3">
        <v>100</v>
      </c>
    </row>
    <row r="35" spans="1:6" x14ac:dyDescent="0.25">
      <c r="A35" s="1" t="s">
        <v>94</v>
      </c>
      <c r="B35" s="1" t="s">
        <v>95</v>
      </c>
      <c r="C35" s="4">
        <v>44231</v>
      </c>
      <c r="D35" s="4">
        <v>44376</v>
      </c>
      <c r="E35" s="4">
        <v>44235</v>
      </c>
      <c r="F35" s="4">
        <v>44348</v>
      </c>
    </row>
    <row r="36" spans="1:6" x14ac:dyDescent="0.25">
      <c r="A36" s="1" t="s">
        <v>96</v>
      </c>
      <c r="B36" s="1" t="s">
        <v>97</v>
      </c>
      <c r="C36" s="4">
        <v>44595</v>
      </c>
      <c r="D36" s="4">
        <v>44740</v>
      </c>
      <c r="E36" s="4">
        <v>44599</v>
      </c>
      <c r="F36" s="4">
        <v>44561</v>
      </c>
    </row>
    <row r="38" spans="1:6" x14ac:dyDescent="0.25">
      <c r="B38" s="6" t="s">
        <v>98</v>
      </c>
    </row>
    <row r="39" spans="1:6" s="3" customFormat="1" x14ac:dyDescent="0.25">
      <c r="A39" s="3" t="s">
        <v>99</v>
      </c>
      <c r="B39" s="3" t="s">
        <v>93</v>
      </c>
      <c r="F39" s="3">
        <v>50</v>
      </c>
    </row>
    <row r="40" spans="1:6" x14ac:dyDescent="0.25">
      <c r="A40" s="1" t="s">
        <v>100</v>
      </c>
      <c r="B40" s="1" t="s">
        <v>95</v>
      </c>
      <c r="F40" s="4">
        <v>44562</v>
      </c>
    </row>
    <row r="41" spans="1:6" x14ac:dyDescent="0.25">
      <c r="A41" s="1" t="s">
        <v>101</v>
      </c>
      <c r="B41" s="1" t="s">
        <v>97</v>
      </c>
      <c r="F41" s="4">
        <v>44843</v>
      </c>
    </row>
    <row r="44" spans="1:6" x14ac:dyDescent="0.25">
      <c r="B44" s="5" t="s">
        <v>45</v>
      </c>
      <c r="D44" s="3"/>
    </row>
    <row r="45" spans="1:6" x14ac:dyDescent="0.25">
      <c r="C45" s="3"/>
      <c r="D45" s="3"/>
    </row>
    <row r="46" spans="1:6" x14ac:dyDescent="0.25">
      <c r="A46" s="1" t="s">
        <v>46</v>
      </c>
      <c r="B46" s="1" t="s">
        <v>47</v>
      </c>
      <c r="C46" s="1">
        <v>2304.17</v>
      </c>
      <c r="D46" s="1">
        <v>2094.89</v>
      </c>
      <c r="E46" s="1">
        <v>1800.45</v>
      </c>
      <c r="F46" s="3">
        <f>F15+F16+F17/12</f>
        <v>1600</v>
      </c>
    </row>
    <row r="47" spans="1:6" x14ac:dyDescent="0.25">
      <c r="A47" s="1" t="s">
        <v>48</v>
      </c>
      <c r="B47" s="1" t="s">
        <v>49</v>
      </c>
      <c r="C47" s="1">
        <v>2304.17</v>
      </c>
      <c r="D47" s="15">
        <v>2094.89</v>
      </c>
      <c r="E47" s="1">
        <v>1800.45</v>
      </c>
      <c r="F47" s="3">
        <f>F46*F19</f>
        <v>1600</v>
      </c>
    </row>
    <row r="49" spans="1:16" x14ac:dyDescent="0.25">
      <c r="B49" s="6" t="s">
        <v>50</v>
      </c>
    </row>
    <row r="50" spans="1:16" x14ac:dyDescent="0.25">
      <c r="B50" s="8" t="s">
        <v>51</v>
      </c>
      <c r="D50" s="3"/>
    </row>
    <row r="51" spans="1:16" x14ac:dyDescent="0.25">
      <c r="A51" s="1" t="s">
        <v>52</v>
      </c>
      <c r="B51" s="7" t="s">
        <v>53</v>
      </c>
      <c r="C51" s="3">
        <v>691.25</v>
      </c>
      <c r="D51" s="3">
        <v>628.47</v>
      </c>
      <c r="E51" s="1">
        <v>900.22</v>
      </c>
      <c r="F51" s="3">
        <f>0.5*(F15+F16)+0.5*(F17/12)</f>
        <v>800</v>
      </c>
    </row>
    <row r="52" spans="1:16" s="3" customFormat="1" x14ac:dyDescent="0.25">
      <c r="A52" s="3" t="s">
        <v>102</v>
      </c>
      <c r="B52" s="18" t="s">
        <v>93</v>
      </c>
      <c r="C52" s="3">
        <v>0</v>
      </c>
      <c r="D52" s="3">
        <v>80</v>
      </c>
      <c r="E52" s="3">
        <v>200</v>
      </c>
      <c r="F52" s="3">
        <f>100</f>
        <v>100</v>
      </c>
    </row>
    <row r="54" spans="1:16" x14ac:dyDescent="0.25">
      <c r="B54" s="1" t="s">
        <v>82</v>
      </c>
    </row>
    <row r="55" spans="1:16" x14ac:dyDescent="0.25">
      <c r="A55" s="1" t="s">
        <v>55</v>
      </c>
      <c r="B55" s="9" t="s">
        <v>56</v>
      </c>
      <c r="C55" s="4">
        <v>44231</v>
      </c>
      <c r="D55" s="4">
        <v>44376</v>
      </c>
      <c r="E55" s="4">
        <v>44235</v>
      </c>
      <c r="F55" s="4">
        <v>44411</v>
      </c>
    </row>
    <row r="56" spans="1:16" x14ac:dyDescent="0.25">
      <c r="A56" s="1" t="s">
        <v>57</v>
      </c>
      <c r="B56" s="9" t="s">
        <v>58</v>
      </c>
      <c r="C56" s="4">
        <v>44595</v>
      </c>
      <c r="D56" s="4">
        <v>44740</v>
      </c>
      <c r="E56" s="4">
        <v>44599</v>
      </c>
      <c r="F56" s="4">
        <v>44561</v>
      </c>
    </row>
    <row r="57" spans="1:16" x14ac:dyDescent="0.25">
      <c r="A57" s="1" t="s">
        <v>59</v>
      </c>
      <c r="B57" s="9" t="s">
        <v>60</v>
      </c>
      <c r="C57" s="11">
        <f>(DAYS360(C55,C56,TRUE) +1) / 30</f>
        <v>12</v>
      </c>
      <c r="D57" s="11">
        <f>(DAYS360(D55,D56,TRUE) +1) / 30</f>
        <v>12</v>
      </c>
      <c r="E57" s="1">
        <v>12</v>
      </c>
      <c r="F57" s="11">
        <f>(DAYS360(F55,F56,TRUE) +1) / 30</f>
        <v>4.9333333333333336</v>
      </c>
    </row>
    <row r="58" spans="1:16" x14ac:dyDescent="0.25">
      <c r="A58" s="1" t="s">
        <v>61</v>
      </c>
      <c r="B58" s="9" t="s">
        <v>62</v>
      </c>
      <c r="C58" s="3">
        <v>800</v>
      </c>
      <c r="D58" s="3">
        <v>800</v>
      </c>
      <c r="E58" s="1">
        <v>700</v>
      </c>
      <c r="F58" s="3">
        <f>F$47-F51-F52</f>
        <v>700</v>
      </c>
    </row>
    <row r="59" spans="1:16" x14ac:dyDescent="0.25">
      <c r="A59" s="1" t="s">
        <v>63</v>
      </c>
      <c r="B59" s="9" t="s">
        <v>64</v>
      </c>
      <c r="C59" s="3">
        <f>C58*C57</f>
        <v>9600</v>
      </c>
      <c r="D59" s="3">
        <f>D58*D57</f>
        <v>9600</v>
      </c>
      <c r="E59" s="3">
        <v>8400</v>
      </c>
      <c r="F59" s="3">
        <f>F57*F58</f>
        <v>3453.3333333333335</v>
      </c>
    </row>
    <row r="60" spans="1:16" x14ac:dyDescent="0.25">
      <c r="C60" s="3"/>
      <c r="D60" s="3"/>
    </row>
    <row r="61" spans="1:16" x14ac:dyDescent="0.25">
      <c r="B61" s="1" t="s">
        <v>65</v>
      </c>
      <c r="C61" s="3"/>
      <c r="D61" s="3"/>
      <c r="E61" s="3"/>
    </row>
    <row r="62" spans="1:16" x14ac:dyDescent="0.25">
      <c r="C62" s="3"/>
      <c r="D62" s="3"/>
      <c r="E62" s="3"/>
    </row>
    <row r="63" spans="1:16" x14ac:dyDescent="0.25">
      <c r="B63" s="8" t="s">
        <v>51</v>
      </c>
    </row>
    <row r="64" spans="1:16" x14ac:dyDescent="0.25">
      <c r="A64" s="1" t="s">
        <v>66</v>
      </c>
      <c r="B64" s="7" t="s">
        <v>53</v>
      </c>
      <c r="C64" s="3"/>
      <c r="D64" s="3"/>
      <c r="E64" s="3"/>
      <c r="F64" s="3">
        <f>0.5*(F15+F16)+0.5*(F17/12)</f>
        <v>800</v>
      </c>
      <c r="L64" s="1">
        <v>1617.31</v>
      </c>
      <c r="P64" s="1">
        <v>0</v>
      </c>
    </row>
    <row r="65" spans="1:19" x14ac:dyDescent="0.25">
      <c r="A65" s="1" t="s">
        <v>103</v>
      </c>
      <c r="B65" s="7" t="s">
        <v>93</v>
      </c>
      <c r="F65" s="1">
        <v>50</v>
      </c>
    </row>
    <row r="66" spans="1:19" x14ac:dyDescent="0.25">
      <c r="B66" s="7"/>
    </row>
    <row r="67" spans="1:19" x14ac:dyDescent="0.25">
      <c r="B67" s="7" t="s">
        <v>54</v>
      </c>
    </row>
    <row r="68" spans="1:19" x14ac:dyDescent="0.25">
      <c r="A68" s="1" t="s">
        <v>67</v>
      </c>
      <c r="B68" s="9" t="s">
        <v>56</v>
      </c>
      <c r="C68" s="4"/>
      <c r="D68" s="4"/>
      <c r="E68" s="4"/>
      <c r="F68" s="4">
        <v>44562</v>
      </c>
      <c r="L68" s="4">
        <v>44287</v>
      </c>
      <c r="P68" s="4">
        <v>44615</v>
      </c>
      <c r="S68" s="4">
        <v>44635</v>
      </c>
    </row>
    <row r="69" spans="1:19" x14ac:dyDescent="0.25">
      <c r="A69" s="1" t="s">
        <v>68</v>
      </c>
      <c r="B69" s="9" t="s">
        <v>58</v>
      </c>
      <c r="C69" s="4"/>
      <c r="D69" s="4"/>
      <c r="E69" s="4"/>
      <c r="F69" s="4">
        <v>44594</v>
      </c>
      <c r="L69" s="4">
        <v>44446</v>
      </c>
      <c r="P69" s="4">
        <v>44795</v>
      </c>
      <c r="S69" s="4">
        <v>44818</v>
      </c>
    </row>
    <row r="70" spans="1:19" x14ac:dyDescent="0.25">
      <c r="A70" s="1" t="s">
        <v>69</v>
      </c>
      <c r="B70" s="9" t="s">
        <v>60</v>
      </c>
      <c r="C70" s="4"/>
      <c r="D70" s="4"/>
      <c r="E70" s="11"/>
      <c r="F70" s="11">
        <f>(DAYS360(F68,F69,TRUE) +1) / 30</f>
        <v>1.0666666666666667</v>
      </c>
      <c r="L70" s="1">
        <v>5.23</v>
      </c>
      <c r="P70" s="1">
        <v>6</v>
      </c>
      <c r="S70" s="1">
        <v>6</v>
      </c>
    </row>
    <row r="71" spans="1:19" x14ac:dyDescent="0.25">
      <c r="A71" s="1" t="s">
        <v>70</v>
      </c>
      <c r="B71" s="9" t="s">
        <v>62</v>
      </c>
      <c r="C71" s="3"/>
      <c r="D71" s="3"/>
      <c r="E71" s="3"/>
      <c r="F71" s="3">
        <f>F$47-F64-F65</f>
        <v>750</v>
      </c>
      <c r="L71" s="1">
        <v>800</v>
      </c>
      <c r="P71" s="1">
        <v>800</v>
      </c>
      <c r="S71" s="1">
        <v>800</v>
      </c>
    </row>
    <row r="72" spans="1:19" x14ac:dyDescent="0.25">
      <c r="A72" s="1" t="s">
        <v>71</v>
      </c>
      <c r="B72" s="9" t="s">
        <v>64</v>
      </c>
      <c r="C72" s="3"/>
      <c r="D72" s="3"/>
      <c r="E72" s="3"/>
      <c r="F72" s="3">
        <f>F70*F71</f>
        <v>800</v>
      </c>
      <c r="L72" s="1">
        <v>4187</v>
      </c>
      <c r="P72" s="1">
        <v>4800</v>
      </c>
      <c r="S72" s="1">
        <v>4800</v>
      </c>
    </row>
    <row r="73" spans="1:19" x14ac:dyDescent="0.25">
      <c r="C73" s="3"/>
      <c r="D73" s="3"/>
      <c r="E73" s="3"/>
    </row>
    <row r="74" spans="1:19" x14ac:dyDescent="0.25">
      <c r="B74" s="1" t="s">
        <v>104</v>
      </c>
      <c r="C74" s="3"/>
      <c r="D74" s="3"/>
      <c r="E74" s="3"/>
    </row>
    <row r="75" spans="1:19" x14ac:dyDescent="0.25">
      <c r="C75" s="3"/>
      <c r="D75" s="3"/>
      <c r="E75" s="3"/>
    </row>
    <row r="76" spans="1:19" x14ac:dyDescent="0.25">
      <c r="B76" s="8" t="s">
        <v>51</v>
      </c>
    </row>
    <row r="77" spans="1:19" x14ac:dyDescent="0.25">
      <c r="A77" s="1" t="s">
        <v>105</v>
      </c>
      <c r="B77" s="7" t="s">
        <v>53</v>
      </c>
      <c r="C77" s="3"/>
      <c r="D77" s="3"/>
      <c r="E77" s="3"/>
      <c r="F77" s="3">
        <f>0.4*(F15+F16)+0.4*(F17/12)</f>
        <v>640</v>
      </c>
      <c r="L77" s="1">
        <v>1617.31</v>
      </c>
      <c r="P77" s="1">
        <v>0</v>
      </c>
    </row>
    <row r="78" spans="1:19" x14ac:dyDescent="0.25">
      <c r="A78" s="1" t="s">
        <v>106</v>
      </c>
      <c r="B78" s="7" t="s">
        <v>93</v>
      </c>
      <c r="F78" s="1">
        <v>50</v>
      </c>
    </row>
    <row r="79" spans="1:19" x14ac:dyDescent="0.25">
      <c r="B79" s="7"/>
    </row>
    <row r="80" spans="1:19" x14ac:dyDescent="0.25">
      <c r="B80" s="7" t="s">
        <v>54</v>
      </c>
    </row>
    <row r="81" spans="1:19" x14ac:dyDescent="0.25">
      <c r="A81" s="1" t="s">
        <v>107</v>
      </c>
      <c r="B81" s="9" t="s">
        <v>56</v>
      </c>
      <c r="C81" s="4"/>
      <c r="D81" s="4"/>
      <c r="E81" s="4"/>
      <c r="F81" s="4">
        <v>44595</v>
      </c>
      <c r="L81" s="4">
        <v>44287</v>
      </c>
      <c r="P81" s="4">
        <v>44615</v>
      </c>
      <c r="S81" s="4">
        <v>44635</v>
      </c>
    </row>
    <row r="82" spans="1:19" x14ac:dyDescent="0.25">
      <c r="A82" s="1" t="s">
        <v>108</v>
      </c>
      <c r="B82" s="9" t="s">
        <v>58</v>
      </c>
      <c r="C82" s="4"/>
      <c r="D82" s="4"/>
      <c r="E82" s="4"/>
      <c r="F82" s="4">
        <v>44775</v>
      </c>
      <c r="L82" s="4">
        <v>44446</v>
      </c>
      <c r="P82" s="4">
        <v>44795</v>
      </c>
      <c r="S82" s="4">
        <v>44818</v>
      </c>
    </row>
    <row r="83" spans="1:19" x14ac:dyDescent="0.25">
      <c r="A83" s="1" t="s">
        <v>109</v>
      </c>
      <c r="B83" s="9" t="s">
        <v>60</v>
      </c>
      <c r="C83" s="4"/>
      <c r="D83" s="4"/>
      <c r="E83" s="11"/>
      <c r="F83" s="11">
        <f>(DAYS360(F81,F82,TRUE) +1) / 30</f>
        <v>6</v>
      </c>
      <c r="L83" s="1">
        <v>5.23</v>
      </c>
      <c r="P83" s="1">
        <v>6</v>
      </c>
      <c r="S83" s="1">
        <v>6</v>
      </c>
    </row>
    <row r="84" spans="1:19" x14ac:dyDescent="0.25">
      <c r="A84" s="1" t="s">
        <v>110</v>
      </c>
      <c r="B84" s="9" t="s">
        <v>62</v>
      </c>
      <c r="C84" s="3"/>
      <c r="D84" s="3"/>
      <c r="E84" s="3"/>
      <c r="F84" s="3">
        <f>MIN(800, F$47-F77-F78)</f>
        <v>800</v>
      </c>
      <c r="L84" s="1">
        <v>800</v>
      </c>
      <c r="P84" s="1">
        <v>800</v>
      </c>
      <c r="S84" s="1">
        <v>800</v>
      </c>
    </row>
    <row r="85" spans="1:19" x14ac:dyDescent="0.25">
      <c r="A85" s="1" t="s">
        <v>111</v>
      </c>
      <c r="B85" s="9" t="s">
        <v>64</v>
      </c>
      <c r="C85" s="3"/>
      <c r="D85" s="3"/>
      <c r="E85" s="3"/>
      <c r="F85" s="3">
        <f>F83*F84</f>
        <v>4800</v>
      </c>
      <c r="L85" s="1">
        <v>4187</v>
      </c>
      <c r="P85" s="1">
        <v>4800</v>
      </c>
      <c r="S85" s="1">
        <v>4800</v>
      </c>
    </row>
    <row r="86" spans="1:19" x14ac:dyDescent="0.25">
      <c r="C86" s="3"/>
      <c r="D86" s="3"/>
      <c r="E86" s="3"/>
    </row>
    <row r="87" spans="1:19" x14ac:dyDescent="0.25">
      <c r="B87" s="5" t="s">
        <v>73</v>
      </c>
    </row>
    <row r="89" spans="1:19" x14ac:dyDescent="0.25">
      <c r="A89" s="1" t="s">
        <v>74</v>
      </c>
      <c r="B89" s="1" t="s">
        <v>75</v>
      </c>
      <c r="C89" s="3">
        <v>9600</v>
      </c>
      <c r="D89" s="3">
        <v>9600</v>
      </c>
      <c r="E89" s="12">
        <v>8400</v>
      </c>
      <c r="F89" s="3">
        <f>ROUND(F85+F72+F59,0)</f>
        <v>9053</v>
      </c>
    </row>
  </sheetData>
  <dataValidations count="1">
    <dataValidation type="list" allowBlank="1" showInputMessage="1" showErrorMessage="1" sqref="C11:N11" xr:uid="{E79E981F-F7BA-4B95-B973-616A52CAFA98}">
      <formula1>"kyllä,ei"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CAF7ADE3AA2C4F47B31D86CF228B1A1B" ma:contentTypeVersion="8" ma:contentTypeDescription="Luo uusi asiakirja." ma:contentTypeScope="" ma:versionID="422d69724fef33e2627ac0a99aa974bb">
  <xsd:schema xmlns:xsd="http://www.w3.org/2001/XMLSchema" xmlns:xs="http://www.w3.org/2001/XMLSchema" xmlns:p="http://schemas.microsoft.com/office/2006/metadata/properties" xmlns:ns2="65f642d6-c80b-4d40-abb9-a8d9dbd74e6c" xmlns:ns3="2508c34a-babd-41ce-9e6c-af557d430dc1" targetNamespace="http://schemas.microsoft.com/office/2006/metadata/properties" ma:root="true" ma:fieldsID="d0b508963d41128d30472b39fea4e0cf" ns2:_="" ns3:_="">
    <xsd:import namespace="65f642d6-c80b-4d40-abb9-a8d9dbd74e6c"/>
    <xsd:import namespace="2508c34a-babd-41ce-9e6c-af557d430d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642d6-c80b-4d40-abb9-a8d9dbd74e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c34a-babd-41ce-9e6c-af557d430d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13C59C-7030-45E8-A301-EF2965275604}">
  <ds:schemaRefs>
    <ds:schemaRef ds:uri="http://schemas.microsoft.com/office/2006/documentManagement/types"/>
    <ds:schemaRef ds:uri="65f642d6-c80b-4d40-abb9-a8d9dbd74e6c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2508c34a-babd-41ce-9e6c-af557d430dc1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745B69C-83B0-4141-8012-52E7AD28B3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14C8C5-B64D-4E90-B051-196A471FB8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f642d6-c80b-4d40-abb9-a8d9dbd74e6c"/>
    <ds:schemaRef ds:uri="2508c34a-babd-41ce-9e6c-af557d430d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Kansi</vt:lpstr>
      <vt:lpstr>Vakiot</vt:lpstr>
      <vt:lpstr>Palkan Helsinki-lisä</vt:lpstr>
      <vt:lpstr>Palkan Helsinki-lisä-old</vt:lpstr>
      <vt:lpstr>Työllistämisen Helsinki-lisä</vt:lpstr>
      <vt:lpstr>Palkkatuettu oppisopimus</vt:lpstr>
      <vt:lpstr>Palkkatuettu oppisopimus-old</vt:lpstr>
      <vt:lpstr>HEL_Lisä_Max</vt:lpstr>
      <vt:lpstr>Max_100</vt:lpstr>
      <vt:lpstr>Max_50</vt:lpstr>
      <vt:lpstr>max_70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JanneJ</cp:lastModifiedBy>
  <cp:revision/>
  <dcterms:created xsi:type="dcterms:W3CDTF">2021-03-06T06:55:00Z</dcterms:created>
  <dcterms:modified xsi:type="dcterms:W3CDTF">2023-05-12T08:48:17Z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0x010100CAF7ADE3AA2C4F47B31D86CF228B1A1B</vt:lpwstr>
  </property>
</Properties>
</file>