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-15" yWindow="4275" windowWidth="19260" windowHeight="4260" tabRatio="906" firstSheet="6" activeTab="6"/>
  </bookViews>
  <sheets>
    <sheet name="Table 1-2012 Rec' Budget" sheetId="6329" r:id="rId1"/>
    <sheet name="Table 2 - 2012 Recd Base Budget" sheetId="6347" r:id="rId2"/>
    <sheet name="Table 3 -2012 Staff Complement " sheetId="6351" r:id="rId3"/>
    <sheet name="Table 4 - Rec'd Service Changes" sheetId="6356" r:id="rId4"/>
    <sheet name="Table 5 - New  Enhanced" sheetId="6334" r:id="rId5"/>
    <sheet name="Appendix 1 - Performance" sheetId="6359" r:id="rId6"/>
    <sheet name="Appendix 2 - Budget by Category" sheetId="6349" r:id="rId7"/>
    <sheet name="Budget" sheetId="6363" state="hidden" r:id="rId8"/>
    <sheet name="Library Material" sheetId="6341" state="hidden" r:id="rId9"/>
    <sheet name="Operating Impact" sheetId="6342" state="hidden" r:id="rId10"/>
    <sheet name="Table 2 2010 Variance Review" sheetId="6316" state="hidden" r:id="rId11"/>
    <sheet name="Outlooks" sheetId="6339" state="hidden" r:id="rId12"/>
    <sheet name="Table3 2011 Rec'd Base Bud CM" sheetId="6330" state="hidden" r:id="rId13"/>
    <sheet name="Staff Complement" sheetId="6344" state="hidden" r:id="rId14"/>
    <sheet name="Appendix D - Expenditures" sheetId="6333" state="hidden" r:id="rId15"/>
    <sheet name="AOCC Form 14" sheetId="6369" state="hidden" r:id="rId16"/>
    <sheet name="By centre" sheetId="6371" state="hidden" r:id="rId17"/>
  </sheets>
  <externalReferences>
    <externalReference r:id="rId18"/>
    <externalReference r:id="rId19"/>
  </externalReferences>
  <definedNames>
    <definedName name="_xlnm._FilterDatabase" localSheetId="11" hidden="1">Outlooks!#REF!</definedName>
    <definedName name="_xlnm.Print_Area" localSheetId="15">'AOCC Form 14'!$A$1:$X$50</definedName>
    <definedName name="_xlnm.Print_Area" localSheetId="6">'Appendix 2 - Budget by Category'!$B$1:$L$38</definedName>
    <definedName name="_xlnm.Print_Area" localSheetId="11">Outlooks!$A$1:$H$266</definedName>
    <definedName name="_xlnm.Print_Area" localSheetId="0">'Table 1-2012 Rec'' Budget'!$B$1:$K$13</definedName>
    <definedName name="_xlnm.Print_Area" localSheetId="1">'Table 2 - 2012 Recd Base Budget'!$C$1:$K$14</definedName>
    <definedName name="_xlnm.Print_Area" localSheetId="10">'Table 2 2010 Variance Review'!$A$2:$G$9</definedName>
    <definedName name="_xlnm.Print_Area" localSheetId="2">'Table 3 -2012 Staff Complement '!$B$1:$E$12</definedName>
    <definedName name="_xlnm.Print_Area" localSheetId="3">'Table 4 - Rec''d Service Changes'!$B$10:$J$36</definedName>
    <definedName name="_xlnm.Print_Area" localSheetId="4">'Table 5 - New  Enhanced'!$B$8:$N$29</definedName>
    <definedName name="_xlnm.Print_Area" localSheetId="12">'Table3 2011 Rec''d Base Bud CM'!$A$1:$N$28</definedName>
    <definedName name="_xlnm.Print_Titles" localSheetId="6">'Appendix 2 - Budget by Category'!$4:$8</definedName>
    <definedName name="_xlnm.Print_Titles" localSheetId="11">Outlooks!$1:$5</definedName>
    <definedName name="_xlnm.Print_Titles" localSheetId="3">'Table 4 - Rec''d Service Changes'!$7:$9</definedName>
    <definedName name="_xlnm.Print_Titles" localSheetId="4">'Table 5 - New  Enhanced'!$5:$7</definedName>
  </definedNames>
  <calcPr calcId="125725"/>
</workbook>
</file>

<file path=xl/calcChain.xml><?xml version="1.0" encoding="utf-8"?>
<calcChain xmlns="http://schemas.openxmlformats.org/spreadsheetml/2006/main">
  <c r="L6" i="6349"/>
  <c r="E25"/>
  <c r="E31" s="1"/>
  <c r="E16"/>
  <c r="E13"/>
  <c r="E12"/>
  <c r="E11"/>
  <c r="E10"/>
  <c r="E19" s="1"/>
  <c r="E33" s="1"/>
  <c r="C30" i="6356" l="1"/>
  <c r="L29" i="6349" l="1"/>
  <c r="K29"/>
  <c r="L25"/>
  <c r="L31" s="1"/>
  <c r="K25"/>
  <c r="K31" s="1"/>
  <c r="K11"/>
  <c r="L11"/>
  <c r="K12"/>
  <c r="L12"/>
  <c r="K13"/>
  <c r="L13"/>
  <c r="K15"/>
  <c r="L15"/>
  <c r="K16"/>
  <c r="L16"/>
  <c r="L10"/>
  <c r="K10"/>
  <c r="H25"/>
  <c r="H29"/>
  <c r="H11"/>
  <c r="H12"/>
  <c r="H13"/>
  <c r="H15"/>
  <c r="H16"/>
  <c r="I16" s="1"/>
  <c r="J16" s="1"/>
  <c r="H10"/>
  <c r="C23" i="6356" l="1"/>
  <c r="E8" i="6371"/>
  <c r="F8" s="1"/>
  <c r="E9"/>
  <c r="F9" s="1"/>
  <c r="E10"/>
  <c r="E11"/>
  <c r="F11" s="1"/>
  <c r="E12"/>
  <c r="F12" s="1"/>
  <c r="E13"/>
  <c r="F13" s="1"/>
  <c r="E14"/>
  <c r="E15"/>
  <c r="F15" s="1"/>
  <c r="E6"/>
  <c r="F6" s="1"/>
  <c r="E7"/>
  <c r="D16"/>
  <c r="C16"/>
  <c r="F14"/>
  <c r="F10"/>
  <c r="E16" l="1"/>
  <c r="F16" s="1"/>
  <c r="F7"/>
  <c r="X69" i="6369" l="1"/>
  <c r="W69"/>
  <c r="U69"/>
  <c r="T69"/>
  <c r="S69"/>
  <c r="R69"/>
  <c r="Q69"/>
  <c r="P69"/>
  <c r="O69"/>
  <c r="N69"/>
  <c r="M69"/>
  <c r="L69"/>
  <c r="J69"/>
  <c r="I69"/>
  <c r="H69"/>
  <c r="V69" s="1"/>
  <c r="G69"/>
  <c r="F69"/>
  <c r="E69"/>
  <c r="D69"/>
  <c r="X66"/>
  <c r="W66"/>
  <c r="U66"/>
  <c r="T66"/>
  <c r="S66"/>
  <c r="R66"/>
  <c r="Q66"/>
  <c r="P66"/>
  <c r="O66"/>
  <c r="N66"/>
  <c r="M66"/>
  <c r="L66"/>
  <c r="J66"/>
  <c r="I66"/>
  <c r="H66"/>
  <c r="V66" s="1"/>
  <c r="G66"/>
  <c r="F66"/>
  <c r="E66"/>
  <c r="D66"/>
  <c r="X64"/>
  <c r="W64"/>
  <c r="U64"/>
  <c r="T64"/>
  <c r="S64"/>
  <c r="R64"/>
  <c r="Q64"/>
  <c r="P64"/>
  <c r="O64"/>
  <c r="N64"/>
  <c r="M64"/>
  <c r="L64"/>
  <c r="J64"/>
  <c r="I64"/>
  <c r="H64"/>
  <c r="V64" s="1"/>
  <c r="G64"/>
  <c r="F64"/>
  <c r="E64"/>
  <c r="D64"/>
  <c r="Y63"/>
  <c r="X63"/>
  <c r="W63"/>
  <c r="U63"/>
  <c r="T63"/>
  <c r="S63"/>
  <c r="R63"/>
  <c r="Q63"/>
  <c r="P63"/>
  <c r="O63"/>
  <c r="N63"/>
  <c r="M63"/>
  <c r="L63"/>
  <c r="J63"/>
  <c r="I63"/>
  <c r="H63"/>
  <c r="V63" s="1"/>
  <c r="G63"/>
  <c r="F63"/>
  <c r="E63"/>
  <c r="D63"/>
  <c r="X14"/>
  <c r="W14"/>
  <c r="U14"/>
  <c r="H13"/>
  <c r="G25" i="6349"/>
  <c r="G13"/>
  <c r="D18" i="6356" l="1"/>
  <c r="AC57" i="6363" l="1"/>
  <c r="Y57"/>
  <c r="Y56"/>
  <c r="AC55"/>
  <c r="AC54"/>
  <c r="Y54"/>
  <c r="AC53"/>
  <c r="Y53"/>
  <c r="X53"/>
  <c r="Y52"/>
  <c r="AC51"/>
  <c r="Y51"/>
  <c r="AC50"/>
  <c r="Y50"/>
  <c r="X50"/>
  <c r="AC49"/>
  <c r="Y49"/>
  <c r="AC48"/>
  <c r="X34"/>
  <c r="X57" s="1"/>
  <c r="W34"/>
  <c r="Z34" s="1"/>
  <c r="S34"/>
  <c r="S57" s="1"/>
  <c r="R34"/>
  <c r="R57" s="1"/>
  <c r="Q34"/>
  <c r="Q57" s="1"/>
  <c r="P34"/>
  <c r="P57" s="1"/>
  <c r="T57" s="1"/>
  <c r="M34"/>
  <c r="M57" s="1"/>
  <c r="L34"/>
  <c r="L57" s="1"/>
  <c r="J34"/>
  <c r="J57" s="1"/>
  <c r="I34"/>
  <c r="I57" s="1"/>
  <c r="K57" s="1"/>
  <c r="G34"/>
  <c r="G57" s="1"/>
  <c r="F34"/>
  <c r="F57" s="1"/>
  <c r="H57" s="1"/>
  <c r="N57" s="1"/>
  <c r="D34"/>
  <c r="D57" s="1"/>
  <c r="W33"/>
  <c r="Z33" s="1"/>
  <c r="S33"/>
  <c r="S56" s="1"/>
  <c r="R33"/>
  <c r="R56" s="1"/>
  <c r="Q33"/>
  <c r="Q56" s="1"/>
  <c r="P33"/>
  <c r="T33" s="1"/>
  <c r="M33"/>
  <c r="M56" s="1"/>
  <c r="L33"/>
  <c r="L56" s="1"/>
  <c r="J33"/>
  <c r="J56" s="1"/>
  <c r="I33"/>
  <c r="I56" s="1"/>
  <c r="K56" s="1"/>
  <c r="G33"/>
  <c r="G56" s="1"/>
  <c r="F33"/>
  <c r="H33" s="1"/>
  <c r="D33"/>
  <c r="D56" s="1"/>
  <c r="X32"/>
  <c r="X55" s="1"/>
  <c r="W32"/>
  <c r="S32"/>
  <c r="S55" s="1"/>
  <c r="R32"/>
  <c r="R55" s="1"/>
  <c r="Q32"/>
  <c r="Q55" s="1"/>
  <c r="P32"/>
  <c r="T32" s="1"/>
  <c r="M32"/>
  <c r="M55" s="1"/>
  <c r="L32"/>
  <c r="L55" s="1"/>
  <c r="J32"/>
  <c r="J55" s="1"/>
  <c r="I32"/>
  <c r="I55" s="1"/>
  <c r="G32"/>
  <c r="G55" s="1"/>
  <c r="F32"/>
  <c r="H32" s="1"/>
  <c r="D32"/>
  <c r="D55" s="1"/>
  <c r="X31"/>
  <c r="X54" s="1"/>
  <c r="W31"/>
  <c r="Z31" s="1"/>
  <c r="S31"/>
  <c r="S54" s="1"/>
  <c r="R31"/>
  <c r="R54" s="1"/>
  <c r="Q31"/>
  <c r="Q54" s="1"/>
  <c r="P31"/>
  <c r="P54" s="1"/>
  <c r="T54" s="1"/>
  <c r="M31"/>
  <c r="M54" s="1"/>
  <c r="L31"/>
  <c r="L54" s="1"/>
  <c r="J31"/>
  <c r="J54" s="1"/>
  <c r="I31"/>
  <c r="I54" s="1"/>
  <c r="K54" s="1"/>
  <c r="G31"/>
  <c r="G54" s="1"/>
  <c r="F31"/>
  <c r="F54" s="1"/>
  <c r="H54" s="1"/>
  <c r="N54" s="1"/>
  <c r="D31"/>
  <c r="D54" s="1"/>
  <c r="W30"/>
  <c r="W53" s="1"/>
  <c r="Z53" s="1"/>
  <c r="S30"/>
  <c r="S53" s="1"/>
  <c r="R30"/>
  <c r="R53" s="1"/>
  <c r="Q30"/>
  <c r="Q53" s="1"/>
  <c r="P30"/>
  <c r="P53" s="1"/>
  <c r="T53" s="1"/>
  <c r="M30"/>
  <c r="M53" s="1"/>
  <c r="L30"/>
  <c r="L53" s="1"/>
  <c r="J30"/>
  <c r="J53" s="1"/>
  <c r="I30"/>
  <c r="I53" s="1"/>
  <c r="K53" s="1"/>
  <c r="G30"/>
  <c r="G53" s="1"/>
  <c r="F30"/>
  <c r="F53" s="1"/>
  <c r="H53" s="1"/>
  <c r="N53" s="1"/>
  <c r="D30"/>
  <c r="D53" s="1"/>
  <c r="Z29"/>
  <c r="AC29" s="1"/>
  <c r="W29"/>
  <c r="W52" s="1"/>
  <c r="S29"/>
  <c r="S52" s="1"/>
  <c r="R29"/>
  <c r="R52" s="1"/>
  <c r="Q29"/>
  <c r="Q52" s="1"/>
  <c r="P29"/>
  <c r="T29" s="1"/>
  <c r="M29"/>
  <c r="M52" s="1"/>
  <c r="L29"/>
  <c r="L52" s="1"/>
  <c r="J29"/>
  <c r="J52" s="1"/>
  <c r="I29"/>
  <c r="I52" s="1"/>
  <c r="G29"/>
  <c r="G52" s="1"/>
  <c r="F29"/>
  <c r="H29" s="1"/>
  <c r="D29"/>
  <c r="D52" s="1"/>
  <c r="X28"/>
  <c r="X51" s="1"/>
  <c r="W28"/>
  <c r="Z28" s="1"/>
  <c r="S28"/>
  <c r="S51" s="1"/>
  <c r="R28"/>
  <c r="R51" s="1"/>
  <c r="Q28"/>
  <c r="Q51" s="1"/>
  <c r="P28"/>
  <c r="P51" s="1"/>
  <c r="T51" s="1"/>
  <c r="M28"/>
  <c r="M51" s="1"/>
  <c r="L28"/>
  <c r="L51" s="1"/>
  <c r="J28"/>
  <c r="J51" s="1"/>
  <c r="I28"/>
  <c r="I51" s="1"/>
  <c r="K51" s="1"/>
  <c r="G28"/>
  <c r="G51" s="1"/>
  <c r="F28"/>
  <c r="F51" s="1"/>
  <c r="H51" s="1"/>
  <c r="N51" s="1"/>
  <c r="D28"/>
  <c r="D51" s="1"/>
  <c r="W27"/>
  <c r="W50" s="1"/>
  <c r="Z50" s="1"/>
  <c r="S27"/>
  <c r="S50" s="1"/>
  <c r="R27"/>
  <c r="R50" s="1"/>
  <c r="Q27"/>
  <c r="Q50" s="1"/>
  <c r="P27"/>
  <c r="P50" s="1"/>
  <c r="T50" s="1"/>
  <c r="M27"/>
  <c r="M50" s="1"/>
  <c r="L27"/>
  <c r="L50" s="1"/>
  <c r="J27"/>
  <c r="J50" s="1"/>
  <c r="I27"/>
  <c r="I50" s="1"/>
  <c r="K50" s="1"/>
  <c r="G27"/>
  <c r="G50" s="1"/>
  <c r="F27"/>
  <c r="F50" s="1"/>
  <c r="H50" s="1"/>
  <c r="D27"/>
  <c r="D50" s="1"/>
  <c r="X26"/>
  <c r="X49" s="1"/>
  <c r="W26"/>
  <c r="W49" s="1"/>
  <c r="S26"/>
  <c r="S49" s="1"/>
  <c r="R26"/>
  <c r="R49" s="1"/>
  <c r="Q26"/>
  <c r="Q49" s="1"/>
  <c r="P26"/>
  <c r="T26" s="1"/>
  <c r="M26"/>
  <c r="M49" s="1"/>
  <c r="L26"/>
  <c r="L49" s="1"/>
  <c r="J26"/>
  <c r="J49" s="1"/>
  <c r="I26"/>
  <c r="I49" s="1"/>
  <c r="G26"/>
  <c r="G49" s="1"/>
  <c r="F26"/>
  <c r="H26" s="1"/>
  <c r="D26"/>
  <c r="D49" s="1"/>
  <c r="X25"/>
  <c r="X48" s="1"/>
  <c r="S25"/>
  <c r="S48" s="1"/>
  <c r="S58" s="1"/>
  <c r="R25"/>
  <c r="R35" s="1"/>
  <c r="Q25"/>
  <c r="Q48" s="1"/>
  <c r="Q58" s="1"/>
  <c r="P25"/>
  <c r="M25"/>
  <c r="M48" s="1"/>
  <c r="L25"/>
  <c r="L35" s="1"/>
  <c r="J25"/>
  <c r="J35" s="1"/>
  <c r="I25"/>
  <c r="I48" s="1"/>
  <c r="G25"/>
  <c r="G48" s="1"/>
  <c r="G58" s="1"/>
  <c r="F25"/>
  <c r="F35" s="1"/>
  <c r="D25"/>
  <c r="AC19"/>
  <c r="R19"/>
  <c r="Q19"/>
  <c r="I19"/>
  <c r="D19"/>
  <c r="Z18"/>
  <c r="T18"/>
  <c r="K18"/>
  <c r="H18"/>
  <c r="N18" s="1"/>
  <c r="C18"/>
  <c r="C34" s="1"/>
  <c r="Z17"/>
  <c r="X17"/>
  <c r="X56" s="1"/>
  <c r="T17"/>
  <c r="K17"/>
  <c r="H17"/>
  <c r="N17" s="1"/>
  <c r="C17"/>
  <c r="C33" s="1"/>
  <c r="AD33" s="1"/>
  <c r="G14" i="6371" s="1"/>
  <c r="Y16" i="6363"/>
  <c r="T16"/>
  <c r="K16"/>
  <c r="H16"/>
  <c r="N16" s="1"/>
  <c r="C16"/>
  <c r="C32" s="1"/>
  <c r="Z15"/>
  <c r="T15"/>
  <c r="K15"/>
  <c r="H15"/>
  <c r="N15" s="1"/>
  <c r="C15"/>
  <c r="C31" s="1"/>
  <c r="AD31" s="1"/>
  <c r="G12" i="6371" s="1"/>
  <c r="Z14" i="6363"/>
  <c r="T14"/>
  <c r="K14"/>
  <c r="H14"/>
  <c r="N14" s="1"/>
  <c r="C14"/>
  <c r="C30" s="1"/>
  <c r="AD30" s="1"/>
  <c r="G11" i="6371" s="1"/>
  <c r="Z13" i="6363"/>
  <c r="X13"/>
  <c r="X52" s="1"/>
  <c r="T13"/>
  <c r="K13"/>
  <c r="H13"/>
  <c r="N13" s="1"/>
  <c r="C13"/>
  <c r="C29" s="1"/>
  <c r="AD29" s="1"/>
  <c r="G10" i="6371" s="1"/>
  <c r="Z12" i="6363"/>
  <c r="T12"/>
  <c r="K12"/>
  <c r="H12"/>
  <c r="N12" s="1"/>
  <c r="C12"/>
  <c r="C28" s="1"/>
  <c r="AD28" s="1"/>
  <c r="G9" i="6371" s="1"/>
  <c r="Z11" i="6363"/>
  <c r="T11"/>
  <c r="K11"/>
  <c r="H11"/>
  <c r="N11" s="1"/>
  <c r="C11"/>
  <c r="C27" s="1"/>
  <c r="AD27" s="1"/>
  <c r="G8" i="6371" s="1"/>
  <c r="Z10" i="6363"/>
  <c r="T10"/>
  <c r="K10"/>
  <c r="H10"/>
  <c r="N10" s="1"/>
  <c r="C10"/>
  <c r="C26" s="1"/>
  <c r="AD26" s="1"/>
  <c r="G7" i="6371" s="1"/>
  <c r="Y9" i="6363"/>
  <c r="Y19" s="1"/>
  <c r="W9"/>
  <c r="W19" s="1"/>
  <c r="T9"/>
  <c r="K9"/>
  <c r="K19" s="1"/>
  <c r="H9"/>
  <c r="H19" s="1"/>
  <c r="C9"/>
  <c r="C25" s="1"/>
  <c r="AD25" s="1"/>
  <c r="G6" i="6371" s="1"/>
  <c r="T19" i="6363" l="1"/>
  <c r="P35"/>
  <c r="M58"/>
  <c r="N50"/>
  <c r="E14"/>
  <c r="O14" s="1"/>
  <c r="U14" s="1"/>
  <c r="E15"/>
  <c r="O15" s="1"/>
  <c r="U15" s="1"/>
  <c r="AA15" s="1"/>
  <c r="AB15" s="1"/>
  <c r="E16"/>
  <c r="O16" s="1"/>
  <c r="U16" s="1"/>
  <c r="E18"/>
  <c r="O18" s="1"/>
  <c r="U18" s="1"/>
  <c r="AA18" s="1"/>
  <c r="AB18" s="1"/>
  <c r="D35"/>
  <c r="C48"/>
  <c r="C35"/>
  <c r="E25"/>
  <c r="C49"/>
  <c r="E49" s="1"/>
  <c r="E26"/>
  <c r="AA14"/>
  <c r="AB14" s="1"/>
  <c r="V14"/>
  <c r="AA16"/>
  <c r="AB16" s="1"/>
  <c r="V16"/>
  <c r="V18"/>
  <c r="C50"/>
  <c r="E50" s="1"/>
  <c r="O50" s="1"/>
  <c r="U50" s="1"/>
  <c r="AA50" s="1"/>
  <c r="AB50" s="1"/>
  <c r="E27"/>
  <c r="C52"/>
  <c r="E52" s="1"/>
  <c r="E29"/>
  <c r="C53"/>
  <c r="E53" s="1"/>
  <c r="O53" s="1"/>
  <c r="U53" s="1"/>
  <c r="AA53" s="1"/>
  <c r="AB53" s="1"/>
  <c r="E30"/>
  <c r="C54"/>
  <c r="E54" s="1"/>
  <c r="O54" s="1"/>
  <c r="U54" s="1"/>
  <c r="E31"/>
  <c r="C55"/>
  <c r="E55" s="1"/>
  <c r="E32"/>
  <c r="C56"/>
  <c r="E56" s="1"/>
  <c r="E33"/>
  <c r="C57"/>
  <c r="E57" s="1"/>
  <c r="O57" s="1"/>
  <c r="U57" s="1"/>
  <c r="E34"/>
  <c r="AD34" s="1"/>
  <c r="G15" i="6371" s="1"/>
  <c r="I58" i="6363"/>
  <c r="X58"/>
  <c r="K49"/>
  <c r="Z49"/>
  <c r="K52"/>
  <c r="Z52"/>
  <c r="N32"/>
  <c r="K55"/>
  <c r="C51"/>
  <c r="E51" s="1"/>
  <c r="O51" s="1"/>
  <c r="U51" s="1"/>
  <c r="E28"/>
  <c r="V15"/>
  <c r="AC52"/>
  <c r="E9"/>
  <c r="Z9"/>
  <c r="Z19" s="1"/>
  <c r="E10"/>
  <c r="O10" s="1"/>
  <c r="U10" s="1"/>
  <c r="E11"/>
  <c r="O11" s="1"/>
  <c r="U11" s="1"/>
  <c r="E12"/>
  <c r="O12" s="1"/>
  <c r="U12" s="1"/>
  <c r="E13"/>
  <c r="O13" s="1"/>
  <c r="U13" s="1"/>
  <c r="Z16"/>
  <c r="E17"/>
  <c r="O17" s="1"/>
  <c r="U17" s="1"/>
  <c r="C19"/>
  <c r="X19"/>
  <c r="K25"/>
  <c r="W25"/>
  <c r="Y25"/>
  <c r="K26"/>
  <c r="N26" s="1"/>
  <c r="Z26"/>
  <c r="H27"/>
  <c r="T27"/>
  <c r="Z27"/>
  <c r="H28"/>
  <c r="T28"/>
  <c r="K29"/>
  <c r="N29" s="1"/>
  <c r="H30"/>
  <c r="T30"/>
  <c r="Z30"/>
  <c r="H31"/>
  <c r="T31"/>
  <c r="K32"/>
  <c r="Y32"/>
  <c r="Y55" s="1"/>
  <c r="K33"/>
  <c r="N33" s="1"/>
  <c r="AC33"/>
  <c r="AC56" s="1"/>
  <c r="AC58" s="1"/>
  <c r="H34"/>
  <c r="T34"/>
  <c r="G35"/>
  <c r="I35"/>
  <c r="M35"/>
  <c r="Q35"/>
  <c r="S35"/>
  <c r="D48"/>
  <c r="D58" s="1"/>
  <c r="F48"/>
  <c r="J48"/>
  <c r="J58" s="1"/>
  <c r="L48"/>
  <c r="L58" s="1"/>
  <c r="P48"/>
  <c r="R48"/>
  <c r="R58" s="1"/>
  <c r="W48"/>
  <c r="Y48"/>
  <c r="F49"/>
  <c r="H49" s="1"/>
  <c r="N49" s="1"/>
  <c r="P49"/>
  <c r="T49" s="1"/>
  <c r="W51"/>
  <c r="Z51" s="1"/>
  <c r="F52"/>
  <c r="H52" s="1"/>
  <c r="P52"/>
  <c r="T52" s="1"/>
  <c r="W54"/>
  <c r="Z54" s="1"/>
  <c r="F55"/>
  <c r="H55" s="1"/>
  <c r="N55" s="1"/>
  <c r="P55"/>
  <c r="T55" s="1"/>
  <c r="W55"/>
  <c r="F56"/>
  <c r="H56" s="1"/>
  <c r="N56" s="1"/>
  <c r="P56"/>
  <c r="T56" s="1"/>
  <c r="W56"/>
  <c r="Z56" s="1"/>
  <c r="W57"/>
  <c r="Z57" s="1"/>
  <c r="N9"/>
  <c r="N19" s="1"/>
  <c r="H25"/>
  <c r="T25"/>
  <c r="K27"/>
  <c r="K28"/>
  <c r="K30"/>
  <c r="K31"/>
  <c r="K34"/>
  <c r="X35"/>
  <c r="Z48" l="1"/>
  <c r="W58"/>
  <c r="Z25"/>
  <c r="W35"/>
  <c r="V17"/>
  <c r="AA17"/>
  <c r="AB17" s="1"/>
  <c r="AA11"/>
  <c r="AB11" s="1"/>
  <c r="V11"/>
  <c r="F58"/>
  <c r="H48"/>
  <c r="AA12"/>
  <c r="AB12" s="1"/>
  <c r="V12"/>
  <c r="AA10"/>
  <c r="AB10" s="1"/>
  <c r="V10"/>
  <c r="E19"/>
  <c r="O9"/>
  <c r="E35"/>
  <c r="C58"/>
  <c r="E48"/>
  <c r="T35"/>
  <c r="N52"/>
  <c r="Y58"/>
  <c r="N34"/>
  <c r="N31"/>
  <c r="O31" s="1"/>
  <c r="U31" s="1"/>
  <c r="N28"/>
  <c r="Y35"/>
  <c r="K35"/>
  <c r="AA51"/>
  <c r="AB51" s="1"/>
  <c r="K48"/>
  <c r="K58" s="1"/>
  <c r="O34"/>
  <c r="U34" s="1"/>
  <c r="O33"/>
  <c r="U33" s="1"/>
  <c r="O32"/>
  <c r="U32" s="1"/>
  <c r="O30"/>
  <c r="U30" s="1"/>
  <c r="O29"/>
  <c r="U29" s="1"/>
  <c r="O26"/>
  <c r="U26" s="1"/>
  <c r="H35"/>
  <c r="N25"/>
  <c r="P58"/>
  <c r="T48"/>
  <c r="T58" s="1"/>
  <c r="V13"/>
  <c r="AA13"/>
  <c r="AB13" s="1"/>
  <c r="Z55"/>
  <c r="N30"/>
  <c r="N27"/>
  <c r="O27" s="1"/>
  <c r="U27" s="1"/>
  <c r="AC35"/>
  <c r="O28"/>
  <c r="U28" s="1"/>
  <c r="Z32"/>
  <c r="AD32" s="1"/>
  <c r="G13" i="6371" s="1"/>
  <c r="AA57" i="6363"/>
  <c r="AB57" s="1"/>
  <c r="O56"/>
  <c r="U56" s="1"/>
  <c r="AA56" s="1"/>
  <c r="AB56" s="1"/>
  <c r="O55"/>
  <c r="U55" s="1"/>
  <c r="AA55" s="1"/>
  <c r="AB55" s="1"/>
  <c r="AA54"/>
  <c r="AB54" s="1"/>
  <c r="O52"/>
  <c r="U52" s="1"/>
  <c r="AA52" s="1"/>
  <c r="AB52" s="1"/>
  <c r="O49"/>
  <c r="U49" s="1"/>
  <c r="AA49" s="1"/>
  <c r="AB49" s="1"/>
  <c r="Z35" l="1"/>
  <c r="AD35" s="1"/>
  <c r="AA27"/>
  <c r="V27"/>
  <c r="AA31"/>
  <c r="V31"/>
  <c r="AA28"/>
  <c r="V28"/>
  <c r="AA30"/>
  <c r="V30"/>
  <c r="AA34"/>
  <c r="V34"/>
  <c r="V32"/>
  <c r="AA32"/>
  <c r="AA26"/>
  <c r="V26"/>
  <c r="V29"/>
  <c r="AA29"/>
  <c r="V33"/>
  <c r="AA33"/>
  <c r="E58"/>
  <c r="O19"/>
  <c r="U9"/>
  <c r="H58"/>
  <c r="N48"/>
  <c r="N58" s="1"/>
  <c r="Z58"/>
  <c r="N35"/>
  <c r="O25"/>
  <c r="AB33" l="1"/>
  <c r="AH33"/>
  <c r="AF33" s="1"/>
  <c r="AB29"/>
  <c r="AH29"/>
  <c r="AF29" s="1"/>
  <c r="AB32"/>
  <c r="AH32"/>
  <c r="AF32" s="1"/>
  <c r="AB26"/>
  <c r="AH26"/>
  <c r="AF26" s="1"/>
  <c r="AB34"/>
  <c r="AH34"/>
  <c r="AF34" s="1"/>
  <c r="AB30"/>
  <c r="AH30"/>
  <c r="AF30" s="1"/>
  <c r="AB28"/>
  <c r="AH28"/>
  <c r="AF28" s="1"/>
  <c r="AB31"/>
  <c r="AH31"/>
  <c r="AF31" s="1"/>
  <c r="AB27"/>
  <c r="AH27"/>
  <c r="AF27" s="1"/>
  <c r="U19"/>
  <c r="V19" s="1"/>
  <c r="AA9"/>
  <c r="V9"/>
  <c r="O35"/>
  <c r="U25"/>
  <c r="O48"/>
  <c r="O58" l="1"/>
  <c r="U48"/>
  <c r="AA19"/>
  <c r="AB19" s="1"/>
  <c r="AB9"/>
  <c r="V25"/>
  <c r="U35"/>
  <c r="V35" s="1"/>
  <c r="AA25"/>
  <c r="AH25" s="1"/>
  <c r="AH35" s="1"/>
  <c r="U58" l="1"/>
  <c r="AA48"/>
  <c r="AB25"/>
  <c r="AA35"/>
  <c r="AB35" s="1"/>
  <c r="AB48" l="1"/>
  <c r="AA58"/>
  <c r="AB58" s="1"/>
  <c r="D23" i="6356" l="1"/>
  <c r="E23"/>
  <c r="D12"/>
  <c r="F23" l="1"/>
  <c r="E30"/>
  <c r="E12"/>
  <c r="F12" s="1"/>
  <c r="D30"/>
  <c r="E18"/>
  <c r="F18" s="1"/>
  <c r="F30" l="1"/>
  <c r="C25" l="1"/>
  <c r="C28"/>
  <c r="C32"/>
  <c r="D13" i="6347"/>
  <c r="C36" i="6356" l="1"/>
  <c r="F9" i="6329"/>
  <c r="F7"/>
  <c r="F6"/>
  <c r="F35" i="6356"/>
  <c r="E32"/>
  <c r="F32" s="1"/>
  <c r="D32"/>
  <c r="J28"/>
  <c r="I28"/>
  <c r="H28"/>
  <c r="G28"/>
  <c r="E28"/>
  <c r="F28" s="1"/>
  <c r="D28"/>
  <c r="D25"/>
  <c r="E25"/>
  <c r="F25" s="1"/>
  <c r="M6" i="6334" l="1"/>
  <c r="D20" i="6356"/>
  <c r="E20"/>
  <c r="F20" s="1"/>
  <c r="E15"/>
  <c r="F15" s="1"/>
  <c r="D15"/>
  <c r="F27"/>
  <c r="D21" l="1"/>
  <c r="D36" s="1"/>
  <c r="E21"/>
  <c r="K5" i="6347"/>
  <c r="D6" i="6316"/>
  <c r="J16" i="6333"/>
  <c r="I11" i="6349"/>
  <c r="J11" s="1"/>
  <c r="I12"/>
  <c r="J12" s="1"/>
  <c r="I13"/>
  <c r="J13" s="1"/>
  <c r="I15"/>
  <c r="J15" s="1"/>
  <c r="I25"/>
  <c r="J25" s="1"/>
  <c r="I10"/>
  <c r="J10" s="1"/>
  <c r="D31"/>
  <c r="D19"/>
  <c r="G31"/>
  <c r="F31"/>
  <c r="G19"/>
  <c r="H19"/>
  <c r="F19"/>
  <c r="K10" i="6347"/>
  <c r="J10"/>
  <c r="E10"/>
  <c r="E15" i="6330"/>
  <c r="F15" s="1"/>
  <c r="C254" i="6339"/>
  <c r="C259" s="1"/>
  <c r="C263" s="1"/>
  <c r="D264" s="1"/>
  <c r="D268" s="1"/>
  <c r="D269" s="1"/>
  <c r="G255"/>
  <c r="G256"/>
  <c r="G257"/>
  <c r="J19" i="6333"/>
  <c r="K19" s="1"/>
  <c r="J30"/>
  <c r="K30" s="1"/>
  <c r="J31"/>
  <c r="K31" s="1"/>
  <c r="J32"/>
  <c r="K32" s="1"/>
  <c r="J33"/>
  <c r="K33" s="1"/>
  <c r="J34"/>
  <c r="K34" s="1"/>
  <c r="J35"/>
  <c r="K35" s="1"/>
  <c r="J36"/>
  <c r="K36" s="1"/>
  <c r="J29"/>
  <c r="K29" s="1"/>
  <c r="J18"/>
  <c r="K18" s="1"/>
  <c r="J20"/>
  <c r="K20" s="1"/>
  <c r="J21"/>
  <c r="K21" s="1"/>
  <c r="J22"/>
  <c r="K22" s="1"/>
  <c r="E32"/>
  <c r="E16"/>
  <c r="F26"/>
  <c r="E30"/>
  <c r="E31"/>
  <c r="E33"/>
  <c r="E34"/>
  <c r="E35"/>
  <c r="E36"/>
  <c r="E29"/>
  <c r="E22"/>
  <c r="E21"/>
  <c r="E20"/>
  <c r="E19"/>
  <c r="E18"/>
  <c r="E17"/>
  <c r="E26" s="1"/>
  <c r="E41" s="1"/>
  <c r="E15" i="6341"/>
  <c r="F15"/>
  <c r="B28" i="6342"/>
  <c r="B34"/>
  <c r="H255" i="6339"/>
  <c r="D254"/>
  <c r="F212"/>
  <c r="E209"/>
  <c r="E259"/>
  <c r="E212"/>
  <c r="G17" i="6333"/>
  <c r="J17" s="1"/>
  <c r="G16"/>
  <c r="H6" i="6342"/>
  <c r="H28" s="1"/>
  <c r="H8"/>
  <c r="H9"/>
  <c r="H12"/>
  <c r="H13"/>
  <c r="H16"/>
  <c r="H17"/>
  <c r="I8"/>
  <c r="I9"/>
  <c r="I28"/>
  <c r="Q6"/>
  <c r="Q7"/>
  <c r="U7" s="1"/>
  <c r="Q8"/>
  <c r="U8"/>
  <c r="Q9"/>
  <c r="Q10"/>
  <c r="U10" s="1"/>
  <c r="Q11"/>
  <c r="U11" s="1"/>
  <c r="Q12"/>
  <c r="U12"/>
  <c r="Q13"/>
  <c r="Q15"/>
  <c r="U15" s="1"/>
  <c r="Q16"/>
  <c r="U16" s="1"/>
  <c r="Q18"/>
  <c r="U18"/>
  <c r="Q19"/>
  <c r="Q21"/>
  <c r="U21" s="1"/>
  <c r="Q22"/>
  <c r="U22" s="1"/>
  <c r="Q23"/>
  <c r="U23"/>
  <c r="Q24"/>
  <c r="Q25"/>
  <c r="U25" s="1"/>
  <c r="Q26"/>
  <c r="U26" s="1"/>
  <c r="Q27"/>
  <c r="U27"/>
  <c r="S24"/>
  <c r="S28"/>
  <c r="P6"/>
  <c r="T6"/>
  <c r="P7"/>
  <c r="R7"/>
  <c r="T7" s="1"/>
  <c r="P8"/>
  <c r="T8" s="1"/>
  <c r="P9"/>
  <c r="T9" s="1"/>
  <c r="P10"/>
  <c r="R10"/>
  <c r="T10"/>
  <c r="P11"/>
  <c r="T11"/>
  <c r="P12"/>
  <c r="T12"/>
  <c r="P13"/>
  <c r="T13"/>
  <c r="P14"/>
  <c r="T14"/>
  <c r="P15"/>
  <c r="T15"/>
  <c r="P16"/>
  <c r="T16"/>
  <c r="P17"/>
  <c r="T17"/>
  <c r="P18"/>
  <c r="T18"/>
  <c r="P19"/>
  <c r="R19"/>
  <c r="T19" s="1"/>
  <c r="P21"/>
  <c r="T21" s="1"/>
  <c r="P22"/>
  <c r="T22" s="1"/>
  <c r="P23"/>
  <c r="R23"/>
  <c r="T23"/>
  <c r="P24"/>
  <c r="R24"/>
  <c r="T24" s="1"/>
  <c r="P25"/>
  <c r="R25"/>
  <c r="T25"/>
  <c r="P26"/>
  <c r="R26"/>
  <c r="T26" s="1"/>
  <c r="P27"/>
  <c r="R27"/>
  <c r="T27"/>
  <c r="O28"/>
  <c r="N28"/>
  <c r="K28"/>
  <c r="J28"/>
  <c r="G28"/>
  <c r="D6" i="6344"/>
  <c r="F28" i="6342"/>
  <c r="E28"/>
  <c r="C6" i="6344" s="1"/>
  <c r="D28" i="6342"/>
  <c r="C28"/>
  <c r="B6" i="6344"/>
  <c r="U24" i="6342"/>
  <c r="U19"/>
  <c r="U13"/>
  <c r="U9"/>
  <c r="F16" i="6341"/>
  <c r="F13"/>
  <c r="F6"/>
  <c r="F7"/>
  <c r="F8"/>
  <c r="F9"/>
  <c r="F10"/>
  <c r="F11"/>
  <c r="E12"/>
  <c r="D14"/>
  <c r="D17"/>
  <c r="I15" i="6334"/>
  <c r="I18" s="1"/>
  <c r="I29" s="1"/>
  <c r="H15"/>
  <c r="E204" i="6339"/>
  <c r="G206"/>
  <c r="G207"/>
  <c r="G208"/>
  <c r="G259" s="1"/>
  <c r="G261" s="1"/>
  <c r="G209"/>
  <c r="G210"/>
  <c r="G211"/>
  <c r="G212"/>
  <c r="G213"/>
  <c r="H206"/>
  <c r="H207"/>
  <c r="H208"/>
  <c r="H209"/>
  <c r="H259" s="1"/>
  <c r="H261" s="1"/>
  <c r="H210"/>
  <c r="H211"/>
  <c r="H212"/>
  <c r="H213"/>
  <c r="H256"/>
  <c r="H257"/>
  <c r="I8" i="6330"/>
  <c r="F259" i="6339"/>
  <c r="C204"/>
  <c r="J10" i="6330"/>
  <c r="I10"/>
  <c r="J8"/>
  <c r="D7" i="6316"/>
  <c r="F8" i="6329"/>
  <c r="F261" i="6339"/>
  <c r="F214"/>
  <c r="H214" s="1"/>
  <c r="H215"/>
  <c r="F216"/>
  <c r="H216"/>
  <c r="H217"/>
  <c r="H218"/>
  <c r="F219"/>
  <c r="H219"/>
  <c r="H220"/>
  <c r="H221"/>
  <c r="F222"/>
  <c r="H222"/>
  <c r="H223"/>
  <c r="F224"/>
  <c r="H224" s="1"/>
  <c r="H225"/>
  <c r="F226"/>
  <c r="H226"/>
  <c r="H227"/>
  <c r="H228"/>
  <c r="H229"/>
  <c r="H230"/>
  <c r="H231"/>
  <c r="H232"/>
  <c r="H233"/>
  <c r="H234"/>
  <c r="H235"/>
  <c r="H236"/>
  <c r="F237"/>
  <c r="H237"/>
  <c r="H238"/>
  <c r="F239"/>
  <c r="H239" s="1"/>
  <c r="H240"/>
  <c r="H241"/>
  <c r="H242"/>
  <c r="H243"/>
  <c r="F244"/>
  <c r="H244" s="1"/>
  <c r="H245"/>
  <c r="F246"/>
  <c r="H246"/>
  <c r="H247"/>
  <c r="H248"/>
  <c r="H249"/>
  <c r="H250"/>
  <c r="H251"/>
  <c r="F6"/>
  <c r="F9"/>
  <c r="F14"/>
  <c r="F252" s="1"/>
  <c r="H252" s="1"/>
  <c r="F16"/>
  <c r="F20"/>
  <c r="F24"/>
  <c r="F27"/>
  <c r="F73"/>
  <c r="F82"/>
  <c r="F85"/>
  <c r="F96"/>
  <c r="F98"/>
  <c r="F102"/>
  <c r="F104"/>
  <c r="F108"/>
  <c r="F113"/>
  <c r="F117"/>
  <c r="F121"/>
  <c r="F123"/>
  <c r="F130"/>
  <c r="F133"/>
  <c r="F144"/>
  <c r="F149"/>
  <c r="F151"/>
  <c r="F166"/>
  <c r="F172"/>
  <c r="F179"/>
  <c r="F183"/>
  <c r="F187"/>
  <c r="F190"/>
  <c r="F195"/>
  <c r="F197"/>
  <c r="H265"/>
  <c r="E214"/>
  <c r="G214"/>
  <c r="G215"/>
  <c r="E216"/>
  <c r="G216" s="1"/>
  <c r="G217"/>
  <c r="G218"/>
  <c r="E219"/>
  <c r="G219" s="1"/>
  <c r="G220"/>
  <c r="G221"/>
  <c r="E222"/>
  <c r="G222" s="1"/>
  <c r="G223"/>
  <c r="E224"/>
  <c r="G224"/>
  <c r="G225"/>
  <c r="E226"/>
  <c r="G226" s="1"/>
  <c r="G227"/>
  <c r="G228"/>
  <c r="G229"/>
  <c r="G230"/>
  <c r="G231"/>
  <c r="G232"/>
  <c r="G233"/>
  <c r="G234"/>
  <c r="G235"/>
  <c r="G236"/>
  <c r="E237"/>
  <c r="G237" s="1"/>
  <c r="G238"/>
  <c r="E239"/>
  <c r="G239"/>
  <c r="G240"/>
  <c r="G241"/>
  <c r="G242"/>
  <c r="G243"/>
  <c r="E244"/>
  <c r="G244"/>
  <c r="G245"/>
  <c r="E246"/>
  <c r="G246" s="1"/>
  <c r="G247"/>
  <c r="G248"/>
  <c r="G249"/>
  <c r="G250"/>
  <c r="G251"/>
  <c r="E6"/>
  <c r="E9"/>
  <c r="E252" s="1"/>
  <c r="G252" s="1"/>
  <c r="E14"/>
  <c r="E16"/>
  <c r="E20"/>
  <c r="E24"/>
  <c r="E27"/>
  <c r="E73"/>
  <c r="E82"/>
  <c r="E85"/>
  <c r="E96"/>
  <c r="E98"/>
  <c r="E102"/>
  <c r="E104"/>
  <c r="E108"/>
  <c r="E113"/>
  <c r="E117"/>
  <c r="E121"/>
  <c r="E123"/>
  <c r="E130"/>
  <c r="E133"/>
  <c r="E144"/>
  <c r="E149"/>
  <c r="E151"/>
  <c r="E166"/>
  <c r="E172"/>
  <c r="E179"/>
  <c r="E183"/>
  <c r="E187"/>
  <c r="E190"/>
  <c r="E195"/>
  <c r="E197"/>
  <c r="G265"/>
  <c r="D9" i="6316"/>
  <c r="F9" s="1"/>
  <c r="G9" s="1"/>
  <c r="J37" i="6333"/>
  <c r="K37"/>
  <c r="H36"/>
  <c r="I36"/>
  <c r="H23"/>
  <c r="I23"/>
  <c r="H16"/>
  <c r="H17"/>
  <c r="H26" s="1"/>
  <c r="H18"/>
  <c r="H19"/>
  <c r="H21"/>
  <c r="H20"/>
  <c r="H22"/>
  <c r="H24"/>
  <c r="H29"/>
  <c r="H30"/>
  <c r="H31"/>
  <c r="H32"/>
  <c r="H33"/>
  <c r="I33" s="1"/>
  <c r="H34"/>
  <c r="H35"/>
  <c r="H37"/>
  <c r="H28"/>
  <c r="H39" s="1"/>
  <c r="I39" s="1"/>
  <c r="G26"/>
  <c r="G39"/>
  <c r="G41"/>
  <c r="E9" i="6330"/>
  <c r="F10" i="6347"/>
  <c r="D9" i="6344"/>
  <c r="J6" i="6329"/>
  <c r="D18" i="6334"/>
  <c r="E18"/>
  <c r="F27"/>
  <c r="G18"/>
  <c r="H18"/>
  <c r="I27"/>
  <c r="K18"/>
  <c r="M18"/>
  <c r="C18"/>
  <c r="N27"/>
  <c r="M27"/>
  <c r="L27"/>
  <c r="K27"/>
  <c r="K29" s="1"/>
  <c r="J27"/>
  <c r="H27"/>
  <c r="G27"/>
  <c r="E27"/>
  <c r="D27"/>
  <c r="C27"/>
  <c r="J18"/>
  <c r="J29" s="1"/>
  <c r="L18"/>
  <c r="N18"/>
  <c r="N29" s="1"/>
  <c r="E8" i="6316"/>
  <c r="F7"/>
  <c r="G7" s="1"/>
  <c r="C6" i="6329"/>
  <c r="D7" i="6347" s="1"/>
  <c r="C7" i="6329"/>
  <c r="K6"/>
  <c r="J39" i="6333"/>
  <c r="D26"/>
  <c r="D39"/>
  <c r="D41"/>
  <c r="F39"/>
  <c r="F41"/>
  <c r="J48" s="1"/>
  <c r="E39"/>
  <c r="I37"/>
  <c r="I35"/>
  <c r="I34"/>
  <c r="I32"/>
  <c r="I31"/>
  <c r="I30"/>
  <c r="I29"/>
  <c r="I28"/>
  <c r="I24"/>
  <c r="I22"/>
  <c r="I21"/>
  <c r="I20"/>
  <c r="I19"/>
  <c r="I18"/>
  <c r="I17"/>
  <c r="I16"/>
  <c r="D8" i="6329"/>
  <c r="C8" i="6316"/>
  <c r="F18" i="6334"/>
  <c r="F29" s="1"/>
  <c r="E14" i="6341"/>
  <c r="F14"/>
  <c r="F12"/>
  <c r="R28" i="6342"/>
  <c r="D8" i="6330"/>
  <c r="C9" i="6329"/>
  <c r="C5" i="6351" s="1"/>
  <c r="C7" s="1"/>
  <c r="E17" i="6341"/>
  <c r="C9" i="6344"/>
  <c r="F17" i="6341"/>
  <c r="K16" i="6333"/>
  <c r="E261" i="6339"/>
  <c r="E263"/>
  <c r="D10" i="6330"/>
  <c r="U6" i="6342"/>
  <c r="P28"/>
  <c r="F33" i="6349" l="1"/>
  <c r="G33"/>
  <c r="F21" i="6356"/>
  <c r="E36"/>
  <c r="F36" s="1"/>
  <c r="E7" i="6347"/>
  <c r="E26" i="6330"/>
  <c r="D10" i="6347"/>
  <c r="D8"/>
  <c r="D9" s="1"/>
  <c r="D7" i="6330"/>
  <c r="D9" s="1"/>
  <c r="L29" i="6334"/>
  <c r="E29"/>
  <c r="M29"/>
  <c r="G29"/>
  <c r="C29"/>
  <c r="H29"/>
  <c r="D29"/>
  <c r="E9" i="6329"/>
  <c r="D33" i="6349"/>
  <c r="J8" i="6329"/>
  <c r="B9" i="6344"/>
  <c r="B3"/>
  <c r="D45" i="6333"/>
  <c r="H31" i="6349"/>
  <c r="H33" s="1"/>
  <c r="I31"/>
  <c r="J31" s="1"/>
  <c r="K19"/>
  <c r="G10" i="6347"/>
  <c r="H10" s="1"/>
  <c r="I10" s="1"/>
  <c r="I26" i="6333"/>
  <c r="I41" s="1"/>
  <c r="H41"/>
  <c r="F6" i="6316"/>
  <c r="G6" s="1"/>
  <c r="D8"/>
  <c r="F8" s="1"/>
  <c r="G8" s="1"/>
  <c r="K39" i="6333"/>
  <c r="J26"/>
  <c r="J41" s="1"/>
  <c r="J49" s="1"/>
  <c r="K17"/>
  <c r="K26" s="1"/>
  <c r="K41" s="1"/>
  <c r="K48" s="1"/>
  <c r="T28" i="6342"/>
  <c r="Q28"/>
  <c r="U28" s="1"/>
  <c r="E8" i="6347" l="1"/>
  <c r="F8" i="6330"/>
  <c r="G8" s="1"/>
  <c r="H8" s="1"/>
  <c r="E16"/>
  <c r="E21" s="1"/>
  <c r="E23" s="1"/>
  <c r="F8" i="6347"/>
  <c r="F9" s="1"/>
  <c r="G45" i="6333"/>
  <c r="J45" s="1"/>
  <c r="K45" s="1"/>
  <c r="F10" i="6330"/>
  <c r="G10" s="1"/>
  <c r="H10" s="1"/>
  <c r="K7" i="6347"/>
  <c r="K9" s="1"/>
  <c r="K8" i="6329"/>
  <c r="J7" i="6330"/>
  <c r="J9" s="1"/>
  <c r="E17"/>
  <c r="B11" i="6344"/>
  <c r="C3" s="1"/>
  <c r="C11" s="1"/>
  <c r="D3" s="1"/>
  <c r="D11" s="1"/>
  <c r="H45" i="6333"/>
  <c r="I45" s="1"/>
  <c r="E45"/>
  <c r="K33" i="6349"/>
  <c r="L19"/>
  <c r="I19"/>
  <c r="J19" s="1"/>
  <c r="L33"/>
  <c r="D15" i="6330"/>
  <c r="E18" s="1"/>
  <c r="C8" i="6329"/>
  <c r="G9"/>
  <c r="E7" l="1"/>
  <c r="G7" s="1"/>
  <c r="H7" s="1"/>
  <c r="I7" s="1"/>
  <c r="G8" i="6347"/>
  <c r="H8" s="1"/>
  <c r="I8" s="1"/>
  <c r="H9" i="6329"/>
  <c r="E9" i="6347"/>
  <c r="I7" i="6330"/>
  <c r="I9" s="1"/>
  <c r="J7" i="6347"/>
  <c r="J9" s="1"/>
  <c r="J33" i="6349"/>
  <c r="I33"/>
  <c r="F16" i="6330"/>
  <c r="F21" s="1"/>
  <c r="F26"/>
  <c r="E20"/>
  <c r="I9" i="6329" l="1"/>
  <c r="C11" i="6351"/>
  <c r="C12" s="1"/>
  <c r="G7" i="6347"/>
  <c r="G9" s="1"/>
  <c r="E25" i="6330"/>
  <c r="D25" s="1"/>
  <c r="E28" s="1"/>
  <c r="D20"/>
  <c r="E22"/>
  <c r="F20"/>
  <c r="F22" s="1"/>
  <c r="E6" i="6329"/>
  <c r="F7" i="6330"/>
  <c r="F23"/>
  <c r="F18"/>
  <c r="F17"/>
  <c r="D12" i="6329" l="1"/>
  <c r="H7" i="6347"/>
  <c r="I7" s="1"/>
  <c r="F25" i="6330"/>
  <c r="F27" s="1"/>
  <c r="E27"/>
  <c r="H9" i="6347"/>
  <c r="I9" s="1"/>
  <c r="E8" i="6329"/>
  <c r="G6"/>
  <c r="F9" i="6330"/>
  <c r="G7"/>
  <c r="H7" s="1"/>
  <c r="G13" i="6347" l="1"/>
  <c r="F12" i="6329"/>
  <c r="E12"/>
  <c r="F28" i="6330"/>
  <c r="I11"/>
  <c r="G8" i="6329"/>
  <c r="H6"/>
  <c r="I6" s="1"/>
  <c r="F11" i="6330"/>
  <c r="F12" s="1"/>
  <c r="F13" s="1"/>
  <c r="E11"/>
  <c r="E12" s="1"/>
  <c r="E13" s="1"/>
  <c r="G9"/>
  <c r="H9" s="1"/>
  <c r="H13" i="6347" l="1"/>
  <c r="I13"/>
  <c r="H8" i="6329"/>
  <c r="I8" s="1"/>
  <c r="AG35" i="6363"/>
  <c r="AF25"/>
  <c r="AF35" s="1"/>
</calcChain>
</file>

<file path=xl/comments1.xml><?xml version="1.0" encoding="utf-8"?>
<comments xmlns="http://schemas.openxmlformats.org/spreadsheetml/2006/main">
  <authors>
    <author>Jeff Leung</author>
  </authors>
  <commentList>
    <comment ref="D10" authorId="0">
      <text>
        <r>
          <rPr>
            <b/>
            <sz val="8"/>
            <color indexed="81"/>
            <rFont val="Tahoma"/>
            <family val="2"/>
          </rPr>
          <t>Jeff Leung:</t>
        </r>
        <r>
          <rPr>
            <sz val="8"/>
            <color indexed="81"/>
            <rFont val="Tahoma"/>
            <family val="2"/>
          </rPr>
          <t xml:space="preserve">
includes $47.4k of rent budget transferred to F&amp;RE</t>
        </r>
      </text>
    </comment>
    <comment ref="S18" authorId="0">
      <text>
        <r>
          <rPr>
            <b/>
            <sz val="8"/>
            <color indexed="81"/>
            <rFont val="Tahoma"/>
            <family val="2"/>
          </rPr>
          <t>Jeff Leung:</t>
        </r>
        <r>
          <rPr>
            <sz val="8"/>
            <color indexed="81"/>
            <rFont val="Tahoma"/>
            <family val="2"/>
          </rPr>
          <t xml:space="preserve">
add'l net $36k for day care revenue</t>
        </r>
      </text>
    </comment>
    <comment ref="R30" authorId="0">
      <text>
        <r>
          <rPr>
            <b/>
            <sz val="8"/>
            <color indexed="81"/>
            <rFont val="Tahoma"/>
            <family val="2"/>
          </rPr>
          <t>Jeff Leung:</t>
        </r>
        <r>
          <rPr>
            <sz val="8"/>
            <color indexed="81"/>
            <rFont val="Tahoma"/>
            <family val="2"/>
          </rPr>
          <t xml:space="preserve">
exclude $32.3k for ED's vacation pay &amp; lieu time (29.4+2.9)</t>
        </r>
      </text>
    </comment>
  </commentList>
</comments>
</file>

<file path=xl/comments2.xml><?xml version="1.0" encoding="utf-8"?>
<comments xmlns="http://schemas.openxmlformats.org/spreadsheetml/2006/main">
  <authors>
    <author>tlam3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econ factor for library materials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non-labour inflationary factors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maintain contribution from DC for library materials at 2009 level ($1.5M)</t>
        </r>
      </text>
    </comment>
  </commentList>
</comments>
</file>

<file path=xl/comments3.xml><?xml version="1.0" encoding="utf-8"?>
<comments xmlns="http://schemas.openxmlformats.org/spreadsheetml/2006/main">
  <authors>
    <author>lvraton</author>
  </authors>
  <commentList>
    <comment ref="Z1" authorId="0">
      <text>
        <r>
          <rPr>
            <sz val="8"/>
            <color indexed="81"/>
            <rFont val="Tahoma"/>
            <family val="2"/>
          </rPr>
          <t xml:space="preserve">
Change year in this cell</t>
        </r>
      </text>
    </comment>
  </commentList>
</comments>
</file>

<file path=xl/sharedStrings.xml><?xml version="1.0" encoding="utf-8"?>
<sst xmlns="http://schemas.openxmlformats.org/spreadsheetml/2006/main" count="1092" uniqueCount="764">
  <si>
    <t>(In $000s)</t>
  </si>
  <si>
    <t>$</t>
  </si>
  <si>
    <t>%</t>
  </si>
  <si>
    <t>GROSS EXP.</t>
  </si>
  <si>
    <t>REVENUE</t>
  </si>
  <si>
    <t>Approved Positions</t>
  </si>
  <si>
    <t>Net</t>
  </si>
  <si>
    <t>REVENUES</t>
  </si>
  <si>
    <t>FY Incremental Outlook</t>
  </si>
  <si>
    <t>Adjusted Base Budget</t>
  </si>
  <si>
    <t>Net Incremental Impact</t>
  </si>
  <si>
    <t>Description</t>
  </si>
  <si>
    <t>Gross Exp.</t>
  </si>
  <si>
    <t>Net Exp.</t>
  </si>
  <si>
    <t>#</t>
  </si>
  <si>
    <t>$ Over / (Under) Program Target</t>
  </si>
  <si>
    <t>% Over / (Under) Program Target</t>
  </si>
  <si>
    <t xml:space="preserve">% </t>
  </si>
  <si>
    <t xml:space="preserve"> </t>
  </si>
  <si>
    <t>Appendix D</t>
  </si>
  <si>
    <t>Sub-Total New Services</t>
  </si>
  <si>
    <t>Total Enhanced/New Services</t>
  </si>
  <si>
    <t>Sub-Total Enhanced Services</t>
  </si>
  <si>
    <t>Enhanced Services:</t>
  </si>
  <si>
    <t>New Services:</t>
  </si>
  <si>
    <t>NET EXP.</t>
  </si>
  <si>
    <t>(in $000s)</t>
  </si>
  <si>
    <t>Change from</t>
  </si>
  <si>
    <t>Approved</t>
  </si>
  <si>
    <t>Projected</t>
  </si>
  <si>
    <t>Recommended</t>
  </si>
  <si>
    <t>Budget</t>
  </si>
  <si>
    <t>Actuals</t>
  </si>
  <si>
    <t>Outlook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</si>
  <si>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</si>
  <si>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</si>
  <si>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</si>
  <si>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</si>
  <si>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</si>
  <si>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</si>
  <si>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</si>
  <si>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</si>
  <si>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</si>
  <si>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</si>
  <si>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</si>
  <si>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</si>
  <si>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</si>
  <si>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</si>
  <si>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</si>
  <si>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</si>
  <si>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</si>
  <si>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</si>
  <si>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</si>
  <si>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</si>
  <si>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</si>
  <si>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Program Summary By Expenditure Category</t>
  </si>
  <si>
    <t>New Positions</t>
  </si>
  <si>
    <t># Pos</t>
  </si>
  <si>
    <t>Base Changes:</t>
  </si>
  <si>
    <t>Revenue Adjustments:</t>
  </si>
  <si>
    <t>Minor Service Impact:</t>
  </si>
  <si>
    <t>Major Service Impact:</t>
  </si>
  <si>
    <t>City of Toronto</t>
  </si>
  <si>
    <t>Summary of 2010 and 2011 Outlook net Issues</t>
  </si>
  <si>
    <t>Outlooks</t>
  </si>
  <si>
    <t>Affordable Housing Office</t>
  </si>
  <si>
    <t>Draw from Capital Revolving Fund CRF) to offset 2009 pressures.</t>
  </si>
  <si>
    <t>Merit and step increases</t>
  </si>
  <si>
    <t>Reversal of 2009 draw from Child Care Expansion Reserve Fund</t>
  </si>
  <si>
    <t>Children's Services</t>
  </si>
  <si>
    <t>Economic Factor Non Labour and actual cost of child care</t>
  </si>
  <si>
    <t>Impact of user fees on draw from Child Care Expansion Reserve Fund</t>
  </si>
  <si>
    <t>Court Services</t>
  </si>
  <si>
    <t>Annualization of increased Court capacity and collections efforts by adding six courtrooms</t>
  </si>
  <si>
    <t>Economic Development, Culture &amp; Tourism</t>
  </si>
  <si>
    <t>Bicentennial of the War of 1812</t>
  </si>
  <si>
    <t>175th Anniversary of the City of Toronto</t>
  </si>
  <si>
    <t>"Can Do" Environment at City Hall</t>
  </si>
  <si>
    <t>Emergency Medical Services</t>
  </si>
  <si>
    <t>Operating Impact of 2009 Approved Capital Projects</t>
  </si>
  <si>
    <t>Public Access Defibrillator Program increase</t>
  </si>
  <si>
    <t>Long Term Care Homes &amp; Services</t>
  </si>
  <si>
    <t>Withdrawal from Homes for the Aged Stabilization Reserve</t>
  </si>
  <si>
    <t>Merit &amp; step increases</t>
  </si>
  <si>
    <t>Parks, Forestry &amp; Recreation</t>
  </si>
  <si>
    <t>Operating impact of Capital - SAP Management Module</t>
  </si>
  <si>
    <t>Operating impact of Capital - La Rose Park Improvements</t>
  </si>
  <si>
    <t>Operating impact of Capital - Humber Sheppard Sportsfield - 260</t>
  </si>
  <si>
    <t>Operating impact of Capital - J.T. Watson Park Improvement - 60</t>
  </si>
  <si>
    <t>Operating impact of Capital - Rees St. and Simcoe St. Slip Heads</t>
  </si>
  <si>
    <t>Operating impact of Capital - Senior Environmental Specialist</t>
  </si>
  <si>
    <t>New Seasonal Permit Administration fee</t>
  </si>
  <si>
    <t>Climate Change: area maintenance - Tree on City Streets</t>
  </si>
  <si>
    <t>Climate Change: commercial tree maintenance</t>
  </si>
  <si>
    <t>Climate Change: Improved development review and tree By-law enforcement</t>
  </si>
  <si>
    <t>Reduce recreation client support staff by 5%</t>
  </si>
  <si>
    <t>Deferral of Diversity Outreach Program</t>
  </si>
  <si>
    <t>Deferral of Community Engagement Program</t>
  </si>
  <si>
    <t>Operating impact of Capital - 311 Work Order Management System Phase 1</t>
  </si>
  <si>
    <t>Operating impact of Capital - Maintenance of newly planted trees</t>
  </si>
  <si>
    <t>Operating impact of Capital - Marine Security Act</t>
  </si>
  <si>
    <t>Operating impact of Capital - Jenner Jean-Marie CC-Add'l Facility (RFR #2)</t>
  </si>
  <si>
    <t>Operating impact of Capital - SAP Property Management Module</t>
  </si>
  <si>
    <t>Operating impact of Capital - O'Connor CC Expansion</t>
  </si>
  <si>
    <t>Operating impact of Capital - Allen Gardens - Dogs off-leash Area - 109</t>
  </si>
  <si>
    <t>Operating impact of Capital - Campbell Avenue Playground - 494</t>
  </si>
  <si>
    <t>Operating impact of Capital - La Rose Park Improvements - 398</t>
  </si>
  <si>
    <t>Operating impact of Capital - Kay Gardner Beltline - 167</t>
  </si>
  <si>
    <t>Operating impact of Capital - Meagan Park 274</t>
  </si>
  <si>
    <t>Operating impact of Capital - Col. Smith Outdoor Rink - 164</t>
  </si>
  <si>
    <t>Operating impact of Capital - Goulding CC Improvement - 112</t>
  </si>
  <si>
    <t>Operating impact of Capital - Sect. 37 - Liberty Village Park</t>
  </si>
  <si>
    <t>Operating impact of Capital - 350 Danforth Ave.</t>
  </si>
  <si>
    <t>Operating impact of Capital - Northern Linear Park</t>
  </si>
  <si>
    <t>Operating impact of Capital - 1100 King Street West</t>
  </si>
  <si>
    <t>Operating impact of Capital - 6520-6530 Lawrence East</t>
  </si>
  <si>
    <t>Operating impact of Capital - Kilgour Estates Park</t>
  </si>
  <si>
    <t>Operating impact of Capital - Amos Waites Park</t>
  </si>
  <si>
    <t>Operating impact of Capital - 1100 Lansdowne</t>
  </si>
  <si>
    <t>Operating impact of Capital - Leslie Street Greening</t>
  </si>
  <si>
    <t>Operating impact of Capital - Circulating Channel - portlands</t>
  </si>
  <si>
    <t>Operating impact of Capital - Martin Goodman Trail - Marilyn Bell Park to Coronation Park</t>
  </si>
  <si>
    <t>Ravine &amp; Watercourse Maintenance - 2008 deferral</t>
  </si>
  <si>
    <t>Diversity Program - 2008 deferral</t>
  </si>
  <si>
    <t>Community Engagement - deferral 2008</t>
  </si>
  <si>
    <t>Operating impact of Capital - senior Environmental Specialist</t>
  </si>
  <si>
    <t>Mandated overtime</t>
  </si>
  <si>
    <t>Shelter, Support &amp; Housing Administration</t>
  </si>
  <si>
    <t>Operating impact of Capital</t>
  </si>
  <si>
    <t>Salary and Benefits estimated increase</t>
  </si>
  <si>
    <t>Emergency Mass care Enhancement</t>
  </si>
  <si>
    <t>Additional Resources for the 129 Peter Street Shelter and Referral Centre</t>
  </si>
  <si>
    <t>Contribution from Social Housing Reserve Funds</t>
  </si>
  <si>
    <t>Miscellaneous salary changes</t>
  </si>
  <si>
    <t>Social Housing operating cost increase - TCHC</t>
  </si>
  <si>
    <t>Social Development, finance &amp; Administration</t>
  </si>
  <si>
    <t>Additional one-time gapping</t>
  </si>
  <si>
    <t>Toronto Employment &amp; Social Services</t>
  </si>
  <si>
    <t>Clawback on OMPF Revenue</t>
  </si>
  <si>
    <t>Upload of Ontario Works benefits</t>
  </si>
  <si>
    <t>Funding from Social Assistance stabilization (SAS) Reserve Fund</t>
  </si>
  <si>
    <t>Zero based items - consultants</t>
  </si>
  <si>
    <t>Zero based items - furniture</t>
  </si>
  <si>
    <t>Provincial Upload of Ontario Disability Support Program Administration</t>
  </si>
  <si>
    <t>Consulting</t>
  </si>
  <si>
    <t>Furniture Replacement Program</t>
  </si>
  <si>
    <t>Ontario Works Reserve Fund Draws</t>
  </si>
  <si>
    <t>Client ID &amp; Benefits Reserve Fund (CBIS)</t>
  </si>
  <si>
    <t>Policy, Planning, Finance and Administration</t>
  </si>
  <si>
    <t>311 Customer Service Strategy</t>
  </si>
  <si>
    <t>Support to meet 311 pressures</t>
  </si>
  <si>
    <t>Maintenance &amp; support costs for the HW/SW used by Contact Centre</t>
  </si>
  <si>
    <t>I &amp; T Support to sustain the 311 Contact Centre Operations</t>
  </si>
  <si>
    <t>City Planning</t>
  </si>
  <si>
    <t>Future year merit and step increase</t>
  </si>
  <si>
    <t>Municipal Licensing and Standards</t>
  </si>
  <si>
    <t>Toronto Animal Services Licensing Reinvestment Strategy</t>
  </si>
  <si>
    <t>Delinquent/Unlicensed Business Enforcement</t>
  </si>
  <si>
    <t>Technical Services</t>
  </si>
  <si>
    <t>Strengthening the Office of Emergency Management</t>
  </si>
  <si>
    <t>Major Capital Infrastructure Coordination Office</t>
  </si>
  <si>
    <t>One work day reduction in 2009</t>
  </si>
  <si>
    <t>Toronto Building</t>
  </si>
  <si>
    <t>Additional working day</t>
  </si>
  <si>
    <t>Sign By-law harmonization</t>
  </si>
  <si>
    <t>Toronto Environment Office</t>
  </si>
  <si>
    <t>Transfer staff to 311 and Outlook for Live Green Operating Items Social Marketing in 2010 and 2011</t>
  </si>
  <si>
    <t>Fire Services</t>
  </si>
  <si>
    <t>Transportation Services</t>
  </si>
  <si>
    <t>Various Transportation Services BI changes</t>
  </si>
  <si>
    <t>Field Investigator Roads</t>
  </si>
  <si>
    <t>Annualization of RESCU expansion</t>
  </si>
  <si>
    <t>Additional kilometers</t>
  </si>
  <si>
    <t>Street sweeping &amp; snow removal on newly created bicycle lanes</t>
  </si>
  <si>
    <t>Waterfront Secretariat</t>
  </si>
  <si>
    <t>Additional gapping</t>
  </si>
  <si>
    <t>Office of the Chief Financial Officer</t>
  </si>
  <si>
    <t>Hiring delay - Corporate Finance</t>
  </si>
  <si>
    <t>Hiring delay - Financial Planning</t>
  </si>
  <si>
    <t>Hiring delay - Finance &amp; Admin.</t>
  </si>
  <si>
    <t>Hold manager's position vacant</t>
  </si>
  <si>
    <t>Union - increment increases</t>
  </si>
  <si>
    <t>Non union merit increases</t>
  </si>
  <si>
    <t>Non union re-earnable performance pay</t>
  </si>
  <si>
    <t>Recovery for Capital project in Financial Planning</t>
  </si>
  <si>
    <t>Office of the Treasurer</t>
  </si>
  <si>
    <t>Increase vendor discount</t>
  </si>
  <si>
    <t>Delay in filling positions</t>
  </si>
  <si>
    <t>Increase in contract costs</t>
  </si>
  <si>
    <t>Facilities &amp; Real Estate</t>
  </si>
  <si>
    <t>Facilities Management Project</t>
  </si>
  <si>
    <t>Information &amp; Technology</t>
  </si>
  <si>
    <t>Implementation of I&amp;T Transformation Project - Head Architect</t>
  </si>
  <si>
    <t>Implement I&amp;T Transformation Project - Manager Risk Mgt &amp; Security</t>
  </si>
  <si>
    <t>Implement I&amp;T Transformation Project - Manager Infrastructure Mgt.</t>
  </si>
  <si>
    <t>Business Transformation &amp; Client Relationship - Client Relations Management</t>
  </si>
  <si>
    <t>Business Transformation &amp; Client Relationship - service level management</t>
  </si>
  <si>
    <t>Blackberry Support Specialist for TIS per service plan</t>
  </si>
  <si>
    <t>I&amp;T Service/Help Desk Support Specialists for TIS per service plan</t>
  </si>
  <si>
    <t>Enterprise Systems Products Support Specialists for TIS per service plan</t>
  </si>
  <si>
    <t>Network Services Support Specialist for TIS as per service plan</t>
  </si>
  <si>
    <t>Defer operating impacts from capital project</t>
  </si>
  <si>
    <t>Reduce funding for training and conferences</t>
  </si>
  <si>
    <t>Request for 3 positions for the Data Centre Disaster Recovery project</t>
  </si>
  <si>
    <t>Reducing the salary cost of one additional day</t>
  </si>
  <si>
    <t>City Manager's Office</t>
  </si>
  <si>
    <t>Access and Equity</t>
  </si>
  <si>
    <t>Civic Engagement</t>
  </si>
  <si>
    <t>Human Rights Office</t>
  </si>
  <si>
    <t>Toronto Public Service Learning Strategy</t>
  </si>
  <si>
    <t>Toronto Public Service People Plan</t>
  </si>
  <si>
    <t>City Clerk's Office</t>
  </si>
  <si>
    <t>Enhance core election resources and corporate support</t>
  </si>
  <si>
    <t>Broaden elections outreach efforts</t>
  </si>
  <si>
    <t>Election coordinators</t>
  </si>
  <si>
    <t>Gapping increase</t>
  </si>
  <si>
    <t>Defer operating impact from Capital</t>
  </si>
  <si>
    <t>Legal Services</t>
  </si>
  <si>
    <t>Management restructuring</t>
  </si>
  <si>
    <t>Mayor's Office</t>
  </si>
  <si>
    <t>Reduction of one working day</t>
  </si>
  <si>
    <t>2% CPI increase for the Mayor</t>
  </si>
  <si>
    <t>City Council</t>
  </si>
  <si>
    <t>2% CPI increase for Councillors</t>
  </si>
  <si>
    <t>Lobbyist Registrar</t>
  </si>
  <si>
    <t xml:space="preserve">Lobbying By-law Complaint Investigation &amp; Compliance Requirement </t>
  </si>
  <si>
    <t>Merit increases</t>
  </si>
  <si>
    <t>CPI adjustments and related benefit impacts for Lobbyist Registrar</t>
  </si>
  <si>
    <t>Office of the Ombudsman</t>
  </si>
  <si>
    <t>Toronto Public Health</t>
  </si>
  <si>
    <t>Delete re-location of TPH staff from 524 Oakwood Avenue</t>
  </si>
  <si>
    <t>Future operating impact of 2009 approved Capital projects</t>
  </si>
  <si>
    <t>Preventing pollution to reduce exposure to toxics</t>
  </si>
  <si>
    <t>Expansion of the Children In Need of Treatment (CINOT) Dental Program</t>
  </si>
  <si>
    <t xml:space="preserve">Relocation of 524 Oakwood </t>
  </si>
  <si>
    <t>Toronto Public Library</t>
  </si>
  <si>
    <t>Reduction in Sick Leave Pay-out</t>
  </si>
  <si>
    <t>Reduce withdrawal from Development Charges reserve Fund for Library materials</t>
  </si>
  <si>
    <t>One-time funding from Community Access Program and service Ontario Grants</t>
  </si>
  <si>
    <t>Postponing the re-opening of libraries due to construction delays</t>
  </si>
  <si>
    <t>Annualization of May 1, 2008 COLA increase</t>
  </si>
  <si>
    <t>Fringe benefit changes</t>
  </si>
  <si>
    <t>Association of Community Centres</t>
  </si>
  <si>
    <t>Merit &amp; step increase - The 519</t>
  </si>
  <si>
    <t>Heritage Toronto</t>
  </si>
  <si>
    <t>Increase in revenues due to communications position</t>
  </si>
  <si>
    <t>Toronto Regional Conservation Authority</t>
  </si>
  <si>
    <t>COLA</t>
  </si>
  <si>
    <t>Non-salary inflationary cost increases</t>
  </si>
  <si>
    <t>Community Partnership &amp; Investment Program</t>
  </si>
  <si>
    <t>CPIP - Cost of Living adjustment</t>
  </si>
  <si>
    <t>Toronto Zoo</t>
  </si>
  <si>
    <t>Retail store improvements</t>
  </si>
  <si>
    <t>Toronto Transit Commission - Conventional &amp; Wheel Trans</t>
  </si>
  <si>
    <t>Energy Cost</t>
  </si>
  <si>
    <t>Other Employee Costs</t>
  </si>
  <si>
    <t>Service Standards Maintenance</t>
  </si>
  <si>
    <t>Additional Workforce and Non Labour Requirements</t>
  </si>
  <si>
    <t>Pension Contribution Increase</t>
  </si>
  <si>
    <t>Accident Claims</t>
  </si>
  <si>
    <t>Inflation other than Energy</t>
  </si>
  <si>
    <t>Funding from closed Capital Projects</t>
  </si>
  <si>
    <t>Workforce and Non Labour Requirements</t>
  </si>
  <si>
    <t>TTC Wheel Trans</t>
  </si>
  <si>
    <t>Impact of salary settlement &amp; Other</t>
  </si>
  <si>
    <t>Toronto Police Service</t>
  </si>
  <si>
    <t>Other Payroll: Medical, Dental, Admin Fees</t>
  </si>
  <si>
    <t>Facilities Caretaking/Maintenance, Computer Lease, Vehicle Equipment Reserve and Other</t>
  </si>
  <si>
    <t>New service priorities as approved by the TPS Board - hiring 35 additional civilian staff</t>
  </si>
  <si>
    <t>Toronto Police Services Board</t>
  </si>
  <si>
    <t>Impact of salary settlement</t>
  </si>
  <si>
    <t>Corporate Accounts</t>
  </si>
  <si>
    <t>Capital &amp; Corporate Finance</t>
  </si>
  <si>
    <t>Non -Program Expenditures</t>
  </si>
  <si>
    <t>Non-Program Revenues</t>
  </si>
  <si>
    <t>Merit / Step Not Reported by Programs</t>
  </si>
  <si>
    <t>City Operations Non Salary Inflation</t>
  </si>
  <si>
    <t>Total</t>
  </si>
  <si>
    <t>Business Case</t>
  </si>
  <si>
    <t>AHO-Z001</t>
  </si>
  <si>
    <t>AHO-A001</t>
  </si>
  <si>
    <t>CS-F001</t>
  </si>
  <si>
    <t>CS-A02</t>
  </si>
  <si>
    <t>CS-A12</t>
  </si>
  <si>
    <t>CS-B27</t>
  </si>
  <si>
    <t>CT-N001</t>
  </si>
  <si>
    <t>EC-N003</t>
  </si>
  <si>
    <t>EC-N004</t>
  </si>
  <si>
    <t>EC-N005</t>
  </si>
  <si>
    <t>AM-F1006</t>
  </si>
  <si>
    <t>AM-A04</t>
  </si>
  <si>
    <t>AM-A08</t>
  </si>
  <si>
    <t>LTC-Z002</t>
  </si>
  <si>
    <t>LTC-A011</t>
  </si>
  <si>
    <t>PR-B020-006</t>
  </si>
  <si>
    <t>PR-B020-011</t>
  </si>
  <si>
    <t>PR-B020-013</t>
  </si>
  <si>
    <t>PR-B020-019</t>
  </si>
  <si>
    <t>PR-B020-047</t>
  </si>
  <si>
    <t>PR-B020-048</t>
  </si>
  <si>
    <t>PR-Z2REV-1</t>
  </si>
  <si>
    <t>PR-NENH-005</t>
  </si>
  <si>
    <t>PR-NENH-008</t>
  </si>
  <si>
    <t>PR-NENH-009</t>
  </si>
  <si>
    <t>PR-Z3MIC-013</t>
  </si>
  <si>
    <t>PR-Z4MAC-030</t>
  </si>
  <si>
    <t>PR-Z4MAC-031</t>
  </si>
  <si>
    <t>PR-A020-001</t>
  </si>
  <si>
    <t>PR-A020-002</t>
  </si>
  <si>
    <t>PR-A020-004</t>
  </si>
  <si>
    <t>PR-A020-005</t>
  </si>
  <si>
    <t>PR-A020-006</t>
  </si>
  <si>
    <t>PR-A020-007</t>
  </si>
  <si>
    <t>PR-A020-009</t>
  </si>
  <si>
    <t>PR-A020-010</t>
  </si>
  <si>
    <t>PR-A020-011</t>
  </si>
  <si>
    <t>PR-A020-013</t>
  </si>
  <si>
    <t>PR-A020-014</t>
  </si>
  <si>
    <t>PR-A020-019</t>
  </si>
  <si>
    <t>PR-A020-020</t>
  </si>
  <si>
    <t>PR-A020-025</t>
  </si>
  <si>
    <t>PR-A020-030</t>
  </si>
  <si>
    <t>PR-A020-031</t>
  </si>
  <si>
    <t>PR-A020-032</t>
  </si>
  <si>
    <t>PR-A020-033</t>
  </si>
  <si>
    <t>PR-A020-034</t>
  </si>
  <si>
    <t>PR-A020-035</t>
  </si>
  <si>
    <t>PR-A020-036</t>
  </si>
  <si>
    <t>PR-A020-037</t>
  </si>
  <si>
    <t>PR-A020-038</t>
  </si>
  <si>
    <t>PR-A020-046</t>
  </si>
  <si>
    <t>PR-A020-047</t>
  </si>
  <si>
    <t>PR-A020-049</t>
  </si>
  <si>
    <t>PR-A020-050</t>
  </si>
  <si>
    <t>PR-A030-035</t>
  </si>
  <si>
    <t>PR-A020-048</t>
  </si>
  <si>
    <t>PR-BOBC-8</t>
  </si>
  <si>
    <t>HS-F001</t>
  </si>
  <si>
    <t>HS-F002</t>
  </si>
  <si>
    <t>HS-N001</t>
  </si>
  <si>
    <t>HS-N002</t>
  </si>
  <si>
    <t>HS-Z005</t>
  </si>
  <si>
    <t>HS-A008</t>
  </si>
  <si>
    <t>HS-A002</t>
  </si>
  <si>
    <t>HS-B010</t>
  </si>
  <si>
    <t>SDFA-Z004</t>
  </si>
  <si>
    <t>SDFA-A001</t>
  </si>
  <si>
    <t>SS-B100</t>
  </si>
  <si>
    <t>SS-B102</t>
  </si>
  <si>
    <t>SS-Z004</t>
  </si>
  <si>
    <t>SS-A005</t>
  </si>
  <si>
    <t>SS-A006</t>
  </si>
  <si>
    <t>SS-B004</t>
  </si>
  <si>
    <t>SS-B013</t>
  </si>
  <si>
    <t>SS-B014</t>
  </si>
  <si>
    <t>SS-B018</t>
  </si>
  <si>
    <t>SS-B019</t>
  </si>
  <si>
    <t>PA-A002</t>
  </si>
  <si>
    <t>TO311-N001</t>
  </si>
  <si>
    <t>TO311-N002</t>
  </si>
  <si>
    <t>TO311-N003</t>
  </si>
  <si>
    <t>UR-B104</t>
  </si>
  <si>
    <t>MS-B013</t>
  </si>
  <si>
    <t>MS-N001</t>
  </si>
  <si>
    <t>MS-N003</t>
  </si>
  <si>
    <t>WT-N001</t>
  </si>
  <si>
    <t>WT-N0999</t>
  </si>
  <si>
    <t>WT-A002</t>
  </si>
  <si>
    <t>WT-B001</t>
  </si>
  <si>
    <t>BL-B103</t>
  </si>
  <si>
    <t>BL-A002</t>
  </si>
  <si>
    <t>BL-A006</t>
  </si>
  <si>
    <t>TE-B101</t>
  </si>
  <si>
    <t>TE-A003</t>
  </si>
  <si>
    <t>TP-B101</t>
  </si>
  <si>
    <t>TP-N005</t>
  </si>
  <si>
    <t>TP-A011</t>
  </si>
  <si>
    <t>TP-A004</t>
  </si>
  <si>
    <t>TP-B004</t>
  </si>
  <si>
    <t>TP-B005</t>
  </si>
  <si>
    <t>WF-B101</t>
  </si>
  <si>
    <t>WF-B103</t>
  </si>
  <si>
    <t>CO-Z0002</t>
  </si>
  <si>
    <t>CO-Z0006</t>
  </si>
  <si>
    <t>CO-Z0007</t>
  </si>
  <si>
    <t>CO-Z0009</t>
  </si>
  <si>
    <t>CO-Z0010</t>
  </si>
  <si>
    <t>CO-A004</t>
  </si>
  <si>
    <t>CO-A005</t>
  </si>
  <si>
    <t>CO-A006</t>
  </si>
  <si>
    <t>CO-B005</t>
  </si>
  <si>
    <t>TR-Z005</t>
  </si>
  <si>
    <t>TR-Z008</t>
  </si>
  <si>
    <t>TR-A006</t>
  </si>
  <si>
    <t>TR-B008</t>
  </si>
  <si>
    <t>FA-N011</t>
  </si>
  <si>
    <t>IT-N001-A</t>
  </si>
  <si>
    <t>IT-N001-B</t>
  </si>
  <si>
    <t>IT-N001-C</t>
  </si>
  <si>
    <t>IT-N002-A</t>
  </si>
  <si>
    <t>IT-N002-B</t>
  </si>
  <si>
    <t>IT-N003</t>
  </si>
  <si>
    <t>IT-N004</t>
  </si>
  <si>
    <t>IT-N005</t>
  </si>
  <si>
    <t>IT-N006</t>
  </si>
  <si>
    <t>IT-Z001</t>
  </si>
  <si>
    <t>IT-Z009</t>
  </si>
  <si>
    <t>IT-A0011</t>
  </si>
  <si>
    <t>IT-A003</t>
  </si>
  <si>
    <t>IT-A007</t>
  </si>
  <si>
    <t>CM-N-014</t>
  </si>
  <si>
    <t>CM-N-015</t>
  </si>
  <si>
    <t>CM-N-017</t>
  </si>
  <si>
    <t>CM-N-018</t>
  </si>
  <si>
    <t>CM-N-019</t>
  </si>
  <si>
    <t>GV-N001</t>
  </si>
  <si>
    <t>GV-N002</t>
  </si>
  <si>
    <t>GV-Z013</t>
  </si>
  <si>
    <t>GV-Z014</t>
  </si>
  <si>
    <t>GV-Z016</t>
  </si>
  <si>
    <t>LL-N008</t>
  </si>
  <si>
    <t>LL-B006</t>
  </si>
  <si>
    <t>MR-A006</t>
  </si>
  <si>
    <t>MR-A003</t>
  </si>
  <si>
    <t>MR-A001</t>
  </si>
  <si>
    <t>LR-N005</t>
  </si>
  <si>
    <t>LR-A003</t>
  </si>
  <si>
    <t>LR-A002</t>
  </si>
  <si>
    <t>LR-A001</t>
  </si>
  <si>
    <t>TPH-B1001</t>
  </si>
  <si>
    <t>TPH-F1004</t>
  </si>
  <si>
    <t>TPH-N001</t>
  </si>
  <si>
    <t>TPH-N005</t>
  </si>
  <si>
    <t>TPH-B008</t>
  </si>
  <si>
    <t>LB-Z100</t>
  </si>
  <si>
    <t>LB-Z102</t>
  </si>
  <si>
    <t>LB-Z002</t>
  </si>
  <si>
    <t>LB-Z005</t>
  </si>
  <si>
    <t>LB-A001</t>
  </si>
  <si>
    <t>LB-A003</t>
  </si>
  <si>
    <t>LB-A008</t>
  </si>
  <si>
    <t>LB-A009</t>
  </si>
  <si>
    <t>CC-001-A2</t>
  </si>
  <si>
    <t>HT-B002</t>
  </si>
  <si>
    <t>RC-A004</t>
  </si>
  <si>
    <t>RC-A005</t>
  </si>
  <si>
    <t>CPIP-M-001 -A01</t>
  </si>
  <si>
    <t>TZ-N005</t>
  </si>
  <si>
    <t>PS-B103</t>
  </si>
  <si>
    <t>PSB-B002</t>
  </si>
  <si>
    <t>Requested</t>
  </si>
  <si>
    <t>Changes</t>
  </si>
  <si>
    <t>Required Adjustments</t>
  </si>
  <si>
    <t>Linked to table 1</t>
  </si>
  <si>
    <t>RECOMMENDED REDUCTIONS*</t>
  </si>
  <si>
    <t>NET BUDGET TARGET</t>
  </si>
  <si>
    <t>$ Over / (Under) Net Budget Target</t>
  </si>
  <si>
    <t>% Over / (Under) Net Budget Target</t>
  </si>
  <si>
    <t>PROGRAM TARGET (% / $)</t>
  </si>
  <si>
    <t>Generated from 2009 Net</t>
  </si>
  <si>
    <t>REDUCTION TARGET (% / $)</t>
  </si>
  <si>
    <t>Reduction Target % Achieved</t>
  </si>
  <si>
    <t>ADDITIONAL PRESSURE TARGET (% / $)</t>
  </si>
  <si>
    <t>Linked to table 3a</t>
  </si>
  <si>
    <t>Linked to table 4</t>
  </si>
  <si>
    <t>Linked to table 4 and table 3</t>
  </si>
  <si>
    <t>Additional Pressure Target % Achieved</t>
  </si>
  <si>
    <t>Non-labour economic factor</t>
  </si>
  <si>
    <t>Econ Factors - library material</t>
  </si>
  <si>
    <t>Total Base</t>
  </si>
  <si>
    <t>Total Base (adjusted for COLA)</t>
  </si>
  <si>
    <t>New</t>
  </si>
  <si>
    <t>2009 Approved Budget (adjusted for 2009 COLA)</t>
  </si>
  <si>
    <t>Total 2010 Base Budget (per submission)</t>
  </si>
  <si>
    <t>Funding Source</t>
  </si>
  <si>
    <t>Total Library Material Budget</t>
  </si>
  <si>
    <t>Comment</t>
  </si>
  <si>
    <t>Year</t>
  </si>
  <si>
    <t>Development Charges</t>
  </si>
  <si>
    <t>City                 Funded (Property taxes)</t>
  </si>
  <si>
    <t>2004 Approved Materials Budget</t>
  </si>
  <si>
    <t xml:space="preserve"> - Library Materials impacts from Capital Projects</t>
  </si>
  <si>
    <t xml:space="preserve"> - Inflationary Increase (4%)</t>
  </si>
  <si>
    <t xml:space="preserve"> - Inflationary Increase (3%)</t>
  </si>
  <si>
    <t xml:space="preserve"> - Inflationary Increase (2%) </t>
  </si>
  <si>
    <t xml:space="preserve"> - Reversal of one-time additional DC draw of $0.350M in 07</t>
  </si>
  <si>
    <t xml:space="preserve"> - recommended reduction in reserve draw for Lib. Material</t>
  </si>
  <si>
    <t>2010 Materials Budget Recommended</t>
  </si>
  <si>
    <t>Project Name</t>
  </si>
  <si>
    <t>2014 Plan</t>
  </si>
  <si>
    <t>2010 - 2014         Capital Plan</t>
  </si>
  <si>
    <t>2015 - 2019          Capital Plan</t>
  </si>
  <si>
    <t xml:space="preserve">Total                                          2010 - 2019 </t>
  </si>
  <si>
    <t>$000's</t>
  </si>
  <si>
    <t>Positions</t>
  </si>
  <si>
    <t>Previously Approved Projects</t>
  </si>
  <si>
    <t>Cedarbrae District Library</t>
  </si>
  <si>
    <t>Sanderson Neighbourhood Library</t>
  </si>
  <si>
    <t>Brentwood Library</t>
  </si>
  <si>
    <t>Waterfront Neighbourhood Library</t>
  </si>
  <si>
    <t>St. Lawrence Neighbourhood Library</t>
  </si>
  <si>
    <t>Scarborough Centre Neighbourhood Library</t>
  </si>
  <si>
    <t>Malvern District Library</t>
  </si>
  <si>
    <t>Toronto Reference Library</t>
  </si>
  <si>
    <t>Mount Dennis Neighbourhood Library</t>
  </si>
  <si>
    <t>York Woods Library</t>
  </si>
  <si>
    <t>Fairview Library Theatre</t>
  </si>
  <si>
    <t>Bayview Neighbourhood Library</t>
  </si>
  <si>
    <t>New Projects - Future Year</t>
  </si>
  <si>
    <t>Parliament District Library</t>
  </si>
  <si>
    <t>Northern District Library</t>
  </si>
  <si>
    <t>Albion District Library</t>
  </si>
  <si>
    <t>Agincourt District Library</t>
  </si>
  <si>
    <t>Ellesmere Renovation and Expansion</t>
  </si>
  <si>
    <t>Dawes Road Neighbourhood Library</t>
  </si>
  <si>
    <t>St. Clair/Silverthorn Neighbourhood Library</t>
  </si>
  <si>
    <t>Total Recommended (Net)</t>
  </si>
  <si>
    <t>2013 Outlook</t>
  </si>
  <si>
    <t>2012 Outlook</t>
  </si>
  <si>
    <t>CLUSTER: Agencies, Boards and Commissions</t>
  </si>
  <si>
    <t>PROGRAM: Toronto Public Library</t>
  </si>
  <si>
    <t>Missing: annualization of projects completed in 2009:</t>
  </si>
  <si>
    <t>Bloor Gladstone</t>
  </si>
  <si>
    <t>Thorncliffe</t>
  </si>
  <si>
    <t>St. Lawrence</t>
  </si>
  <si>
    <t>2011 Submission</t>
  </si>
  <si>
    <t>2011 Outlook: 2011 submission vs 2010 approved</t>
  </si>
  <si>
    <t>2012 Outlook: 2011 submission vs 2010 approved</t>
  </si>
  <si>
    <t>Table 2: 2010 Budget Variance Review</t>
  </si>
  <si>
    <t>2009
Actuals</t>
  </si>
  <si>
    <t>2010          Approved
Budget</t>
  </si>
  <si>
    <t>2010
Projected
Actuals*</t>
  </si>
  <si>
    <t>2010 Appvd. Budget vs Projected Actuals Variance</t>
  </si>
  <si>
    <t>* Based on the Second Quarter Operating Budget Variance Report.</t>
  </si>
  <si>
    <t xml:space="preserve">Table 3: 2011 Recommended Base Budget </t>
  </si>
  <si>
    <t>2010 Appvd. Budget</t>
  </si>
  <si>
    <t>2011 Requested Base</t>
  </si>
  <si>
    <t>2011 Recommended Base</t>
  </si>
  <si>
    <t>Change 
2011 Recommended Base v. 
2010 Appvd. Budget</t>
  </si>
  <si>
    <t>2011 Rec. Budget</t>
  </si>
  <si>
    <t xml:space="preserve"> 2011 - 2020 OPERATING IMPACT OF CAPITAL </t>
  </si>
  <si>
    <t>New Projects - 2011</t>
  </si>
  <si>
    <t>2010 Approved</t>
  </si>
  <si>
    <t>2010 In-year Adjustment</t>
  </si>
  <si>
    <t>2011 Rec'd Cap Plan</t>
  </si>
  <si>
    <t>2010 Approved Positions</t>
  </si>
  <si>
    <t>Total Rec'd Positions</t>
  </si>
  <si>
    <t>2011 Rec'd Operating Budget</t>
  </si>
  <si>
    <t>2011 Rec'd Cap Budget</t>
    <phoneticPr fontId="31" type="noConversion"/>
  </si>
  <si>
    <t>2011 Rec'd Capital Budget: Temporary positions - Capital Project Delivery</t>
    <phoneticPr fontId="31" type="noConversion"/>
  </si>
  <si>
    <t>2011 Rec'd Capital Plan: Temporary positions - Capital Project Delivery</t>
    <phoneticPr fontId="31" type="noConversion"/>
  </si>
  <si>
    <t/>
  </si>
  <si>
    <t>2011 Incremental Base Budget</t>
  </si>
  <si>
    <t>2011 Service Change</t>
  </si>
  <si>
    <t>Actual</t>
  </si>
  <si>
    <t>2011</t>
  </si>
  <si>
    <t>2012</t>
  </si>
  <si>
    <t xml:space="preserve">Budget </t>
  </si>
  <si>
    <t>Change  - 2012 Recommended Operating Budget v. 2011 Appvd. Budget</t>
  </si>
  <si>
    <t>2011 Approved Operating Budget</t>
  </si>
  <si>
    <t>2011 Appvd.  Budget</t>
  </si>
  <si>
    <t>2011 Projected Actual</t>
  </si>
  <si>
    <t>2012 Rec. Base</t>
  </si>
  <si>
    <t>2012  Rec. New/Enhanced</t>
  </si>
  <si>
    <t>2012 Rec.   Budget</t>
  </si>
  <si>
    <t>2011 Appvd. Budget</t>
  </si>
  <si>
    <t>2012 Recommended Base</t>
  </si>
  <si>
    <t>Change 
2012 Recommended Base v. 
2011 Appvd. Budget</t>
  </si>
  <si>
    <t>2011 Approved Positions</t>
  </si>
  <si>
    <t>Total Recommended Positions</t>
  </si>
  <si>
    <t>Staff</t>
  </si>
  <si>
    <t>Complement</t>
  </si>
  <si>
    <t>2011 Approved Staff Complement</t>
  </si>
  <si>
    <t>2012 Recommended Service Changes</t>
  </si>
  <si>
    <t>Gross Expense</t>
  </si>
  <si>
    <t>Net Expense</t>
  </si>
  <si>
    <t># Pos.</t>
  </si>
  <si>
    <t>Sub-Total Base Budget Changes</t>
  </si>
  <si>
    <t>Service Efficiencies</t>
  </si>
  <si>
    <t>Base Expenditure Changes</t>
  </si>
  <si>
    <t>Base Revenue Changes</t>
  </si>
  <si>
    <t>Total 2012 New/Enhanced Requests</t>
  </si>
  <si>
    <t>2012 Not Proposed</t>
  </si>
  <si>
    <t>2012 Recommended</t>
  </si>
  <si>
    <t>2012 Change from</t>
  </si>
  <si>
    <t>2011 Approved</t>
  </si>
  <si>
    <t>Category of Expense</t>
  </si>
  <si>
    <t>Table 3: 2012 Recommended Staff Complement - Base Budget Summary</t>
  </si>
  <si>
    <t>Table 4 - 2012 Recommended Service Change Summary</t>
  </si>
  <si>
    <t>Table 1: 2012 Recommended Operating Budget</t>
  </si>
  <si>
    <t>Note file linked toTable 1 - 2012 Rec' Budget - Net Budget for % change</t>
  </si>
  <si>
    <t>Table 5 - 2012 New / Enhanced Service Priority Actions: Summary</t>
  </si>
  <si>
    <t xml:space="preserve"> - 2012 Temporary Positions -  Capital Project Delivery</t>
  </si>
  <si>
    <t>Sub-Total Revenue Adjustments</t>
  </si>
  <si>
    <t>2012 Operating Budget Directions and Guidelines - Appendix 1</t>
  </si>
  <si>
    <t>http://insideto.toronto.ca/budget2012/pdf/opmemo.pdf</t>
  </si>
  <si>
    <t xml:space="preserve">Insert  2012 reduction target per Joe Pennachetti  memo to Programs and Agencies s on April 18, 2011 </t>
  </si>
  <si>
    <t>Target Comparison</t>
  </si>
  <si>
    <t>10% Reduction Target</t>
  </si>
  <si>
    <t>2012 Reductions</t>
  </si>
  <si>
    <t>2012 Rec.'d Reduction</t>
  </si>
  <si>
    <t>2012 10% Reduction vs. 2012 Rec'd Reduction</t>
  </si>
  <si>
    <t>Note file linked to Table 1 - 2012 Rec'd Budget</t>
  </si>
  <si>
    <t xml:space="preserve"> - 2011 In-year Adjustments</t>
  </si>
  <si>
    <t xml:space="preserve"> - 2012 Operating Impacts of completed Capital Projects</t>
  </si>
  <si>
    <t>% of 2012 Budget Reduction Target</t>
  </si>
  <si>
    <t>Sub-Total Service Efficiencies</t>
  </si>
  <si>
    <t>Total Service Changes</t>
  </si>
  <si>
    <t>(a) New Services</t>
  </si>
  <si>
    <t>(b) New Fees</t>
  </si>
  <si>
    <t>Target              %</t>
  </si>
  <si>
    <t xml:space="preserve">Table 2: 2012 Recommended Base Budget                    </t>
  </si>
  <si>
    <t>2012 1Rec'd Reduction vs. 2012 10% Reduction Target</t>
  </si>
  <si>
    <t>2012 Recommended Staff Complement Changes</t>
  </si>
  <si>
    <t xml:space="preserve"> - 2012 Service Changes </t>
  </si>
  <si>
    <t>Sub-Total Minor Service Impacts</t>
  </si>
  <si>
    <t>Sub-Total Major Service Impacts</t>
  </si>
  <si>
    <t>Position Changes</t>
  </si>
  <si>
    <t xml:space="preserve">(In $000s)                                                                                                           </t>
  </si>
  <si>
    <t>Efficency Measure</t>
  </si>
  <si>
    <t>2005 Actual</t>
  </si>
  <si>
    <t>2006 Actual</t>
  </si>
  <si>
    <t>2007 Actual</t>
  </si>
  <si>
    <t>2008 Actual</t>
  </si>
  <si>
    <t>2009 Actual</t>
  </si>
  <si>
    <t>2010 Actual</t>
  </si>
  <si>
    <t>2011 Projected</t>
  </si>
  <si>
    <t>2012 Target</t>
  </si>
  <si>
    <t>2013 Target</t>
  </si>
  <si>
    <t># winter events</t>
  </si>
  <si>
    <t>Operating cost per lane km</t>
  </si>
  <si>
    <t>Major Servcies</t>
  </si>
  <si>
    <t>Can incoproate bar charts, line charts - your choice</t>
  </si>
  <si>
    <t xml:space="preserve">Appendix 1 - 2011 Performance Measure - Effectiveness and Efficiency </t>
  </si>
  <si>
    <t>Example :</t>
  </si>
  <si>
    <t>2012 Operating Budget</t>
  </si>
  <si>
    <t>Community Centre</t>
  </si>
  <si>
    <t>Applegrove</t>
  </si>
  <si>
    <t>A-Eco</t>
  </si>
  <si>
    <t>Community Centre 55</t>
  </si>
  <si>
    <t>Eastview</t>
  </si>
  <si>
    <t>Harbourfront</t>
  </si>
  <si>
    <t>Ralph Thornton Centre</t>
  </si>
  <si>
    <t>A-Fringe</t>
  </si>
  <si>
    <t>Cecil</t>
  </si>
  <si>
    <t>Central Eglinton</t>
  </si>
  <si>
    <t>Scadding</t>
  </si>
  <si>
    <t>Swansea</t>
  </si>
  <si>
    <t>A-Leap</t>
  </si>
  <si>
    <t>519 Church</t>
  </si>
  <si>
    <t>A-Prior</t>
  </si>
  <si>
    <t>B-Audit</t>
  </si>
  <si>
    <t>B-One</t>
  </si>
  <si>
    <t>B-Rev</t>
  </si>
  <si>
    <t>Z-Eff</t>
  </si>
  <si>
    <t>Z-Hours</t>
  </si>
  <si>
    <t>Z-Salary</t>
  </si>
  <si>
    <t>Grand Total</t>
  </si>
  <si>
    <t>(amounts in $000's)</t>
  </si>
  <si>
    <t xml:space="preserve"> 2012 Operating Budget - Base Pressures</t>
  </si>
  <si>
    <t>In-Year Adjustments</t>
  </si>
  <si>
    <t>2011 Adjusted Operating Budget</t>
  </si>
  <si>
    <t>A-Leap
Year</t>
  </si>
  <si>
    <t>A-Prior
Yr Impact</t>
  </si>
  <si>
    <t>Sub-Total Prior Year Impacts</t>
  </si>
  <si>
    <t>Progression
Pay</t>
  </si>
  <si>
    <t>Step Pay</t>
  </si>
  <si>
    <t>Sub-Total Pay Increase</t>
  </si>
  <si>
    <t>A-Fringe
Benefits</t>
  </si>
  <si>
    <t>A-Economic
Factor</t>
  </si>
  <si>
    <t>Adjusted Base Changes</t>
  </si>
  <si>
    <t>B-Audit
Fee
Increase</t>
  </si>
  <si>
    <t>B-Salary
Adjustment</t>
  </si>
  <si>
    <t>B-One
Time Charges</t>
  </si>
  <si>
    <t>B-Revenue</t>
  </si>
  <si>
    <t>Base Changes</t>
  </si>
  <si>
    <t>2012 Requested Base Budget</t>
  </si>
  <si>
    <t>% Base Pressures Change</t>
  </si>
  <si>
    <t>Service Changes</t>
  </si>
  <si>
    <t>2012 Budget After Changes</t>
  </si>
  <si>
    <t>% Change of 2011 Adjusted Operating Budget</t>
  </si>
  <si>
    <t>FTE Changes</t>
  </si>
  <si>
    <t>519 Church (Note 1)</t>
  </si>
  <si>
    <t>Applegrove (Note 2)</t>
  </si>
  <si>
    <t>Eastview (Note 3)</t>
  </si>
  <si>
    <t>Harbourfront (note 4)</t>
  </si>
  <si>
    <t>Scadding (Note 5)</t>
  </si>
  <si>
    <t>Swansea (Note 6)</t>
  </si>
  <si>
    <t>Recommended 2012 Operating Budget</t>
  </si>
  <si>
    <t>Note 1: Adjustments to salaries for 519, Central Eglinton and Harbourfront based on hiring of new staff into positions previously occupied by long time incumbents</t>
  </si>
  <si>
    <t>Note 2: Applegrove's in -year adjustments include $47.4k of rent budget transferred to Facilities &amp; Real Estate</t>
  </si>
  <si>
    <t>Note 3: Eastview's $32.8k one time charges relates to Exec Director's sick time payout upon retirement in 2012</t>
  </si>
  <si>
    <t>Note 4: Harbourfront's prior-year impact of $4.8k is a reversal of temporary facilities rental for a program no longer required</t>
  </si>
  <si>
    <t>Note 5: Scadding's $3.9k one time charges relates to vacation pay paid to maternity backfilling</t>
  </si>
  <si>
    <t>Note 6: Swansea's revenue increase of $53.6k relates to increase in room rentals, day care revenue, and cost sharing of maintenance and utilities by Toronto Public Health Dental Clinic</t>
  </si>
  <si>
    <t>non-Recommended Reductions</t>
  </si>
  <si>
    <t>TOTAL</t>
  </si>
  <si>
    <t>Reduction in Materials &amp; Supplies and Services &amp; Rents</t>
  </si>
  <si>
    <t>Contribution to Capital</t>
  </si>
  <si>
    <t>Contributions to Res/Res Fund</t>
  </si>
  <si>
    <t>Contribution from Res/Res Fund</t>
  </si>
  <si>
    <t>Other Revenue</t>
  </si>
  <si>
    <t>Actual **</t>
  </si>
  <si>
    <t>** 2011 Projected Actuals based on 9 month Year-End Projections</t>
  </si>
  <si>
    <t>AGENCY, BOARD OR COMMISSION NAME</t>
  </si>
  <si>
    <t xml:space="preserve"> 2012 Operating Budget</t>
  </si>
  <si>
    <t>2012 FINANCIAL PLAN BY CATEGORY OF CHANGE</t>
  </si>
  <si>
    <t xml:space="preserve"> PROGRAM: </t>
  </si>
  <si>
    <t>(Consolidated)</t>
  </si>
  <si>
    <t>Prior</t>
  </si>
  <si>
    <t>Pay</t>
  </si>
  <si>
    <t>Zero</t>
  </si>
  <si>
    <t>Other</t>
  </si>
  <si>
    <t>Existing</t>
  </si>
  <si>
    <t>Proj.</t>
  </si>
  <si>
    <t xml:space="preserve">Performance </t>
  </si>
  <si>
    <t>Step</t>
  </si>
  <si>
    <t>Based</t>
  </si>
  <si>
    <t>Economic</t>
  </si>
  <si>
    <t>Adjust.</t>
  </si>
  <si>
    <t>Base</t>
  </si>
  <si>
    <t>Revenue</t>
  </si>
  <si>
    <t>Service</t>
  </si>
  <si>
    <t>Financial</t>
  </si>
  <si>
    <t xml:space="preserve">Actual </t>
  </si>
  <si>
    <t>Impacts</t>
  </si>
  <si>
    <t>Increases</t>
  </si>
  <si>
    <t>Items</t>
  </si>
  <si>
    <t>Factors</t>
  </si>
  <si>
    <t>Services</t>
  </si>
  <si>
    <t>Plan</t>
  </si>
  <si>
    <t>Approved Budget</t>
  </si>
  <si>
    <t>$000s</t>
  </si>
  <si>
    <t>TOTAL GROSS EXPEND.</t>
  </si>
  <si>
    <t>TOTAL NET EXPEND.</t>
  </si>
  <si>
    <t>PERMANENT</t>
  </si>
  <si>
    <t>TEMP/SEASONAL/CASUAL</t>
  </si>
  <si>
    <t>Major Issues</t>
  </si>
  <si>
    <t>1.</t>
  </si>
  <si>
    <t>2.</t>
  </si>
  <si>
    <t>CHECK</t>
  </si>
  <si>
    <t>Gross total</t>
  </si>
  <si>
    <t>Revenue totals</t>
  </si>
  <si>
    <t>Net total</t>
  </si>
  <si>
    <t>Perm.</t>
  </si>
  <si>
    <t>Centre</t>
  </si>
  <si>
    <t>Swansea Town Hall - Increase in Revenues</t>
  </si>
  <si>
    <t>519 Church Street Community Centre</t>
  </si>
  <si>
    <t>Applegrove Community Complex</t>
  </si>
  <si>
    <t>Cecil Community Centre</t>
  </si>
  <si>
    <t>Central Eglinton Community Centre</t>
  </si>
  <si>
    <t>Eastview Neighbourhood Community Centre</t>
  </si>
  <si>
    <t>Harbourfront Community Centre</t>
  </si>
  <si>
    <t>Scadding Court Community Centre</t>
  </si>
  <si>
    <t>Swansea Town Hall</t>
  </si>
  <si>
    <t>2012 Recommended Operating Budget</t>
  </si>
  <si>
    <t>amounts in $'000s</t>
  </si>
  <si>
    <t>2011
Approved Operating Budget (Net)</t>
  </si>
  <si>
    <t>2012
Recommended Operating Budget (net)</t>
  </si>
  <si>
    <t>2012 Recommended Operating Budget (net) vs. 2011 Approved Operating Budget (net)</t>
  </si>
  <si>
    <t>Target Reduction %</t>
  </si>
  <si>
    <t>Gross</t>
  </si>
  <si>
    <t>Reduction Achieved %</t>
  </si>
  <si>
    <t>* Based on draft 2010 audited Financial Statements</t>
  </si>
</sst>
</file>

<file path=xl/styles.xml><?xml version="1.0" encoding="utf-8"?>
<styleSheet xmlns="http://schemas.openxmlformats.org/spreadsheetml/2006/main">
  <numFmts count="3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;[Red]\-&quot;$&quot;#,##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#,##0.0;\(#,##0.0\)"/>
    <numFmt numFmtId="168" formatCode="#,##0.0;[Red]\(#,##0.0\)"/>
    <numFmt numFmtId="169" formatCode="_-* #,##0.0_-;\-* #,##0.0_-;_-* &quot;-&quot;??_-;_-@_-"/>
    <numFmt numFmtId="170" formatCode="0.0"/>
    <numFmt numFmtId="171" formatCode="_(* #,##0.0_);_(* \(#,##0.0\);_(* &quot;-&quot;??_);_(@_)"/>
    <numFmt numFmtId="172" formatCode="#,##0.0_);[Red]\(#,##0.0\)"/>
    <numFmt numFmtId="173" formatCode="#,##0.0_);\(#,##0.0\);_-@_-"/>
    <numFmt numFmtId="174" formatCode="0.0%"/>
    <numFmt numFmtId="175" formatCode="_(* #,##0.0_);_(* \(#,##0.0\);_(* &quot;-&quot;?_);_(@_)"/>
    <numFmt numFmtId="176" formatCode="_-* #,##0_-;\-* #,##0_-;_-* &quot;-&quot;??_-;_-@_-"/>
    <numFmt numFmtId="177" formatCode="0_)"/>
    <numFmt numFmtId="178" formatCode="0.0%;[Red]\(0.0%\)"/>
    <numFmt numFmtId="179" formatCode="&quot;$&quot;#,##0.000"/>
    <numFmt numFmtId="180" formatCode="_(* #,##0.000_);_(* \(#,##0.000\);_(* &quot;-&quot;??_);_(@_)"/>
    <numFmt numFmtId="181" formatCode="0.0,"/>
    <numFmt numFmtId="182" formatCode="0.00000000000"/>
    <numFmt numFmtId="183" formatCode="[$-409]mmmm\ d\,\ yyyy;@"/>
    <numFmt numFmtId="184" formatCode="0_);[Red]\(0\)"/>
    <numFmt numFmtId="185" formatCode="#,##0.0_);\(#,##0.0\)"/>
    <numFmt numFmtId="186" formatCode="#,##0.0"/>
    <numFmt numFmtId="187" formatCode="#,##0.00_);\(#,##0.00\);_-@_-"/>
    <numFmt numFmtId="188" formatCode="#,##0.0000_);\(#,##0.0000\);_-@_-"/>
    <numFmt numFmtId="189" formatCode="_-* #,##0.0_-;\-* #,##0.0_-;_-* &quot;-&quot;?_-;_-@_-"/>
    <numFmt numFmtId="190" formatCode="0.0%;\(0.0%\)"/>
    <numFmt numFmtId="191" formatCode="#,##0.00000"/>
  </numFmts>
  <fonts count="51"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4"/>
      <name val="Times New Roman"/>
      <family val="1"/>
    </font>
    <font>
      <sz val="9"/>
      <name val="宋体"/>
      <charset val="134"/>
    </font>
    <font>
      <sz val="10"/>
      <name val="Arial"/>
      <family val="2"/>
    </font>
    <font>
      <sz val="12"/>
      <name val="Arial"/>
      <family val="2"/>
    </font>
    <font>
      <b/>
      <sz val="12"/>
      <name val="Times Roman"/>
      <family val="1"/>
    </font>
    <font>
      <b/>
      <sz val="10"/>
      <name val="Times Roman"/>
      <family val="1"/>
    </font>
    <font>
      <sz val="10"/>
      <name val="Times Roman"/>
      <family val="1"/>
    </font>
    <font>
      <b/>
      <sz val="11"/>
      <color rgb="FF000000"/>
      <name val="Arial Narrow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4"/>
      <color indexed="12"/>
      <name val="Times New Roman"/>
      <family val="1"/>
    </font>
    <font>
      <b/>
      <sz val="14"/>
      <color indexed="48"/>
      <name val="Times New Roman"/>
      <family val="1"/>
    </font>
    <font>
      <sz val="10"/>
      <name val="Arial"/>
      <family val="2"/>
    </font>
    <font>
      <b/>
      <sz val="10"/>
      <color indexed="12"/>
      <name val="Times New Roman"/>
      <family val="1"/>
    </font>
    <font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8"/>
      <name val="Times New Roman"/>
      <family val="1"/>
    </font>
    <font>
      <b/>
      <sz val="10"/>
      <color indexed="53"/>
      <name val="Times New Roman"/>
      <family val="1"/>
    </font>
    <font>
      <sz val="10"/>
      <color indexed="53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1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1"/>
      </bottom>
      <diagonal/>
    </border>
    <border>
      <left style="thin">
        <color indexed="64"/>
      </left>
      <right/>
      <top/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/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/>
      <diagonal/>
    </border>
    <border>
      <left/>
      <right style="thin">
        <color indexed="64"/>
      </right>
      <top/>
      <bottom style="thin">
        <color indexed="41"/>
      </bottom>
      <diagonal/>
    </border>
    <border>
      <left/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3">
    <xf numFmtId="183" fontId="0" fillId="0" borderId="0"/>
    <xf numFmtId="166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ont="0" applyFill="0" applyBorder="0" applyAlignment="0" applyProtection="0"/>
    <xf numFmtId="183" fontId="11" fillId="0" borderId="0"/>
    <xf numFmtId="9" fontId="6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6" fillId="0" borderId="0" applyFont="0" applyFill="0" applyBorder="0" applyAlignment="0" applyProtection="0"/>
    <xf numFmtId="0" fontId="4" fillId="0" borderId="0"/>
    <xf numFmtId="0" fontId="3" fillId="0" borderId="0"/>
    <xf numFmtId="0" fontId="6" fillId="0" borderId="0"/>
    <xf numFmtId="166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178">
    <xf numFmtId="183" fontId="0" fillId="0" borderId="0" xfId="0"/>
    <xf numFmtId="183" fontId="8" fillId="0" borderId="1" xfId="0" applyFont="1" applyBorder="1" applyAlignment="1">
      <alignment horizontal="center" vertical="center" wrapText="1"/>
    </xf>
    <xf numFmtId="183" fontId="11" fillId="0" borderId="0" xfId="0" applyFont="1" applyBorder="1"/>
    <xf numFmtId="183" fontId="9" fillId="0" borderId="0" xfId="0" applyFont="1"/>
    <xf numFmtId="183" fontId="8" fillId="0" borderId="2" xfId="0" applyFont="1" applyBorder="1" applyAlignment="1">
      <alignment horizontal="center" vertical="center"/>
    </xf>
    <xf numFmtId="183" fontId="8" fillId="0" borderId="0" xfId="0" applyFont="1" applyFill="1" applyBorder="1" applyAlignment="1">
      <alignment horizontal="center" vertical="center"/>
    </xf>
    <xf numFmtId="183" fontId="8" fillId="0" borderId="3" xfId="0" applyFont="1" applyBorder="1" applyAlignment="1">
      <alignment horizontal="center" vertical="center"/>
    </xf>
    <xf numFmtId="183" fontId="9" fillId="0" borderId="0" xfId="0" applyFont="1" applyFill="1"/>
    <xf numFmtId="183" fontId="8" fillId="0" borderId="0" xfId="0" applyFont="1" applyBorder="1" applyAlignment="1">
      <alignment horizontal="center" vertical="center"/>
    </xf>
    <xf numFmtId="183" fontId="7" fillId="0" borderId="0" xfId="0" applyFont="1" applyBorder="1" applyAlignment="1">
      <alignment horizontal="center" vertical="center"/>
    </xf>
    <xf numFmtId="183" fontId="8" fillId="0" borderId="0" xfId="0" quotePrefix="1" applyFont="1" applyBorder="1" applyAlignment="1">
      <alignment horizontal="center" vertical="center"/>
    </xf>
    <xf numFmtId="183" fontId="17" fillId="0" borderId="0" xfId="0" applyFont="1"/>
    <xf numFmtId="168" fontId="9" fillId="0" borderId="0" xfId="0" applyNumberFormat="1" applyFont="1" applyFill="1" applyBorder="1"/>
    <xf numFmtId="174" fontId="9" fillId="0" borderId="0" xfId="0" applyNumberFormat="1" applyFont="1" applyFill="1" applyAlignment="1">
      <alignment horizontal="right"/>
    </xf>
    <xf numFmtId="183" fontId="7" fillId="0" borderId="0" xfId="0" applyFont="1" applyBorder="1" applyAlignment="1">
      <alignment vertical="center"/>
    </xf>
    <xf numFmtId="183" fontId="15" fillId="0" borderId="0" xfId="0" applyFont="1" applyBorder="1" applyAlignment="1"/>
    <xf numFmtId="183" fontId="15" fillId="0" borderId="0" xfId="0" applyFont="1" applyAlignment="1"/>
    <xf numFmtId="183" fontId="19" fillId="0" borderId="0" xfId="0" applyFont="1"/>
    <xf numFmtId="183" fontId="8" fillId="2" borderId="3" xfId="0" applyFont="1" applyFill="1" applyBorder="1" applyAlignment="1">
      <alignment horizontal="center" vertical="center"/>
    </xf>
    <xf numFmtId="183" fontId="19" fillId="0" borderId="0" xfId="0" applyFont="1" applyBorder="1" applyAlignment="1">
      <alignment horizontal="center"/>
    </xf>
    <xf numFmtId="183" fontId="19" fillId="0" borderId="0" xfId="0" applyFont="1" applyBorder="1"/>
    <xf numFmtId="183" fontId="19" fillId="0" borderId="4" xfId="0" applyFont="1" applyBorder="1"/>
    <xf numFmtId="183" fontId="19" fillId="0" borderId="0" xfId="0" applyFont="1" applyBorder="1" applyAlignment="1">
      <alignment vertical="center"/>
    </xf>
    <xf numFmtId="183" fontId="19" fillId="0" borderId="5" xfId="0" applyFont="1" applyBorder="1"/>
    <xf numFmtId="183" fontId="8" fillId="2" borderId="5" xfId="0" applyFont="1" applyFill="1" applyBorder="1" applyAlignment="1">
      <alignment horizontal="centerContinuous" vertical="center" wrapText="1"/>
    </xf>
    <xf numFmtId="183" fontId="19" fillId="0" borderId="0" xfId="0" applyFont="1" applyAlignment="1">
      <alignment vertical="center"/>
    </xf>
    <xf numFmtId="38" fontId="19" fillId="0" borderId="0" xfId="0" applyNumberFormat="1" applyFont="1" applyBorder="1"/>
    <xf numFmtId="183" fontId="7" fillId="0" borderId="0" xfId="0" applyFont="1" applyBorder="1" applyAlignment="1">
      <alignment horizontal="centerContinuous" vertical="center"/>
    </xf>
    <xf numFmtId="183" fontId="10" fillId="0" borderId="0" xfId="0" applyFont="1" applyBorder="1" applyAlignment="1">
      <alignment horizontal="centerContinuous" vertical="center"/>
    </xf>
    <xf numFmtId="183" fontId="12" fillId="0" borderId="0" xfId="0" applyFont="1"/>
    <xf numFmtId="170" fontId="9" fillId="0" borderId="0" xfId="1" applyNumberFormat="1" applyFont="1" applyFill="1" applyBorder="1" applyAlignment="1">
      <alignment horizontal="right" vertical="center"/>
    </xf>
    <xf numFmtId="183" fontId="8" fillId="0" borderId="9" xfId="0" applyFont="1" applyBorder="1"/>
    <xf numFmtId="183" fontId="8" fillId="2" borderId="10" xfId="0" applyFont="1" applyFill="1" applyBorder="1" applyAlignment="1">
      <alignment horizontal="centerContinuous" vertical="center" wrapText="1"/>
    </xf>
    <xf numFmtId="183" fontId="9" fillId="0" borderId="2" xfId="0" applyFont="1" applyFill="1" applyBorder="1" applyAlignment="1">
      <alignment horizontal="left" vertical="center" indent="1"/>
    </xf>
    <xf numFmtId="183" fontId="8" fillId="0" borderId="2" xfId="0" applyFont="1" applyFill="1" applyBorder="1" applyAlignment="1">
      <alignment horizontal="left" vertical="center"/>
    </xf>
    <xf numFmtId="183" fontId="9" fillId="0" borderId="2" xfId="0" applyFont="1" applyFill="1" applyBorder="1" applyAlignment="1">
      <alignment horizontal="left" vertical="center" wrapText="1"/>
    </xf>
    <xf numFmtId="167" fontId="19" fillId="0" borderId="0" xfId="0" applyNumberFormat="1" applyFont="1" applyBorder="1"/>
    <xf numFmtId="169" fontId="8" fillId="0" borderId="0" xfId="1" applyNumberFormat="1" applyFont="1" applyFill="1" applyBorder="1" applyAlignment="1">
      <alignment horizontal="right" vertical="center"/>
    </xf>
    <xf numFmtId="8" fontId="17" fillId="0" borderId="0" xfId="0" applyNumberFormat="1" applyFont="1"/>
    <xf numFmtId="183" fontId="18" fillId="0" borderId="0" xfId="0" applyFont="1" applyFill="1" applyAlignment="1">
      <alignment horizontal="center"/>
    </xf>
    <xf numFmtId="183" fontId="8" fillId="0" borderId="0" xfId="0" applyFont="1" applyFill="1" applyBorder="1" applyAlignment="1">
      <alignment horizontal="center" vertical="center" wrapText="1"/>
    </xf>
    <xf numFmtId="170" fontId="9" fillId="0" borderId="0" xfId="1" applyNumberFormat="1" applyFont="1" applyFill="1" applyBorder="1" applyAlignment="1">
      <alignment horizontal="center" vertical="center"/>
    </xf>
    <xf numFmtId="169" fontId="9" fillId="0" borderId="0" xfId="1" applyNumberFormat="1" applyFont="1" applyFill="1" applyBorder="1" applyAlignment="1">
      <alignment horizontal="center" vertical="center"/>
    </xf>
    <xf numFmtId="183" fontId="6" fillId="0" borderId="0" xfId="0" applyFont="1"/>
    <xf numFmtId="183" fontId="8" fillId="0" borderId="14" xfId="0" applyFont="1" applyFill="1" applyBorder="1" applyAlignment="1">
      <alignment horizontal="left" vertical="center"/>
    </xf>
    <xf numFmtId="183" fontId="6" fillId="0" borderId="0" xfId="0" applyFont="1" applyFill="1" applyBorder="1" applyAlignment="1">
      <alignment horizontal="center" vertical="center" wrapText="1"/>
    </xf>
    <xf numFmtId="183" fontId="6" fillId="0" borderId="0" xfId="0" applyFont="1" applyFill="1"/>
    <xf numFmtId="183" fontId="16" fillId="0" borderId="0" xfId="4" applyFont="1" applyBorder="1" applyAlignment="1">
      <alignment horizontal="center"/>
    </xf>
    <xf numFmtId="183" fontId="16" fillId="0" borderId="0" xfId="4" applyFont="1" applyFill="1" applyBorder="1" applyAlignment="1" applyProtection="1">
      <alignment horizontal="center"/>
    </xf>
    <xf numFmtId="183" fontId="7" fillId="0" borderId="0" xfId="4" applyFont="1" applyFill="1" applyAlignment="1" applyProtection="1">
      <alignment horizontal="centerContinuous"/>
    </xf>
    <xf numFmtId="183" fontId="9" fillId="0" borderId="15" xfId="4" applyFont="1" applyFill="1" applyBorder="1" applyProtection="1"/>
    <xf numFmtId="169" fontId="9" fillId="0" borderId="15" xfId="1" applyNumberFormat="1" applyFont="1" applyFill="1" applyBorder="1" applyProtection="1"/>
    <xf numFmtId="183" fontId="9" fillId="0" borderId="0" xfId="4" applyFont="1" applyFill="1" applyBorder="1" applyProtection="1"/>
    <xf numFmtId="183" fontId="8" fillId="0" borderId="16" xfId="4" quotePrefix="1" applyFont="1" applyFill="1" applyBorder="1" applyProtection="1"/>
    <xf numFmtId="183" fontId="8" fillId="0" borderId="17" xfId="4" applyFont="1" applyFill="1" applyBorder="1" applyProtection="1"/>
    <xf numFmtId="183" fontId="9" fillId="0" borderId="17" xfId="4" applyFont="1" applyFill="1" applyBorder="1" applyProtection="1"/>
    <xf numFmtId="169" fontId="9" fillId="0" borderId="17" xfId="1" applyNumberFormat="1" applyFont="1" applyFill="1" applyBorder="1" applyProtection="1"/>
    <xf numFmtId="183" fontId="9" fillId="0" borderId="18" xfId="4" applyFont="1" applyFill="1" applyBorder="1" applyProtection="1"/>
    <xf numFmtId="183" fontId="8" fillId="0" borderId="0" xfId="4" applyFont="1" applyFill="1" applyBorder="1" applyProtection="1"/>
    <xf numFmtId="170" fontId="9" fillId="0" borderId="0" xfId="4" applyNumberFormat="1" applyFont="1" applyFill="1" applyBorder="1" applyProtection="1"/>
    <xf numFmtId="169" fontId="9" fillId="0" borderId="0" xfId="1" applyNumberFormat="1" applyFont="1" applyFill="1" applyBorder="1" applyProtection="1"/>
    <xf numFmtId="183" fontId="9" fillId="0" borderId="19" xfId="4" applyFont="1" applyFill="1" applyBorder="1" applyProtection="1"/>
    <xf numFmtId="183" fontId="8" fillId="0" borderId="0" xfId="4" quotePrefix="1" applyFont="1" applyFill="1" applyBorder="1" applyAlignment="1" applyProtection="1"/>
    <xf numFmtId="183" fontId="8" fillId="0" borderId="20" xfId="4" applyFont="1" applyFill="1" applyBorder="1" applyProtection="1"/>
    <xf numFmtId="183" fontId="8" fillId="0" borderId="16" xfId="4" applyFont="1" applyFill="1" applyBorder="1" applyProtection="1"/>
    <xf numFmtId="183" fontId="8" fillId="0" borderId="18" xfId="4" applyFont="1" applyFill="1" applyBorder="1" applyProtection="1"/>
    <xf numFmtId="183" fontId="8" fillId="0" borderId="21" xfId="4" applyFont="1" applyFill="1" applyBorder="1" applyProtection="1"/>
    <xf numFmtId="183" fontId="8" fillId="0" borderId="22" xfId="4" applyFont="1" applyFill="1" applyBorder="1" applyProtection="1"/>
    <xf numFmtId="183" fontId="8" fillId="0" borderId="20" xfId="4" applyFont="1" applyBorder="1" applyProtection="1"/>
    <xf numFmtId="183" fontId="8" fillId="0" borderId="19" xfId="4" applyFont="1" applyBorder="1" applyProtection="1"/>
    <xf numFmtId="183" fontId="8" fillId="0" borderId="19" xfId="4" applyFont="1" applyFill="1" applyBorder="1" applyProtection="1"/>
    <xf numFmtId="183" fontId="8" fillId="0" borderId="23" xfId="4" applyFont="1" applyFill="1" applyBorder="1" applyProtection="1"/>
    <xf numFmtId="183" fontId="21" fillId="0" borderId="24" xfId="4" applyFont="1" applyFill="1" applyBorder="1" applyProtection="1"/>
    <xf numFmtId="173" fontId="8" fillId="0" borderId="20" xfId="4" applyNumberFormat="1" applyFont="1" applyFill="1" applyBorder="1" applyProtection="1"/>
    <xf numFmtId="173" fontId="8" fillId="0" borderId="19" xfId="4" applyNumberFormat="1" applyFont="1" applyFill="1" applyBorder="1" applyProtection="1"/>
    <xf numFmtId="173" fontId="8" fillId="0" borderId="20" xfId="4" applyNumberFormat="1" applyFont="1" applyFill="1" applyBorder="1" applyAlignment="1" applyProtection="1">
      <alignment vertical="center"/>
    </xf>
    <xf numFmtId="173" fontId="8" fillId="0" borderId="20" xfId="4" applyNumberFormat="1" applyFont="1" applyFill="1" applyBorder="1" applyAlignment="1" applyProtection="1">
      <alignment vertical="top"/>
    </xf>
    <xf numFmtId="173" fontId="8" fillId="0" borderId="25" xfId="4" quotePrefix="1" applyNumberFormat="1" applyFont="1" applyFill="1" applyBorder="1" applyProtection="1"/>
    <xf numFmtId="173" fontId="8" fillId="0" borderId="16" xfId="4" applyNumberFormat="1" applyFont="1" applyFill="1" applyBorder="1" applyProtection="1"/>
    <xf numFmtId="173" fontId="8" fillId="0" borderId="20" xfId="4" quotePrefix="1" applyNumberFormat="1" applyFont="1" applyFill="1" applyBorder="1" applyAlignment="1" applyProtection="1">
      <alignment vertical="center"/>
    </xf>
    <xf numFmtId="173" fontId="8" fillId="0" borderId="25" xfId="4" applyNumberFormat="1" applyFont="1" applyFill="1" applyBorder="1" applyProtection="1"/>
    <xf numFmtId="173" fontId="9" fillId="0" borderId="26" xfId="4" applyNumberFormat="1" applyFont="1" applyFill="1" applyBorder="1" applyProtection="1"/>
    <xf numFmtId="1" fontId="20" fillId="0" borderId="0" xfId="4" applyNumberFormat="1" applyFont="1" applyFill="1" applyBorder="1" applyAlignment="1" applyProtection="1"/>
    <xf numFmtId="183" fontId="8" fillId="0" borderId="0" xfId="4" applyFont="1" applyFill="1" applyBorder="1" applyAlignment="1" applyProtection="1">
      <alignment horizontal="center"/>
    </xf>
    <xf numFmtId="183" fontId="8" fillId="0" borderId="20" xfId="4" applyFont="1" applyFill="1" applyBorder="1" applyAlignment="1" applyProtection="1"/>
    <xf numFmtId="177" fontId="8" fillId="0" borderId="27" xfId="4" applyNumberFormat="1" applyFont="1" applyFill="1" applyBorder="1" applyAlignment="1" applyProtection="1">
      <alignment horizontal="center"/>
    </xf>
    <xf numFmtId="183" fontId="8" fillId="0" borderId="3" xfId="4" applyFont="1" applyFill="1" applyBorder="1" applyAlignment="1" applyProtection="1">
      <alignment horizontal="center"/>
    </xf>
    <xf numFmtId="177" fontId="8" fillId="0" borderId="0" xfId="4" applyNumberFormat="1" applyFont="1" applyFill="1" applyBorder="1" applyAlignment="1" applyProtection="1">
      <alignment horizontal="center"/>
    </xf>
    <xf numFmtId="183" fontId="8" fillId="0" borderId="27" xfId="4" applyFont="1" applyFill="1" applyBorder="1" applyAlignment="1" applyProtection="1">
      <alignment horizontal="center"/>
    </xf>
    <xf numFmtId="183" fontId="8" fillId="0" borderId="28" xfId="4" applyFont="1" applyFill="1" applyBorder="1" applyAlignment="1" applyProtection="1">
      <alignment horizontal="center"/>
    </xf>
    <xf numFmtId="183" fontId="8" fillId="0" borderId="29" xfId="4" applyFont="1" applyFill="1" applyBorder="1" applyAlignment="1" applyProtection="1">
      <alignment horizontal="center"/>
    </xf>
    <xf numFmtId="183" fontId="8" fillId="0" borderId="28" xfId="4" applyFont="1" applyFill="1" applyBorder="1" applyAlignment="1" applyProtection="1">
      <alignment horizontal="center" vertical="center"/>
    </xf>
    <xf numFmtId="183" fontId="8" fillId="0" borderId="29" xfId="4" applyFont="1" applyFill="1" applyBorder="1" applyAlignment="1" applyProtection="1">
      <alignment horizontal="center" vertical="center"/>
    </xf>
    <xf numFmtId="183" fontId="8" fillId="0" borderId="0" xfId="4" applyFont="1" applyFill="1" applyBorder="1" applyAlignment="1" applyProtection="1">
      <alignment horizontal="center" vertical="center"/>
    </xf>
    <xf numFmtId="173" fontId="9" fillId="0" borderId="0" xfId="4" applyNumberFormat="1" applyFont="1" applyFill="1" applyBorder="1" applyProtection="1"/>
    <xf numFmtId="168" fontId="9" fillId="0" borderId="0" xfId="4" applyNumberFormat="1" applyFont="1" applyFill="1" applyBorder="1" applyProtection="1"/>
    <xf numFmtId="173" fontId="8" fillId="0" borderId="19" xfId="4" applyNumberFormat="1" applyFont="1" applyFill="1" applyBorder="1" applyAlignment="1" applyProtection="1">
      <alignment vertical="center"/>
    </xf>
    <xf numFmtId="168" fontId="9" fillId="0" borderId="0" xfId="4" applyNumberFormat="1" applyFont="1" applyFill="1" applyBorder="1" applyAlignment="1" applyProtection="1">
      <alignment vertical="center"/>
    </xf>
    <xf numFmtId="173" fontId="8" fillId="0" borderId="19" xfId="4" applyNumberFormat="1" applyFont="1" applyFill="1" applyBorder="1" applyAlignment="1" applyProtection="1">
      <alignment vertical="top"/>
    </xf>
    <xf numFmtId="168" fontId="9" fillId="0" borderId="0" xfId="4" applyNumberFormat="1" applyFont="1" applyFill="1" applyBorder="1" applyAlignment="1" applyProtection="1">
      <alignment vertical="top"/>
    </xf>
    <xf numFmtId="173" fontId="8" fillId="0" borderId="26" xfId="4" applyNumberFormat="1" applyFont="1" applyFill="1" applyBorder="1" applyProtection="1"/>
    <xf numFmtId="173" fontId="8" fillId="0" borderId="19" xfId="4" applyNumberFormat="1" applyFont="1" applyFill="1" applyBorder="1" applyAlignment="1" applyProtection="1"/>
    <xf numFmtId="173" fontId="9" fillId="0" borderId="19" xfId="4" applyNumberFormat="1" applyFont="1" applyFill="1" applyBorder="1" applyAlignment="1" applyProtection="1">
      <alignment vertical="center"/>
    </xf>
    <xf numFmtId="172" fontId="9" fillId="0" borderId="30" xfId="0" applyNumberFormat="1" applyFont="1" applyBorder="1" applyAlignment="1">
      <alignment horizontal="center" vertical="center"/>
    </xf>
    <xf numFmtId="183" fontId="8" fillId="0" borderId="6" xfId="0" applyFont="1" applyBorder="1" applyAlignment="1">
      <alignment horizontal="left" vertical="center"/>
    </xf>
    <xf numFmtId="172" fontId="9" fillId="0" borderId="6" xfId="0" applyNumberFormat="1" applyFont="1" applyBorder="1" applyAlignment="1">
      <alignment horizontal="center" vertical="center"/>
    </xf>
    <xf numFmtId="172" fontId="9" fillId="0" borderId="0" xfId="0" applyNumberFormat="1" applyFont="1" applyFill="1" applyBorder="1" applyAlignment="1">
      <alignment horizontal="center" vertical="center"/>
    </xf>
    <xf numFmtId="172" fontId="9" fillId="0" borderId="4" xfId="0" applyNumberFormat="1" applyFont="1" applyFill="1" applyBorder="1" applyAlignment="1">
      <alignment horizontal="center" vertical="center"/>
    </xf>
    <xf numFmtId="173" fontId="9" fillId="0" borderId="27" xfId="4" applyNumberFormat="1" applyFont="1" applyFill="1" applyBorder="1" applyAlignment="1" applyProtection="1">
      <alignment horizontal="center"/>
    </xf>
    <xf numFmtId="173" fontId="9" fillId="0" borderId="3" xfId="4" applyNumberFormat="1" applyFont="1" applyFill="1" applyBorder="1" applyAlignment="1" applyProtection="1">
      <alignment horizontal="center"/>
    </xf>
    <xf numFmtId="168" fontId="9" fillId="0" borderId="27" xfId="4" applyNumberFormat="1" applyFont="1" applyFill="1" applyBorder="1" applyAlignment="1" applyProtection="1">
      <alignment horizontal="center"/>
    </xf>
    <xf numFmtId="168" fontId="9" fillId="0" borderId="3" xfId="4" applyNumberFormat="1" applyFont="1" applyFill="1" applyBorder="1" applyAlignment="1" applyProtection="1">
      <alignment horizontal="center"/>
    </xf>
    <xf numFmtId="168" fontId="9" fillId="0" borderId="31" xfId="4" applyNumberFormat="1" applyFont="1" applyFill="1" applyBorder="1" applyAlignment="1" applyProtection="1">
      <alignment horizontal="center"/>
    </xf>
    <xf numFmtId="168" fontId="9" fillId="0" borderId="32" xfId="4" applyNumberFormat="1" applyFont="1" applyFill="1" applyBorder="1" applyAlignment="1" applyProtection="1">
      <alignment horizontal="center"/>
    </xf>
    <xf numFmtId="168" fontId="9" fillId="0" borderId="28" xfId="4" applyNumberFormat="1" applyFont="1" applyFill="1" applyBorder="1" applyAlignment="1" applyProtection="1">
      <alignment horizontal="center" vertical="center"/>
    </xf>
    <xf numFmtId="168" fontId="9" fillId="0" borderId="29" xfId="4" applyNumberFormat="1" applyFont="1" applyFill="1" applyBorder="1" applyAlignment="1" applyProtection="1">
      <alignment horizontal="center" vertical="center"/>
    </xf>
    <xf numFmtId="168" fontId="9" fillId="0" borderId="27" xfId="4" applyNumberFormat="1" applyFont="1" applyFill="1" applyBorder="1" applyAlignment="1" applyProtection="1">
      <alignment horizontal="center" vertical="top"/>
    </xf>
    <xf numFmtId="168" fontId="9" fillId="0" borderId="3" xfId="4" applyNumberFormat="1" applyFont="1" applyFill="1" applyBorder="1" applyAlignment="1" applyProtection="1">
      <alignment horizontal="center" vertical="top"/>
    </xf>
    <xf numFmtId="168" fontId="9" fillId="0" borderId="33" xfId="4" applyNumberFormat="1" applyFont="1" applyFill="1" applyBorder="1" applyAlignment="1" applyProtection="1">
      <alignment horizontal="center"/>
    </xf>
    <xf numFmtId="168" fontId="9" fillId="0" borderId="34" xfId="4" applyNumberFormat="1" applyFont="1" applyFill="1" applyBorder="1" applyAlignment="1" applyProtection="1">
      <alignment horizontal="center"/>
    </xf>
    <xf numFmtId="168" fontId="9" fillId="0" borderId="27" xfId="4" applyNumberFormat="1" applyFont="1" applyFill="1" applyBorder="1" applyAlignment="1" applyProtection="1">
      <alignment horizontal="center" vertical="center"/>
    </xf>
    <xf numFmtId="168" fontId="9" fillId="0" borderId="3" xfId="4" applyNumberFormat="1" applyFont="1" applyFill="1" applyBorder="1" applyAlignment="1" applyProtection="1">
      <alignment horizontal="center" vertical="center"/>
    </xf>
    <xf numFmtId="183" fontId="8" fillId="2" borderId="22" xfId="4" applyFont="1" applyFill="1" applyBorder="1" applyProtection="1"/>
    <xf numFmtId="183" fontId="8" fillId="2" borderId="17" xfId="4" applyFont="1" applyFill="1" applyBorder="1" applyAlignment="1" applyProtection="1">
      <alignment horizontal="left"/>
    </xf>
    <xf numFmtId="183" fontId="8" fillId="2" borderId="3" xfId="4" applyFont="1" applyFill="1" applyBorder="1" applyAlignment="1" applyProtection="1">
      <alignment horizontal="center"/>
    </xf>
    <xf numFmtId="183" fontId="8" fillId="2" borderId="29" xfId="4" applyFont="1" applyFill="1" applyBorder="1" applyAlignment="1" applyProtection="1">
      <alignment horizontal="center"/>
    </xf>
    <xf numFmtId="183" fontId="8" fillId="2" borderId="29" xfId="4" applyFont="1" applyFill="1" applyBorder="1" applyAlignment="1" applyProtection="1">
      <alignment horizontal="center" vertical="center"/>
    </xf>
    <xf numFmtId="183" fontId="8" fillId="2" borderId="35" xfId="4" applyFont="1" applyFill="1" applyBorder="1" applyAlignment="1" applyProtection="1">
      <alignment horizontal="center" vertical="center"/>
    </xf>
    <xf numFmtId="173" fontId="9" fillId="2" borderId="3" xfId="4" applyNumberFormat="1" applyFont="1" applyFill="1" applyBorder="1" applyAlignment="1" applyProtection="1">
      <alignment horizontal="center"/>
    </xf>
    <xf numFmtId="173" fontId="9" fillId="2" borderId="36" xfId="4" applyNumberFormat="1" applyFont="1" applyFill="1" applyBorder="1" applyAlignment="1" applyProtection="1">
      <alignment horizontal="center"/>
    </xf>
    <xf numFmtId="168" fontId="9" fillId="2" borderId="3" xfId="4" applyNumberFormat="1" applyFont="1" applyFill="1" applyBorder="1" applyAlignment="1" applyProtection="1">
      <alignment horizontal="center"/>
    </xf>
    <xf numFmtId="168" fontId="9" fillId="2" borderId="36" xfId="4" applyNumberFormat="1" applyFont="1" applyFill="1" applyBorder="1" applyAlignment="1" applyProtection="1">
      <alignment horizontal="center"/>
    </xf>
    <xf numFmtId="168" fontId="9" fillId="2" borderId="32" xfId="4" applyNumberFormat="1" applyFont="1" applyFill="1" applyBorder="1" applyAlignment="1" applyProtection="1">
      <alignment horizontal="center"/>
    </xf>
    <xf numFmtId="168" fontId="9" fillId="2" borderId="37" xfId="4" applyNumberFormat="1" applyFont="1" applyFill="1" applyBorder="1" applyAlignment="1" applyProtection="1">
      <alignment horizontal="center"/>
    </xf>
    <xf numFmtId="168" fontId="9" fillId="2" borderId="29" xfId="4" applyNumberFormat="1" applyFont="1" applyFill="1" applyBorder="1" applyAlignment="1" applyProtection="1">
      <alignment horizontal="center" vertical="center"/>
    </xf>
    <xf numFmtId="168" fontId="9" fillId="2" borderId="38" xfId="4" applyNumberFormat="1" applyFont="1" applyFill="1" applyBorder="1" applyAlignment="1" applyProtection="1">
      <alignment horizontal="center"/>
    </xf>
    <xf numFmtId="168" fontId="9" fillId="2" borderId="39" xfId="4" applyNumberFormat="1" applyFont="1" applyFill="1" applyBorder="1" applyAlignment="1" applyProtection="1">
      <alignment horizontal="center"/>
    </xf>
    <xf numFmtId="168" fontId="9" fillId="2" borderId="40" xfId="4" applyNumberFormat="1" applyFont="1" applyFill="1" applyBorder="1" applyAlignment="1" applyProtection="1">
      <alignment horizontal="center"/>
    </xf>
    <xf numFmtId="168" fontId="9" fillId="2" borderId="3" xfId="4" applyNumberFormat="1" applyFont="1" applyFill="1" applyBorder="1" applyAlignment="1" applyProtection="1">
      <alignment horizontal="center" vertical="top"/>
    </xf>
    <xf numFmtId="168" fontId="9" fillId="2" borderId="36" xfId="4" applyNumberFormat="1" applyFont="1" applyFill="1" applyBorder="1" applyAlignment="1" applyProtection="1">
      <alignment horizontal="center" vertical="top"/>
    </xf>
    <xf numFmtId="168" fontId="9" fillId="2" borderId="34" xfId="4" applyNumberFormat="1" applyFont="1" applyFill="1" applyBorder="1" applyAlignment="1" applyProtection="1">
      <alignment horizontal="center"/>
    </xf>
    <xf numFmtId="168" fontId="9" fillId="2" borderId="15" xfId="4" applyNumberFormat="1" applyFont="1" applyFill="1" applyBorder="1" applyAlignment="1" applyProtection="1">
      <alignment horizontal="center"/>
    </xf>
    <xf numFmtId="168" fontId="9" fillId="2" borderId="3" xfId="4" applyNumberFormat="1" applyFont="1" applyFill="1" applyBorder="1" applyAlignment="1" applyProtection="1">
      <alignment horizontal="center" vertical="center"/>
    </xf>
    <xf numFmtId="168" fontId="9" fillId="2" borderId="41" xfId="4" applyNumberFormat="1" applyFont="1" applyFill="1" applyBorder="1" applyAlignment="1" applyProtection="1">
      <alignment horizontal="center"/>
    </xf>
    <xf numFmtId="168" fontId="9" fillId="2" borderId="42" xfId="4" applyNumberFormat="1" applyFont="1" applyFill="1" applyBorder="1" applyAlignment="1" applyProtection="1">
      <alignment horizontal="center"/>
    </xf>
    <xf numFmtId="183" fontId="8" fillId="0" borderId="1" xfId="0" applyFont="1" applyFill="1" applyBorder="1" applyAlignment="1">
      <alignment horizontal="center" vertical="center"/>
    </xf>
    <xf numFmtId="183" fontId="19" fillId="0" borderId="5" xfId="0" applyFont="1" applyBorder="1" applyAlignment="1">
      <alignment horizontal="center"/>
    </xf>
    <xf numFmtId="172" fontId="9" fillId="0" borderId="9" xfId="0" applyNumberFormat="1" applyFont="1" applyBorder="1" applyAlignment="1">
      <alignment horizontal="center" vertical="center"/>
    </xf>
    <xf numFmtId="172" fontId="9" fillId="0" borderId="12" xfId="0" applyNumberFormat="1" applyFont="1" applyBorder="1" applyAlignment="1">
      <alignment horizontal="center" vertical="center"/>
    </xf>
    <xf numFmtId="172" fontId="9" fillId="2" borderId="30" xfId="0" applyNumberFormat="1" applyFont="1" applyFill="1" applyBorder="1" applyAlignment="1">
      <alignment horizontal="center" vertical="center"/>
    </xf>
    <xf numFmtId="172" fontId="9" fillId="2" borderId="12" xfId="0" applyNumberFormat="1" applyFont="1" applyFill="1" applyBorder="1" applyAlignment="1">
      <alignment horizontal="center" vertical="center"/>
    </xf>
    <xf numFmtId="167" fontId="9" fillId="0" borderId="30" xfId="0" applyNumberFormat="1" applyFont="1" applyBorder="1" applyAlignment="1">
      <alignment horizontal="center" vertical="center"/>
    </xf>
    <xf numFmtId="183" fontId="8" fillId="2" borderId="12" xfId="0" applyFont="1" applyFill="1" applyBorder="1" applyAlignment="1">
      <alignment horizontal="center" vertical="center"/>
    </xf>
    <xf numFmtId="183" fontId="8" fillId="0" borderId="9" xfId="0" applyFont="1" applyBorder="1" applyAlignment="1">
      <alignment horizontal="left" vertical="center"/>
    </xf>
    <xf numFmtId="167" fontId="9" fillId="0" borderId="12" xfId="0" applyNumberFormat="1" applyFont="1" applyBorder="1" applyAlignment="1">
      <alignment horizontal="center" vertical="center"/>
    </xf>
    <xf numFmtId="183" fontId="8" fillId="0" borderId="14" xfId="0" applyFont="1" applyBorder="1" applyAlignment="1">
      <alignment horizontal="left" vertical="center" wrapText="1"/>
    </xf>
    <xf numFmtId="167" fontId="9" fillId="0" borderId="1" xfId="0" applyNumberFormat="1" applyFont="1" applyFill="1" applyBorder="1" applyAlignment="1">
      <alignment horizontal="center" vertical="center"/>
    </xf>
    <xf numFmtId="167" fontId="9" fillId="2" borderId="12" xfId="0" applyNumberFormat="1" applyFont="1" applyFill="1" applyBorder="1" applyAlignment="1">
      <alignment horizontal="center" vertical="center"/>
    </xf>
    <xf numFmtId="167" fontId="9" fillId="2" borderId="30" xfId="0" applyNumberFormat="1" applyFont="1" applyFill="1" applyBorder="1" applyAlignment="1">
      <alignment horizontal="center" vertical="center"/>
    </xf>
    <xf numFmtId="167" fontId="9" fillId="2" borderId="1" xfId="0" applyNumberFormat="1" applyFont="1" applyFill="1" applyBorder="1" applyAlignment="1">
      <alignment horizontal="center" vertical="center"/>
    </xf>
    <xf numFmtId="183" fontId="8" fillId="0" borderId="5" xfId="0" applyFont="1" applyBorder="1" applyAlignment="1">
      <alignment horizontal="center" vertical="center" wrapText="1"/>
    </xf>
    <xf numFmtId="167" fontId="9" fillId="0" borderId="4" xfId="0" applyNumberFormat="1" applyFont="1" applyBorder="1" applyAlignment="1">
      <alignment horizontal="center" vertical="center"/>
    </xf>
    <xf numFmtId="167" fontId="9" fillId="0" borderId="7" xfId="0" applyNumberFormat="1" applyFont="1" applyBorder="1" applyAlignment="1">
      <alignment horizontal="center" vertical="center"/>
    </xf>
    <xf numFmtId="167" fontId="9" fillId="0" borderId="5" xfId="0" applyNumberFormat="1" applyFont="1" applyBorder="1" applyAlignment="1">
      <alignment horizontal="center" vertical="center"/>
    </xf>
    <xf numFmtId="183" fontId="8" fillId="2" borderId="4" xfId="0" applyFont="1" applyFill="1" applyBorder="1" applyAlignment="1">
      <alignment horizontal="center" vertical="center"/>
    </xf>
    <xf numFmtId="167" fontId="9" fillId="2" borderId="4" xfId="0" applyNumberFormat="1" applyFont="1" applyFill="1" applyBorder="1" applyAlignment="1">
      <alignment horizontal="center" vertical="center"/>
    </xf>
    <xf numFmtId="167" fontId="9" fillId="2" borderId="7" xfId="0" applyNumberFormat="1" applyFont="1" applyFill="1" applyBorder="1" applyAlignment="1">
      <alignment horizontal="center" vertical="center"/>
    </xf>
    <xf numFmtId="167" fontId="9" fillId="2" borderId="5" xfId="0" applyNumberFormat="1" applyFont="1" applyFill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 vertical="center"/>
    </xf>
    <xf numFmtId="172" fontId="8" fillId="2" borderId="12" xfId="0" applyNumberFormat="1" applyFont="1" applyFill="1" applyBorder="1" applyAlignment="1">
      <alignment horizontal="center" vertical="center"/>
    </xf>
    <xf numFmtId="183" fontId="19" fillId="0" borderId="4" xfId="0" applyFont="1" applyBorder="1" applyAlignment="1">
      <alignment horizontal="right"/>
    </xf>
    <xf numFmtId="172" fontId="8" fillId="2" borderId="1" xfId="0" applyNumberFormat="1" applyFont="1" applyFill="1" applyBorder="1" applyAlignment="1">
      <alignment horizontal="center" vertical="center"/>
    </xf>
    <xf numFmtId="172" fontId="9" fillId="0" borderId="5" xfId="0" applyNumberFormat="1" applyFont="1" applyFill="1" applyBorder="1" applyAlignment="1">
      <alignment horizontal="center" vertical="center"/>
    </xf>
    <xf numFmtId="183" fontId="8" fillId="0" borderId="12" xfId="0" applyFont="1" applyBorder="1" applyAlignment="1">
      <alignment horizontal="center" vertical="center"/>
    </xf>
    <xf numFmtId="172" fontId="9" fillId="0" borderId="14" xfId="0" applyNumberFormat="1" applyFont="1" applyFill="1" applyBorder="1" applyAlignment="1">
      <alignment horizontal="center" vertical="center"/>
    </xf>
    <xf numFmtId="172" fontId="9" fillId="2" borderId="1" xfId="0" applyNumberFormat="1" applyFont="1" applyFill="1" applyBorder="1" applyAlignment="1">
      <alignment horizontal="center" vertical="center"/>
    </xf>
    <xf numFmtId="172" fontId="9" fillId="0" borderId="1" xfId="0" applyNumberFormat="1" applyFont="1" applyBorder="1" applyAlignment="1">
      <alignment horizontal="center" vertical="center"/>
    </xf>
    <xf numFmtId="172" fontId="8" fillId="0" borderId="12" xfId="0" applyNumberFormat="1" applyFont="1" applyFill="1" applyBorder="1" applyAlignment="1">
      <alignment horizontal="center" vertical="center"/>
    </xf>
    <xf numFmtId="173" fontId="9" fillId="0" borderId="19" xfId="4" applyNumberFormat="1" applyFont="1" applyFill="1" applyBorder="1" applyProtection="1"/>
    <xf numFmtId="183" fontId="18" fillId="0" borderId="0" xfId="0" applyFont="1" applyAlignment="1">
      <alignment horizontal="center"/>
    </xf>
    <xf numFmtId="183" fontId="0" fillId="0" borderId="0" xfId="0" applyBorder="1"/>
    <xf numFmtId="183" fontId="0" fillId="0" borderId="13" xfId="0" applyBorder="1"/>
    <xf numFmtId="183" fontId="9" fillId="0" borderId="9" xfId="0" applyFont="1" applyFill="1" applyBorder="1" applyAlignment="1">
      <alignment horizontal="center" vertical="center" wrapText="1"/>
    </xf>
    <xf numFmtId="183" fontId="0" fillId="0" borderId="4" xfId="0" applyBorder="1"/>
    <xf numFmtId="183" fontId="0" fillId="0" borderId="3" xfId="0" applyBorder="1"/>
    <xf numFmtId="183" fontId="8" fillId="0" borderId="5" xfId="0" applyFont="1" applyFill="1" applyBorder="1" applyAlignment="1">
      <alignment horizontal="center" vertical="center"/>
    </xf>
    <xf numFmtId="183" fontId="6" fillId="0" borderId="0" xfId="0" applyFont="1" applyBorder="1"/>
    <xf numFmtId="183" fontId="22" fillId="2" borderId="2" xfId="0" applyFont="1" applyFill="1" applyBorder="1"/>
    <xf numFmtId="172" fontId="22" fillId="2" borderId="0" xfId="0" applyNumberFormat="1" applyFont="1" applyFill="1" applyBorder="1"/>
    <xf numFmtId="183" fontId="23" fillId="0" borderId="0" xfId="0" applyFont="1" applyAlignment="1"/>
    <xf numFmtId="183" fontId="18" fillId="0" borderId="0" xfId="0" applyFont="1" applyAlignment="1"/>
    <xf numFmtId="183" fontId="18" fillId="2" borderId="1" xfId="0" applyFont="1" applyFill="1" applyBorder="1" applyAlignment="1">
      <alignment horizontal="center"/>
    </xf>
    <xf numFmtId="183" fontId="24" fillId="0" borderId="9" xfId="0" applyFont="1" applyBorder="1"/>
    <xf numFmtId="172" fontId="0" fillId="0" borderId="12" xfId="0" applyNumberFormat="1" applyBorder="1"/>
    <xf numFmtId="172" fontId="22" fillId="0" borderId="12" xfId="0" applyNumberFormat="1" applyFont="1" applyBorder="1"/>
    <xf numFmtId="183" fontId="0" fillId="0" borderId="43" xfId="0" applyBorder="1" applyAlignment="1">
      <alignment horizontal="left" wrapText="1" indent="1"/>
    </xf>
    <xf numFmtId="172" fontId="0" fillId="0" borderId="3" xfId="0" applyNumberFormat="1" applyBorder="1"/>
    <xf numFmtId="172" fontId="22" fillId="0" borderId="3" xfId="0" applyNumberFormat="1" applyFont="1" applyBorder="1"/>
    <xf numFmtId="183" fontId="0" fillId="0" borderId="43" xfId="0" applyFill="1" applyBorder="1" applyAlignment="1">
      <alignment horizontal="left" wrapText="1" indent="1"/>
    </xf>
    <xf numFmtId="183" fontId="0" fillId="0" borderId="44" xfId="0" applyFill="1" applyBorder="1" applyAlignment="1">
      <alignment horizontal="left" wrapText="1" indent="1"/>
    </xf>
    <xf numFmtId="172" fontId="0" fillId="0" borderId="30" xfId="0" applyNumberFormat="1" applyBorder="1"/>
    <xf numFmtId="172" fontId="22" fillId="0" borderId="30" xfId="0" applyNumberFormat="1" applyFont="1" applyBorder="1"/>
    <xf numFmtId="183" fontId="24" fillId="0" borderId="45" xfId="0" applyFont="1" applyFill="1" applyBorder="1" applyAlignment="1">
      <alignment wrapText="1"/>
    </xf>
    <xf numFmtId="183" fontId="0" fillId="0" borderId="43" xfId="0" applyFill="1" applyBorder="1" applyAlignment="1">
      <alignment wrapText="1"/>
    </xf>
    <xf numFmtId="183" fontId="0" fillId="0" borderId="44" xfId="0" applyFill="1" applyBorder="1" applyAlignment="1">
      <alignment wrapText="1"/>
    </xf>
    <xf numFmtId="183" fontId="24" fillId="0" borderId="46" xfId="0" applyFont="1" applyFill="1" applyBorder="1" applyAlignment="1">
      <alignment wrapText="1"/>
    </xf>
    <xf numFmtId="183" fontId="0" fillId="0" borderId="47" xfId="0" applyFill="1" applyBorder="1" applyAlignment="1">
      <alignment horizontal="left" wrapText="1" indent="1"/>
    </xf>
    <xf numFmtId="183" fontId="24" fillId="0" borderId="44" xfId="0" applyFont="1" applyFill="1" applyBorder="1" applyAlignment="1">
      <alignment wrapText="1"/>
    </xf>
    <xf numFmtId="183" fontId="24" fillId="0" borderId="43" xfId="0" applyFont="1" applyFill="1" applyBorder="1" applyAlignment="1">
      <alignment wrapText="1"/>
    </xf>
    <xf numFmtId="183" fontId="24" fillId="0" borderId="45" xfId="0" applyFont="1" applyFill="1" applyBorder="1" applyAlignment="1">
      <alignment horizontal="left" wrapText="1"/>
    </xf>
    <xf numFmtId="183" fontId="6" fillId="0" borderId="43" xfId="0" applyFont="1" applyFill="1" applyBorder="1" applyAlignment="1">
      <alignment horizontal="left" wrapText="1" indent="1"/>
    </xf>
    <xf numFmtId="183" fontId="24" fillId="0" borderId="9" xfId="0" applyFont="1" applyFill="1" applyBorder="1" applyAlignment="1">
      <alignment horizontal="left" wrapText="1"/>
    </xf>
    <xf numFmtId="183" fontId="6" fillId="0" borderId="47" xfId="0" applyFont="1" applyFill="1" applyBorder="1" applyAlignment="1">
      <alignment horizontal="left" wrapText="1" indent="1"/>
    </xf>
    <xf numFmtId="183" fontId="18" fillId="2" borderId="14" xfId="0" applyFont="1" applyFill="1" applyBorder="1" applyAlignment="1">
      <alignment wrapText="1"/>
    </xf>
    <xf numFmtId="172" fontId="18" fillId="2" borderId="30" xfId="0" applyNumberFormat="1" applyFont="1" applyFill="1" applyBorder="1"/>
    <xf numFmtId="183" fontId="23" fillId="0" borderId="0" xfId="0" applyFont="1" applyAlignment="1">
      <alignment horizontal="center"/>
    </xf>
    <xf numFmtId="183" fontId="24" fillId="0" borderId="9" xfId="0" applyFont="1" applyBorder="1" applyAlignment="1">
      <alignment horizontal="center"/>
    </xf>
    <xf numFmtId="183" fontId="0" fillId="0" borderId="48" xfId="0" applyBorder="1" applyAlignment="1">
      <alignment horizontal="center"/>
    </xf>
    <xf numFmtId="183" fontId="0" fillId="0" borderId="48" xfId="0" applyFill="1" applyBorder="1" applyAlignment="1">
      <alignment horizontal="center"/>
    </xf>
    <xf numFmtId="183" fontId="24" fillId="0" borderId="9" xfId="0" applyFont="1" applyFill="1" applyBorder="1" applyAlignment="1">
      <alignment horizontal="center" wrapText="1"/>
    </xf>
    <xf numFmtId="183" fontId="0" fillId="0" borderId="2" xfId="0" applyFill="1" applyBorder="1" applyAlignment="1">
      <alignment horizontal="center" wrapText="1"/>
    </xf>
    <xf numFmtId="183" fontId="0" fillId="0" borderId="6" xfId="0" applyFill="1" applyBorder="1" applyAlignment="1">
      <alignment horizontal="center" wrapText="1"/>
    </xf>
    <xf numFmtId="183" fontId="18" fillId="2" borderId="6" xfId="0" applyFont="1" applyFill="1" applyBorder="1" applyAlignment="1">
      <alignment horizontal="center" wrapText="1"/>
    </xf>
    <xf numFmtId="183" fontId="22" fillId="0" borderId="0" xfId="0" applyFont="1" applyBorder="1" applyAlignment="1">
      <alignment horizontal="center"/>
    </xf>
    <xf numFmtId="183" fontId="0" fillId="0" borderId="0" xfId="0" applyAlignment="1">
      <alignment horizontal="center"/>
    </xf>
    <xf numFmtId="183" fontId="24" fillId="0" borderId="49" xfId="0" applyFont="1" applyFill="1" applyBorder="1" applyAlignment="1">
      <alignment wrapText="1"/>
    </xf>
    <xf numFmtId="183" fontId="0" fillId="0" borderId="48" xfId="0" applyFill="1" applyBorder="1" applyAlignment="1">
      <alignment horizontal="left" wrapText="1" indent="1"/>
    </xf>
    <xf numFmtId="183" fontId="0" fillId="0" borderId="50" xfId="0" applyFill="1" applyBorder="1" applyAlignment="1">
      <alignment horizontal="left" wrapText="1" indent="1"/>
    </xf>
    <xf numFmtId="183" fontId="24" fillId="0" borderId="12" xfId="0" applyFont="1" applyFill="1" applyBorder="1" applyAlignment="1">
      <alignment horizontal="center" wrapText="1"/>
    </xf>
    <xf numFmtId="183" fontId="0" fillId="0" borderId="50" xfId="0" applyFill="1" applyBorder="1" applyAlignment="1">
      <alignment horizontal="center"/>
    </xf>
    <xf numFmtId="183" fontId="0" fillId="0" borderId="51" xfId="0" applyFill="1" applyBorder="1" applyAlignment="1">
      <alignment horizontal="center"/>
    </xf>
    <xf numFmtId="183" fontId="0" fillId="0" borderId="52" xfId="0" applyFill="1" applyBorder="1" applyAlignment="1">
      <alignment horizontal="center"/>
    </xf>
    <xf numFmtId="183" fontId="0" fillId="0" borderId="49" xfId="0" applyFill="1" applyBorder="1" applyAlignment="1">
      <alignment horizontal="center"/>
    </xf>
    <xf numFmtId="43" fontId="0" fillId="0" borderId="49" xfId="0" applyNumberFormat="1" applyFill="1" applyBorder="1" applyAlignment="1">
      <alignment horizontal="center"/>
    </xf>
    <xf numFmtId="183" fontId="0" fillId="0" borderId="52" xfId="0" applyFill="1" applyBorder="1" applyAlignment="1">
      <alignment horizontal="center" wrapText="1"/>
    </xf>
    <xf numFmtId="183" fontId="0" fillId="0" borderId="53" xfId="0" applyFill="1" applyBorder="1" applyAlignment="1">
      <alignment horizontal="center"/>
    </xf>
    <xf numFmtId="183" fontId="0" fillId="0" borderId="54" xfId="0" applyFill="1" applyBorder="1" applyAlignment="1">
      <alignment horizontal="center"/>
    </xf>
    <xf numFmtId="183" fontId="0" fillId="0" borderId="0" xfId="0" applyBorder="1" applyAlignment="1">
      <alignment horizontal="center"/>
    </xf>
    <xf numFmtId="183" fontId="0" fillId="0" borderId="12" xfId="0" applyBorder="1" applyAlignment="1">
      <alignment horizontal="center"/>
    </xf>
    <xf numFmtId="183" fontId="0" fillId="0" borderId="3" xfId="0" applyFill="1" applyBorder="1" applyAlignment="1">
      <alignment horizontal="center"/>
    </xf>
    <xf numFmtId="183" fontId="6" fillId="0" borderId="48" xfId="0" applyFont="1" applyFill="1" applyBorder="1" applyAlignment="1">
      <alignment horizontal="center"/>
    </xf>
    <xf numFmtId="172" fontId="19" fillId="0" borderId="0" xfId="0" applyNumberFormat="1" applyFont="1"/>
    <xf numFmtId="183" fontId="22" fillId="0" borderId="0" xfId="0" applyFont="1"/>
    <xf numFmtId="183" fontId="11" fillId="0" borderId="0" xfId="0" quotePrefix="1" applyFont="1" applyBorder="1" applyAlignment="1">
      <alignment horizontal="right"/>
    </xf>
    <xf numFmtId="183" fontId="8" fillId="0" borderId="55" xfId="0" applyFont="1" applyBorder="1" applyAlignment="1">
      <alignment horizontal="left" vertical="center" indent="1"/>
    </xf>
    <xf numFmtId="172" fontId="9" fillId="0" borderId="56" xfId="0" applyNumberFormat="1" applyFont="1" applyBorder="1" applyAlignment="1">
      <alignment horizontal="center" vertical="center"/>
    </xf>
    <xf numFmtId="172" fontId="8" fillId="2" borderId="57" xfId="0" applyNumberFormat="1" applyFont="1" applyFill="1" applyBorder="1" applyAlignment="1">
      <alignment horizontal="center" vertical="center"/>
    </xf>
    <xf numFmtId="172" fontId="9" fillId="0" borderId="56" xfId="0" applyNumberFormat="1" applyFont="1" applyFill="1" applyBorder="1" applyAlignment="1">
      <alignment horizontal="center" vertical="center"/>
    </xf>
    <xf numFmtId="172" fontId="8" fillId="0" borderId="57" xfId="0" applyNumberFormat="1" applyFont="1" applyBorder="1" applyAlignment="1">
      <alignment horizontal="center" vertical="center"/>
    </xf>
    <xf numFmtId="172" fontId="8" fillId="0" borderId="58" xfId="0" applyNumberFormat="1" applyFont="1" applyBorder="1" applyAlignment="1">
      <alignment horizontal="center" vertical="center"/>
    </xf>
    <xf numFmtId="183" fontId="8" fillId="0" borderId="59" xfId="0" applyFont="1" applyFill="1" applyBorder="1" applyAlignment="1">
      <alignment horizontal="left" vertical="center" indent="1"/>
    </xf>
    <xf numFmtId="172" fontId="8" fillId="0" borderId="60" xfId="0" applyNumberFormat="1" applyFont="1" applyBorder="1" applyAlignment="1">
      <alignment horizontal="right" vertical="center" indent="1"/>
    </xf>
    <xf numFmtId="183" fontId="8" fillId="0" borderId="61" xfId="0" applyFont="1" applyFill="1" applyBorder="1" applyAlignment="1">
      <alignment horizontal="left" vertical="center" indent="1"/>
    </xf>
    <xf numFmtId="183" fontId="19" fillId="0" borderId="62" xfId="0" applyFont="1" applyBorder="1" applyAlignment="1">
      <alignment horizontal="right"/>
    </xf>
    <xf numFmtId="174" fontId="8" fillId="2" borderId="63" xfId="5" applyNumberFormat="1" applyFont="1" applyFill="1" applyBorder="1" applyAlignment="1">
      <alignment horizontal="center" vertical="center"/>
    </xf>
    <xf numFmtId="174" fontId="8" fillId="0" borderId="63" xfId="5" applyNumberFormat="1" applyFont="1" applyFill="1" applyBorder="1" applyAlignment="1">
      <alignment horizontal="center" vertical="center"/>
    </xf>
    <xf numFmtId="174" fontId="8" fillId="0" borderId="64" xfId="0" applyNumberFormat="1" applyFont="1" applyBorder="1" applyAlignment="1">
      <alignment horizontal="right" indent="1"/>
    </xf>
    <xf numFmtId="183" fontId="7" fillId="0" borderId="65" xfId="0" applyFont="1" applyBorder="1" applyAlignment="1">
      <alignment horizontal="centerContinuous" vertical="center"/>
    </xf>
    <xf numFmtId="183" fontId="8" fillId="0" borderId="57" xfId="0" applyFont="1" applyBorder="1" applyAlignment="1">
      <alignment horizontal="centerContinuous" vertical="center" wrapText="1"/>
    </xf>
    <xf numFmtId="183" fontId="8" fillId="0" borderId="58" xfId="0" applyFont="1" applyBorder="1" applyAlignment="1">
      <alignment horizontal="centerContinuous" vertical="center" wrapText="1"/>
    </xf>
    <xf numFmtId="183" fontId="8" fillId="0" borderId="66" xfId="0" applyFont="1" applyBorder="1" applyAlignment="1">
      <alignment vertical="center"/>
    </xf>
    <xf numFmtId="183" fontId="8" fillId="0" borderId="67" xfId="0" applyFont="1" applyBorder="1" applyAlignment="1">
      <alignment horizontal="center" vertical="center" wrapText="1"/>
    </xf>
    <xf numFmtId="183" fontId="8" fillId="0" borderId="68" xfId="0" applyFont="1" applyBorder="1" applyAlignment="1">
      <alignment horizontal="center" vertical="center"/>
    </xf>
    <xf numFmtId="183" fontId="8" fillId="0" borderId="60" xfId="0" applyFont="1" applyBorder="1" applyAlignment="1">
      <alignment horizontal="center" vertical="center"/>
    </xf>
    <xf numFmtId="183" fontId="8" fillId="0" borderId="69" xfId="0" applyFont="1" applyBorder="1" applyAlignment="1">
      <alignment horizontal="left" vertical="center" indent="1"/>
    </xf>
    <xf numFmtId="172" fontId="9" fillId="0" borderId="60" xfId="0" applyNumberFormat="1" applyFont="1" applyBorder="1" applyAlignment="1">
      <alignment horizontal="center" vertical="center"/>
    </xf>
    <xf numFmtId="183" fontId="8" fillId="0" borderId="70" xfId="0" applyFont="1" applyBorder="1" applyAlignment="1">
      <alignment horizontal="left" vertical="center" indent="1"/>
    </xf>
    <xf numFmtId="172" fontId="9" fillId="0" borderId="71" xfId="0" applyNumberFormat="1" applyFont="1" applyBorder="1" applyAlignment="1">
      <alignment horizontal="center" vertical="center"/>
    </xf>
    <xf numFmtId="183" fontId="8" fillId="0" borderId="72" xfId="0" applyFont="1" applyBorder="1" applyAlignment="1">
      <alignment horizontal="left" vertical="center" indent="1"/>
    </xf>
    <xf numFmtId="172" fontId="9" fillId="0" borderId="67" xfId="0" applyNumberFormat="1" applyFont="1" applyBorder="1" applyAlignment="1">
      <alignment horizontal="center" vertical="center"/>
    </xf>
    <xf numFmtId="183" fontId="8" fillId="0" borderId="73" xfId="0" applyFont="1" applyBorder="1" applyAlignment="1">
      <alignment horizontal="left" vertical="center" wrapText="1" indent="1"/>
    </xf>
    <xf numFmtId="172" fontId="9" fillId="0" borderId="74" xfId="0" applyNumberFormat="1" applyFont="1" applyBorder="1" applyAlignment="1">
      <alignment horizontal="center" vertical="center"/>
    </xf>
    <xf numFmtId="172" fontId="9" fillId="2" borderId="63" xfId="0" applyNumberFormat="1" applyFont="1" applyFill="1" applyBorder="1" applyAlignment="1">
      <alignment horizontal="center" vertical="center"/>
    </xf>
    <xf numFmtId="172" fontId="9" fillId="0" borderId="62" xfId="0" applyNumberFormat="1" applyFont="1" applyFill="1" applyBorder="1" applyAlignment="1">
      <alignment horizontal="center" vertical="center"/>
    </xf>
    <xf numFmtId="172" fontId="9" fillId="0" borderId="63" xfId="0" applyNumberFormat="1" applyFont="1" applyBorder="1" applyAlignment="1">
      <alignment horizontal="center" vertical="center"/>
    </xf>
    <xf numFmtId="172" fontId="9" fillId="0" borderId="75" xfId="0" applyNumberFormat="1" applyFont="1" applyBorder="1" applyAlignment="1">
      <alignment horizontal="center" vertical="center"/>
    </xf>
    <xf numFmtId="183" fontId="8" fillId="0" borderId="55" xfId="0" applyFont="1" applyFill="1" applyBorder="1" applyAlignment="1">
      <alignment horizontal="left" vertical="center" indent="1"/>
    </xf>
    <xf numFmtId="183" fontId="19" fillId="0" borderId="62" xfId="0" applyFont="1" applyBorder="1" applyAlignment="1">
      <alignment horizontal="center"/>
    </xf>
    <xf numFmtId="183" fontId="8" fillId="0" borderId="82" xfId="0" applyFont="1" applyFill="1" applyBorder="1" applyAlignment="1">
      <alignment horizontal="left" vertical="center" indent="1"/>
    </xf>
    <xf numFmtId="169" fontId="8" fillId="2" borderId="17" xfId="1" applyNumberFormat="1" applyFont="1" applyFill="1" applyBorder="1" applyProtection="1"/>
    <xf numFmtId="169" fontId="8" fillId="2" borderId="35" xfId="1" applyNumberFormat="1" applyFont="1" applyFill="1" applyBorder="1" applyAlignment="1" applyProtection="1">
      <alignment horizontal="center" vertical="center"/>
    </xf>
    <xf numFmtId="173" fontId="9" fillId="2" borderId="0" xfId="1" applyNumberFormat="1" applyFont="1" applyFill="1" applyBorder="1" applyAlignment="1" applyProtection="1">
      <alignment horizontal="center"/>
    </xf>
    <xf numFmtId="178" fontId="9" fillId="2" borderId="0" xfId="1" applyNumberFormat="1" applyFont="1" applyFill="1" applyBorder="1" applyAlignment="1" applyProtection="1">
      <alignment horizontal="center"/>
    </xf>
    <xf numFmtId="178" fontId="9" fillId="2" borderId="84" xfId="1" applyNumberFormat="1" applyFont="1" applyFill="1" applyBorder="1" applyAlignment="1" applyProtection="1">
      <alignment horizontal="center"/>
    </xf>
    <xf numFmtId="178" fontId="9" fillId="2" borderId="85" xfId="1" applyNumberFormat="1" applyFont="1" applyFill="1" applyBorder="1" applyAlignment="1" applyProtection="1">
      <alignment horizontal="center"/>
    </xf>
    <xf numFmtId="178" fontId="9" fillId="2" borderId="86" xfId="1" applyNumberFormat="1" applyFont="1" applyFill="1" applyBorder="1" applyAlignment="1" applyProtection="1">
      <alignment horizontal="center"/>
    </xf>
    <xf numFmtId="178" fontId="9" fillId="2" borderId="87" xfId="1" applyNumberFormat="1" applyFont="1" applyFill="1" applyBorder="1" applyAlignment="1" applyProtection="1">
      <alignment horizontal="center"/>
    </xf>
    <xf numFmtId="178" fontId="9" fillId="2" borderId="87" xfId="1" applyNumberFormat="1" applyFont="1" applyFill="1" applyBorder="1" applyAlignment="1" applyProtection="1">
      <alignment horizontal="center" vertical="top"/>
    </xf>
    <xf numFmtId="178" fontId="9" fillId="2" borderId="88" xfId="1" applyNumberFormat="1" applyFont="1" applyFill="1" applyBorder="1" applyAlignment="1" applyProtection="1">
      <alignment horizontal="center"/>
    </xf>
    <xf numFmtId="178" fontId="9" fillId="2" borderId="15" xfId="1" applyNumberFormat="1" applyFont="1" applyFill="1" applyBorder="1" applyAlignment="1" applyProtection="1">
      <alignment horizontal="center"/>
    </xf>
    <xf numFmtId="169" fontId="8" fillId="0" borderId="89" xfId="1" applyNumberFormat="1" applyFont="1" applyFill="1" applyBorder="1" applyProtection="1"/>
    <xf numFmtId="177" fontId="8" fillId="0" borderId="90" xfId="4" applyNumberFormat="1" applyFont="1" applyFill="1" applyBorder="1" applyAlignment="1" applyProtection="1">
      <alignment horizontal="centerContinuous"/>
    </xf>
    <xf numFmtId="183" fontId="8" fillId="0" borderId="90" xfId="4" applyFont="1" applyFill="1" applyBorder="1" applyAlignment="1" applyProtection="1">
      <alignment horizontal="center"/>
    </xf>
    <xf numFmtId="183" fontId="8" fillId="0" borderId="91" xfId="4" applyFont="1" applyFill="1" applyBorder="1" applyAlignment="1" applyProtection="1">
      <alignment horizontal="center"/>
    </xf>
    <xf numFmtId="183" fontId="8" fillId="0" borderId="91" xfId="4" applyFont="1" applyFill="1" applyBorder="1" applyAlignment="1" applyProtection="1">
      <alignment horizontal="center" vertical="center"/>
    </xf>
    <xf numFmtId="172" fontId="9" fillId="0" borderId="90" xfId="1" applyNumberFormat="1" applyFont="1" applyFill="1" applyBorder="1" applyAlignment="1" applyProtection="1">
      <alignment horizontal="center"/>
    </xf>
    <xf numFmtId="172" fontId="9" fillId="0" borderId="92" xfId="1" applyNumberFormat="1" applyFont="1" applyFill="1" applyBorder="1" applyAlignment="1" applyProtection="1">
      <alignment horizontal="center"/>
    </xf>
    <xf numFmtId="168" fontId="9" fillId="0" borderId="91" xfId="4" applyNumberFormat="1" applyFont="1" applyFill="1" applyBorder="1" applyAlignment="1" applyProtection="1">
      <alignment horizontal="center" vertical="center"/>
    </xf>
    <xf numFmtId="172" fontId="9" fillId="0" borderId="91" xfId="1" applyNumberFormat="1" applyFont="1" applyFill="1" applyBorder="1" applyAlignment="1" applyProtection="1">
      <alignment horizontal="center" vertical="center"/>
    </xf>
    <xf numFmtId="168" fontId="9" fillId="0" borderId="90" xfId="4" applyNumberFormat="1" applyFont="1" applyFill="1" applyBorder="1" applyAlignment="1" applyProtection="1">
      <alignment horizontal="center"/>
    </xf>
    <xf numFmtId="172" fontId="9" fillId="0" borderId="90" xfId="1" applyNumberFormat="1" applyFont="1" applyFill="1" applyBorder="1" applyAlignment="1" applyProtection="1">
      <alignment horizontal="center" vertical="top"/>
    </xf>
    <xf numFmtId="172" fontId="9" fillId="0" borderId="93" xfId="1" applyNumberFormat="1" applyFont="1" applyFill="1" applyBorder="1" applyAlignment="1" applyProtection="1">
      <alignment horizontal="center"/>
    </xf>
    <xf numFmtId="172" fontId="9" fillId="0" borderId="94" xfId="1" applyNumberFormat="1" applyFont="1" applyFill="1" applyBorder="1" applyAlignment="1" applyProtection="1">
      <alignment horizontal="center"/>
    </xf>
    <xf numFmtId="183" fontId="8" fillId="0" borderId="89" xfId="4" applyFont="1" applyFill="1" applyBorder="1" applyProtection="1"/>
    <xf numFmtId="177" fontId="8" fillId="0" borderId="90" xfId="4" applyNumberFormat="1" applyFont="1" applyFill="1" applyBorder="1" applyAlignment="1" applyProtection="1">
      <alignment horizontal="center"/>
    </xf>
    <xf numFmtId="173" fontId="9" fillId="0" borderId="90" xfId="4" applyNumberFormat="1" applyFont="1" applyFill="1" applyBorder="1" applyAlignment="1" applyProtection="1">
      <alignment horizontal="center"/>
    </xf>
    <xf numFmtId="168" fontId="9" fillId="0" borderId="92" xfId="4" applyNumberFormat="1" applyFont="1" applyFill="1" applyBorder="1" applyAlignment="1" applyProtection="1">
      <alignment horizontal="center"/>
    </xf>
    <xf numFmtId="168" fontId="9" fillId="0" borderId="90" xfId="4" applyNumberFormat="1" applyFont="1" applyFill="1" applyBorder="1" applyAlignment="1" applyProtection="1">
      <alignment horizontal="center" vertical="top"/>
    </xf>
    <xf numFmtId="168" fontId="9" fillId="0" borderId="93" xfId="4" applyNumberFormat="1" applyFont="1" applyFill="1" applyBorder="1" applyAlignment="1" applyProtection="1">
      <alignment horizontal="center"/>
    </xf>
    <xf numFmtId="168" fontId="9" fillId="0" borderId="94" xfId="4" applyNumberFormat="1" applyFont="1" applyFill="1" applyBorder="1" applyAlignment="1" applyProtection="1">
      <alignment horizontal="center"/>
    </xf>
    <xf numFmtId="172" fontId="8" fillId="2" borderId="3" xfId="0" applyNumberFormat="1" applyFont="1" applyFill="1" applyBorder="1" applyAlignment="1">
      <alignment horizontal="center" vertical="center"/>
    </xf>
    <xf numFmtId="172" fontId="0" fillId="0" borderId="0" xfId="0" applyNumberFormat="1" applyBorder="1"/>
    <xf numFmtId="183" fontId="22" fillId="2" borderId="0" xfId="0" applyFont="1" applyFill="1" applyBorder="1" applyAlignment="1">
      <alignment horizontal="center"/>
    </xf>
    <xf numFmtId="10" fontId="19" fillId="0" borderId="0" xfId="5" applyNumberFormat="1" applyFont="1"/>
    <xf numFmtId="183" fontId="19" fillId="0" borderId="5" xfId="0" applyFont="1" applyBorder="1" applyAlignment="1">
      <alignment horizontal="center" vertical="center"/>
    </xf>
    <xf numFmtId="183" fontId="19" fillId="0" borderId="0" xfId="0" applyFont="1" applyBorder="1" applyAlignment="1">
      <alignment horizontal="center" vertical="center"/>
    </xf>
    <xf numFmtId="183" fontId="19" fillId="0" borderId="62" xfId="0" applyFont="1" applyBorder="1" applyAlignment="1">
      <alignment horizontal="center" vertical="center"/>
    </xf>
    <xf numFmtId="174" fontId="8" fillId="0" borderId="56" xfId="5" applyNumberFormat="1" applyFont="1" applyBorder="1" applyAlignment="1">
      <alignment horizontal="right" vertical="center"/>
    </xf>
    <xf numFmtId="183" fontId="0" fillId="0" borderId="7" xfId="0" applyBorder="1"/>
    <xf numFmtId="172" fontId="0" fillId="0" borderId="7" xfId="0" applyNumberFormat="1" applyBorder="1"/>
    <xf numFmtId="183" fontId="22" fillId="2" borderId="0" xfId="0" applyFont="1" applyFill="1" applyBorder="1"/>
    <xf numFmtId="183" fontId="22" fillId="3" borderId="0" xfId="0" applyFont="1" applyFill="1" applyBorder="1"/>
    <xf numFmtId="172" fontId="22" fillId="3" borderId="0" xfId="0" applyNumberFormat="1" applyFont="1" applyFill="1" applyBorder="1"/>
    <xf numFmtId="172" fontId="0" fillId="0" borderId="13" xfId="0" applyNumberFormat="1" applyBorder="1"/>
    <xf numFmtId="183" fontId="22" fillId="0" borderId="2" xfId="0" applyFont="1" applyBorder="1"/>
    <xf numFmtId="183" fontId="0" fillId="0" borderId="2" xfId="0" applyBorder="1"/>
    <xf numFmtId="172" fontId="0" fillId="0" borderId="8" xfId="0" applyNumberFormat="1" applyBorder="1"/>
    <xf numFmtId="172" fontId="22" fillId="2" borderId="13" xfId="0" applyNumberFormat="1" applyFont="1" applyFill="1" applyBorder="1"/>
    <xf numFmtId="183" fontId="22" fillId="3" borderId="2" xfId="0" applyFont="1" applyFill="1" applyBorder="1"/>
    <xf numFmtId="183" fontId="22" fillId="3" borderId="0" xfId="0" applyFont="1" applyFill="1" applyBorder="1" applyAlignment="1">
      <alignment horizontal="center"/>
    </xf>
    <xf numFmtId="172" fontId="22" fillId="3" borderId="13" xfId="0" applyNumberFormat="1" applyFont="1" applyFill="1" applyBorder="1"/>
    <xf numFmtId="183" fontId="0" fillId="0" borderId="6" xfId="0" applyBorder="1"/>
    <xf numFmtId="183" fontId="0" fillId="0" borderId="7" xfId="0" applyBorder="1" applyAlignment="1">
      <alignment horizontal="center"/>
    </xf>
    <xf numFmtId="183" fontId="0" fillId="0" borderId="8" xfId="0" applyBorder="1"/>
    <xf numFmtId="172" fontId="0" fillId="0" borderId="6" xfId="0" applyNumberFormat="1" applyBorder="1"/>
    <xf numFmtId="183" fontId="24" fillId="0" borderId="46" xfId="0" applyFont="1" applyFill="1" applyBorder="1" applyAlignment="1">
      <alignment horizontal="left" wrapText="1"/>
    </xf>
    <xf numFmtId="183" fontId="22" fillId="0" borderId="46" xfId="0" applyFont="1" applyFill="1" applyBorder="1" applyAlignment="1">
      <alignment horizontal="left" wrapText="1"/>
    </xf>
    <xf numFmtId="172" fontId="0" fillId="0" borderId="0" xfId="0" applyNumberFormat="1" applyFill="1" applyBorder="1"/>
    <xf numFmtId="183" fontId="14" fillId="2" borderId="14" xfId="0" applyFont="1" applyFill="1" applyBorder="1" applyAlignment="1">
      <alignment horizontal="center" wrapText="1"/>
    </xf>
    <xf numFmtId="183" fontId="14" fillId="2" borderId="6" xfId="0" applyFont="1" applyFill="1" applyBorder="1" applyAlignment="1">
      <alignment horizontal="center" vertical="center" wrapText="1"/>
    </xf>
    <xf numFmtId="183" fontId="14" fillId="0" borderId="7" xfId="0" applyFont="1" applyBorder="1" applyAlignment="1">
      <alignment vertical="center"/>
    </xf>
    <xf numFmtId="183" fontId="14" fillId="2" borderId="1" xfId="0" applyFont="1" applyFill="1" applyBorder="1" applyAlignment="1">
      <alignment horizontal="center" vertical="center" wrapText="1"/>
    </xf>
    <xf numFmtId="183" fontId="14" fillId="0" borderId="2" xfId="0" applyFont="1" applyBorder="1"/>
    <xf numFmtId="183" fontId="14" fillId="0" borderId="0" xfId="0" applyFont="1" applyBorder="1"/>
    <xf numFmtId="183" fontId="14" fillId="0" borderId="12" xfId="0" applyFont="1" applyBorder="1" applyAlignment="1">
      <alignment wrapText="1"/>
    </xf>
    <xf numFmtId="183" fontId="14" fillId="0" borderId="13" xfId="0" applyFont="1" applyBorder="1"/>
    <xf numFmtId="183" fontId="14" fillId="0" borderId="3" xfId="0" applyFont="1" applyBorder="1"/>
    <xf numFmtId="183" fontId="14" fillId="0" borderId="6" xfId="0" applyFont="1" applyBorder="1"/>
    <xf numFmtId="183" fontId="14" fillId="0" borderId="7" xfId="0" applyFont="1" applyBorder="1"/>
    <xf numFmtId="179" fontId="14" fillId="0" borderId="30" xfId="2" applyNumberFormat="1" applyFont="1" applyBorder="1"/>
    <xf numFmtId="179" fontId="14" fillId="0" borderId="8" xfId="2" applyNumberFormat="1" applyFont="1" applyBorder="1"/>
    <xf numFmtId="183" fontId="14" fillId="0" borderId="30" xfId="0" applyFont="1" applyBorder="1"/>
    <xf numFmtId="180" fontId="14" fillId="0" borderId="3" xfId="2" applyNumberFormat="1" applyFont="1" applyBorder="1"/>
    <xf numFmtId="180" fontId="14" fillId="0" borderId="13" xfId="2" applyNumberFormat="1" applyFont="1" applyBorder="1"/>
    <xf numFmtId="180" fontId="14" fillId="0" borderId="30" xfId="2" applyNumberFormat="1" applyFont="1" applyFill="1" applyBorder="1"/>
    <xf numFmtId="180" fontId="14" fillId="0" borderId="8" xfId="2" applyNumberFormat="1" applyFont="1" applyFill="1" applyBorder="1"/>
    <xf numFmtId="180" fontId="14" fillId="0" borderId="30" xfId="2" applyNumberFormat="1" applyFont="1" applyBorder="1"/>
    <xf numFmtId="180" fontId="14" fillId="0" borderId="3" xfId="2" applyNumberFormat="1" applyFont="1" applyFill="1" applyBorder="1"/>
    <xf numFmtId="180" fontId="14" fillId="0" borderId="13" xfId="2" applyNumberFormat="1" applyFont="1" applyFill="1" applyBorder="1"/>
    <xf numFmtId="183" fontId="14" fillId="0" borderId="14" xfId="0" applyFont="1" applyBorder="1"/>
    <xf numFmtId="183" fontId="14" fillId="0" borderId="5" xfId="0" applyFont="1" applyBorder="1"/>
    <xf numFmtId="180" fontId="14" fillId="0" borderId="1" xfId="2" applyNumberFormat="1" applyFont="1" applyFill="1" applyBorder="1"/>
    <xf numFmtId="180" fontId="14" fillId="0" borderId="10" xfId="2" applyNumberFormat="1" applyFont="1" applyFill="1" applyBorder="1"/>
    <xf numFmtId="180" fontId="14" fillId="0" borderId="1" xfId="2" applyNumberFormat="1" applyFont="1" applyBorder="1"/>
    <xf numFmtId="183" fontId="14" fillId="0" borderId="1" xfId="0" applyFont="1" applyBorder="1"/>
    <xf numFmtId="179" fontId="14" fillId="0" borderId="30" xfId="0" applyNumberFormat="1" applyFont="1" applyBorder="1"/>
    <xf numFmtId="183" fontId="0" fillId="0" borderId="0" xfId="0" applyFill="1" applyBorder="1"/>
    <xf numFmtId="183" fontId="0" fillId="0" borderId="0" xfId="0" applyFill="1"/>
    <xf numFmtId="183" fontId="8" fillId="0" borderId="89" xfId="0" applyFont="1" applyFill="1" applyBorder="1" applyAlignment="1">
      <alignment horizontal="center"/>
    </xf>
    <xf numFmtId="183" fontId="8" fillId="0" borderId="0" xfId="0" applyFont="1" applyFill="1"/>
    <xf numFmtId="183" fontId="9" fillId="0" borderId="100" xfId="0" applyFont="1" applyFill="1" applyBorder="1" applyAlignment="1">
      <alignment horizontal="center"/>
    </xf>
    <xf numFmtId="165" fontId="8" fillId="0" borderId="59" xfId="3" quotePrefix="1" applyFont="1" applyFill="1" applyBorder="1" applyAlignment="1">
      <alignment horizontal="center" wrapText="1"/>
    </xf>
    <xf numFmtId="170" fontId="8" fillId="0" borderId="60" xfId="0" applyNumberFormat="1" applyFont="1" applyFill="1" applyBorder="1" applyAlignment="1">
      <alignment horizontal="center" wrapText="1"/>
    </xf>
    <xf numFmtId="170" fontId="8" fillId="0" borderId="9" xfId="0" applyNumberFormat="1" applyFont="1" applyFill="1" applyBorder="1" applyAlignment="1">
      <alignment horizontal="center" wrapText="1"/>
    </xf>
    <xf numFmtId="170" fontId="8" fillId="0" borderId="12" xfId="0" applyNumberFormat="1" applyFont="1" applyFill="1" applyBorder="1" applyAlignment="1">
      <alignment horizontal="center" wrapText="1"/>
    </xf>
    <xf numFmtId="165" fontId="8" fillId="0" borderId="11" xfId="3" quotePrefix="1" applyFont="1" applyFill="1" applyBorder="1" applyAlignment="1">
      <alignment horizontal="center" wrapText="1"/>
    </xf>
    <xf numFmtId="183" fontId="9" fillId="0" borderId="0" xfId="0" applyFont="1" applyFill="1" applyAlignment="1">
      <alignment horizontal="center"/>
    </xf>
    <xf numFmtId="183" fontId="8" fillId="2" borderId="101" xfId="0" applyFont="1" applyFill="1" applyBorder="1" applyAlignment="1">
      <alignment horizontal="left"/>
    </xf>
    <xf numFmtId="175" fontId="8" fillId="0" borderId="60" xfId="0" applyNumberFormat="1" applyFont="1" applyFill="1" applyBorder="1" applyAlignment="1">
      <alignment horizontal="center" wrapText="1"/>
    </xf>
    <xf numFmtId="43" fontId="8" fillId="0" borderId="60" xfId="0" applyNumberFormat="1" applyFont="1" applyFill="1" applyBorder="1" applyAlignment="1">
      <alignment horizontal="center" wrapText="1"/>
    </xf>
    <xf numFmtId="175" fontId="8" fillId="0" borderId="9" xfId="0" applyNumberFormat="1" applyFont="1" applyFill="1" applyBorder="1" applyAlignment="1">
      <alignment horizontal="center" wrapText="1"/>
    </xf>
    <xf numFmtId="183" fontId="9" fillId="0" borderId="82" xfId="0" applyFont="1" applyFill="1" applyBorder="1" applyAlignment="1">
      <alignment horizontal="center"/>
    </xf>
    <xf numFmtId="175" fontId="9" fillId="0" borderId="1" xfId="0" applyNumberFormat="1" applyFont="1" applyFill="1" applyBorder="1" applyAlignment="1">
      <alignment horizontal="center"/>
    </xf>
    <xf numFmtId="175" fontId="9" fillId="0" borderId="10" xfId="0" applyNumberFormat="1" applyFont="1" applyFill="1" applyBorder="1" applyAlignment="1">
      <alignment horizontal="center"/>
    </xf>
    <xf numFmtId="175" fontId="9" fillId="0" borderId="67" xfId="0" applyNumberFormat="1" applyFont="1" applyFill="1" applyBorder="1" applyAlignment="1">
      <alignment horizontal="center"/>
    </xf>
    <xf numFmtId="183" fontId="9" fillId="0" borderId="102" xfId="0" applyFont="1" applyFill="1" applyBorder="1" applyAlignment="1">
      <alignment horizontal="left" indent="1"/>
    </xf>
    <xf numFmtId="175" fontId="9" fillId="0" borderId="82" xfId="0" applyNumberFormat="1" applyFont="1" applyFill="1" applyBorder="1" applyAlignment="1">
      <alignment horizontal="right" indent="1"/>
    </xf>
    <xf numFmtId="175" fontId="9" fillId="0" borderId="67" xfId="1" applyNumberFormat="1" applyFont="1" applyFill="1" applyBorder="1" applyAlignment="1">
      <alignment horizontal="right" indent="1"/>
    </xf>
    <xf numFmtId="43" fontId="9" fillId="0" borderId="67" xfId="1" applyNumberFormat="1" applyFont="1" applyFill="1" applyBorder="1" applyAlignment="1">
      <alignment horizontal="right" indent="1"/>
    </xf>
    <xf numFmtId="175" fontId="9" fillId="0" borderId="10" xfId="0" applyNumberFormat="1" applyFont="1" applyFill="1" applyBorder="1" applyAlignment="1">
      <alignment horizontal="right" indent="1"/>
    </xf>
    <xf numFmtId="175" fontId="9" fillId="0" borderId="14" xfId="1" applyNumberFormat="1" applyFont="1" applyFill="1" applyBorder="1" applyAlignment="1">
      <alignment horizontal="right" indent="1"/>
    </xf>
    <xf numFmtId="175" fontId="9" fillId="0" borderId="82" xfId="0" applyNumberFormat="1" applyFont="1" applyFill="1" applyBorder="1"/>
    <xf numFmtId="175" fontId="9" fillId="0" borderId="1" xfId="0" applyNumberFormat="1" applyFont="1" applyFill="1" applyBorder="1"/>
    <xf numFmtId="175" fontId="9" fillId="0" borderId="10" xfId="0" applyNumberFormat="1" applyFont="1" applyFill="1" applyBorder="1"/>
    <xf numFmtId="175" fontId="9" fillId="0" borderId="67" xfId="0" applyNumberFormat="1" applyFont="1" applyFill="1" applyBorder="1"/>
    <xf numFmtId="183" fontId="9" fillId="0" borderId="102" xfId="0" applyFont="1" applyFill="1" applyBorder="1" applyAlignment="1">
      <alignment horizontal="left" wrapText="1" indent="1"/>
    </xf>
    <xf numFmtId="183" fontId="8" fillId="2" borderId="102" xfId="0" applyFont="1" applyFill="1" applyBorder="1" applyAlignment="1">
      <alignment wrapText="1"/>
    </xf>
    <xf numFmtId="175" fontId="9" fillId="0" borderId="59" xfId="0" applyNumberFormat="1" applyFont="1" applyFill="1" applyBorder="1"/>
    <xf numFmtId="175" fontId="9" fillId="0" borderId="12" xfId="0" applyNumberFormat="1" applyFont="1" applyFill="1" applyBorder="1"/>
    <xf numFmtId="183" fontId="9" fillId="0" borderId="101" xfId="0" applyFont="1" applyFill="1" applyBorder="1" applyAlignment="1">
      <alignment horizontal="left" wrapText="1" indent="1"/>
    </xf>
    <xf numFmtId="175" fontId="9" fillId="0" borderId="59" xfId="0" applyNumberFormat="1" applyFont="1" applyFill="1" applyBorder="1" applyAlignment="1">
      <alignment horizontal="right" indent="1"/>
    </xf>
    <xf numFmtId="175" fontId="9" fillId="0" borderId="60" xfId="1" applyNumberFormat="1" applyFont="1" applyFill="1" applyBorder="1" applyAlignment="1">
      <alignment horizontal="right" indent="1"/>
    </xf>
    <xf numFmtId="43" fontId="9" fillId="0" borderId="60" xfId="1" applyNumberFormat="1" applyFont="1" applyFill="1" applyBorder="1" applyAlignment="1">
      <alignment horizontal="right" indent="1"/>
    </xf>
    <xf numFmtId="175" fontId="9" fillId="0" borderId="11" xfId="0" applyNumberFormat="1" applyFont="1" applyFill="1" applyBorder="1" applyAlignment="1">
      <alignment horizontal="right" indent="1"/>
    </xf>
    <xf numFmtId="175" fontId="9" fillId="0" borderId="9" xfId="1" applyNumberFormat="1" applyFont="1" applyFill="1" applyBorder="1" applyAlignment="1">
      <alignment horizontal="right" indent="1"/>
    </xf>
    <xf numFmtId="183" fontId="8" fillId="0" borderId="103" xfId="0" applyFont="1" applyFill="1" applyBorder="1" applyAlignment="1">
      <alignment horizontal="left" indent="1"/>
    </xf>
    <xf numFmtId="171" fontId="8" fillId="0" borderId="104" xfId="1" applyNumberFormat="1" applyFont="1" applyFill="1" applyBorder="1" applyAlignment="1">
      <alignment horizontal="right" indent="1"/>
    </xf>
    <xf numFmtId="175" fontId="8" fillId="0" borderId="105" xfId="1" applyNumberFormat="1" applyFont="1" applyFill="1" applyBorder="1" applyAlignment="1">
      <alignment horizontal="right" indent="1"/>
    </xf>
    <xf numFmtId="171" fontId="8" fillId="0" borderId="105" xfId="1" applyNumberFormat="1" applyFont="1" applyFill="1" applyBorder="1" applyAlignment="1">
      <alignment horizontal="right" indent="1"/>
    </xf>
    <xf numFmtId="183" fontId="18" fillId="0" borderId="0" xfId="0" applyFont="1" applyFill="1" applyBorder="1" applyAlignment="1">
      <alignment horizontal="left" indent="1"/>
    </xf>
    <xf numFmtId="181" fontId="29" fillId="0" borderId="0" xfId="0" applyNumberFormat="1" applyFont="1" applyFill="1" applyBorder="1" applyAlignment="1">
      <alignment horizontal="right" indent="1"/>
    </xf>
    <xf numFmtId="175" fontId="29" fillId="0" borderId="0" xfId="0" applyNumberFormat="1" applyFont="1" applyFill="1" applyBorder="1" applyAlignment="1">
      <alignment horizontal="right" indent="1"/>
    </xf>
    <xf numFmtId="175" fontId="0" fillId="0" borderId="0" xfId="0" applyNumberFormat="1" applyFill="1"/>
    <xf numFmtId="170" fontId="0" fillId="0" borderId="0" xfId="0" applyNumberFormat="1" applyFill="1"/>
    <xf numFmtId="43" fontId="8" fillId="0" borderId="9" xfId="0" applyNumberFormat="1" applyFont="1" applyFill="1" applyBorder="1" applyAlignment="1">
      <alignment horizontal="center" wrapText="1"/>
    </xf>
    <xf numFmtId="43" fontId="9" fillId="0" borderId="14" xfId="1" applyNumberFormat="1" applyFont="1" applyFill="1" applyBorder="1" applyAlignment="1">
      <alignment horizontal="right" indent="1"/>
    </xf>
    <xf numFmtId="43" fontId="9" fillId="0" borderId="9" xfId="1" applyNumberFormat="1" applyFont="1" applyFill="1" applyBorder="1" applyAlignment="1">
      <alignment horizontal="right" indent="1"/>
    </xf>
    <xf numFmtId="171" fontId="8" fillId="0" borderId="106" xfId="1" applyNumberFormat="1" applyFont="1" applyFill="1" applyBorder="1" applyAlignment="1">
      <alignment horizontal="right" indent="1"/>
    </xf>
    <xf numFmtId="43" fontId="8" fillId="0" borderId="69" xfId="0" applyNumberFormat="1" applyFont="1" applyFill="1" applyBorder="1" applyAlignment="1">
      <alignment horizontal="center" wrapText="1"/>
    </xf>
    <xf numFmtId="43" fontId="8" fillId="0" borderId="97" xfId="0" applyNumberFormat="1" applyFont="1" applyFill="1" applyBorder="1" applyAlignment="1">
      <alignment horizontal="center" wrapText="1"/>
    </xf>
    <xf numFmtId="43" fontId="9" fillId="0" borderId="72" xfId="1" applyNumberFormat="1" applyFont="1" applyFill="1" applyBorder="1" applyAlignment="1">
      <alignment horizontal="right" indent="1"/>
    </xf>
    <xf numFmtId="43" fontId="9" fillId="0" borderId="83" xfId="1" applyNumberFormat="1" applyFont="1" applyFill="1" applyBorder="1" applyAlignment="1">
      <alignment horizontal="right" indent="1"/>
    </xf>
    <xf numFmtId="43" fontId="9" fillId="0" borderId="69" xfId="1" applyNumberFormat="1" applyFont="1" applyFill="1" applyBorder="1" applyAlignment="1">
      <alignment horizontal="right" indent="1"/>
    </xf>
    <xf numFmtId="43" fontId="9" fillId="0" borderId="97" xfId="1" applyNumberFormat="1" applyFont="1" applyFill="1" applyBorder="1" applyAlignment="1">
      <alignment horizontal="right" indent="1"/>
    </xf>
    <xf numFmtId="175" fontId="9" fillId="0" borderId="107" xfId="1" applyNumberFormat="1" applyFont="1" applyFill="1" applyBorder="1" applyAlignment="1">
      <alignment horizontal="right" indent="1"/>
    </xf>
    <xf numFmtId="175" fontId="9" fillId="0" borderId="99" xfId="1" applyNumberFormat="1" applyFont="1" applyFill="1" applyBorder="1" applyAlignment="1">
      <alignment horizontal="right" indent="1"/>
    </xf>
    <xf numFmtId="183" fontId="0" fillId="4" borderId="0" xfId="0" applyFill="1" applyBorder="1"/>
    <xf numFmtId="172" fontId="0" fillId="4" borderId="0" xfId="0" applyNumberFormat="1" applyFill="1" applyBorder="1"/>
    <xf numFmtId="172" fontId="0" fillId="4" borderId="13" xfId="0" applyNumberFormat="1" applyFill="1" applyBorder="1"/>
    <xf numFmtId="183" fontId="9" fillId="4" borderId="0" xfId="0" applyFont="1" applyFill="1" applyBorder="1" applyAlignment="1">
      <alignment horizontal="left" wrapText="1" indent="1"/>
    </xf>
    <xf numFmtId="183" fontId="0" fillId="4" borderId="0" xfId="0" applyFill="1"/>
    <xf numFmtId="171" fontId="0" fillId="4" borderId="1" xfId="0" applyNumberFormat="1" applyFill="1" applyBorder="1"/>
    <xf numFmtId="170" fontId="9" fillId="0" borderId="0" xfId="0" applyNumberFormat="1" applyFont="1" applyFill="1"/>
    <xf numFmtId="182" fontId="9" fillId="0" borderId="0" xfId="0" applyNumberFormat="1" applyFont="1" applyFill="1"/>
    <xf numFmtId="172" fontId="8" fillId="2" borderId="108" xfId="0" applyNumberFormat="1" applyFont="1" applyFill="1" applyBorder="1" applyAlignment="1">
      <alignment horizontal="center" vertical="center"/>
    </xf>
    <xf numFmtId="172" fontId="8" fillId="2" borderId="67" xfId="0" applyNumberFormat="1" applyFont="1" applyFill="1" applyBorder="1" applyAlignment="1">
      <alignment horizontal="center" vertical="center"/>
    </xf>
    <xf numFmtId="172" fontId="8" fillId="2" borderId="109" xfId="0" applyNumberFormat="1" applyFont="1" applyFill="1" applyBorder="1" applyAlignment="1">
      <alignment horizontal="center" vertical="center"/>
    </xf>
    <xf numFmtId="174" fontId="8" fillId="2" borderId="75" xfId="5" applyNumberFormat="1" applyFont="1" applyFill="1" applyBorder="1" applyAlignment="1">
      <alignment horizontal="center" vertical="center"/>
    </xf>
    <xf numFmtId="183" fontId="0" fillId="0" borderId="110" xfId="0" applyBorder="1" applyAlignment="1">
      <alignment horizontal="center"/>
    </xf>
    <xf numFmtId="183" fontId="0" fillId="0" borderId="65" xfId="0" applyBorder="1"/>
    <xf numFmtId="183" fontId="0" fillId="0" borderId="70" xfId="0" applyBorder="1"/>
    <xf numFmtId="183" fontId="0" fillId="0" borderId="66" xfId="0" applyBorder="1"/>
    <xf numFmtId="183" fontId="0" fillId="0" borderId="61" xfId="0" applyBorder="1"/>
    <xf numFmtId="183" fontId="0" fillId="0" borderId="111" xfId="0" applyBorder="1" applyAlignment="1">
      <alignment horizontal="center"/>
    </xf>
    <xf numFmtId="183" fontId="0" fillId="0" borderId="6" xfId="0" applyBorder="1" applyAlignment="1">
      <alignment horizontal="center"/>
    </xf>
    <xf numFmtId="183" fontId="0" fillId="0" borderId="98" xfId="0" applyBorder="1" applyAlignment="1">
      <alignment horizontal="center"/>
    </xf>
    <xf numFmtId="183" fontId="0" fillId="0" borderId="71" xfId="0" applyBorder="1" applyAlignment="1">
      <alignment horizontal="center"/>
    </xf>
    <xf numFmtId="175" fontId="0" fillId="0" borderId="0" xfId="0" applyNumberFormat="1" applyBorder="1"/>
    <xf numFmtId="175" fontId="0" fillId="0" borderId="2" xfId="0" applyNumberFormat="1" applyBorder="1"/>
    <xf numFmtId="175" fontId="0" fillId="0" borderId="109" xfId="0" applyNumberFormat="1" applyBorder="1"/>
    <xf numFmtId="175" fontId="0" fillId="0" borderId="7" xfId="0" applyNumberFormat="1" applyBorder="1"/>
    <xf numFmtId="175" fontId="0" fillId="0" borderId="6" xfId="0" applyNumberFormat="1" applyBorder="1"/>
    <xf numFmtId="175" fontId="0" fillId="0" borderId="71" xfId="0" applyNumberFormat="1" applyBorder="1"/>
    <xf numFmtId="175" fontId="0" fillId="0" borderId="62" xfId="0" applyNumberFormat="1" applyBorder="1"/>
    <xf numFmtId="175" fontId="0" fillId="0" borderId="74" xfId="0" applyNumberFormat="1" applyBorder="1"/>
    <xf numFmtId="175" fontId="0" fillId="0" borderId="75" xfId="0" applyNumberFormat="1" applyBorder="1"/>
    <xf numFmtId="183" fontId="0" fillId="0" borderId="66" xfId="0" applyBorder="1" applyAlignment="1">
      <alignment wrapText="1"/>
    </xf>
    <xf numFmtId="175" fontId="0" fillId="0" borderId="0" xfId="0" applyNumberFormat="1" applyBorder="1" applyAlignment="1">
      <alignment vertical="center"/>
    </xf>
    <xf numFmtId="175" fontId="0" fillId="0" borderId="2" xfId="0" applyNumberFormat="1" applyBorder="1" applyAlignment="1">
      <alignment vertical="center"/>
    </xf>
    <xf numFmtId="175" fontId="0" fillId="0" borderId="109" xfId="0" applyNumberFormat="1" applyBorder="1" applyAlignment="1">
      <alignment vertical="center"/>
    </xf>
    <xf numFmtId="183" fontId="32" fillId="0" borderId="4" xfId="0" applyFont="1" applyBorder="1"/>
    <xf numFmtId="183" fontId="32" fillId="0" borderId="0" xfId="0" applyFont="1" applyBorder="1"/>
    <xf numFmtId="183" fontId="32" fillId="0" borderId="0" xfId="0" applyFont="1" applyBorder="1" applyAlignment="1">
      <alignment vertical="center"/>
    </xf>
    <xf numFmtId="183" fontId="32" fillId="0" borderId="5" xfId="0" applyFont="1" applyBorder="1"/>
    <xf numFmtId="183" fontId="19" fillId="5" borderId="0" xfId="0" applyFont="1" applyFill="1" applyBorder="1"/>
    <xf numFmtId="172" fontId="9" fillId="5" borderId="0" xfId="0" applyNumberFormat="1" applyFont="1" applyFill="1" applyBorder="1" applyAlignment="1">
      <alignment horizontal="center" vertical="center"/>
    </xf>
    <xf numFmtId="183" fontId="32" fillId="5" borderId="0" xfId="0" applyFont="1" applyFill="1" applyBorder="1"/>
    <xf numFmtId="183" fontId="7" fillId="5" borderId="0" xfId="0" applyFont="1" applyFill="1" applyBorder="1" applyAlignment="1">
      <alignment horizontal="centerContinuous" vertical="center"/>
    </xf>
    <xf numFmtId="183" fontId="10" fillId="5" borderId="0" xfId="0" applyFont="1" applyFill="1" applyBorder="1" applyAlignment="1">
      <alignment horizontal="centerContinuous" vertical="center"/>
    </xf>
    <xf numFmtId="183" fontId="10" fillId="5" borderId="0" xfId="0" quotePrefix="1" applyFont="1" applyFill="1" applyBorder="1" applyAlignment="1">
      <alignment horizontal="centerContinuous" vertical="center"/>
    </xf>
    <xf numFmtId="183" fontId="6" fillId="5" borderId="0" xfId="0" applyFont="1" applyFill="1" applyBorder="1"/>
    <xf numFmtId="183" fontId="7" fillId="5" borderId="65" xfId="0" applyFont="1" applyFill="1" applyBorder="1" applyAlignment="1">
      <alignment horizontal="centerContinuous" vertical="center"/>
    </xf>
    <xf numFmtId="183" fontId="8" fillId="5" borderId="57" xfId="0" applyFont="1" applyFill="1" applyBorder="1" applyAlignment="1">
      <alignment horizontal="centerContinuous" vertical="center" wrapText="1"/>
    </xf>
    <xf numFmtId="183" fontId="8" fillId="5" borderId="58" xfId="0" applyFont="1" applyFill="1" applyBorder="1" applyAlignment="1">
      <alignment horizontal="centerContinuous" vertical="center" wrapText="1"/>
    </xf>
    <xf numFmtId="183" fontId="32" fillId="5" borderId="0" xfId="0" applyFont="1" applyFill="1" applyBorder="1" applyAlignment="1">
      <alignment vertical="center"/>
    </xf>
    <xf numFmtId="183" fontId="8" fillId="5" borderId="66" xfId="0" applyFont="1" applyFill="1" applyBorder="1" applyAlignment="1">
      <alignment vertical="center"/>
    </xf>
    <xf numFmtId="1" fontId="8" fillId="5" borderId="1" xfId="0" applyNumberFormat="1" applyFont="1" applyFill="1" applyBorder="1" applyAlignment="1">
      <alignment horizontal="center" vertical="center" wrapText="1"/>
    </xf>
    <xf numFmtId="1" fontId="8" fillId="5" borderId="67" xfId="0" applyNumberFormat="1" applyFont="1" applyFill="1" applyBorder="1" applyAlignment="1">
      <alignment horizontal="center" vertical="center" wrapText="1"/>
    </xf>
    <xf numFmtId="183" fontId="8" fillId="5" borderId="68" xfId="0" applyFont="1" applyFill="1" applyBorder="1" applyAlignment="1">
      <alignment horizontal="center" vertical="center"/>
    </xf>
    <xf numFmtId="183" fontId="8" fillId="5" borderId="2" xfId="0" applyFont="1" applyFill="1" applyBorder="1" applyAlignment="1">
      <alignment horizontal="center" vertical="center"/>
    </xf>
    <xf numFmtId="183" fontId="8" fillId="5" borderId="3" xfId="0" applyFont="1" applyFill="1" applyBorder="1" applyAlignment="1">
      <alignment horizontal="center" vertical="center"/>
    </xf>
    <xf numFmtId="183" fontId="8" fillId="5" borderId="0" xfId="0" applyFont="1" applyFill="1" applyBorder="1" applyAlignment="1">
      <alignment horizontal="center" vertical="center"/>
    </xf>
    <xf numFmtId="183" fontId="8" fillId="5" borderId="12" xfId="0" applyFont="1" applyFill="1" applyBorder="1" applyAlignment="1">
      <alignment horizontal="center" vertical="center"/>
    </xf>
    <xf numFmtId="183" fontId="8" fillId="5" borderId="60" xfId="0" applyFont="1" applyFill="1" applyBorder="1" applyAlignment="1">
      <alignment horizontal="center" vertical="center"/>
    </xf>
    <xf numFmtId="183" fontId="8" fillId="5" borderId="70" xfId="0" applyFont="1" applyFill="1" applyBorder="1" applyAlignment="1">
      <alignment horizontal="left" vertical="center" indent="1"/>
    </xf>
    <xf numFmtId="183" fontId="8" fillId="5" borderId="72" xfId="0" applyFont="1" applyFill="1" applyBorder="1" applyAlignment="1">
      <alignment horizontal="left" vertical="center" indent="1"/>
    </xf>
    <xf numFmtId="183" fontId="8" fillId="5" borderId="73" xfId="0" applyFont="1" applyFill="1" applyBorder="1" applyAlignment="1">
      <alignment horizontal="left" vertical="center" wrapText="1" indent="1"/>
    </xf>
    <xf numFmtId="183" fontId="8" fillId="5" borderId="0" xfId="0" applyFont="1" applyFill="1" applyBorder="1" applyAlignment="1">
      <alignment horizontal="left" vertical="center" wrapText="1" indent="1"/>
    </xf>
    <xf numFmtId="183" fontId="0" fillId="5" borderId="0" xfId="0" applyFill="1"/>
    <xf numFmtId="183" fontId="7" fillId="5" borderId="4" xfId="0" applyFont="1" applyFill="1" applyBorder="1" applyAlignment="1">
      <alignment vertical="center"/>
    </xf>
    <xf numFmtId="183" fontId="32" fillId="5" borderId="4" xfId="0" applyFont="1" applyFill="1" applyBorder="1" applyAlignment="1"/>
    <xf numFmtId="183" fontId="7" fillId="5" borderId="0" xfId="0" applyFont="1" applyFill="1" applyBorder="1" applyAlignment="1">
      <alignment vertical="center"/>
    </xf>
    <xf numFmtId="183" fontId="33" fillId="5" borderId="0" xfId="0" applyFont="1" applyFill="1" applyBorder="1" applyAlignment="1"/>
    <xf numFmtId="183" fontId="35" fillId="0" borderId="77" xfId="0" applyFont="1" applyBorder="1" applyAlignment="1">
      <alignment horizontal="centerContinuous" vertical="center" wrapText="1"/>
    </xf>
    <xf numFmtId="183" fontId="35" fillId="0" borderId="58" xfId="0" applyFont="1" applyBorder="1" applyAlignment="1">
      <alignment horizontal="centerContinuous" vertical="center" wrapText="1"/>
    </xf>
    <xf numFmtId="1" fontId="35" fillId="0" borderId="81" xfId="0" applyNumberFormat="1" applyFont="1" applyBorder="1" applyAlignment="1">
      <alignment horizontal="center" vertical="center" wrapText="1"/>
    </xf>
    <xf numFmtId="183" fontId="35" fillId="0" borderId="78" xfId="0" applyFont="1" applyBorder="1" applyAlignment="1">
      <alignment horizontal="center" vertical="center"/>
    </xf>
    <xf numFmtId="183" fontId="9" fillId="5" borderId="0" xfId="0" applyFont="1" applyFill="1" applyBorder="1"/>
    <xf numFmtId="172" fontId="9" fillId="5" borderId="0" xfId="0" applyNumberFormat="1" applyFont="1" applyFill="1" applyBorder="1"/>
    <xf numFmtId="183" fontId="9" fillId="5" borderId="70" xfId="0" applyFont="1" applyFill="1" applyBorder="1" applyAlignment="1">
      <alignment horizontal="left" indent="1"/>
    </xf>
    <xf numFmtId="183" fontId="8" fillId="5" borderId="66" xfId="0" applyFont="1" applyFill="1" applyBorder="1"/>
    <xf numFmtId="183" fontId="8" fillId="5" borderId="12" xfId="0" applyFont="1" applyFill="1" applyBorder="1"/>
    <xf numFmtId="183" fontId="8" fillId="5" borderId="3" xfId="0" applyFont="1" applyFill="1" applyBorder="1"/>
    <xf numFmtId="183" fontId="8" fillId="5" borderId="30" xfId="0" applyFont="1" applyFill="1" applyBorder="1"/>
    <xf numFmtId="183" fontId="8" fillId="5" borderId="1" xfId="0" applyFont="1" applyFill="1" applyBorder="1" applyAlignment="1">
      <alignment horizontal="center"/>
    </xf>
    <xf numFmtId="183" fontId="0" fillId="5" borderId="0" xfId="0" applyFill="1" applyBorder="1"/>
    <xf numFmtId="183" fontId="8" fillId="5" borderId="0" xfId="0" applyFont="1" applyFill="1"/>
    <xf numFmtId="183" fontId="9" fillId="5" borderId="0" xfId="0" applyFont="1" applyFill="1"/>
    <xf numFmtId="183" fontId="0" fillId="5" borderId="0" xfId="0" applyFill="1" applyAlignment="1">
      <alignment horizontal="center"/>
    </xf>
    <xf numFmtId="172" fontId="9" fillId="5" borderId="3" xfId="0" applyNumberFormat="1" applyFont="1" applyFill="1" applyBorder="1"/>
    <xf numFmtId="172" fontId="9" fillId="5" borderId="2" xfId="0" applyNumberFormat="1" applyFont="1" applyFill="1" applyBorder="1"/>
    <xf numFmtId="183" fontId="8" fillId="5" borderId="1" xfId="0" applyFont="1" applyFill="1" applyBorder="1"/>
    <xf numFmtId="183" fontId="8" fillId="5" borderId="113" xfId="0" applyFont="1" applyFill="1" applyBorder="1"/>
    <xf numFmtId="183" fontId="9" fillId="5" borderId="3" xfId="0" applyFont="1" applyFill="1" applyBorder="1" applyAlignment="1">
      <alignment wrapText="1"/>
    </xf>
    <xf numFmtId="183" fontId="8" fillId="5" borderId="1" xfId="0" applyFont="1" applyFill="1" applyBorder="1" applyAlignment="1">
      <alignment horizontal="right" wrapText="1"/>
    </xf>
    <xf numFmtId="183" fontId="8" fillId="5" borderId="1" xfId="0" applyFont="1" applyFill="1" applyBorder="1" applyAlignment="1">
      <alignment horizontal="right"/>
    </xf>
    <xf numFmtId="183" fontId="32" fillId="5" borderId="4" xfId="0" applyFont="1" applyFill="1" applyBorder="1"/>
    <xf numFmtId="183" fontId="17" fillId="5" borderId="0" xfId="0" applyFont="1" applyFill="1" applyBorder="1" applyAlignment="1">
      <alignment vertical="center"/>
    </xf>
    <xf numFmtId="183" fontId="8" fillId="5" borderId="14" xfId="0" applyFont="1" applyFill="1" applyBorder="1" applyAlignment="1">
      <alignment horizontal="center"/>
    </xf>
    <xf numFmtId="183" fontId="8" fillId="7" borderId="2" xfId="0" applyFont="1" applyFill="1" applyBorder="1" applyAlignment="1">
      <alignment horizontal="center" vertical="center"/>
    </xf>
    <xf numFmtId="183" fontId="9" fillId="5" borderId="0" xfId="0" applyFont="1" applyFill="1" applyBorder="1" applyAlignment="1"/>
    <xf numFmtId="183" fontId="32" fillId="5" borderId="0" xfId="0" applyFont="1" applyFill="1" applyBorder="1" applyAlignment="1"/>
    <xf numFmtId="183" fontId="7" fillId="5" borderId="0" xfId="0" applyFont="1" applyFill="1" applyBorder="1" applyAlignment="1"/>
    <xf numFmtId="183" fontId="35" fillId="5" borderId="76" xfId="0" applyFont="1" applyFill="1" applyBorder="1" applyAlignment="1">
      <alignment horizontal="centerContinuous" vertical="center"/>
    </xf>
    <xf numFmtId="183" fontId="35" fillId="5" borderId="56" xfId="0" applyFont="1" applyFill="1" applyBorder="1" applyAlignment="1">
      <alignment horizontal="centerContinuous" vertical="center"/>
    </xf>
    <xf numFmtId="183" fontId="35" fillId="5" borderId="77" xfId="0" applyFont="1" applyFill="1" applyBorder="1" applyAlignment="1">
      <alignment horizontal="centerContinuous" vertical="center"/>
    </xf>
    <xf numFmtId="183" fontId="35" fillId="5" borderId="14" xfId="0" applyFont="1" applyFill="1" applyBorder="1" applyAlignment="1">
      <alignment horizontal="center" vertical="center" wrapText="1"/>
    </xf>
    <xf numFmtId="183" fontId="35" fillId="5" borderId="5" xfId="0" applyFont="1" applyFill="1" applyBorder="1" applyAlignment="1">
      <alignment horizontal="centerContinuous" vertical="center" wrapText="1"/>
    </xf>
    <xf numFmtId="183" fontId="35" fillId="5" borderId="8" xfId="0" applyFont="1" applyFill="1" applyBorder="1" applyAlignment="1">
      <alignment horizontal="center" vertical="center" wrapText="1"/>
    </xf>
    <xf numFmtId="183" fontId="35" fillId="5" borderId="2" xfId="0" applyFont="1" applyFill="1" applyBorder="1" applyAlignment="1">
      <alignment horizontal="center" vertical="center"/>
    </xf>
    <xf numFmtId="183" fontId="35" fillId="5" borderId="0" xfId="0" applyFont="1" applyFill="1" applyBorder="1" applyAlignment="1">
      <alignment horizontal="center" vertical="center"/>
    </xf>
    <xf numFmtId="183" fontId="35" fillId="5" borderId="13" xfId="0" applyFont="1" applyFill="1" applyBorder="1" applyAlignment="1">
      <alignment horizontal="center" vertical="center"/>
    </xf>
    <xf numFmtId="172" fontId="35" fillId="5" borderId="0" xfId="0" applyNumberFormat="1" applyFont="1" applyFill="1" applyBorder="1" applyAlignment="1">
      <alignment horizontal="center" vertical="center"/>
    </xf>
    <xf numFmtId="172" fontId="36" fillId="5" borderId="0" xfId="0" applyNumberFormat="1" applyFont="1" applyFill="1" applyBorder="1"/>
    <xf numFmtId="183" fontId="8" fillId="5" borderId="21" xfId="4" applyFont="1" applyFill="1" applyBorder="1" applyProtection="1"/>
    <xf numFmtId="183" fontId="8" fillId="5" borderId="22" xfId="4" applyFont="1" applyFill="1" applyBorder="1" applyProtection="1"/>
    <xf numFmtId="177" fontId="8" fillId="5" borderId="27" xfId="4" applyNumberFormat="1" applyFont="1" applyFill="1" applyBorder="1" applyAlignment="1" applyProtection="1">
      <alignment horizontal="center"/>
    </xf>
    <xf numFmtId="183" fontId="8" fillId="5" borderId="3" xfId="4" quotePrefix="1" applyFont="1" applyFill="1" applyBorder="1" applyAlignment="1" applyProtection="1">
      <alignment horizontal="center"/>
    </xf>
    <xf numFmtId="183" fontId="8" fillId="5" borderId="28" xfId="4" applyFont="1" applyFill="1" applyBorder="1" applyAlignment="1" applyProtection="1">
      <alignment horizontal="center" vertical="center"/>
    </xf>
    <xf numFmtId="183" fontId="8" fillId="5" borderId="29" xfId="4" applyFont="1" applyFill="1" applyBorder="1" applyAlignment="1" applyProtection="1">
      <alignment horizontal="center" vertical="center"/>
    </xf>
    <xf numFmtId="173" fontId="9" fillId="5" borderId="27" xfId="4" applyNumberFormat="1" applyFont="1" applyFill="1" applyBorder="1" applyAlignment="1" applyProtection="1">
      <alignment horizontal="center"/>
    </xf>
    <xf numFmtId="173" fontId="9" fillId="5" borderId="3" xfId="4" applyNumberFormat="1" applyFont="1" applyFill="1" applyBorder="1" applyAlignment="1" applyProtection="1">
      <alignment horizontal="center"/>
    </xf>
    <xf numFmtId="183" fontId="6" fillId="5" borderId="0" xfId="0" applyFont="1" applyFill="1"/>
    <xf numFmtId="183" fontId="8" fillId="5" borderId="12" xfId="0" applyFont="1" applyFill="1" applyBorder="1" applyAlignment="1">
      <alignment horizontal="center" vertical="center" wrapText="1"/>
    </xf>
    <xf numFmtId="183" fontId="8" fillId="5" borderId="1" xfId="0" applyFont="1" applyFill="1" applyBorder="1" applyAlignment="1">
      <alignment horizontal="center" vertical="center"/>
    </xf>
    <xf numFmtId="170" fontId="9" fillId="5" borderId="0" xfId="1" applyNumberFormat="1" applyFont="1" applyFill="1" applyBorder="1" applyAlignment="1">
      <alignment horizontal="right" vertical="center"/>
    </xf>
    <xf numFmtId="183" fontId="8" fillId="5" borderId="2" xfId="0" applyFont="1" applyFill="1" applyBorder="1" applyAlignment="1">
      <alignment horizontal="center" vertical="center" wrapText="1"/>
    </xf>
    <xf numFmtId="183" fontId="8" fillId="5" borderId="13" xfId="0" applyFont="1" applyFill="1" applyBorder="1" applyAlignment="1">
      <alignment horizontal="center" vertical="center" wrapText="1"/>
    </xf>
    <xf numFmtId="183" fontId="8" fillId="5" borderId="14" xfId="0" applyFont="1" applyFill="1" applyBorder="1" applyAlignment="1">
      <alignment horizontal="center" vertical="center"/>
    </xf>
    <xf numFmtId="183" fontId="8" fillId="5" borderId="10" xfId="0" applyFont="1" applyFill="1" applyBorder="1" applyAlignment="1">
      <alignment horizontal="center" vertical="center"/>
    </xf>
    <xf numFmtId="170" fontId="9" fillId="5" borderId="0" xfId="0" applyNumberFormat="1" applyFont="1" applyFill="1"/>
    <xf numFmtId="1" fontId="35" fillId="5" borderId="8" xfId="0" applyNumberFormat="1" applyFont="1" applyFill="1" applyBorder="1" applyAlignment="1">
      <alignment horizontal="center" vertical="center" wrapText="1"/>
    </xf>
    <xf numFmtId="183" fontId="35" fillId="5" borderId="3" xfId="0" applyFont="1" applyFill="1" applyBorder="1" applyAlignment="1">
      <alignment horizontal="center" vertical="center"/>
    </xf>
    <xf numFmtId="183" fontId="36" fillId="5" borderId="0" xfId="0" applyFont="1" applyFill="1" applyBorder="1" applyAlignment="1">
      <alignment horizontal="center"/>
    </xf>
    <xf numFmtId="183" fontId="36" fillId="5" borderId="0" xfId="0" applyFont="1" applyFill="1" applyBorder="1"/>
    <xf numFmtId="9" fontId="19" fillId="5" borderId="0" xfId="5" applyFont="1" applyFill="1" applyBorder="1"/>
    <xf numFmtId="183" fontId="9" fillId="5" borderId="2" xfId="0" applyFont="1" applyFill="1" applyBorder="1" applyAlignment="1">
      <alignment horizontal="left" vertical="center" indent="1"/>
    </xf>
    <xf numFmtId="1" fontId="8" fillId="5" borderId="98" xfId="0" applyNumberFormat="1" applyFont="1" applyFill="1" applyBorder="1" applyAlignment="1">
      <alignment horizontal="center"/>
    </xf>
    <xf numFmtId="183" fontId="8" fillId="5" borderId="71" xfId="0" applyFont="1" applyFill="1" applyBorder="1" applyAlignment="1">
      <alignment horizontal="center"/>
    </xf>
    <xf numFmtId="175" fontId="9" fillId="5" borderId="71" xfId="0" applyNumberFormat="1" applyFont="1" applyFill="1" applyBorder="1"/>
    <xf numFmtId="183" fontId="8" fillId="5" borderId="2" xfId="0" applyFont="1" applyFill="1" applyBorder="1" applyAlignment="1">
      <alignment horizontal="left" vertical="center"/>
    </xf>
    <xf numFmtId="183" fontId="7" fillId="5" borderId="0" xfId="4" applyFont="1" applyFill="1" applyAlignment="1" applyProtection="1">
      <alignment horizontal="centerContinuous"/>
    </xf>
    <xf numFmtId="183" fontId="8" fillId="5" borderId="18" xfId="4" applyFont="1" applyFill="1" applyBorder="1" applyProtection="1"/>
    <xf numFmtId="169" fontId="8" fillId="5" borderId="89" xfId="1" applyNumberFormat="1" applyFont="1" applyFill="1" applyBorder="1" applyProtection="1"/>
    <xf numFmtId="183" fontId="8" fillId="5" borderId="89" xfId="4" applyFont="1" applyFill="1" applyBorder="1" applyProtection="1"/>
    <xf numFmtId="183" fontId="8" fillId="5" borderId="0" xfId="4" applyFont="1" applyFill="1" applyBorder="1" applyProtection="1"/>
    <xf numFmtId="183" fontId="8" fillId="5" borderId="19" xfId="4" applyFont="1" applyFill="1" applyBorder="1" applyProtection="1"/>
    <xf numFmtId="177" fontId="8" fillId="5" borderId="0" xfId="4" applyNumberFormat="1" applyFont="1" applyFill="1" applyBorder="1" applyAlignment="1" applyProtection="1">
      <alignment horizontal="center"/>
    </xf>
    <xf numFmtId="1" fontId="8" fillId="5" borderId="90" xfId="4" quotePrefix="1" applyNumberFormat="1" applyFont="1" applyFill="1" applyBorder="1" applyAlignment="1" applyProtection="1">
      <alignment horizontal="center"/>
    </xf>
    <xf numFmtId="183" fontId="8" fillId="5" borderId="0" xfId="4" applyFont="1" applyFill="1" applyBorder="1" applyAlignment="1" applyProtection="1">
      <alignment horizontal="center"/>
    </xf>
    <xf numFmtId="183" fontId="21" fillId="5" borderId="24" xfId="4" applyFont="1" applyFill="1" applyBorder="1" applyProtection="1"/>
    <xf numFmtId="183" fontId="8" fillId="5" borderId="91" xfId="4" applyFont="1" applyFill="1" applyBorder="1" applyAlignment="1" applyProtection="1">
      <alignment horizontal="center" vertical="center"/>
    </xf>
    <xf numFmtId="183" fontId="8" fillId="5" borderId="0" xfId="4" applyFont="1" applyFill="1" applyBorder="1" applyAlignment="1" applyProtection="1">
      <alignment horizontal="center" vertical="center"/>
    </xf>
    <xf numFmtId="173" fontId="8" fillId="5" borderId="19" xfId="4" applyNumberFormat="1" applyFont="1" applyFill="1" applyBorder="1" applyProtection="1"/>
    <xf numFmtId="172" fontId="9" fillId="5" borderId="90" xfId="1" applyNumberFormat="1" applyFont="1" applyFill="1" applyBorder="1" applyAlignment="1" applyProtection="1">
      <alignment horizontal="center"/>
    </xf>
    <xf numFmtId="173" fontId="9" fillId="5" borderId="90" xfId="4" applyNumberFormat="1" applyFont="1" applyFill="1" applyBorder="1" applyAlignment="1" applyProtection="1">
      <alignment horizontal="center"/>
    </xf>
    <xf numFmtId="173" fontId="9" fillId="5" borderId="0" xfId="4" applyNumberFormat="1" applyFont="1" applyFill="1" applyBorder="1" applyProtection="1"/>
    <xf numFmtId="173" fontId="9" fillId="5" borderId="19" xfId="4" applyNumberFormat="1" applyFont="1" applyFill="1" applyBorder="1" applyProtection="1"/>
    <xf numFmtId="168" fontId="9" fillId="5" borderId="0" xfId="4" applyNumberFormat="1" applyFont="1" applyFill="1" applyBorder="1" applyProtection="1"/>
    <xf numFmtId="173" fontId="8" fillId="5" borderId="19" xfId="4" applyNumberFormat="1" applyFont="1" applyFill="1" applyBorder="1" applyAlignment="1" applyProtection="1">
      <alignment vertical="center"/>
    </xf>
    <xf numFmtId="168" fontId="9" fillId="5" borderId="0" xfId="4" applyNumberFormat="1" applyFont="1" applyFill="1" applyBorder="1" applyAlignment="1" applyProtection="1">
      <alignment vertical="center"/>
    </xf>
    <xf numFmtId="173" fontId="8" fillId="5" borderId="19" xfId="4" applyNumberFormat="1" applyFont="1" applyFill="1" applyBorder="1" applyAlignment="1" applyProtection="1">
      <alignment vertical="top"/>
    </xf>
    <xf numFmtId="168" fontId="9" fillId="5" borderId="0" xfId="4" applyNumberFormat="1" applyFont="1" applyFill="1" applyBorder="1" applyAlignment="1" applyProtection="1">
      <alignment vertical="top"/>
    </xf>
    <xf numFmtId="173" fontId="8" fillId="5" borderId="26" xfId="4" applyNumberFormat="1" applyFont="1" applyFill="1" applyBorder="1" applyProtection="1"/>
    <xf numFmtId="168" fontId="9" fillId="5" borderId="33" xfId="4" applyNumberFormat="1" applyFont="1" applyFill="1" applyBorder="1" applyAlignment="1" applyProtection="1">
      <alignment horizontal="center"/>
    </xf>
    <xf numFmtId="168" fontId="9" fillId="5" borderId="34" xfId="4" applyNumberFormat="1" applyFont="1" applyFill="1" applyBorder="1" applyAlignment="1" applyProtection="1">
      <alignment horizontal="center"/>
    </xf>
    <xf numFmtId="173" fontId="8" fillId="5" borderId="19" xfId="4" applyNumberFormat="1" applyFont="1" applyFill="1" applyBorder="1" applyAlignment="1" applyProtection="1"/>
    <xf numFmtId="173" fontId="9" fillId="5" borderId="19" xfId="4" applyNumberFormat="1" applyFont="1" applyFill="1" applyBorder="1" applyAlignment="1" applyProtection="1">
      <alignment vertical="center"/>
    </xf>
    <xf numFmtId="173" fontId="9" fillId="5" borderId="26" xfId="4" applyNumberFormat="1" applyFont="1" applyFill="1" applyBorder="1" applyProtection="1"/>
    <xf numFmtId="182" fontId="9" fillId="5" borderId="0" xfId="0" applyNumberFormat="1" applyFont="1" applyFill="1"/>
    <xf numFmtId="183" fontId="34" fillId="5" borderId="80" xfId="0" applyFont="1" applyFill="1" applyBorder="1" applyAlignment="1">
      <alignment horizontal="centerContinuous" vertical="center"/>
    </xf>
    <xf numFmtId="0" fontId="35" fillId="5" borderId="76" xfId="0" applyNumberFormat="1" applyFont="1" applyFill="1" applyBorder="1" applyAlignment="1">
      <alignment horizontal="centerContinuous" vertical="center"/>
    </xf>
    <xf numFmtId="183" fontId="35" fillId="5" borderId="68" xfId="0" applyFont="1" applyFill="1" applyBorder="1"/>
    <xf numFmtId="183" fontId="35" fillId="5" borderId="6" xfId="0" applyFont="1" applyFill="1" applyBorder="1" applyAlignment="1">
      <alignment horizontal="center" vertical="center" wrapText="1"/>
    </xf>
    <xf numFmtId="183" fontId="35" fillId="5" borderId="7" xfId="0" applyFont="1" applyFill="1" applyBorder="1" applyAlignment="1">
      <alignment horizontal="center" vertical="center" wrapText="1"/>
    </xf>
    <xf numFmtId="183" fontId="35" fillId="5" borderId="68" xfId="0" applyFont="1" applyFill="1" applyBorder="1" applyAlignment="1">
      <alignment horizontal="left" vertical="center" indent="1"/>
    </xf>
    <xf numFmtId="183" fontId="35" fillId="5" borderId="69" xfId="0" applyFont="1" applyFill="1" applyBorder="1" applyAlignment="1">
      <alignment horizontal="left" vertical="center" indent="1"/>
    </xf>
    <xf numFmtId="183" fontId="35" fillId="5" borderId="70" xfId="0" applyFont="1" applyFill="1" applyBorder="1" applyAlignment="1">
      <alignment horizontal="left" vertical="center" indent="1"/>
    </xf>
    <xf numFmtId="183" fontId="35" fillId="5" borderId="73" xfId="0" applyFont="1" applyFill="1" applyBorder="1" applyAlignment="1">
      <alignment horizontal="left" vertical="center" wrapText="1" indent="1"/>
    </xf>
    <xf numFmtId="183" fontId="35" fillId="5" borderId="55" xfId="0" applyFont="1" applyFill="1" applyBorder="1" applyAlignment="1">
      <alignment horizontal="left" vertical="center" indent="1"/>
    </xf>
    <xf numFmtId="183" fontId="9" fillId="5" borderId="9" xfId="0" applyFont="1" applyFill="1" applyBorder="1" applyAlignment="1">
      <alignment horizontal="center" vertical="center"/>
    </xf>
    <xf numFmtId="38" fontId="9" fillId="5" borderId="0" xfId="1" applyNumberFormat="1" applyFont="1" applyFill="1" applyBorder="1" applyAlignment="1">
      <alignment horizontal="right" vertical="center"/>
    </xf>
    <xf numFmtId="183" fontId="8" fillId="5" borderId="14" xfId="0" applyFont="1" applyFill="1" applyBorder="1" applyAlignment="1">
      <alignment horizontal="left" vertical="center"/>
    </xf>
    <xf numFmtId="169" fontId="8" fillId="5" borderId="0" xfId="1" applyNumberFormat="1" applyFont="1" applyFill="1" applyBorder="1" applyAlignment="1">
      <alignment horizontal="right" vertical="center"/>
    </xf>
    <xf numFmtId="183" fontId="12" fillId="5" borderId="0" xfId="0" applyFont="1" applyFill="1"/>
    <xf numFmtId="183" fontId="9" fillId="5" borderId="2" xfId="0" applyFont="1" applyFill="1" applyBorder="1" applyAlignment="1">
      <alignment horizontal="center" vertical="center"/>
    </xf>
    <xf numFmtId="166" fontId="9" fillId="5" borderId="0" xfId="1" applyFont="1" applyFill="1" applyBorder="1" applyAlignment="1">
      <alignment horizontal="right" vertical="center"/>
    </xf>
    <xf numFmtId="183" fontId="8" fillId="7" borderId="12" xfId="0" applyFont="1" applyFill="1" applyBorder="1" applyAlignment="1">
      <alignment horizontal="center" vertical="center" wrapText="1"/>
    </xf>
    <xf numFmtId="183" fontId="8" fillId="7" borderId="0" xfId="0" applyFont="1" applyFill="1" applyBorder="1" applyAlignment="1">
      <alignment horizontal="center" vertical="center" wrapText="1"/>
    </xf>
    <xf numFmtId="183" fontId="8" fillId="7" borderId="1" xfId="0" applyFont="1" applyFill="1" applyBorder="1" applyAlignment="1">
      <alignment horizontal="center" vertical="center"/>
    </xf>
    <xf numFmtId="183" fontId="8" fillId="7" borderId="5" xfId="0" applyFont="1" applyFill="1" applyBorder="1" applyAlignment="1">
      <alignment horizontal="center" vertical="center"/>
    </xf>
    <xf numFmtId="183" fontId="8" fillId="7" borderId="12" xfId="0" applyFont="1" applyFill="1" applyBorder="1" applyAlignment="1">
      <alignment horizontal="center" vertical="center"/>
    </xf>
    <xf numFmtId="183" fontId="8" fillId="7" borderId="4" xfId="0" applyFont="1" applyFill="1" applyBorder="1" applyAlignment="1">
      <alignment horizontal="center" vertical="center"/>
    </xf>
    <xf numFmtId="183" fontId="9" fillId="7" borderId="12" xfId="0" applyFont="1" applyFill="1" applyBorder="1" applyAlignment="1">
      <alignment horizontal="center" vertical="center" wrapText="1"/>
    </xf>
    <xf numFmtId="183" fontId="9" fillId="7" borderId="4" xfId="0" applyFont="1" applyFill="1" applyBorder="1" applyAlignment="1">
      <alignment horizontal="center" vertical="center" wrapText="1"/>
    </xf>
    <xf numFmtId="183" fontId="0" fillId="7" borderId="12" xfId="0" applyFill="1" applyBorder="1"/>
    <xf numFmtId="183" fontId="8" fillId="7" borderId="3" xfId="0" applyFont="1" applyFill="1" applyBorder="1" applyAlignment="1">
      <alignment horizontal="center" vertical="center"/>
    </xf>
    <xf numFmtId="183" fontId="8" fillId="7" borderId="0" xfId="0" applyFont="1" applyFill="1" applyBorder="1" applyAlignment="1">
      <alignment horizontal="center" vertical="center"/>
    </xf>
    <xf numFmtId="183" fontId="9" fillId="7" borderId="3" xfId="0" applyFont="1" applyFill="1" applyBorder="1" applyAlignment="1">
      <alignment horizontal="center" vertical="center" wrapText="1"/>
    </xf>
    <xf numFmtId="183" fontId="9" fillId="7" borderId="0" xfId="0" applyFont="1" applyFill="1" applyBorder="1" applyAlignment="1">
      <alignment horizontal="center" vertical="center" wrapText="1"/>
    </xf>
    <xf numFmtId="183" fontId="0" fillId="7" borderId="3" xfId="0" applyFill="1" applyBorder="1"/>
    <xf numFmtId="170" fontId="9" fillId="7" borderId="3" xfId="1" applyNumberFormat="1" applyFont="1" applyFill="1" applyBorder="1" applyAlignment="1">
      <alignment horizontal="right" vertical="center"/>
    </xf>
    <xf numFmtId="170" fontId="9" fillId="7" borderId="0" xfId="1" applyNumberFormat="1" applyFont="1" applyFill="1" applyBorder="1" applyAlignment="1">
      <alignment horizontal="right" vertical="center"/>
    </xf>
    <xf numFmtId="169" fontId="9" fillId="7" borderId="3" xfId="1" applyNumberFormat="1" applyFont="1" applyFill="1" applyBorder="1" applyAlignment="1">
      <alignment horizontal="right" vertical="center"/>
    </xf>
    <xf numFmtId="175" fontId="9" fillId="7" borderId="3" xfId="1" applyNumberFormat="1" applyFont="1" applyFill="1" applyBorder="1" applyAlignment="1">
      <alignment horizontal="right" vertical="center"/>
    </xf>
    <xf numFmtId="175" fontId="9" fillId="7" borderId="0" xfId="1" applyNumberFormat="1" applyFont="1" applyFill="1" applyBorder="1" applyAlignment="1">
      <alignment horizontal="right" vertical="center"/>
    </xf>
    <xf numFmtId="175" fontId="9" fillId="7" borderId="3" xfId="1" applyNumberFormat="1" applyFont="1" applyFill="1" applyBorder="1" applyAlignment="1">
      <alignment horizontal="right" vertical="center" wrapText="1"/>
    </xf>
    <xf numFmtId="170" fontId="9" fillId="7" borderId="3" xfId="1" applyNumberFormat="1" applyFont="1" applyFill="1" applyBorder="1" applyAlignment="1">
      <alignment horizontal="right" vertical="center" wrapText="1"/>
    </xf>
    <xf numFmtId="169" fontId="9" fillId="7" borderId="3" xfId="1" applyNumberFormat="1" applyFont="1" applyFill="1" applyBorder="1" applyAlignment="1">
      <alignment horizontal="right" vertical="center" wrapText="1"/>
    </xf>
    <xf numFmtId="170" fontId="9" fillId="7" borderId="0" xfId="1" applyNumberFormat="1" applyFont="1" applyFill="1" applyBorder="1" applyAlignment="1">
      <alignment horizontal="right" vertical="center" wrapText="1"/>
    </xf>
    <xf numFmtId="168" fontId="8" fillId="7" borderId="1" xfId="0" applyNumberFormat="1" applyFont="1" applyFill="1" applyBorder="1" applyAlignment="1">
      <alignment horizontal="center" vertical="center"/>
    </xf>
    <xf numFmtId="183" fontId="0" fillId="7" borderId="4" xfId="0" applyFill="1" applyBorder="1"/>
    <xf numFmtId="183" fontId="9" fillId="7" borderId="12" xfId="0" applyFont="1" applyFill="1" applyBorder="1" applyAlignment="1">
      <alignment horizontal="center" vertical="center"/>
    </xf>
    <xf numFmtId="183" fontId="9" fillId="7" borderId="4" xfId="0" applyFont="1" applyFill="1" applyBorder="1" applyAlignment="1">
      <alignment horizontal="center" vertical="center"/>
    </xf>
    <xf numFmtId="183" fontId="0" fillId="7" borderId="0" xfId="0" applyFill="1" applyBorder="1"/>
    <xf numFmtId="183" fontId="9" fillId="7" borderId="3" xfId="0" applyFont="1" applyFill="1" applyBorder="1" applyAlignment="1">
      <alignment horizontal="center" vertical="center"/>
    </xf>
    <xf numFmtId="183" fontId="9" fillId="7" borderId="0" xfId="0" applyFont="1" applyFill="1" applyBorder="1" applyAlignment="1">
      <alignment horizontal="center" vertical="center"/>
    </xf>
    <xf numFmtId="176" fontId="9" fillId="7" borderId="3" xfId="1" applyNumberFormat="1" applyFont="1" applyFill="1" applyBorder="1" applyAlignment="1">
      <alignment horizontal="right" vertical="center"/>
    </xf>
    <xf numFmtId="176" fontId="9" fillId="7" borderId="0" xfId="1" applyNumberFormat="1" applyFont="1" applyFill="1" applyBorder="1" applyAlignment="1">
      <alignment horizontal="right" vertical="center"/>
    </xf>
    <xf numFmtId="166" fontId="9" fillId="7" borderId="3" xfId="1" applyFont="1" applyFill="1" applyBorder="1" applyAlignment="1">
      <alignment horizontal="right" vertical="center"/>
    </xf>
    <xf numFmtId="166" fontId="9" fillId="7" borderId="0" xfId="1" applyFont="1" applyFill="1" applyBorder="1" applyAlignment="1">
      <alignment horizontal="right" vertical="center"/>
    </xf>
    <xf numFmtId="183" fontId="38" fillId="0" borderId="0" xfId="6" applyNumberFormat="1" applyAlignment="1" applyProtection="1"/>
    <xf numFmtId="183" fontId="37" fillId="8" borderId="0" xfId="0" applyFont="1" applyFill="1"/>
    <xf numFmtId="183" fontId="19" fillId="8" borderId="0" xfId="0" applyFont="1" applyFill="1"/>
    <xf numFmtId="183" fontId="6" fillId="8" borderId="0" xfId="0" applyFont="1" applyFill="1"/>
    <xf numFmtId="174" fontId="35" fillId="5" borderId="0" xfId="0" applyNumberFormat="1" applyFont="1" applyFill="1" applyBorder="1" applyAlignment="1">
      <alignment horizontal="right" vertical="center"/>
    </xf>
    <xf numFmtId="172" fontId="35" fillId="5" borderId="57" xfId="0" applyNumberFormat="1" applyFont="1" applyFill="1" applyBorder="1" applyAlignment="1">
      <alignment horizontal="center" vertical="center" wrapText="1"/>
    </xf>
    <xf numFmtId="183" fontId="35" fillId="5" borderId="116" xfId="0" applyFont="1" applyFill="1" applyBorder="1" applyAlignment="1">
      <alignment horizontal="left" vertical="center" indent="1"/>
    </xf>
    <xf numFmtId="174" fontId="35" fillId="5" borderId="99" xfId="0" applyNumberFormat="1" applyFont="1" applyFill="1" applyBorder="1" applyAlignment="1">
      <alignment horizontal="center" vertical="center"/>
    </xf>
    <xf numFmtId="185" fontId="35" fillId="5" borderId="96" xfId="0" applyNumberFormat="1" applyFont="1" applyFill="1" applyBorder="1" applyAlignment="1">
      <alignment horizontal="center" vertical="center"/>
    </xf>
    <xf numFmtId="183" fontId="8" fillId="5" borderId="1" xfId="0" applyFont="1" applyFill="1" applyBorder="1" applyAlignment="1">
      <alignment horizontal="left"/>
    </xf>
    <xf numFmtId="185" fontId="36" fillId="5" borderId="96" xfId="0" applyNumberFormat="1" applyFont="1" applyFill="1" applyBorder="1" applyAlignment="1">
      <alignment vertical="center"/>
    </xf>
    <xf numFmtId="185" fontId="36" fillId="5" borderId="115" xfId="0" applyNumberFormat="1" applyFont="1" applyFill="1" applyBorder="1" applyAlignment="1">
      <alignment vertical="center"/>
    </xf>
    <xf numFmtId="183" fontId="35" fillId="5" borderId="57" xfId="0" applyFont="1" applyFill="1" applyBorder="1" applyAlignment="1">
      <alignment horizontal="center" vertical="center" wrapText="1"/>
    </xf>
    <xf numFmtId="183" fontId="35" fillId="5" borderId="77" xfId="0" applyFont="1" applyFill="1" applyBorder="1" applyAlignment="1">
      <alignment horizontal="center" vertical="center" wrapText="1"/>
    </xf>
    <xf numFmtId="183" fontId="8" fillId="5" borderId="61" xfId="0" applyFont="1" applyFill="1" applyBorder="1" applyAlignment="1"/>
    <xf numFmtId="175" fontId="8" fillId="5" borderId="75" xfId="0" applyNumberFormat="1" applyFont="1" applyFill="1" applyBorder="1" applyAlignment="1"/>
    <xf numFmtId="183" fontId="35" fillId="5" borderId="55" xfId="0" applyFont="1" applyFill="1" applyBorder="1" applyAlignment="1">
      <alignment horizontal="center"/>
    </xf>
    <xf numFmtId="183" fontId="35" fillId="5" borderId="57" xfId="0" applyFont="1" applyFill="1" applyBorder="1" applyAlignment="1">
      <alignment horizontal="center" wrapText="1"/>
    </xf>
    <xf numFmtId="183" fontId="35" fillId="5" borderId="77" xfId="0" applyFont="1" applyFill="1" applyBorder="1" applyAlignment="1">
      <alignment horizontal="center" wrapText="1"/>
    </xf>
    <xf numFmtId="172" fontId="35" fillId="5" borderId="57" xfId="0" applyNumberFormat="1" applyFont="1" applyFill="1" applyBorder="1" applyAlignment="1">
      <alignment horizontal="center" wrapText="1"/>
    </xf>
    <xf numFmtId="183" fontId="8" fillId="5" borderId="30" xfId="0" applyFont="1" applyFill="1" applyBorder="1" applyAlignment="1">
      <alignment horizontal="center" wrapText="1"/>
    </xf>
    <xf numFmtId="0" fontId="0" fillId="0" borderId="1" xfId="0" applyNumberFormat="1" applyBorder="1"/>
    <xf numFmtId="0" fontId="12" fillId="0" borderId="1" xfId="0" applyNumberFormat="1" applyFont="1" applyBorder="1" applyAlignment="1">
      <alignment horizontal="center" wrapText="1"/>
    </xf>
    <xf numFmtId="0" fontId="0" fillId="0" borderId="1" xfId="0" applyNumberFormat="1" applyFont="1" applyBorder="1" applyAlignment="1">
      <alignment wrapText="1"/>
    </xf>
    <xf numFmtId="164" fontId="0" fillId="0" borderId="1" xfId="0" applyNumberFormat="1" applyBorder="1"/>
    <xf numFmtId="6" fontId="0" fillId="0" borderId="1" xfId="0" applyNumberFormat="1" applyBorder="1"/>
    <xf numFmtId="183" fontId="0" fillId="0" borderId="1" xfId="0" applyBorder="1"/>
    <xf numFmtId="0" fontId="12" fillId="0" borderId="1" xfId="0" applyNumberFormat="1" applyFont="1" applyBorder="1"/>
    <xf numFmtId="174" fontId="35" fillId="5" borderId="108" xfId="0" applyNumberFormat="1" applyFont="1" applyFill="1" applyBorder="1" applyAlignment="1">
      <alignment horizontal="center" vertical="center" wrapText="1"/>
    </xf>
    <xf numFmtId="175" fontId="36" fillId="5" borderId="9" xfId="0" applyNumberFormat="1" applyFont="1" applyFill="1" applyBorder="1" applyAlignment="1">
      <alignment horizontal="center" vertical="center"/>
    </xf>
    <xf numFmtId="175" fontId="36" fillId="5" borderId="4" xfId="0" applyNumberFormat="1" applyFont="1" applyFill="1" applyBorder="1" applyAlignment="1">
      <alignment horizontal="center" vertical="center"/>
    </xf>
    <xf numFmtId="175" fontId="36" fillId="5" borderId="11" xfId="0" applyNumberFormat="1" applyFont="1" applyFill="1" applyBorder="1" applyAlignment="1">
      <alignment horizontal="center" vertical="center"/>
    </xf>
    <xf numFmtId="175" fontId="36" fillId="5" borderId="12" xfId="0" applyNumberFormat="1" applyFont="1" applyFill="1" applyBorder="1" applyAlignment="1">
      <alignment horizontal="center" vertical="center"/>
    </xf>
    <xf numFmtId="175" fontId="36" fillId="5" borderId="97" xfId="0" applyNumberFormat="1" applyFont="1" applyFill="1" applyBorder="1" applyAlignment="1">
      <alignment horizontal="center" vertical="center"/>
    </xf>
    <xf numFmtId="175" fontId="36" fillId="5" borderId="7" xfId="0" applyNumberFormat="1" applyFont="1" applyFill="1" applyBorder="1" applyAlignment="1">
      <alignment horizontal="center" vertical="center"/>
    </xf>
    <xf numFmtId="175" fontId="36" fillId="5" borderId="6" xfId="0" applyNumberFormat="1" applyFont="1" applyFill="1" applyBorder="1" applyAlignment="1">
      <alignment horizontal="center" vertical="center"/>
    </xf>
    <xf numFmtId="175" fontId="36" fillId="5" borderId="8" xfId="0" applyNumberFormat="1" applyFont="1" applyFill="1" applyBorder="1" applyAlignment="1">
      <alignment horizontal="center" vertical="center"/>
    </xf>
    <xf numFmtId="175" fontId="36" fillId="5" borderId="0" xfId="0" applyNumberFormat="1" applyFont="1" applyFill="1" applyBorder="1" applyAlignment="1">
      <alignment horizontal="center" vertical="center"/>
    </xf>
    <xf numFmtId="175" fontId="36" fillId="5" borderId="30" xfId="0" applyNumberFormat="1" applyFont="1" applyFill="1" applyBorder="1" applyAlignment="1">
      <alignment horizontal="center" vertical="center"/>
    </xf>
    <xf numFmtId="175" fontId="36" fillId="5" borderId="81" xfId="0" applyNumberFormat="1" applyFont="1" applyFill="1" applyBorder="1" applyAlignment="1">
      <alignment horizontal="center" vertical="center"/>
    </xf>
    <xf numFmtId="175" fontId="36" fillId="5" borderId="14" xfId="0" applyNumberFormat="1" applyFont="1" applyFill="1" applyBorder="1" applyAlignment="1">
      <alignment horizontal="center" vertical="center"/>
    </xf>
    <xf numFmtId="175" fontId="36" fillId="5" borderId="5" xfId="0" applyNumberFormat="1" applyFont="1" applyFill="1" applyBorder="1" applyAlignment="1">
      <alignment horizontal="center" vertical="center"/>
    </xf>
    <xf numFmtId="175" fontId="36" fillId="5" borderId="74" xfId="0" applyNumberFormat="1" applyFont="1" applyFill="1" applyBorder="1" applyAlignment="1">
      <alignment horizontal="center" vertical="center"/>
    </xf>
    <xf numFmtId="175" fontId="36" fillId="5" borderId="62" xfId="0" applyNumberFormat="1" applyFont="1" applyFill="1" applyBorder="1" applyAlignment="1">
      <alignment horizontal="center" vertical="center"/>
    </xf>
    <xf numFmtId="175" fontId="36" fillId="5" borderId="79" xfId="0" applyNumberFormat="1" applyFont="1" applyFill="1" applyBorder="1" applyAlignment="1">
      <alignment horizontal="center" vertical="center"/>
    </xf>
    <xf numFmtId="175" fontId="36" fillId="5" borderId="96" xfId="0" applyNumberFormat="1" applyFont="1" applyFill="1" applyBorder="1" applyAlignment="1">
      <alignment horizontal="center" vertical="center"/>
    </xf>
    <xf numFmtId="175" fontId="36" fillId="5" borderId="75" xfId="0" applyNumberFormat="1" applyFont="1" applyFill="1" applyBorder="1" applyAlignment="1">
      <alignment horizontal="center" vertical="center"/>
    </xf>
    <xf numFmtId="175" fontId="36" fillId="5" borderId="96" xfId="0" applyNumberFormat="1" applyFont="1" applyFill="1" applyBorder="1" applyAlignment="1">
      <alignment vertical="center"/>
    </xf>
    <xf numFmtId="175" fontId="36" fillId="5" borderId="115" xfId="0" applyNumberFormat="1" applyFont="1" applyFill="1" applyBorder="1" applyAlignment="1">
      <alignment vertical="center"/>
    </xf>
    <xf numFmtId="175" fontId="35" fillId="5" borderId="96" xfId="0" applyNumberFormat="1" applyFont="1" applyFill="1" applyBorder="1" applyAlignment="1">
      <alignment horizontal="center" vertical="center"/>
    </xf>
    <xf numFmtId="175" fontId="9" fillId="5" borderId="14" xfId="0" applyNumberFormat="1" applyFont="1" applyFill="1" applyBorder="1" applyAlignment="1">
      <alignment horizontal="center" vertical="center"/>
    </xf>
    <xf numFmtId="175" fontId="9" fillId="7" borderId="14" xfId="0" applyNumberFormat="1" applyFont="1" applyFill="1" applyBorder="1" applyAlignment="1">
      <alignment horizontal="center" vertical="center"/>
    </xf>
    <xf numFmtId="175" fontId="9" fillId="5" borderId="1" xfId="0" applyNumberFormat="1" applyFont="1" applyFill="1" applyBorder="1" applyAlignment="1">
      <alignment horizontal="center" vertical="center"/>
    </xf>
    <xf numFmtId="175" fontId="9" fillId="5" borderId="5" xfId="0" applyNumberFormat="1" applyFont="1" applyFill="1" applyBorder="1" applyAlignment="1">
      <alignment horizontal="center" vertical="center"/>
    </xf>
    <xf numFmtId="175" fontId="9" fillId="5" borderId="67" xfId="0" applyNumberFormat="1" applyFont="1" applyFill="1" applyBorder="1" applyAlignment="1">
      <alignment horizontal="center" vertical="center"/>
    </xf>
    <xf numFmtId="175" fontId="9" fillId="5" borderId="6" xfId="0" applyNumberFormat="1" applyFont="1" applyFill="1" applyBorder="1" applyAlignment="1">
      <alignment horizontal="center" vertical="center"/>
    </xf>
    <xf numFmtId="175" fontId="9" fillId="7" borderId="6" xfId="0" applyNumberFormat="1" applyFont="1" applyFill="1" applyBorder="1" applyAlignment="1">
      <alignment horizontal="center" vertical="center"/>
    </xf>
    <xf numFmtId="175" fontId="9" fillId="5" borderId="30" xfId="0" applyNumberFormat="1" applyFont="1" applyFill="1" applyBorder="1" applyAlignment="1">
      <alignment horizontal="center" vertical="center"/>
    </xf>
    <xf numFmtId="175" fontId="9" fillId="5" borderId="3" xfId="0" applyNumberFormat="1" applyFont="1" applyFill="1" applyBorder="1" applyAlignment="1">
      <alignment horizontal="center" vertical="center"/>
    </xf>
    <xf numFmtId="175" fontId="9" fillId="5" borderId="0" xfId="0" applyNumberFormat="1" applyFont="1" applyFill="1" applyBorder="1" applyAlignment="1">
      <alignment horizontal="center" vertical="center"/>
    </xf>
    <xf numFmtId="175" fontId="9" fillId="5" borderId="71" xfId="0" applyNumberFormat="1" applyFont="1" applyFill="1" applyBorder="1" applyAlignment="1">
      <alignment horizontal="center" vertical="center"/>
    </xf>
    <xf numFmtId="175" fontId="9" fillId="5" borderId="74" xfId="0" applyNumberFormat="1" applyFont="1" applyFill="1" applyBorder="1" applyAlignment="1">
      <alignment horizontal="center" vertical="center"/>
    </xf>
    <xf numFmtId="175" fontId="9" fillId="7" borderId="74" xfId="0" applyNumberFormat="1" applyFont="1" applyFill="1" applyBorder="1" applyAlignment="1">
      <alignment horizontal="center" vertical="center"/>
    </xf>
    <xf numFmtId="175" fontId="9" fillId="5" borderId="63" xfId="0" applyNumberFormat="1" applyFont="1" applyFill="1" applyBorder="1" applyAlignment="1">
      <alignment horizontal="center" vertical="center"/>
    </xf>
    <xf numFmtId="175" fontId="9" fillId="5" borderId="62" xfId="0" applyNumberFormat="1" applyFont="1" applyFill="1" applyBorder="1" applyAlignment="1">
      <alignment horizontal="center" vertical="center"/>
    </xf>
    <xf numFmtId="175" fontId="9" fillId="5" borderId="75" xfId="0" applyNumberFormat="1" applyFont="1" applyFill="1" applyBorder="1" applyAlignment="1">
      <alignment horizontal="center" vertical="center"/>
    </xf>
    <xf numFmtId="175" fontId="9" fillId="5" borderId="113" xfId="0" applyNumberFormat="1" applyFont="1" applyFill="1" applyBorder="1"/>
    <xf numFmtId="175" fontId="9" fillId="5" borderId="114" xfId="0" applyNumberFormat="1" applyFont="1" applyFill="1" applyBorder="1"/>
    <xf numFmtId="175" fontId="9" fillId="5" borderId="3" xfId="0" applyNumberFormat="1" applyFont="1" applyFill="1" applyBorder="1"/>
    <xf numFmtId="175" fontId="0" fillId="5" borderId="0" xfId="0" applyNumberFormat="1" applyFill="1" applyBorder="1"/>
    <xf numFmtId="175" fontId="9" fillId="5" borderId="2" xfId="0" applyNumberFormat="1" applyFont="1" applyFill="1" applyBorder="1"/>
    <xf numFmtId="175" fontId="9" fillId="5" borderId="1" xfId="0" applyNumberFormat="1" applyFont="1" applyFill="1" applyBorder="1"/>
    <xf numFmtId="175" fontId="9" fillId="5" borderId="14" xfId="0" applyNumberFormat="1" applyFont="1" applyFill="1" applyBorder="1"/>
    <xf numFmtId="175" fontId="8" fillId="5" borderId="1" xfId="0" applyNumberFormat="1" applyFont="1" applyFill="1" applyBorder="1"/>
    <xf numFmtId="175" fontId="9" fillId="5" borderId="27" xfId="4" applyNumberFormat="1" applyFont="1" applyFill="1" applyBorder="1" applyAlignment="1" applyProtection="1">
      <alignment horizontal="center"/>
    </xf>
    <xf numFmtId="175" fontId="9" fillId="5" borderId="3" xfId="4" applyNumberFormat="1" applyFont="1" applyFill="1" applyBorder="1" applyAlignment="1" applyProtection="1">
      <alignment horizontal="center"/>
    </xf>
    <xf numFmtId="175" fontId="9" fillId="5" borderId="31" xfId="4" applyNumberFormat="1" applyFont="1" applyFill="1" applyBorder="1" applyAlignment="1" applyProtection="1">
      <alignment horizontal="center"/>
    </xf>
    <xf numFmtId="175" fontId="9" fillId="5" borderId="32" xfId="4" applyNumberFormat="1" applyFont="1" applyFill="1" applyBorder="1" applyAlignment="1" applyProtection="1">
      <alignment horizontal="center"/>
    </xf>
    <xf numFmtId="175" fontId="9" fillId="5" borderId="28" xfId="4" applyNumberFormat="1" applyFont="1" applyFill="1" applyBorder="1" applyAlignment="1" applyProtection="1">
      <alignment horizontal="center" vertical="center"/>
    </xf>
    <xf numFmtId="175" fontId="9" fillId="5" borderId="29" xfId="4" applyNumberFormat="1" applyFont="1" applyFill="1" applyBorder="1" applyAlignment="1" applyProtection="1">
      <alignment horizontal="center" vertical="center"/>
    </xf>
    <xf numFmtId="175" fontId="9" fillId="5" borderId="27" xfId="4" applyNumberFormat="1" applyFont="1" applyFill="1" applyBorder="1" applyAlignment="1" applyProtection="1">
      <alignment horizontal="center" vertical="top"/>
    </xf>
    <xf numFmtId="175" fontId="9" fillId="5" borderId="3" xfId="4" applyNumberFormat="1" applyFont="1" applyFill="1" applyBorder="1" applyAlignment="1" applyProtection="1">
      <alignment horizontal="center" vertical="top"/>
    </xf>
    <xf numFmtId="175" fontId="9" fillId="5" borderId="33" xfId="4" applyNumberFormat="1" applyFont="1" applyFill="1" applyBorder="1" applyAlignment="1" applyProtection="1">
      <alignment horizontal="center"/>
    </xf>
    <xf numFmtId="175" fontId="9" fillId="5" borderId="34" xfId="4" applyNumberFormat="1" applyFont="1" applyFill="1" applyBorder="1" applyAlignment="1" applyProtection="1">
      <alignment horizontal="center"/>
    </xf>
    <xf numFmtId="175" fontId="9" fillId="5" borderId="27" xfId="4" applyNumberFormat="1" applyFont="1" applyFill="1" applyBorder="1" applyAlignment="1" applyProtection="1">
      <alignment horizontal="center" vertical="center"/>
    </xf>
    <xf numFmtId="175" fontId="9" fillId="5" borderId="3" xfId="4" applyNumberFormat="1" applyFont="1" applyFill="1" applyBorder="1" applyAlignment="1" applyProtection="1">
      <alignment horizontal="center" vertical="center"/>
    </xf>
    <xf numFmtId="175" fontId="9" fillId="5" borderId="90" xfId="1" applyNumberFormat="1" applyFont="1" applyFill="1" applyBorder="1" applyAlignment="1" applyProtection="1">
      <alignment horizontal="center"/>
    </xf>
    <xf numFmtId="175" fontId="9" fillId="5" borderId="90" xfId="4" applyNumberFormat="1" applyFont="1" applyFill="1" applyBorder="1" applyAlignment="1" applyProtection="1">
      <alignment horizontal="center"/>
    </xf>
    <xf numFmtId="175" fontId="9" fillId="5" borderId="92" xfId="1" applyNumberFormat="1" applyFont="1" applyFill="1" applyBorder="1" applyAlignment="1" applyProtection="1">
      <alignment horizontal="center"/>
    </xf>
    <xf numFmtId="175" fontId="9" fillId="5" borderId="92" xfId="4" applyNumberFormat="1" applyFont="1" applyFill="1" applyBorder="1" applyAlignment="1" applyProtection="1">
      <alignment horizontal="center"/>
    </xf>
    <xf numFmtId="175" fontId="9" fillId="5" borderId="91" xfId="4" applyNumberFormat="1" applyFont="1" applyFill="1" applyBorder="1" applyAlignment="1" applyProtection="1">
      <alignment horizontal="center" vertical="center"/>
    </xf>
    <xf numFmtId="175" fontId="9" fillId="5" borderId="90" xfId="1" applyNumberFormat="1" applyFont="1" applyFill="1" applyBorder="1" applyAlignment="1" applyProtection="1">
      <alignment horizontal="center" vertical="top"/>
    </xf>
    <xf numFmtId="175" fontId="9" fillId="5" borderId="90" xfId="4" applyNumberFormat="1" applyFont="1" applyFill="1" applyBorder="1" applyAlignment="1" applyProtection="1">
      <alignment horizontal="center" vertical="top"/>
    </xf>
    <xf numFmtId="175" fontId="9" fillId="5" borderId="93" xfId="1" applyNumberFormat="1" applyFont="1" applyFill="1" applyBorder="1" applyAlignment="1" applyProtection="1">
      <alignment horizontal="center"/>
    </xf>
    <xf numFmtId="175" fontId="9" fillId="5" borderId="93" xfId="4" applyNumberFormat="1" applyFont="1" applyFill="1" applyBorder="1" applyAlignment="1" applyProtection="1">
      <alignment horizontal="center"/>
    </xf>
    <xf numFmtId="175" fontId="9" fillId="5" borderId="94" xfId="1" applyNumberFormat="1" applyFont="1" applyFill="1" applyBorder="1" applyAlignment="1" applyProtection="1">
      <alignment horizontal="center"/>
    </xf>
    <xf numFmtId="175" fontId="9" fillId="5" borderId="94" xfId="4" applyNumberFormat="1" applyFont="1" applyFill="1" applyBorder="1" applyAlignment="1" applyProtection="1">
      <alignment horizontal="center"/>
    </xf>
    <xf numFmtId="175" fontId="0" fillId="5" borderId="9" xfId="0" applyNumberFormat="1" applyFill="1" applyBorder="1"/>
    <xf numFmtId="175" fontId="0" fillId="5" borderId="12" xfId="0" applyNumberFormat="1" applyFill="1" applyBorder="1"/>
    <xf numFmtId="175" fontId="0" fillId="5" borderId="11" xfId="0" applyNumberFormat="1" applyFill="1" applyBorder="1"/>
    <xf numFmtId="175" fontId="0" fillId="0" borderId="12" xfId="0" applyNumberFormat="1" applyBorder="1"/>
    <xf numFmtId="175" fontId="0" fillId="0" borderId="4" xfId="0" applyNumberFormat="1" applyBorder="1"/>
    <xf numFmtId="175" fontId="0" fillId="0" borderId="11" xfId="0" applyNumberFormat="1" applyBorder="1"/>
    <xf numFmtId="175" fontId="0" fillId="5" borderId="2" xfId="0" applyNumberFormat="1" applyFill="1" applyBorder="1"/>
    <xf numFmtId="175" fontId="0" fillId="5" borderId="3" xfId="0" applyNumberFormat="1" applyFill="1" applyBorder="1"/>
    <xf numFmtId="175" fontId="0" fillId="5" borderId="13" xfId="0" applyNumberFormat="1" applyFill="1" applyBorder="1"/>
    <xf numFmtId="175" fontId="0" fillId="0" borderId="3" xfId="0" applyNumberFormat="1" applyBorder="1"/>
    <xf numFmtId="175" fontId="0" fillId="0" borderId="13" xfId="0" applyNumberFormat="1" applyBorder="1"/>
    <xf numFmtId="175" fontId="9" fillId="5" borderId="2" xfId="1" applyNumberFormat="1" applyFont="1" applyFill="1" applyBorder="1" applyAlignment="1">
      <alignment horizontal="right" vertical="center"/>
    </xf>
    <xf numFmtId="175" fontId="9" fillId="5" borderId="3" xfId="1" applyNumberFormat="1" applyFont="1" applyFill="1" applyBorder="1" applyAlignment="1">
      <alignment horizontal="right" vertical="center"/>
    </xf>
    <xf numFmtId="175" fontId="9" fillId="5" borderId="13" xfId="1" applyNumberFormat="1" applyFont="1" applyFill="1" applyBorder="1" applyAlignment="1">
      <alignment horizontal="right" vertical="center"/>
    </xf>
    <xf numFmtId="175" fontId="9" fillId="0" borderId="3" xfId="1" applyNumberFormat="1" applyFont="1" applyFill="1" applyBorder="1" applyAlignment="1">
      <alignment horizontal="center" vertical="center"/>
    </xf>
    <xf numFmtId="175" fontId="9" fillId="0" borderId="0" xfId="1" applyNumberFormat="1" applyFont="1" applyFill="1" applyBorder="1" applyAlignment="1">
      <alignment horizontal="center" vertical="center"/>
    </xf>
    <xf numFmtId="175" fontId="9" fillId="0" borderId="13" xfId="1" applyNumberFormat="1" applyFont="1" applyFill="1" applyBorder="1" applyAlignment="1">
      <alignment horizontal="center" vertical="center"/>
    </xf>
    <xf numFmtId="175" fontId="9" fillId="5" borderId="2" xfId="1" applyNumberFormat="1" applyFont="1" applyFill="1" applyBorder="1" applyAlignment="1">
      <alignment horizontal="right" vertical="center" wrapText="1"/>
    </xf>
    <xf numFmtId="175" fontId="9" fillId="5" borderId="13" xfId="1" applyNumberFormat="1" applyFont="1" applyFill="1" applyBorder="1" applyAlignment="1">
      <alignment horizontal="right" vertical="center" wrapText="1"/>
    </xf>
    <xf numFmtId="175" fontId="9" fillId="0" borderId="3" xfId="0" applyNumberFormat="1" applyFont="1" applyFill="1" applyBorder="1" applyAlignment="1" applyProtection="1">
      <alignment horizontal="center"/>
      <protection locked="0"/>
    </xf>
    <xf numFmtId="175" fontId="9" fillId="0" borderId="0" xfId="0" applyNumberFormat="1" applyFont="1" applyFill="1" applyBorder="1" applyAlignment="1" applyProtection="1">
      <alignment horizontal="center"/>
      <protection locked="0"/>
    </xf>
    <xf numFmtId="175" fontId="9" fillId="0" borderId="3" xfId="1" applyNumberFormat="1" applyFont="1" applyFill="1" applyBorder="1" applyAlignment="1">
      <alignment horizontal="center" vertical="center" wrapText="1"/>
    </xf>
    <xf numFmtId="175" fontId="9" fillId="0" borderId="13" xfId="1" applyNumberFormat="1" applyFont="1" applyFill="1" applyBorder="1" applyAlignment="1">
      <alignment horizontal="center" vertical="center" wrapText="1"/>
    </xf>
    <xf numFmtId="175" fontId="9" fillId="5" borderId="3" xfId="1" applyNumberFormat="1" applyFont="1" applyFill="1" applyBorder="1" applyAlignment="1">
      <alignment horizontal="right" vertical="center" wrapText="1"/>
    </xf>
    <xf numFmtId="175" fontId="9" fillId="0" borderId="0" xfId="1" applyNumberFormat="1" applyFont="1" applyFill="1" applyBorder="1" applyAlignment="1">
      <alignment horizontal="center" vertical="center" wrapText="1"/>
    </xf>
    <xf numFmtId="175" fontId="8" fillId="5" borderId="1" xfId="0" applyNumberFormat="1" applyFont="1" applyFill="1" applyBorder="1" applyAlignment="1">
      <alignment horizontal="center" vertical="center"/>
    </xf>
    <xf numFmtId="175" fontId="8" fillId="0" borderId="1" xfId="0" applyNumberFormat="1" applyFont="1" applyFill="1" applyBorder="1" applyAlignment="1">
      <alignment horizontal="center" vertical="center"/>
    </xf>
    <xf numFmtId="175" fontId="0" fillId="5" borderId="4" xfId="0" applyNumberFormat="1" applyFill="1" applyBorder="1"/>
    <xf numFmtId="175" fontId="9" fillId="5" borderId="3" xfId="1" applyNumberFormat="1" applyFont="1" applyFill="1" applyBorder="1" applyAlignment="1">
      <alignment horizontal="center" vertical="center"/>
    </xf>
    <xf numFmtId="175" fontId="9" fillId="5" borderId="0" xfId="1" applyNumberFormat="1" applyFont="1" applyFill="1" applyBorder="1" applyAlignment="1">
      <alignment horizontal="center" vertical="center"/>
    </xf>
    <xf numFmtId="175" fontId="9" fillId="5" borderId="13" xfId="1" applyNumberFormat="1" applyFont="1" applyFill="1" applyBorder="1" applyAlignment="1">
      <alignment horizontal="center" vertical="center"/>
    </xf>
    <xf numFmtId="175" fontId="9" fillId="5" borderId="3" xfId="0" applyNumberFormat="1" applyFont="1" applyFill="1" applyBorder="1" applyAlignment="1" applyProtection="1">
      <alignment horizontal="center"/>
      <protection locked="0"/>
    </xf>
    <xf numFmtId="175" fontId="9" fillId="5" borderId="0" xfId="0" applyNumberFormat="1" applyFont="1" applyFill="1" applyBorder="1" applyAlignment="1" applyProtection="1">
      <alignment horizontal="center"/>
      <protection locked="0"/>
    </xf>
    <xf numFmtId="175" fontId="9" fillId="5" borderId="3" xfId="1" applyNumberFormat="1" applyFont="1" applyFill="1" applyBorder="1" applyAlignment="1">
      <alignment horizontal="center" vertical="center" wrapText="1"/>
    </xf>
    <xf numFmtId="175" fontId="9" fillId="5" borderId="13" xfId="1" applyNumberFormat="1" applyFont="1" applyFill="1" applyBorder="1" applyAlignment="1">
      <alignment horizontal="center" vertical="center" wrapText="1"/>
    </xf>
    <xf numFmtId="175" fontId="9" fillId="5" borderId="0" xfId="1" applyNumberFormat="1" applyFont="1" applyFill="1" applyBorder="1" applyAlignment="1">
      <alignment horizontal="center" vertical="center" wrapText="1"/>
    </xf>
    <xf numFmtId="183" fontId="8" fillId="6" borderId="22" xfId="4" applyFont="1" applyFill="1" applyBorder="1" applyProtection="1"/>
    <xf numFmtId="183" fontId="8" fillId="6" borderId="17" xfId="4" applyFont="1" applyFill="1" applyBorder="1" applyAlignment="1" applyProtection="1">
      <alignment horizontal="left"/>
    </xf>
    <xf numFmtId="169" fontId="8" fillId="6" borderId="17" xfId="1" applyNumberFormat="1" applyFont="1" applyFill="1" applyBorder="1" applyProtection="1"/>
    <xf numFmtId="183" fontId="8" fillId="6" borderId="3" xfId="4" quotePrefix="1" applyFont="1" applyFill="1" applyBorder="1" applyAlignment="1" applyProtection="1">
      <alignment horizontal="center"/>
    </xf>
    <xf numFmtId="183" fontId="8" fillId="6" borderId="3" xfId="4" applyFont="1" applyFill="1" applyBorder="1" applyAlignment="1" applyProtection="1">
      <alignment horizontal="center"/>
    </xf>
    <xf numFmtId="183" fontId="8" fillId="6" borderId="29" xfId="4" applyFont="1" applyFill="1" applyBorder="1" applyAlignment="1" applyProtection="1">
      <alignment horizontal="center"/>
    </xf>
    <xf numFmtId="183" fontId="8" fillId="6" borderId="29" xfId="4" applyFont="1" applyFill="1" applyBorder="1" applyAlignment="1" applyProtection="1">
      <alignment horizontal="center" vertical="center"/>
    </xf>
    <xf numFmtId="183" fontId="8" fillId="6" borderId="35" xfId="4" applyFont="1" applyFill="1" applyBorder="1" applyAlignment="1" applyProtection="1">
      <alignment horizontal="center" vertical="center"/>
    </xf>
    <xf numFmtId="169" fontId="8" fillId="6" borderId="35" xfId="1" applyNumberFormat="1" applyFont="1" applyFill="1" applyBorder="1" applyAlignment="1" applyProtection="1">
      <alignment horizontal="center" vertical="center"/>
    </xf>
    <xf numFmtId="173" fontId="9" fillId="6" borderId="3" xfId="4" applyNumberFormat="1" applyFont="1" applyFill="1" applyBorder="1" applyAlignment="1" applyProtection="1">
      <alignment horizontal="center"/>
    </xf>
    <xf numFmtId="173" fontId="9" fillId="6" borderId="36" xfId="4" applyNumberFormat="1" applyFont="1" applyFill="1" applyBorder="1" applyAlignment="1" applyProtection="1">
      <alignment horizontal="center"/>
    </xf>
    <xf numFmtId="173" fontId="9" fillId="6" borderId="0" xfId="1" applyNumberFormat="1" applyFont="1" applyFill="1" applyBorder="1" applyAlignment="1" applyProtection="1">
      <alignment horizontal="center"/>
    </xf>
    <xf numFmtId="175" fontId="9" fillId="6" borderId="3" xfId="4" applyNumberFormat="1" applyFont="1" applyFill="1" applyBorder="1" applyAlignment="1" applyProtection="1">
      <alignment horizontal="center"/>
    </xf>
    <xf numFmtId="175" fontId="9" fillId="6" borderId="36" xfId="4" applyNumberFormat="1" applyFont="1" applyFill="1" applyBorder="1" applyAlignment="1" applyProtection="1">
      <alignment horizontal="center"/>
    </xf>
    <xf numFmtId="175" fontId="9" fillId="6" borderId="32" xfId="4" applyNumberFormat="1" applyFont="1" applyFill="1" applyBorder="1" applyAlignment="1" applyProtection="1">
      <alignment horizontal="center"/>
    </xf>
    <xf numFmtId="175" fontId="9" fillId="6" borderId="37" xfId="4" applyNumberFormat="1" applyFont="1" applyFill="1" applyBorder="1" applyAlignment="1" applyProtection="1">
      <alignment horizontal="center"/>
    </xf>
    <xf numFmtId="175" fontId="9" fillId="6" borderId="29" xfId="4" applyNumberFormat="1" applyFont="1" applyFill="1" applyBorder="1" applyAlignment="1" applyProtection="1">
      <alignment horizontal="center" vertical="center"/>
    </xf>
    <xf numFmtId="175" fontId="9" fillId="6" borderId="38" xfId="4" applyNumberFormat="1" applyFont="1" applyFill="1" applyBorder="1" applyAlignment="1" applyProtection="1">
      <alignment horizontal="center"/>
    </xf>
    <xf numFmtId="175" fontId="9" fillId="6" borderId="39" xfId="4" applyNumberFormat="1" applyFont="1" applyFill="1" applyBorder="1" applyAlignment="1" applyProtection="1">
      <alignment horizontal="center"/>
    </xf>
    <xf numFmtId="175" fontId="9" fillId="6" borderId="40" xfId="4" applyNumberFormat="1" applyFont="1" applyFill="1" applyBorder="1" applyAlignment="1" applyProtection="1">
      <alignment horizontal="center"/>
    </xf>
    <xf numFmtId="175" fontId="9" fillId="6" borderId="3" xfId="4" applyNumberFormat="1" applyFont="1" applyFill="1" applyBorder="1" applyAlignment="1" applyProtection="1">
      <alignment horizontal="center" vertical="center"/>
    </xf>
    <xf numFmtId="175" fontId="9" fillId="6" borderId="42" xfId="4" applyNumberFormat="1" applyFont="1" applyFill="1" applyBorder="1" applyAlignment="1" applyProtection="1">
      <alignment horizontal="center"/>
    </xf>
    <xf numFmtId="175" fontId="9" fillId="6" borderId="3" xfId="4" applyNumberFormat="1" applyFont="1" applyFill="1" applyBorder="1" applyAlignment="1" applyProtection="1">
      <alignment horizontal="center" vertical="top"/>
    </xf>
    <xf numFmtId="175" fontId="9" fillId="6" borderId="36" xfId="4" applyNumberFormat="1" applyFont="1" applyFill="1" applyBorder="1" applyAlignment="1" applyProtection="1">
      <alignment horizontal="center" vertical="top"/>
    </xf>
    <xf numFmtId="175" fontId="9" fillId="6" borderId="34" xfId="4" applyNumberFormat="1" applyFont="1" applyFill="1" applyBorder="1" applyAlignment="1" applyProtection="1">
      <alignment horizontal="center"/>
    </xf>
    <xf numFmtId="175" fontId="9" fillId="6" borderId="15" xfId="4" applyNumberFormat="1" applyFont="1" applyFill="1" applyBorder="1" applyAlignment="1" applyProtection="1">
      <alignment horizontal="center"/>
    </xf>
    <xf numFmtId="168" fontId="9" fillId="6" borderId="34" xfId="4" applyNumberFormat="1" applyFont="1" applyFill="1" applyBorder="1" applyAlignment="1" applyProtection="1">
      <alignment horizontal="center"/>
    </xf>
    <xf numFmtId="168" fontId="9" fillId="6" borderId="41" xfId="4" applyNumberFormat="1" applyFont="1" applyFill="1" applyBorder="1" applyAlignment="1" applyProtection="1">
      <alignment horizontal="center"/>
    </xf>
    <xf numFmtId="178" fontId="9" fillId="6" borderId="15" xfId="1" applyNumberFormat="1" applyFont="1" applyFill="1" applyBorder="1" applyAlignment="1" applyProtection="1">
      <alignment horizontal="center"/>
    </xf>
    <xf numFmtId="0" fontId="40" fillId="0" borderId="0" xfId="9" applyFont="1"/>
    <xf numFmtId="0" fontId="4" fillId="0" borderId="0" xfId="9"/>
    <xf numFmtId="0" fontId="4" fillId="0" borderId="0" xfId="9" applyFont="1"/>
    <xf numFmtId="0" fontId="41" fillId="0" borderId="0" xfId="9" applyFont="1"/>
    <xf numFmtId="0" fontId="4" fillId="0" borderId="0" xfId="9" applyAlignment="1"/>
    <xf numFmtId="0" fontId="39" fillId="0" borderId="0" xfId="9" applyFont="1"/>
    <xf numFmtId="0" fontId="39" fillId="0" borderId="1" xfId="9" applyFont="1" applyBorder="1"/>
    <xf numFmtId="0" fontId="39" fillId="0" borderId="5" xfId="9" applyFont="1" applyBorder="1" applyAlignment="1">
      <alignment wrapText="1"/>
    </xf>
    <xf numFmtId="0" fontId="39" fillId="0" borderId="1" xfId="9" applyFont="1" applyBorder="1" applyAlignment="1">
      <alignment wrapText="1"/>
    </xf>
    <xf numFmtId="0" fontId="39" fillId="0" borderId="5" xfId="9" applyFont="1" applyBorder="1"/>
    <xf numFmtId="0" fontId="39" fillId="0" borderId="10" xfId="9" applyFont="1" applyBorder="1" applyAlignment="1">
      <alignment wrapText="1"/>
    </xf>
    <xf numFmtId="0" fontId="39" fillId="0" borderId="10" xfId="9" applyFont="1" applyFill="1" applyBorder="1" applyAlignment="1">
      <alignment wrapText="1"/>
    </xf>
    <xf numFmtId="0" fontId="4" fillId="0" borderId="117" xfId="9" applyBorder="1"/>
    <xf numFmtId="175" fontId="4" fillId="0" borderId="0" xfId="9" applyNumberFormat="1" applyBorder="1"/>
    <xf numFmtId="175" fontId="4" fillId="0" borderId="11" xfId="9" applyNumberFormat="1" applyBorder="1"/>
    <xf numFmtId="175" fontId="4" fillId="0" borderId="117" xfId="9" applyNumberFormat="1" applyBorder="1"/>
    <xf numFmtId="174" fontId="4" fillId="0" borderId="117" xfId="9" applyNumberFormat="1" applyBorder="1"/>
    <xf numFmtId="175" fontId="4" fillId="0" borderId="0" xfId="9" applyNumberFormat="1"/>
    <xf numFmtId="174" fontId="4" fillId="0" borderId="13" xfId="9" applyNumberFormat="1" applyBorder="1"/>
    <xf numFmtId="175" fontId="4" fillId="0" borderId="13" xfId="9" applyNumberFormat="1" applyBorder="1"/>
    <xf numFmtId="0" fontId="4" fillId="0" borderId="117" xfId="9" applyFill="1" applyBorder="1"/>
    <xf numFmtId="175" fontId="4" fillId="0" borderId="0" xfId="9" applyNumberFormat="1" applyFill="1" applyBorder="1"/>
    <xf numFmtId="175" fontId="4" fillId="0" borderId="13" xfId="9" applyNumberFormat="1" applyFill="1" applyBorder="1"/>
    <xf numFmtId="175" fontId="4" fillId="0" borderId="117" xfId="9" applyNumberFormat="1" applyFill="1" applyBorder="1"/>
    <xf numFmtId="174" fontId="4" fillId="0" borderId="117" xfId="9" applyNumberFormat="1" applyFill="1" applyBorder="1"/>
    <xf numFmtId="174" fontId="4" fillId="0" borderId="13" xfId="9" applyNumberFormat="1" applyFill="1" applyBorder="1"/>
    <xf numFmtId="0" fontId="4" fillId="0" borderId="0" xfId="9" applyFill="1"/>
    <xf numFmtId="0" fontId="4" fillId="0" borderId="119" xfId="9" applyBorder="1"/>
    <xf numFmtId="175" fontId="4" fillId="0" borderId="7" xfId="9" applyNumberFormat="1" applyBorder="1"/>
    <xf numFmtId="175" fontId="4" fillId="0" borderId="8" xfId="9" applyNumberFormat="1" applyBorder="1"/>
    <xf numFmtId="175" fontId="4" fillId="0" borderId="119" xfId="9" applyNumberFormat="1" applyBorder="1"/>
    <xf numFmtId="175" fontId="4" fillId="0" borderId="7" xfId="9" applyNumberFormat="1" applyFill="1" applyBorder="1"/>
    <xf numFmtId="174" fontId="4" fillId="0" borderId="119" xfId="9" applyNumberFormat="1" applyBorder="1"/>
    <xf numFmtId="0" fontId="39" fillId="0" borderId="119" xfId="9" applyFont="1" applyBorder="1"/>
    <xf numFmtId="175" fontId="39" fillId="0" borderId="7" xfId="9" applyNumberFormat="1" applyFont="1" applyBorder="1"/>
    <xf numFmtId="175" fontId="39" fillId="0" borderId="119" xfId="9" applyNumberFormat="1" applyFont="1" applyBorder="1"/>
    <xf numFmtId="174" fontId="39" fillId="0" borderId="119" xfId="9" applyNumberFormat="1" applyFont="1" applyBorder="1"/>
    <xf numFmtId="174" fontId="39" fillId="0" borderId="1" xfId="9" applyNumberFormat="1" applyFont="1" applyBorder="1"/>
    <xf numFmtId="175" fontId="39" fillId="0" borderId="8" xfId="9" applyNumberFormat="1" applyFont="1" applyBorder="1"/>
    <xf numFmtId="0" fontId="39" fillId="0" borderId="14" xfId="9" applyFont="1" applyBorder="1" applyAlignment="1">
      <alignment wrapText="1"/>
    </xf>
    <xf numFmtId="175" fontId="4" fillId="0" borderId="118" xfId="9" applyNumberFormat="1" applyBorder="1"/>
    <xf numFmtId="175" fontId="4" fillId="0" borderId="118" xfId="9" applyNumberFormat="1" applyFill="1" applyBorder="1"/>
    <xf numFmtId="175" fontId="4" fillId="0" borderId="120" xfId="9" applyNumberFormat="1" applyBorder="1"/>
    <xf numFmtId="175" fontId="39" fillId="0" borderId="120" xfId="9" applyNumberFormat="1" applyFont="1" applyBorder="1"/>
    <xf numFmtId="175" fontId="39" fillId="0" borderId="0" xfId="9" applyNumberFormat="1" applyFont="1"/>
    <xf numFmtId="183" fontId="0" fillId="0" borderId="0" xfId="0" applyAlignment="1">
      <alignment wrapText="1"/>
    </xf>
    <xf numFmtId="183" fontId="8" fillId="5" borderId="117" xfId="0" applyFont="1" applyFill="1" applyBorder="1"/>
    <xf numFmtId="172" fontId="9" fillId="5" borderId="117" xfId="0" applyNumberFormat="1" applyFont="1" applyFill="1" applyBorder="1"/>
    <xf numFmtId="172" fontId="9" fillId="5" borderId="118" xfId="0" applyNumberFormat="1" applyFont="1" applyFill="1" applyBorder="1"/>
    <xf numFmtId="175" fontId="9" fillId="5" borderId="117" xfId="0" applyNumberFormat="1" applyFont="1" applyFill="1" applyBorder="1"/>
    <xf numFmtId="175" fontId="9" fillId="5" borderId="118" xfId="0" applyNumberFormat="1" applyFont="1" applyFill="1" applyBorder="1"/>
    <xf numFmtId="175" fontId="9" fillId="5" borderId="12" xfId="0" applyNumberFormat="1" applyFont="1" applyFill="1" applyBorder="1"/>
    <xf numFmtId="175" fontId="9" fillId="5" borderId="9" xfId="0" applyNumberFormat="1" applyFont="1" applyFill="1" applyBorder="1"/>
    <xf numFmtId="183" fontId="9" fillId="5" borderId="113" xfId="0" applyFont="1" applyFill="1" applyBorder="1"/>
    <xf numFmtId="183" fontId="8" fillId="5" borderId="59" xfId="0" applyFont="1" applyFill="1" applyBorder="1"/>
    <xf numFmtId="175" fontId="9" fillId="5" borderId="60" xfId="0" quotePrefix="1" applyNumberFormat="1" applyFont="1" applyFill="1" applyBorder="1"/>
    <xf numFmtId="183" fontId="9" fillId="5" borderId="59" xfId="0" applyFont="1" applyFill="1" applyBorder="1" applyAlignment="1">
      <alignment horizontal="left"/>
    </xf>
    <xf numFmtId="175" fontId="8" fillId="5" borderId="60" xfId="0" applyNumberFormat="1" applyFont="1" applyFill="1" applyBorder="1"/>
    <xf numFmtId="175" fontId="9" fillId="5" borderId="109" xfId="0" applyNumberFormat="1" applyFont="1" applyFill="1" applyBorder="1"/>
    <xf numFmtId="183" fontId="9" fillId="5" borderId="66" xfId="0" applyFont="1" applyFill="1" applyBorder="1" applyAlignment="1">
      <alignment horizontal="left" wrapText="1" indent="1"/>
    </xf>
    <xf numFmtId="175" fontId="9" fillId="5" borderId="109" xfId="0" applyNumberFormat="1" applyFont="1" applyFill="1" applyBorder="1" applyAlignment="1">
      <alignment vertical="center"/>
    </xf>
    <xf numFmtId="0" fontId="30" fillId="0" borderId="15" xfId="11" applyFont="1" applyBorder="1" applyProtection="1">
      <protection locked="0"/>
    </xf>
    <xf numFmtId="0" fontId="42" fillId="0" borderId="15" xfId="11" applyFont="1" applyBorder="1" applyProtection="1">
      <protection locked="0"/>
    </xf>
    <xf numFmtId="0" fontId="43" fillId="0" borderId="15" xfId="11" applyFont="1" applyBorder="1" applyAlignment="1" applyProtection="1">
      <alignment horizontal="right"/>
      <protection locked="0"/>
    </xf>
    <xf numFmtId="0" fontId="30" fillId="0" borderId="15" xfId="11" applyFont="1" applyBorder="1" applyAlignment="1" applyProtection="1">
      <alignment horizontal="right"/>
      <protection locked="0"/>
    </xf>
    <xf numFmtId="0" fontId="30" fillId="0" borderId="0" xfId="11" applyFont="1" applyProtection="1">
      <protection locked="0"/>
    </xf>
    <xf numFmtId="0" fontId="30" fillId="0" borderId="1" xfId="11" applyFont="1" applyBorder="1" applyProtection="1">
      <protection locked="0"/>
    </xf>
    <xf numFmtId="0" fontId="30" fillId="0" borderId="0" xfId="11" applyFont="1" applyBorder="1" applyAlignment="1" applyProtection="1">
      <alignment horizontal="centerContinuous"/>
      <protection locked="0"/>
    </xf>
    <xf numFmtId="0" fontId="7" fillId="0" borderId="0" xfId="11" applyFont="1" applyAlignment="1" applyProtection="1">
      <alignment horizontal="centerContinuous"/>
      <protection locked="0"/>
    </xf>
    <xf numFmtId="0" fontId="9" fillId="0" borderId="0" xfId="11" applyFont="1" applyProtection="1">
      <protection locked="0"/>
    </xf>
    <xf numFmtId="0" fontId="7" fillId="0" borderId="0" xfId="11" applyFont="1" applyBorder="1" applyAlignment="1" applyProtection="1">
      <alignment horizontal="centerContinuous"/>
      <protection locked="0"/>
    </xf>
    <xf numFmtId="0" fontId="17" fillId="0" borderId="0" xfId="11" applyFont="1" applyAlignment="1" applyProtection="1">
      <alignment horizontal="centerContinuous"/>
      <protection locked="0"/>
    </xf>
    <xf numFmtId="169" fontId="7" fillId="0" borderId="0" xfId="12" applyNumberFormat="1" applyFont="1" applyAlignment="1" applyProtection="1">
      <alignment horizontal="centerContinuous"/>
      <protection locked="0"/>
    </xf>
    <xf numFmtId="0" fontId="9" fillId="0" borderId="0" xfId="11" applyFont="1" applyBorder="1" applyProtection="1">
      <protection locked="0"/>
    </xf>
    <xf numFmtId="0" fontId="8" fillId="0" borderId="0" xfId="11" applyFont="1" applyProtection="1">
      <protection locked="0"/>
    </xf>
    <xf numFmtId="169" fontId="8" fillId="0" borderId="0" xfId="12" applyNumberFormat="1" applyFont="1" applyProtection="1">
      <protection locked="0"/>
    </xf>
    <xf numFmtId="0" fontId="9" fillId="0" borderId="15" xfId="11" applyFont="1" applyBorder="1" applyProtection="1">
      <protection locked="0"/>
    </xf>
    <xf numFmtId="169" fontId="9" fillId="0" borderId="15" xfId="12" applyNumberFormat="1" applyFont="1" applyBorder="1" applyProtection="1">
      <protection locked="0"/>
    </xf>
    <xf numFmtId="0" fontId="45" fillId="0" borderId="17" xfId="11" quotePrefix="1" applyFont="1" applyBorder="1" applyAlignment="1" applyProtection="1">
      <alignment horizontal="left"/>
      <protection locked="0"/>
    </xf>
    <xf numFmtId="0" fontId="9" fillId="0" borderId="17" xfId="11" applyFont="1" applyBorder="1" applyAlignment="1" applyProtection="1">
      <alignment horizontal="left"/>
      <protection locked="0"/>
    </xf>
    <xf numFmtId="0" fontId="9" fillId="0" borderId="17" xfId="11" applyFont="1" applyBorder="1" applyProtection="1">
      <protection locked="0"/>
    </xf>
    <xf numFmtId="0" fontId="9" fillId="0" borderId="17" xfId="11" applyFont="1" applyBorder="1" applyAlignment="1" applyProtection="1">
      <alignment horizontal="left" vertical="top"/>
      <protection locked="0"/>
    </xf>
    <xf numFmtId="169" fontId="9" fillId="0" borderId="17" xfId="12" applyNumberFormat="1" applyFont="1" applyBorder="1" applyProtection="1">
      <protection locked="0"/>
    </xf>
    <xf numFmtId="0" fontId="45" fillId="0" borderId="0" xfId="11" quotePrefix="1" applyFont="1" applyBorder="1" applyAlignment="1" applyProtection="1">
      <alignment horizontal="left" indent="1"/>
      <protection locked="0"/>
    </xf>
    <xf numFmtId="170" fontId="9" fillId="0" borderId="0" xfId="11" applyNumberFormat="1" applyFont="1" applyBorder="1" applyProtection="1">
      <protection locked="0"/>
    </xf>
    <xf numFmtId="169" fontId="9" fillId="0" borderId="0" xfId="12" applyNumberFormat="1" applyFont="1" applyBorder="1" applyProtection="1">
      <protection locked="0"/>
    </xf>
    <xf numFmtId="0" fontId="46" fillId="0" borderId="0" xfId="11" applyFont="1" applyBorder="1" applyProtection="1">
      <protection locked="0"/>
    </xf>
    <xf numFmtId="0" fontId="8" fillId="0" borderId="0" xfId="11" applyFont="1" applyBorder="1" applyProtection="1">
      <protection locked="0"/>
    </xf>
    <xf numFmtId="169" fontId="8" fillId="0" borderId="0" xfId="12" applyNumberFormat="1" applyFont="1" applyBorder="1" applyProtection="1">
      <protection locked="0"/>
    </xf>
    <xf numFmtId="0" fontId="8" fillId="0" borderId="17" xfId="11" applyFont="1" applyBorder="1" applyProtection="1">
      <protection locked="0"/>
    </xf>
    <xf numFmtId="0" fontId="8" fillId="0" borderId="35" xfId="11" applyFont="1" applyBorder="1" applyProtection="1">
      <protection locked="0"/>
    </xf>
    <xf numFmtId="0" fontId="8" fillId="0" borderId="84" xfId="11" applyFont="1" applyBorder="1" applyProtection="1">
      <protection locked="0"/>
    </xf>
    <xf numFmtId="0" fontId="8" fillId="0" borderId="86" xfId="11" applyFont="1" applyBorder="1" applyProtection="1">
      <protection locked="0"/>
    </xf>
    <xf numFmtId="0" fontId="8" fillId="0" borderId="128" xfId="11" applyFont="1" applyBorder="1" applyProtection="1">
      <protection locked="0"/>
    </xf>
    <xf numFmtId="0" fontId="8" fillId="0" borderId="128" xfId="11" applyFont="1" applyFill="1" applyBorder="1" applyProtection="1">
      <protection locked="0"/>
    </xf>
    <xf numFmtId="0" fontId="8" fillId="0" borderId="129" xfId="11" applyFont="1" applyFill="1" applyBorder="1" applyProtection="1">
      <protection locked="0"/>
    </xf>
    <xf numFmtId="0" fontId="8" fillId="10" borderId="130" xfId="11" applyFont="1" applyFill="1" applyBorder="1" applyProtection="1">
      <protection locked="0"/>
    </xf>
    <xf numFmtId="0" fontId="8" fillId="10" borderId="84" xfId="11" applyFont="1" applyFill="1" applyBorder="1" applyAlignment="1" applyProtection="1">
      <alignment horizontal="left"/>
      <protection locked="0"/>
    </xf>
    <xf numFmtId="169" fontId="8" fillId="10" borderId="131" xfId="12" applyNumberFormat="1" applyFont="1" applyFill="1" applyBorder="1" applyProtection="1">
      <protection locked="0"/>
    </xf>
    <xf numFmtId="0" fontId="8" fillId="0" borderId="131" xfId="11" applyFont="1" applyFill="1" applyBorder="1" applyProtection="1">
      <protection locked="0"/>
    </xf>
    <xf numFmtId="0" fontId="8" fillId="0" borderId="122" xfId="11" applyFont="1" applyBorder="1" applyProtection="1">
      <protection locked="0"/>
    </xf>
    <xf numFmtId="0" fontId="8" fillId="0" borderId="132" xfId="11" applyFont="1" applyBorder="1" applyProtection="1">
      <protection locked="0"/>
    </xf>
    <xf numFmtId="177" fontId="8" fillId="0" borderId="132" xfId="11" applyNumberFormat="1" applyFont="1" applyFill="1" applyBorder="1" applyAlignment="1" applyProtection="1">
      <alignment horizontal="center"/>
      <protection locked="0"/>
    </xf>
    <xf numFmtId="177" fontId="8" fillId="0" borderId="133" xfId="11" applyNumberFormat="1" applyFont="1" applyFill="1" applyBorder="1" applyAlignment="1" applyProtection="1">
      <alignment horizontal="center"/>
      <protection locked="0"/>
    </xf>
    <xf numFmtId="0" fontId="8" fillId="10" borderId="127" xfId="11" applyFont="1" applyFill="1" applyBorder="1" applyAlignment="1" applyProtection="1">
      <alignment horizontal="centerContinuous"/>
      <protection locked="0"/>
    </xf>
    <xf numFmtId="177" fontId="8" fillId="0" borderId="36" xfId="11" applyNumberFormat="1" applyFont="1" applyFill="1" applyBorder="1" applyAlignment="1" applyProtection="1">
      <alignment horizontal="center"/>
      <protection locked="0"/>
    </xf>
    <xf numFmtId="0" fontId="8" fillId="0" borderId="132" xfId="11" applyFont="1" applyFill="1" applyBorder="1" applyAlignment="1" applyProtection="1">
      <alignment horizontal="center"/>
      <protection locked="0"/>
    </xf>
    <xf numFmtId="0" fontId="8" fillId="0" borderId="133" xfId="11" applyFont="1" applyFill="1" applyBorder="1" applyAlignment="1" applyProtection="1">
      <alignment horizontal="center"/>
      <protection locked="0"/>
    </xf>
    <xf numFmtId="0" fontId="8" fillId="10" borderId="127" xfId="11" applyFont="1" applyFill="1" applyBorder="1" applyAlignment="1" applyProtection="1">
      <alignment horizontal="center"/>
      <protection locked="0"/>
    </xf>
    <xf numFmtId="0" fontId="8" fillId="0" borderId="36" xfId="11" applyFont="1" applyFill="1" applyBorder="1" applyAlignment="1" applyProtection="1">
      <alignment horizontal="center"/>
      <protection locked="0"/>
    </xf>
    <xf numFmtId="0" fontId="8" fillId="0" borderId="134" xfId="11" applyFont="1" applyBorder="1" applyProtection="1">
      <protection locked="0"/>
    </xf>
    <xf numFmtId="0" fontId="21" fillId="0" borderId="35" xfId="11" applyFont="1" applyBorder="1" applyProtection="1">
      <protection locked="0"/>
    </xf>
    <xf numFmtId="0" fontId="8" fillId="0" borderId="136" xfId="11" applyFont="1" applyFill="1" applyBorder="1" applyAlignment="1" applyProtection="1">
      <alignment horizontal="center"/>
      <protection locked="0"/>
    </xf>
    <xf numFmtId="0" fontId="8" fillId="0" borderId="137" xfId="11" applyFont="1" applyFill="1" applyBorder="1" applyAlignment="1" applyProtection="1">
      <alignment horizontal="center"/>
      <protection locked="0"/>
    </xf>
    <xf numFmtId="0" fontId="8" fillId="10" borderId="138" xfId="11" applyFont="1" applyFill="1" applyBorder="1" applyAlignment="1" applyProtection="1">
      <alignment horizontal="center"/>
      <protection locked="0"/>
    </xf>
    <xf numFmtId="0" fontId="8" fillId="10" borderId="136" xfId="11" applyFont="1" applyFill="1" applyBorder="1" applyAlignment="1" applyProtection="1">
      <alignment horizontal="center"/>
      <protection locked="0"/>
    </xf>
    <xf numFmtId="169" fontId="8" fillId="10" borderId="135" xfId="12" applyNumberFormat="1" applyFont="1" applyFill="1" applyBorder="1" applyAlignment="1" applyProtection="1">
      <alignment horizontal="center"/>
      <protection locked="0"/>
    </xf>
    <xf numFmtId="173" fontId="8" fillId="0" borderId="122" xfId="11" applyNumberFormat="1" applyFont="1" applyBorder="1" applyProtection="1">
      <protection locked="0"/>
    </xf>
    <xf numFmtId="173" fontId="8" fillId="0" borderId="0" xfId="11" applyNumberFormat="1" applyFont="1" applyBorder="1" applyProtection="1">
      <protection locked="0"/>
    </xf>
    <xf numFmtId="173" fontId="8" fillId="0" borderId="132" xfId="11" applyNumberFormat="1" applyFont="1" applyBorder="1" applyProtection="1">
      <protection locked="0"/>
    </xf>
    <xf numFmtId="173" fontId="9" fillId="0" borderId="132" xfId="11" applyNumberFormat="1" applyFont="1" applyFill="1" applyBorder="1" applyProtection="1">
      <protection locked="0"/>
    </xf>
    <xf numFmtId="173" fontId="9" fillId="0" borderId="133" xfId="11" applyNumberFormat="1" applyFont="1" applyFill="1" applyBorder="1" applyProtection="1">
      <protection locked="0"/>
    </xf>
    <xf numFmtId="173" fontId="9" fillId="10" borderId="127" xfId="11" applyNumberFormat="1" applyFont="1" applyFill="1" applyBorder="1" applyProtection="1">
      <protection locked="0"/>
    </xf>
    <xf numFmtId="173" fontId="9" fillId="10" borderId="36" xfId="11" applyNumberFormat="1" applyFont="1" applyFill="1" applyBorder="1" applyProtection="1">
      <protection locked="0"/>
    </xf>
    <xf numFmtId="173" fontId="9" fillId="10" borderId="36" xfId="12" applyNumberFormat="1" applyFont="1" applyFill="1" applyBorder="1" applyAlignment="1" applyProtection="1">
      <alignment horizontal="right"/>
      <protection locked="0"/>
    </xf>
    <xf numFmtId="173" fontId="9" fillId="0" borderId="36" xfId="11" applyNumberFormat="1" applyFont="1" applyFill="1" applyBorder="1" applyProtection="1">
      <protection locked="0"/>
    </xf>
    <xf numFmtId="173" fontId="9" fillId="0" borderId="0" xfId="11" applyNumberFormat="1" applyFont="1" applyProtection="1">
      <protection locked="0"/>
    </xf>
    <xf numFmtId="173" fontId="9" fillId="0" borderId="122" xfId="11" applyNumberFormat="1" applyFont="1" applyBorder="1" applyAlignment="1" applyProtection="1">
      <alignment horizontal="left"/>
      <protection locked="0"/>
    </xf>
    <xf numFmtId="173" fontId="9" fillId="0" borderId="0" xfId="11" applyNumberFormat="1" applyFont="1" applyBorder="1" applyProtection="1">
      <protection locked="0"/>
    </xf>
    <xf numFmtId="173" fontId="46" fillId="0" borderId="132" xfId="11" applyNumberFormat="1" applyFont="1" applyBorder="1" applyProtection="1">
      <protection locked="0"/>
    </xf>
    <xf numFmtId="187" fontId="46" fillId="0" borderId="132" xfId="11" applyNumberFormat="1" applyFont="1" applyBorder="1" applyProtection="1">
      <protection locked="0"/>
    </xf>
    <xf numFmtId="173" fontId="8" fillId="0" borderId="132" xfId="11" applyNumberFormat="1" applyFont="1" applyFill="1" applyBorder="1" applyProtection="1"/>
    <xf numFmtId="173" fontId="9" fillId="10" borderId="127" xfId="11" applyNumberFormat="1" applyFont="1" applyFill="1" applyBorder="1" applyProtection="1"/>
    <xf numFmtId="173" fontId="9" fillId="10" borderId="36" xfId="11" applyNumberFormat="1" applyFont="1" applyFill="1" applyBorder="1" applyProtection="1"/>
    <xf numFmtId="173" fontId="9" fillId="10" borderId="36" xfId="12" applyNumberFormat="1" applyFont="1" applyFill="1" applyBorder="1" applyAlignment="1" applyProtection="1">
      <alignment horizontal="right"/>
    </xf>
    <xf numFmtId="173" fontId="9" fillId="0" borderId="122" xfId="11" applyNumberFormat="1" applyFont="1" applyBorder="1" applyProtection="1">
      <protection locked="0"/>
    </xf>
    <xf numFmtId="173" fontId="8" fillId="0" borderId="122" xfId="11" applyNumberFormat="1" applyFont="1" applyBorder="1" applyAlignment="1" applyProtection="1">
      <alignment horizontal="left"/>
      <protection locked="0"/>
    </xf>
    <xf numFmtId="173" fontId="8" fillId="0" borderId="0" xfId="11" applyNumberFormat="1" applyFont="1" applyBorder="1" applyAlignment="1" applyProtection="1">
      <alignment horizontal="left"/>
      <protection locked="0"/>
    </xf>
    <xf numFmtId="173" fontId="8" fillId="0" borderId="128" xfId="11" applyNumberFormat="1" applyFont="1" applyBorder="1" applyAlignment="1" applyProtection="1">
      <alignment horizontal="left"/>
      <protection locked="0"/>
    </xf>
    <xf numFmtId="173" fontId="9" fillId="0" borderId="128" xfId="11" applyNumberFormat="1" applyFont="1" applyFill="1" applyBorder="1" applyProtection="1">
      <protection locked="0"/>
    </xf>
    <xf numFmtId="173" fontId="8" fillId="0" borderId="128" xfId="11" applyNumberFormat="1" applyFont="1" applyFill="1" applyBorder="1" applyProtection="1">
      <protection locked="0"/>
    </xf>
    <xf numFmtId="173" fontId="9" fillId="0" borderId="129" xfId="11" applyNumberFormat="1" applyFont="1" applyFill="1" applyBorder="1" applyProtection="1">
      <protection locked="0"/>
    </xf>
    <xf numFmtId="173" fontId="9" fillId="10" borderId="130" xfId="11" applyNumberFormat="1" applyFont="1" applyFill="1" applyBorder="1" applyProtection="1">
      <protection locked="0"/>
    </xf>
    <xf numFmtId="173" fontId="9" fillId="10" borderId="131" xfId="11" applyNumberFormat="1" applyFont="1" applyFill="1" applyBorder="1" applyProtection="1">
      <protection locked="0"/>
    </xf>
    <xf numFmtId="173" fontId="9" fillId="10" borderId="131" xfId="12" applyNumberFormat="1" applyFont="1" applyFill="1" applyBorder="1" applyAlignment="1" applyProtection="1">
      <alignment horizontal="right"/>
      <protection locked="0"/>
    </xf>
    <xf numFmtId="173" fontId="9" fillId="0" borderId="131" xfId="11" applyNumberFormat="1" applyFont="1" applyFill="1" applyBorder="1" applyProtection="1">
      <protection locked="0"/>
    </xf>
    <xf numFmtId="173" fontId="8" fillId="0" borderId="139" xfId="11" applyNumberFormat="1" applyFont="1" applyBorder="1" applyProtection="1"/>
    <xf numFmtId="173" fontId="8" fillId="0" borderId="140" xfId="11" applyNumberFormat="1" applyFont="1" applyBorder="1" applyProtection="1"/>
    <xf numFmtId="173" fontId="8" fillId="10" borderId="141" xfId="11" applyNumberFormat="1" applyFont="1" applyFill="1" applyBorder="1" applyProtection="1"/>
    <xf numFmtId="173" fontId="8" fillId="10" borderId="135" xfId="11" applyNumberFormat="1" applyFont="1" applyFill="1" applyBorder="1" applyProtection="1"/>
    <xf numFmtId="173" fontId="8" fillId="10" borderId="135" xfId="12" applyNumberFormat="1" applyFont="1" applyFill="1" applyBorder="1" applyAlignment="1" applyProtection="1">
      <alignment horizontal="right"/>
    </xf>
    <xf numFmtId="173" fontId="8" fillId="0" borderId="132" xfId="11" applyNumberFormat="1" applyFont="1" applyFill="1" applyBorder="1" applyProtection="1">
      <protection locked="0"/>
    </xf>
    <xf numFmtId="173" fontId="9" fillId="0" borderId="128" xfId="11" applyNumberFormat="1" applyFont="1" applyBorder="1" applyProtection="1">
      <protection locked="0"/>
    </xf>
    <xf numFmtId="173" fontId="8" fillId="0" borderId="139" xfId="11" applyNumberFormat="1" applyFont="1" applyFill="1" applyBorder="1" applyProtection="1"/>
    <xf numFmtId="173" fontId="8" fillId="0" borderId="140" xfId="11" applyNumberFormat="1" applyFont="1" applyFill="1" applyBorder="1" applyProtection="1"/>
    <xf numFmtId="173" fontId="8" fillId="0" borderId="135" xfId="11" applyNumberFormat="1" applyFont="1" applyFill="1" applyBorder="1" applyProtection="1"/>
    <xf numFmtId="173" fontId="9" fillId="0" borderId="132" xfId="11" applyNumberFormat="1" applyFont="1" applyBorder="1" applyProtection="1">
      <protection locked="0"/>
    </xf>
    <xf numFmtId="188" fontId="8" fillId="10" borderId="135" xfId="11" applyNumberFormat="1" applyFont="1" applyFill="1" applyBorder="1" applyProtection="1"/>
    <xf numFmtId="173" fontId="8" fillId="10" borderId="139" xfId="12" applyNumberFormat="1" applyFont="1" applyFill="1" applyBorder="1" applyAlignment="1" applyProtection="1">
      <alignment horizontal="right"/>
    </xf>
    <xf numFmtId="173" fontId="8" fillId="0" borderId="122" xfId="11" quotePrefix="1" applyNumberFormat="1" applyFont="1" applyBorder="1" applyProtection="1">
      <protection locked="0"/>
    </xf>
    <xf numFmtId="173" fontId="9" fillId="0" borderId="142" xfId="11" applyNumberFormat="1" applyFont="1" applyBorder="1" applyProtection="1">
      <protection locked="0"/>
    </xf>
    <xf numFmtId="173" fontId="9" fillId="0" borderId="143" xfId="11" applyNumberFormat="1" applyFont="1" applyFill="1" applyBorder="1" applyProtection="1">
      <protection locked="0"/>
    </xf>
    <xf numFmtId="173" fontId="9" fillId="0" borderId="0" xfId="11" applyNumberFormat="1" applyFont="1" applyFill="1" applyBorder="1" applyProtection="1">
      <protection locked="0"/>
    </xf>
    <xf numFmtId="173" fontId="9" fillId="0" borderId="144" xfId="11" applyNumberFormat="1" applyFont="1" applyFill="1" applyBorder="1" applyProtection="1">
      <protection locked="0"/>
    </xf>
    <xf numFmtId="173" fontId="9" fillId="0" borderId="145" xfId="12" applyNumberFormat="1" applyFont="1" applyFill="1" applyBorder="1" applyAlignment="1" applyProtection="1">
      <alignment horizontal="right"/>
      <protection locked="0"/>
    </xf>
    <xf numFmtId="174" fontId="9" fillId="0" borderId="0" xfId="13" applyNumberFormat="1" applyFont="1" applyProtection="1">
      <protection locked="0"/>
    </xf>
    <xf numFmtId="173" fontId="8" fillId="0" borderId="84" xfId="11" applyNumberFormat="1" applyFont="1" applyBorder="1" applyProtection="1">
      <protection locked="0"/>
    </xf>
    <xf numFmtId="173" fontId="8" fillId="0" borderId="86" xfId="11" applyNumberFormat="1" applyFont="1" applyBorder="1" applyAlignment="1" applyProtection="1">
      <protection locked="0"/>
    </xf>
    <xf numFmtId="173" fontId="8" fillId="0" borderId="128" xfId="11" applyNumberFormat="1" applyFont="1" applyBorder="1" applyAlignment="1" applyProtection="1">
      <protection locked="0"/>
    </xf>
    <xf numFmtId="173" fontId="48" fillId="0" borderId="0" xfId="11" applyNumberFormat="1" applyFont="1" applyBorder="1" applyProtection="1">
      <protection locked="0"/>
    </xf>
    <xf numFmtId="173" fontId="9" fillId="10" borderId="127" xfId="11" applyNumberFormat="1" applyFont="1" applyFill="1" applyBorder="1" applyAlignment="1" applyProtection="1">
      <alignment horizontal="right"/>
    </xf>
    <xf numFmtId="173" fontId="9" fillId="10" borderId="36" xfId="11" applyNumberFormat="1" applyFont="1" applyFill="1" applyBorder="1" applyAlignment="1" applyProtection="1">
      <alignment horizontal="right"/>
    </xf>
    <xf numFmtId="173" fontId="8" fillId="0" borderId="134" xfId="11" applyNumberFormat="1" applyFont="1" applyBorder="1" applyProtection="1">
      <protection locked="0"/>
    </xf>
    <xf numFmtId="173" fontId="48" fillId="0" borderId="35" xfId="11" applyNumberFormat="1" applyFont="1" applyBorder="1" applyProtection="1">
      <protection locked="0"/>
    </xf>
    <xf numFmtId="173" fontId="46" fillId="0" borderId="146" xfId="11" applyNumberFormat="1" applyFont="1" applyBorder="1" applyProtection="1">
      <protection locked="0"/>
    </xf>
    <xf numFmtId="173" fontId="9" fillId="10" borderId="141" xfId="11" applyNumberFormat="1" applyFont="1" applyFill="1" applyBorder="1" applyAlignment="1" applyProtection="1">
      <alignment horizontal="right"/>
    </xf>
    <xf numFmtId="173" fontId="9" fillId="10" borderId="135" xfId="11" applyNumberFormat="1" applyFont="1" applyFill="1" applyBorder="1" applyAlignment="1" applyProtection="1">
      <alignment horizontal="right"/>
    </xf>
    <xf numFmtId="173" fontId="9" fillId="10" borderId="135" xfId="12" applyNumberFormat="1" applyFont="1" applyFill="1" applyBorder="1" applyAlignment="1" applyProtection="1">
      <alignment horizontal="right"/>
    </xf>
    <xf numFmtId="173" fontId="9" fillId="0" borderId="35" xfId="11" applyNumberFormat="1" applyFont="1" applyFill="1" applyBorder="1" applyProtection="1">
      <protection locked="0"/>
    </xf>
    <xf numFmtId="173" fontId="9" fillId="0" borderId="143" xfId="12" applyNumberFormat="1" applyFont="1" applyFill="1" applyBorder="1" applyAlignment="1" applyProtection="1">
      <alignment horizontal="right"/>
      <protection locked="0"/>
    </xf>
    <xf numFmtId="173" fontId="8" fillId="0" borderId="86" xfId="11" applyNumberFormat="1" applyFont="1" applyBorder="1" applyAlignment="1" applyProtection="1">
      <alignment horizontal="left"/>
      <protection locked="0"/>
    </xf>
    <xf numFmtId="173" fontId="9" fillId="0" borderId="86" xfId="11" applyNumberFormat="1" applyFont="1" applyFill="1" applyBorder="1" applyProtection="1">
      <protection locked="0"/>
    </xf>
    <xf numFmtId="173" fontId="9" fillId="0" borderId="86" xfId="12" applyNumberFormat="1" applyFont="1" applyFill="1" applyBorder="1" applyProtection="1">
      <protection locked="0"/>
    </xf>
    <xf numFmtId="173" fontId="8" fillId="0" borderId="122" xfId="11" quotePrefix="1" applyNumberFormat="1" applyFont="1" applyBorder="1" applyAlignment="1" applyProtection="1">
      <alignment horizontal="left"/>
      <protection locked="0"/>
    </xf>
    <xf numFmtId="173" fontId="9" fillId="0" borderId="0" xfId="11" applyNumberFormat="1" applyFont="1" applyFill="1" applyBorder="1" applyAlignment="1" applyProtection="1">
      <alignment horizontal="right"/>
      <protection locked="0"/>
    </xf>
    <xf numFmtId="173" fontId="9" fillId="0" borderId="0" xfId="12" applyNumberFormat="1" applyFont="1" applyFill="1" applyBorder="1" applyAlignment="1" applyProtection="1">
      <alignment horizontal="right"/>
      <protection locked="0"/>
    </xf>
    <xf numFmtId="173" fontId="9" fillId="0" borderId="36" xfId="11" applyNumberFormat="1" applyFont="1" applyFill="1" applyBorder="1" applyAlignment="1" applyProtection="1">
      <alignment horizontal="right"/>
      <protection locked="0"/>
    </xf>
    <xf numFmtId="173" fontId="8" fillId="0" borderId="134" xfId="11" quotePrefix="1" applyNumberFormat="1" applyFont="1" applyBorder="1" applyAlignment="1" applyProtection="1">
      <alignment horizontal="left"/>
      <protection locked="0"/>
    </xf>
    <xf numFmtId="173" fontId="9" fillId="0" borderId="35" xfId="11" applyNumberFormat="1" applyFont="1" applyBorder="1" applyProtection="1">
      <protection locked="0"/>
    </xf>
    <xf numFmtId="173" fontId="9" fillId="0" borderId="35" xfId="11" applyNumberFormat="1" applyFont="1" applyFill="1" applyBorder="1" applyAlignment="1" applyProtection="1">
      <alignment horizontal="centerContinuous"/>
      <protection locked="0"/>
    </xf>
    <xf numFmtId="173" fontId="9" fillId="0" borderId="35" xfId="12" applyNumberFormat="1" applyFont="1" applyFill="1" applyBorder="1" applyAlignment="1" applyProtection="1">
      <alignment horizontal="centerContinuous"/>
      <protection locked="0"/>
    </xf>
    <xf numFmtId="173" fontId="9" fillId="0" borderId="135" xfId="11" applyNumberFormat="1" applyFont="1" applyFill="1" applyBorder="1" applyAlignment="1" applyProtection="1">
      <alignment horizontal="centerContinuous"/>
      <protection locked="0"/>
    </xf>
    <xf numFmtId="173" fontId="8" fillId="0" borderId="0" xfId="11" quotePrefix="1" applyNumberFormat="1" applyFont="1" applyBorder="1" applyAlignment="1" applyProtection="1">
      <alignment horizontal="left"/>
      <protection locked="0"/>
    </xf>
    <xf numFmtId="173" fontId="9" fillId="0" borderId="0" xfId="11" applyNumberFormat="1" applyFont="1" applyFill="1" applyBorder="1" applyAlignment="1" applyProtection="1">
      <alignment horizontal="centerContinuous"/>
      <protection locked="0"/>
    </xf>
    <xf numFmtId="173" fontId="9" fillId="0" borderId="0" xfId="12" applyNumberFormat="1" applyFont="1" applyFill="1" applyBorder="1" applyAlignment="1" applyProtection="1">
      <alignment horizontal="centerContinuous"/>
      <protection locked="0"/>
    </xf>
    <xf numFmtId="0" fontId="49" fillId="0" borderId="0" xfId="11" applyFont="1" applyProtection="1">
      <protection locked="0"/>
    </xf>
    <xf numFmtId="169" fontId="9" fillId="0" borderId="0" xfId="12" applyNumberFormat="1" applyFont="1" applyProtection="1">
      <protection locked="0"/>
    </xf>
    <xf numFmtId="186" fontId="9" fillId="0" borderId="0" xfId="11" applyNumberFormat="1" applyFont="1" applyProtection="1">
      <protection locked="0"/>
    </xf>
    <xf numFmtId="186" fontId="50" fillId="0" borderId="0" xfId="11" applyNumberFormat="1" applyFont="1" applyProtection="1">
      <protection locked="0"/>
    </xf>
    <xf numFmtId="172" fontId="9" fillId="0" borderId="0" xfId="11" applyNumberFormat="1" applyFont="1" applyProtection="1">
      <protection locked="0"/>
    </xf>
    <xf numFmtId="172" fontId="9" fillId="0" borderId="0" xfId="12" applyNumberFormat="1" applyFont="1" applyProtection="1">
      <protection locked="0"/>
    </xf>
    <xf numFmtId="0" fontId="44" fillId="0" borderId="0" xfId="14"/>
    <xf numFmtId="173" fontId="9" fillId="0" borderId="0" xfId="12" applyNumberFormat="1" applyFont="1" applyProtection="1">
      <protection locked="0"/>
    </xf>
    <xf numFmtId="173" fontId="8" fillId="0" borderId="0" xfId="11" applyNumberFormat="1" applyFont="1" applyProtection="1">
      <protection locked="0"/>
    </xf>
    <xf numFmtId="0" fontId="46" fillId="0" borderId="0" xfId="11" applyFont="1" applyProtection="1">
      <protection locked="0"/>
    </xf>
    <xf numFmtId="175" fontId="9" fillId="0" borderId="121" xfId="4" applyNumberFormat="1" applyFont="1" applyFill="1" applyBorder="1" applyAlignment="1" applyProtection="1">
      <alignment horizontal="center"/>
    </xf>
    <xf numFmtId="183" fontId="0" fillId="0" borderId="123" xfId="0" applyBorder="1"/>
    <xf numFmtId="183" fontId="0" fillId="0" borderId="0" xfId="0" applyAlignment="1">
      <alignment horizontal="center" wrapText="1"/>
    </xf>
    <xf numFmtId="40" fontId="12" fillId="0" borderId="0" xfId="1" applyNumberFormat="1" applyFont="1"/>
    <xf numFmtId="40" fontId="0" fillId="0" borderId="0" xfId="0" applyNumberFormat="1"/>
    <xf numFmtId="175" fontId="0" fillId="0" borderId="126" xfId="1" applyNumberFormat="1" applyFont="1" applyBorder="1" applyAlignment="1">
      <alignment horizontal="center"/>
    </xf>
    <xf numFmtId="175" fontId="0" fillId="0" borderId="30" xfId="1" applyNumberFormat="1" applyFont="1" applyBorder="1" applyAlignment="1">
      <alignment horizontal="center"/>
    </xf>
    <xf numFmtId="183" fontId="12" fillId="0" borderId="6" xfId="0" applyFont="1" applyBorder="1"/>
    <xf numFmtId="175" fontId="12" fillId="0" borderId="30" xfId="1" applyNumberFormat="1" applyFont="1" applyBorder="1" applyAlignment="1">
      <alignment horizontal="center"/>
    </xf>
    <xf numFmtId="183" fontId="0" fillId="0" borderId="0" xfId="0" applyAlignment="1">
      <alignment wrapText="1"/>
    </xf>
    <xf numFmtId="175" fontId="9" fillId="5" borderId="126" xfId="0" applyNumberFormat="1" applyFont="1" applyFill="1" applyBorder="1"/>
    <xf numFmtId="175" fontId="9" fillId="5" borderId="123" xfId="0" applyNumberFormat="1" applyFont="1" applyFill="1" applyBorder="1"/>
    <xf numFmtId="183" fontId="8" fillId="5" borderId="148" xfId="0" applyFont="1" applyFill="1" applyBorder="1" applyAlignment="1">
      <alignment horizontal="center" vertical="center" wrapText="1"/>
    </xf>
    <xf numFmtId="183" fontId="8" fillId="5" borderId="147" xfId="0" applyFont="1" applyFill="1" applyBorder="1" applyAlignment="1">
      <alignment horizontal="center" vertical="center" wrapText="1"/>
    </xf>
    <xf numFmtId="183" fontId="8" fillId="5" borderId="147" xfId="0" applyFont="1" applyFill="1" applyBorder="1" applyAlignment="1">
      <alignment horizontal="center"/>
    </xf>
    <xf numFmtId="174" fontId="9" fillId="5" borderId="124" xfId="0" applyNumberFormat="1" applyFont="1" applyFill="1" applyBorder="1"/>
    <xf numFmtId="173" fontId="9" fillId="5" borderId="117" xfId="0" applyNumberFormat="1" applyFont="1" applyFill="1" applyBorder="1"/>
    <xf numFmtId="173" fontId="9" fillId="5" borderId="147" xfId="0" applyNumberFormat="1" applyFont="1" applyFill="1" applyBorder="1"/>
    <xf numFmtId="183" fontId="9" fillId="0" borderId="117" xfId="0" applyFont="1" applyFill="1" applyBorder="1" applyAlignment="1">
      <alignment horizontal="left" vertical="center" wrapText="1" indent="1"/>
    </xf>
    <xf numFmtId="183" fontId="9" fillId="0" borderId="117" xfId="0" applyFont="1" applyFill="1" applyBorder="1" applyAlignment="1">
      <alignment horizontal="left" vertical="center" wrapText="1" indent="1"/>
    </xf>
    <xf numFmtId="183" fontId="9" fillId="0" borderId="126" xfId="0" applyFont="1" applyFill="1" applyBorder="1" applyAlignment="1">
      <alignment horizontal="left" vertical="center" wrapText="1" indent="1"/>
    </xf>
    <xf numFmtId="173" fontId="46" fillId="9" borderId="132" xfId="11" applyNumberFormat="1" applyFont="1" applyFill="1" applyBorder="1" applyProtection="1">
      <protection locked="0"/>
    </xf>
    <xf numFmtId="190" fontId="9" fillId="6" borderId="0" xfId="1" applyNumberFormat="1" applyFont="1" applyFill="1" applyBorder="1" applyAlignment="1" applyProtection="1">
      <alignment horizontal="center"/>
    </xf>
    <xf numFmtId="190" fontId="9" fillId="6" borderId="84" xfId="1" applyNumberFormat="1" applyFont="1" applyFill="1" applyBorder="1" applyAlignment="1" applyProtection="1">
      <alignment horizontal="center"/>
    </xf>
    <xf numFmtId="190" fontId="9" fillId="6" borderId="85" xfId="1" applyNumberFormat="1" applyFont="1" applyFill="1" applyBorder="1" applyAlignment="1" applyProtection="1">
      <alignment horizontal="center"/>
    </xf>
    <xf numFmtId="190" fontId="9" fillId="6" borderId="86" xfId="1" applyNumberFormat="1" applyFont="1" applyFill="1" applyBorder="1" applyAlignment="1" applyProtection="1">
      <alignment horizontal="center"/>
    </xf>
    <xf numFmtId="190" fontId="9" fillId="6" borderId="87" xfId="1" applyNumberFormat="1" applyFont="1" applyFill="1" applyBorder="1" applyAlignment="1" applyProtection="1">
      <alignment horizontal="center"/>
    </xf>
    <xf numFmtId="190" fontId="9" fillId="6" borderId="87" xfId="1" applyNumberFormat="1" applyFont="1" applyFill="1" applyBorder="1" applyAlignment="1" applyProtection="1">
      <alignment horizontal="center" vertical="top"/>
    </xf>
    <xf numFmtId="190" fontId="9" fillId="6" borderId="88" xfId="1" applyNumberFormat="1" applyFont="1" applyFill="1" applyBorder="1" applyAlignment="1" applyProtection="1">
      <alignment horizontal="center"/>
    </xf>
    <xf numFmtId="190" fontId="9" fillId="5" borderId="124" xfId="0" applyNumberFormat="1" applyFont="1" applyFill="1" applyBorder="1"/>
    <xf numFmtId="190" fontId="9" fillId="5" borderId="147" xfId="0" applyNumberFormat="1" applyFont="1" applyFill="1" applyBorder="1"/>
    <xf numFmtId="190" fontId="9" fillId="5" borderId="152" xfId="0" applyNumberFormat="1" applyFont="1" applyFill="1" applyBorder="1"/>
    <xf numFmtId="190" fontId="9" fillId="5" borderId="148" xfId="0" applyNumberFormat="1" applyFont="1" applyFill="1" applyBorder="1"/>
    <xf numFmtId="190" fontId="9" fillId="5" borderId="153" xfId="0" applyNumberFormat="1" applyFont="1" applyFill="1" applyBorder="1"/>
    <xf numFmtId="190" fontId="9" fillId="5" borderId="151" xfId="0" applyNumberFormat="1" applyFont="1" applyFill="1" applyBorder="1"/>
    <xf numFmtId="190" fontId="8" fillId="5" borderId="147" xfId="0" applyNumberFormat="1" applyFont="1" applyFill="1" applyBorder="1"/>
    <xf numFmtId="183" fontId="12" fillId="11" borderId="148" xfId="0" applyFont="1" applyFill="1" applyBorder="1" applyAlignment="1">
      <alignment horizontal="center" wrapText="1"/>
    </xf>
    <xf numFmtId="183" fontId="0" fillId="0" borderId="118" xfId="0" applyFill="1" applyBorder="1" applyAlignment="1">
      <alignment horizontal="left" wrapText="1"/>
    </xf>
    <xf numFmtId="175" fontId="0" fillId="0" borderId="117" xfId="0" applyNumberFormat="1" applyFont="1" applyFill="1" applyBorder="1" applyAlignment="1">
      <alignment horizontal="center" wrapText="1"/>
    </xf>
    <xf numFmtId="175" fontId="0" fillId="0" borderId="117" xfId="1" applyNumberFormat="1" applyFont="1" applyBorder="1" applyAlignment="1">
      <alignment horizontal="center"/>
    </xf>
    <xf numFmtId="183" fontId="12" fillId="11" borderId="120" xfId="0" applyFont="1" applyFill="1" applyBorder="1" applyAlignment="1">
      <alignment horizontal="center" wrapText="1"/>
    </xf>
    <xf numFmtId="183" fontId="12" fillId="11" borderId="147" xfId="0" applyFont="1" applyFill="1" applyBorder="1" applyAlignment="1">
      <alignment horizontal="center" wrapText="1"/>
    </xf>
    <xf numFmtId="183" fontId="12" fillId="11" borderId="151" xfId="0" applyFont="1" applyFill="1" applyBorder="1" applyAlignment="1">
      <alignment horizontal="center" wrapText="1"/>
    </xf>
    <xf numFmtId="190" fontId="0" fillId="0" borderId="124" xfId="5" applyNumberFormat="1" applyFont="1" applyBorder="1" applyAlignment="1">
      <alignment horizontal="right"/>
    </xf>
    <xf numFmtId="190" fontId="0" fillId="0" borderId="13" xfId="5" applyNumberFormat="1" applyFont="1" applyBorder="1" applyAlignment="1">
      <alignment horizontal="right"/>
    </xf>
    <xf numFmtId="190" fontId="0" fillId="0" borderId="125" xfId="5" applyNumberFormat="1" applyFont="1" applyBorder="1" applyAlignment="1">
      <alignment horizontal="right"/>
    </xf>
    <xf numFmtId="190" fontId="12" fillId="0" borderId="125" xfId="5" applyNumberFormat="1" applyFont="1" applyBorder="1" applyAlignment="1">
      <alignment horizontal="right"/>
    </xf>
    <xf numFmtId="0" fontId="39" fillId="0" borderId="0" xfId="9" applyFont="1" applyAlignment="1">
      <alignment horizontal="center" wrapText="1"/>
    </xf>
    <xf numFmtId="174" fontId="4" fillId="0" borderId="0" xfId="9" applyNumberFormat="1"/>
    <xf numFmtId="190" fontId="0" fillId="0" borderId="117" xfId="0" applyNumberFormat="1" applyBorder="1" applyAlignment="1">
      <alignment horizontal="right" wrapText="1"/>
    </xf>
    <xf numFmtId="174" fontId="12" fillId="0" borderId="119" xfId="0" applyNumberFormat="1" applyFont="1" applyBorder="1"/>
    <xf numFmtId="190" fontId="0" fillId="0" borderId="119" xfId="0" applyNumberFormat="1" applyBorder="1" applyAlignment="1">
      <alignment horizontal="right" wrapText="1"/>
    </xf>
    <xf numFmtId="183" fontId="9" fillId="0" borderId="119" xfId="0" applyFont="1" applyFill="1" applyBorder="1" applyAlignment="1">
      <alignment vertical="center" wrapText="1"/>
    </xf>
    <xf numFmtId="191" fontId="9" fillId="0" borderId="17" xfId="11" applyNumberFormat="1" applyFont="1" applyBorder="1" applyProtection="1">
      <protection locked="0"/>
    </xf>
    <xf numFmtId="189" fontId="4" fillId="0" borderId="0" xfId="9" applyNumberFormat="1"/>
    <xf numFmtId="189" fontId="4" fillId="0" borderId="0" xfId="9" applyNumberFormat="1" applyFill="1"/>
    <xf numFmtId="189" fontId="1" fillId="0" borderId="154" xfId="9" applyNumberFormat="1" applyFont="1" applyBorder="1"/>
    <xf numFmtId="189" fontId="4" fillId="0" borderId="154" xfId="9" applyNumberFormat="1" applyBorder="1"/>
    <xf numFmtId="175" fontId="9" fillId="5" borderId="121" xfId="4" applyNumberFormat="1" applyFont="1" applyFill="1" applyBorder="1" applyAlignment="1" applyProtection="1">
      <alignment horizontal="center"/>
    </xf>
    <xf numFmtId="175" fontId="9" fillId="5" borderId="155" xfId="4" applyNumberFormat="1" applyFont="1" applyFill="1" applyBorder="1" applyAlignment="1" applyProtection="1">
      <alignment horizontal="center"/>
    </xf>
    <xf numFmtId="175" fontId="9" fillId="5" borderId="121" xfId="4" applyNumberFormat="1" applyFont="1" applyFill="1" applyBorder="1" applyAlignment="1" applyProtection="1">
      <alignment horizontal="center" vertical="top"/>
    </xf>
    <xf numFmtId="175" fontId="9" fillId="5" borderId="121" xfId="4" applyNumberFormat="1" applyFont="1" applyFill="1" applyBorder="1" applyAlignment="1" applyProtection="1">
      <alignment horizontal="center" vertical="center"/>
    </xf>
    <xf numFmtId="183" fontId="35" fillId="0" borderId="110" xfId="0" applyFont="1" applyFill="1" applyBorder="1" applyAlignment="1">
      <alignment horizontal="center" vertical="center" wrapText="1"/>
    </xf>
    <xf numFmtId="183" fontId="36" fillId="0" borderId="112" xfId="0" applyFont="1" applyBorder="1"/>
    <xf numFmtId="183" fontId="36" fillId="5" borderId="7" xfId="0" applyFont="1" applyFill="1" applyBorder="1"/>
    <xf numFmtId="183" fontId="36" fillId="5" borderId="8" xfId="0" applyFont="1" applyFill="1" applyBorder="1"/>
    <xf numFmtId="183" fontId="7" fillId="0" borderId="0" xfId="0" applyFont="1" applyBorder="1" applyAlignment="1">
      <alignment horizontal="left" vertical="center"/>
    </xf>
    <xf numFmtId="172" fontId="8" fillId="5" borderId="0" xfId="0" applyNumberFormat="1" applyFont="1" applyFill="1" applyBorder="1" applyAlignment="1">
      <alignment horizontal="left" vertical="center"/>
    </xf>
    <xf numFmtId="172" fontId="8" fillId="5" borderId="0" xfId="0" applyNumberFormat="1" applyFont="1" applyFill="1" applyBorder="1" applyAlignment="1">
      <alignment horizontal="center" vertical="center" wrapText="1"/>
    </xf>
    <xf numFmtId="183" fontId="7" fillId="5" borderId="0" xfId="0" applyFont="1" applyFill="1" applyBorder="1" applyAlignment="1">
      <alignment horizontal="left"/>
    </xf>
    <xf numFmtId="183" fontId="8" fillId="5" borderId="111" xfId="0" applyFont="1" applyFill="1" applyBorder="1" applyAlignment="1">
      <alignment horizontal="center" vertical="center" wrapText="1"/>
    </xf>
    <xf numFmtId="183" fontId="9" fillId="5" borderId="6" xfId="0" applyFont="1" applyFill="1" applyBorder="1" applyAlignment="1">
      <alignment wrapText="1"/>
    </xf>
    <xf numFmtId="183" fontId="8" fillId="7" borderId="111" xfId="0" applyFont="1" applyFill="1" applyBorder="1" applyAlignment="1">
      <alignment horizontal="center" vertical="center" wrapText="1"/>
    </xf>
    <xf numFmtId="183" fontId="9" fillId="7" borderId="6" xfId="0" applyFont="1" applyFill="1" applyBorder="1" applyAlignment="1">
      <alignment wrapText="1"/>
    </xf>
    <xf numFmtId="183" fontId="8" fillId="5" borderId="95" xfId="0" applyFont="1" applyFill="1" applyBorder="1" applyAlignment="1">
      <alignment horizontal="center" vertical="center" wrapText="1"/>
    </xf>
    <xf numFmtId="183" fontId="9" fillId="5" borderId="30" xfId="0" applyFont="1" applyFill="1" applyBorder="1" applyAlignment="1">
      <alignment horizontal="center" vertical="center"/>
    </xf>
    <xf numFmtId="183" fontId="8" fillId="5" borderId="110" xfId="0" applyFont="1" applyFill="1" applyBorder="1" applyAlignment="1">
      <alignment horizontal="center" vertical="center" wrapText="1"/>
    </xf>
    <xf numFmtId="183" fontId="9" fillId="5" borderId="112" xfId="0" applyFont="1" applyFill="1" applyBorder="1" applyAlignment="1">
      <alignment wrapText="1"/>
    </xf>
    <xf numFmtId="183" fontId="9" fillId="5" borderId="7" xfId="0" applyFont="1" applyFill="1" applyBorder="1" applyAlignment="1">
      <alignment wrapText="1"/>
    </xf>
    <xf numFmtId="183" fontId="9" fillId="5" borderId="8" xfId="0" applyFont="1" applyFill="1" applyBorder="1" applyAlignment="1">
      <alignment wrapText="1"/>
    </xf>
    <xf numFmtId="183" fontId="8" fillId="5" borderId="65" xfId="0" applyFont="1" applyFill="1" applyBorder="1" applyAlignment="1">
      <alignment horizontal="center"/>
    </xf>
    <xf numFmtId="183" fontId="8" fillId="5" borderId="70" xfId="0" applyFont="1" applyFill="1" applyBorder="1" applyAlignment="1">
      <alignment horizontal="center"/>
    </xf>
    <xf numFmtId="1" fontId="8" fillId="5" borderId="9" xfId="0" applyNumberFormat="1" applyFont="1" applyFill="1" applyBorder="1" applyAlignment="1">
      <alignment horizontal="center" vertical="center"/>
    </xf>
    <xf numFmtId="1" fontId="8" fillId="5" borderId="11" xfId="0" applyNumberFormat="1" applyFont="1" applyFill="1" applyBorder="1" applyAlignment="1">
      <alignment horizontal="center" vertical="center"/>
    </xf>
    <xf numFmtId="183" fontId="8" fillId="5" borderId="14" xfId="0" applyFont="1" applyFill="1" applyBorder="1" applyAlignment="1">
      <alignment horizontal="center" vertical="center"/>
    </xf>
    <xf numFmtId="183" fontId="8" fillId="5" borderId="5" xfId="0" applyFont="1" applyFill="1" applyBorder="1" applyAlignment="1">
      <alignment horizontal="center" vertical="center"/>
    </xf>
    <xf numFmtId="183" fontId="8" fillId="5" borderId="10" xfId="0" applyFont="1" applyFill="1" applyBorder="1" applyAlignment="1">
      <alignment horizontal="center" vertical="center"/>
    </xf>
    <xf numFmtId="183" fontId="9" fillId="0" borderId="118" xfId="0" applyFont="1" applyFill="1" applyBorder="1" applyAlignment="1">
      <alignment horizontal="left" vertical="center" wrapText="1" indent="1"/>
    </xf>
    <xf numFmtId="183" fontId="0" fillId="0" borderId="118" xfId="0" applyBorder="1" applyAlignment="1">
      <alignment horizontal="left" vertical="center" wrapText="1" indent="1"/>
    </xf>
    <xf numFmtId="183" fontId="8" fillId="5" borderId="149" xfId="0" applyFont="1" applyFill="1" applyBorder="1" applyAlignment="1">
      <alignment horizontal="center" vertical="center"/>
    </xf>
    <xf numFmtId="183" fontId="8" fillId="5" borderId="150" xfId="0" applyFont="1" applyFill="1" applyBorder="1" applyAlignment="1">
      <alignment horizontal="center" vertical="center"/>
    </xf>
    <xf numFmtId="183" fontId="8" fillId="5" borderId="151" xfId="0" applyFont="1" applyFill="1" applyBorder="1" applyAlignment="1">
      <alignment horizontal="center" vertical="center"/>
    </xf>
    <xf numFmtId="184" fontId="8" fillId="0" borderId="9" xfId="0" applyNumberFormat="1" applyFont="1" applyFill="1" applyBorder="1" applyAlignment="1">
      <alignment horizontal="center" vertical="center" wrapText="1"/>
    </xf>
    <xf numFmtId="184" fontId="8" fillId="0" borderId="11" xfId="0" applyNumberFormat="1" applyFont="1" applyFill="1" applyBorder="1" applyAlignment="1">
      <alignment horizontal="center" vertical="center" wrapText="1"/>
    </xf>
    <xf numFmtId="183" fontId="8" fillId="0" borderId="12" xfId="0" applyFont="1" applyFill="1" applyBorder="1" applyAlignment="1">
      <alignment horizontal="center" vertical="center" wrapText="1"/>
    </xf>
    <xf numFmtId="183" fontId="8" fillId="0" borderId="3" xfId="0" applyFont="1" applyFill="1" applyBorder="1" applyAlignment="1">
      <alignment horizontal="center" vertical="center" wrapText="1"/>
    </xf>
    <xf numFmtId="183" fontId="8" fillId="0" borderId="30" xfId="0" applyFont="1" applyFill="1" applyBorder="1" applyAlignment="1">
      <alignment horizontal="center" vertical="center" wrapText="1"/>
    </xf>
    <xf numFmtId="183" fontId="8" fillId="5" borderId="14" xfId="0" applyFont="1" applyFill="1" applyBorder="1" applyAlignment="1">
      <alignment horizontal="center" vertical="center" wrapText="1"/>
    </xf>
    <xf numFmtId="183" fontId="8" fillId="5" borderId="5" xfId="0" applyFont="1" applyFill="1" applyBorder="1" applyAlignment="1">
      <alignment horizontal="center" vertical="center" wrapText="1"/>
    </xf>
    <xf numFmtId="183" fontId="8" fillId="5" borderId="10" xfId="0" applyFont="1" applyFill="1" applyBorder="1" applyAlignment="1">
      <alignment horizontal="center" vertical="center" wrapText="1"/>
    </xf>
    <xf numFmtId="183" fontId="8" fillId="7" borderId="14" xfId="0" applyFont="1" applyFill="1" applyBorder="1" applyAlignment="1">
      <alignment horizontal="center" vertical="center" wrapText="1"/>
    </xf>
    <xf numFmtId="183" fontId="8" fillId="7" borderId="5" xfId="0" applyFont="1" applyFill="1" applyBorder="1" applyAlignment="1">
      <alignment horizontal="center" vertical="center" wrapText="1"/>
    </xf>
    <xf numFmtId="183" fontId="8" fillId="7" borderId="10" xfId="0" applyFont="1" applyFill="1" applyBorder="1" applyAlignment="1">
      <alignment horizontal="center" vertical="center" wrapText="1"/>
    </xf>
    <xf numFmtId="183" fontId="8" fillId="0" borderId="14" xfId="0" applyFont="1" applyFill="1" applyBorder="1" applyAlignment="1">
      <alignment horizontal="center" vertical="center" wrapText="1"/>
    </xf>
    <xf numFmtId="183" fontId="8" fillId="0" borderId="5" xfId="0" applyFont="1" applyFill="1" applyBorder="1" applyAlignment="1">
      <alignment horizontal="center" vertical="center" wrapText="1"/>
    </xf>
    <xf numFmtId="183" fontId="8" fillId="0" borderId="10" xfId="0" applyFont="1" applyFill="1" applyBorder="1" applyAlignment="1">
      <alignment horizontal="center" vertical="center" wrapText="1"/>
    </xf>
    <xf numFmtId="183" fontId="0" fillId="0" borderId="0" xfId="0" applyAlignment="1">
      <alignment wrapText="1"/>
    </xf>
    <xf numFmtId="183" fontId="7" fillId="0" borderId="0" xfId="0" applyFont="1" applyFill="1" applyBorder="1" applyAlignment="1">
      <alignment horizontal="left"/>
    </xf>
    <xf numFmtId="183" fontId="8" fillId="6" borderId="35" xfId="4" applyFont="1" applyFill="1" applyBorder="1" applyAlignment="1" applyProtection="1">
      <alignment horizontal="center"/>
      <protection locked="0"/>
    </xf>
    <xf numFmtId="183" fontId="7" fillId="0" borderId="0" xfId="4" applyFont="1" applyFill="1" applyBorder="1" applyAlignment="1" applyProtection="1">
      <alignment horizontal="center"/>
    </xf>
    <xf numFmtId="177" fontId="8" fillId="6" borderId="0" xfId="4" applyNumberFormat="1" applyFont="1" applyFill="1" applyBorder="1" applyAlignment="1" applyProtection="1">
      <alignment horizontal="center"/>
    </xf>
    <xf numFmtId="183" fontId="8" fillId="6" borderId="0" xfId="4" applyFont="1" applyFill="1" applyBorder="1" applyAlignment="1" applyProtection="1">
      <alignment horizontal="center"/>
      <protection locked="0"/>
    </xf>
    <xf numFmtId="183" fontId="7" fillId="0" borderId="0" xfId="0" applyFont="1" applyAlignment="1">
      <alignment horizontal="center"/>
    </xf>
    <xf numFmtId="183" fontId="8" fillId="0" borderId="0" xfId="4" applyFont="1" applyFill="1" applyBorder="1" applyAlignment="1" applyProtection="1">
      <alignment horizontal="center"/>
    </xf>
    <xf numFmtId="183" fontId="27" fillId="2" borderId="14" xfId="0" applyFont="1" applyFill="1" applyBorder="1" applyAlignment="1">
      <alignment horizontal="center" wrapText="1"/>
    </xf>
    <xf numFmtId="183" fontId="27" fillId="2" borderId="10" xfId="0" applyFont="1" applyFill="1" applyBorder="1" applyAlignment="1">
      <alignment horizontal="center" wrapText="1"/>
    </xf>
    <xf numFmtId="183" fontId="14" fillId="2" borderId="12" xfId="0" applyFont="1" applyFill="1" applyBorder="1" applyAlignment="1">
      <alignment horizontal="center" wrapText="1"/>
    </xf>
    <xf numFmtId="183" fontId="0" fillId="2" borderId="30" xfId="0" applyFill="1" applyBorder="1" applyAlignment="1">
      <alignment wrapText="1"/>
    </xf>
    <xf numFmtId="183" fontId="14" fillId="2" borderId="12" xfId="0" applyFont="1" applyFill="1" applyBorder="1" applyAlignment="1">
      <alignment horizontal="center" vertical="center" wrapText="1"/>
    </xf>
    <xf numFmtId="183" fontId="0" fillId="2" borderId="30" xfId="0" applyFill="1" applyBorder="1" applyAlignment="1">
      <alignment vertical="center" wrapText="1"/>
    </xf>
    <xf numFmtId="183" fontId="8" fillId="0" borderId="77" xfId="0" applyNumberFormat="1" applyFont="1" applyFill="1" applyBorder="1" applyAlignment="1">
      <alignment horizontal="center" wrapText="1"/>
    </xf>
    <xf numFmtId="183" fontId="8" fillId="0" borderId="57" xfId="0" applyNumberFormat="1" applyFont="1" applyFill="1" applyBorder="1" applyAlignment="1">
      <alignment horizontal="center" wrapText="1"/>
    </xf>
    <xf numFmtId="183" fontId="8" fillId="0" borderId="108" xfId="0" applyNumberFormat="1" applyFont="1" applyFill="1" applyBorder="1" applyAlignment="1">
      <alignment horizontal="center" wrapText="1"/>
    </xf>
    <xf numFmtId="183" fontId="8" fillId="0" borderId="55" xfId="0" applyNumberFormat="1" applyFont="1" applyFill="1" applyBorder="1" applyAlignment="1">
      <alignment horizontal="center" wrapText="1"/>
    </xf>
    <xf numFmtId="183" fontId="28" fillId="0" borderId="80" xfId="0" applyFont="1" applyFill="1" applyBorder="1" applyAlignment="1">
      <alignment horizontal="left"/>
    </xf>
    <xf numFmtId="183" fontId="28" fillId="0" borderId="110" xfId="0" applyFont="1" applyFill="1" applyBorder="1" applyAlignment="1">
      <alignment horizontal="left"/>
    </xf>
    <xf numFmtId="183" fontId="18" fillId="0" borderId="68" xfId="0" applyFont="1" applyFill="1" applyBorder="1" applyAlignment="1">
      <alignment horizontal="center"/>
    </xf>
    <xf numFmtId="183" fontId="18" fillId="0" borderId="0" xfId="0" applyFont="1" applyFill="1" applyBorder="1" applyAlignment="1">
      <alignment horizontal="center"/>
    </xf>
    <xf numFmtId="183" fontId="8" fillId="0" borderId="76" xfId="0" applyNumberFormat="1" applyFont="1" applyFill="1" applyBorder="1" applyAlignment="1">
      <alignment horizontal="center" wrapText="1"/>
    </xf>
    <xf numFmtId="183" fontId="7" fillId="0" borderId="4" xfId="0" applyFont="1" applyBorder="1" applyAlignment="1">
      <alignment horizontal="center" vertical="center"/>
    </xf>
    <xf numFmtId="183" fontId="19" fillId="0" borderId="4" xfId="0" applyFont="1" applyBorder="1" applyAlignment="1">
      <alignment horizontal="center"/>
    </xf>
    <xf numFmtId="183" fontId="7" fillId="0" borderId="0" xfId="0" applyFont="1" applyBorder="1" applyAlignment="1">
      <alignment horizontal="center" vertical="center"/>
    </xf>
    <xf numFmtId="183" fontId="9" fillId="0" borderId="4" xfId="0" applyFont="1" applyFill="1" applyBorder="1" applyAlignment="1">
      <alignment vertical="center" wrapText="1"/>
    </xf>
    <xf numFmtId="183" fontId="0" fillId="0" borderId="4" xfId="0" applyBorder="1" applyAlignment="1">
      <alignment wrapText="1"/>
    </xf>
    <xf numFmtId="183" fontId="22" fillId="3" borderId="1" xfId="0" applyFont="1" applyFill="1" applyBorder="1" applyAlignment="1">
      <alignment horizontal="center" wrapText="1"/>
    </xf>
    <xf numFmtId="183" fontId="18" fillId="2" borderId="1" xfId="0" applyFont="1" applyFill="1" applyBorder="1" applyAlignment="1">
      <alignment horizontal="center"/>
    </xf>
    <xf numFmtId="183" fontId="18" fillId="2" borderId="12" xfId="0" applyFont="1" applyFill="1" applyBorder="1" applyAlignment="1">
      <alignment horizontal="center" wrapText="1"/>
    </xf>
    <xf numFmtId="183" fontId="18" fillId="2" borderId="30" xfId="0" applyFont="1" applyFill="1" applyBorder="1" applyAlignment="1">
      <alignment horizontal="center" wrapText="1"/>
    </xf>
    <xf numFmtId="183" fontId="8" fillId="0" borderId="110" xfId="0" applyFont="1" applyFill="1" applyBorder="1" applyAlignment="1">
      <alignment horizontal="center" vertical="center" wrapText="1"/>
    </xf>
    <xf numFmtId="183" fontId="19" fillId="0" borderId="112" xfId="0" applyFont="1" applyBorder="1" applyAlignment="1">
      <alignment wrapText="1"/>
    </xf>
    <xf numFmtId="183" fontId="19" fillId="0" borderId="7" xfId="0" applyFont="1" applyBorder="1" applyAlignment="1">
      <alignment wrapText="1"/>
    </xf>
    <xf numFmtId="183" fontId="19" fillId="0" borderId="8" xfId="0" applyFont="1" applyBorder="1" applyAlignment="1">
      <alignment wrapText="1"/>
    </xf>
    <xf numFmtId="183" fontId="8" fillId="0" borderId="111" xfId="0" applyFont="1" applyBorder="1" applyAlignment="1">
      <alignment horizontal="center" vertical="center" wrapText="1"/>
    </xf>
    <xf numFmtId="183" fontId="19" fillId="0" borderId="6" xfId="0" applyFont="1" applyBorder="1" applyAlignment="1">
      <alignment wrapText="1"/>
    </xf>
    <xf numFmtId="183" fontId="7" fillId="0" borderId="0" xfId="0" applyFont="1" applyBorder="1" applyAlignment="1">
      <alignment horizontal="center"/>
    </xf>
    <xf numFmtId="183" fontId="8" fillId="2" borderId="95" xfId="0" applyFont="1" applyFill="1" applyBorder="1" applyAlignment="1">
      <alignment horizontal="center" vertical="center" wrapText="1"/>
    </xf>
    <xf numFmtId="183" fontId="19" fillId="0" borderId="30" xfId="0" applyFont="1" applyBorder="1" applyAlignment="1">
      <alignment horizontal="center" vertical="center"/>
    </xf>
    <xf numFmtId="183" fontId="8" fillId="2" borderId="35" xfId="4" applyFont="1" applyFill="1" applyBorder="1" applyAlignment="1" applyProtection="1">
      <alignment horizontal="center"/>
      <protection locked="0"/>
    </xf>
    <xf numFmtId="1" fontId="7" fillId="0" borderId="0" xfId="4" applyNumberFormat="1" applyFont="1" applyFill="1" applyBorder="1" applyAlignment="1" applyProtection="1">
      <alignment horizontal="center"/>
    </xf>
    <xf numFmtId="183" fontId="16" fillId="0" borderId="0" xfId="4" applyFont="1" applyBorder="1" applyAlignment="1">
      <alignment horizontal="center"/>
    </xf>
    <xf numFmtId="177" fontId="8" fillId="2" borderId="0" xfId="4" applyNumberFormat="1" applyFont="1" applyFill="1" applyBorder="1" applyAlignment="1" applyProtection="1">
      <alignment horizontal="center"/>
    </xf>
    <xf numFmtId="183" fontId="8" fillId="2" borderId="0" xfId="4" applyFont="1" applyFill="1" applyBorder="1" applyAlignment="1" applyProtection="1">
      <alignment horizontal="center"/>
      <protection locked="0"/>
    </xf>
    <xf numFmtId="177" fontId="8" fillId="10" borderId="122" xfId="11" applyNumberFormat="1" applyFont="1" applyFill="1" applyBorder="1" applyAlignment="1" applyProtection="1">
      <alignment horizontal="center"/>
      <protection locked="0"/>
    </xf>
    <xf numFmtId="177" fontId="8" fillId="10" borderId="36" xfId="11" applyNumberFormat="1" applyFont="1" applyFill="1" applyBorder="1" applyAlignment="1" applyProtection="1">
      <alignment horizontal="center"/>
      <protection locked="0"/>
    </xf>
    <xf numFmtId="0" fontId="47" fillId="10" borderId="122" xfId="11" applyFont="1" applyFill="1" applyBorder="1" applyAlignment="1" applyProtection="1">
      <alignment horizontal="center"/>
      <protection locked="0"/>
    </xf>
    <xf numFmtId="0" fontId="47" fillId="10" borderId="36" xfId="11" applyFont="1" applyFill="1" applyBorder="1" applyAlignment="1" applyProtection="1">
      <alignment horizontal="center"/>
      <protection locked="0"/>
    </xf>
    <xf numFmtId="0" fontId="47" fillId="10" borderId="134" xfId="11" applyFont="1" applyFill="1" applyBorder="1" applyAlignment="1" applyProtection="1">
      <alignment horizontal="center"/>
      <protection locked="0"/>
    </xf>
    <xf numFmtId="0" fontId="47" fillId="10" borderId="135" xfId="11" applyFont="1" applyFill="1" applyBorder="1" applyAlignment="1" applyProtection="1">
      <alignment horizontal="center"/>
      <protection locked="0"/>
    </xf>
    <xf numFmtId="183" fontId="12" fillId="8" borderId="148" xfId="0" applyFont="1" applyFill="1" applyBorder="1" applyAlignment="1">
      <alignment horizontal="center" vertical="center" wrapText="1"/>
    </xf>
    <xf numFmtId="183" fontId="12" fillId="8" borderId="119" xfId="0" applyFont="1" applyFill="1" applyBorder="1" applyAlignment="1">
      <alignment horizontal="center" vertical="center" wrapText="1"/>
    </xf>
    <xf numFmtId="183" fontId="0" fillId="0" borderId="0" xfId="0" applyFill="1" applyBorder="1" applyAlignment="1">
      <alignment horizontal="left" wrapText="1"/>
    </xf>
    <xf numFmtId="183" fontId="0" fillId="0" borderId="0" xfId="0" applyFont="1" applyFill="1" applyBorder="1" applyAlignment="1">
      <alignment horizontal="left" wrapText="1"/>
    </xf>
    <xf numFmtId="183" fontId="12" fillId="11" borderId="149" xfId="0" applyFont="1" applyFill="1" applyBorder="1" applyAlignment="1">
      <alignment horizontal="center" vertical="center" wrapText="1"/>
    </xf>
    <xf numFmtId="183" fontId="12" fillId="11" borderId="151" xfId="0" applyFont="1" applyFill="1" applyBorder="1" applyAlignment="1">
      <alignment horizontal="center" vertical="center" wrapText="1"/>
    </xf>
    <xf numFmtId="183" fontId="12" fillId="11" borderId="148" xfId="0" applyFont="1" applyFill="1" applyBorder="1" applyAlignment="1">
      <alignment horizontal="center" wrapText="1"/>
    </xf>
    <xf numFmtId="183" fontId="12" fillId="11" borderId="119" xfId="0" applyFont="1" applyFill="1" applyBorder="1" applyAlignment="1">
      <alignment horizontal="center" wrapText="1"/>
    </xf>
    <xf numFmtId="183" fontId="8" fillId="5" borderId="156" xfId="4" applyFont="1" applyFill="1" applyBorder="1" applyAlignment="1" applyProtection="1">
      <alignment horizontal="center"/>
    </xf>
    <xf numFmtId="183" fontId="8" fillId="5" borderId="157" xfId="4" applyFont="1" applyFill="1" applyBorder="1" applyAlignment="1" applyProtection="1">
      <alignment horizontal="center"/>
    </xf>
    <xf numFmtId="1" fontId="8" fillId="5" borderId="158" xfId="4" applyNumberFormat="1" applyFont="1" applyFill="1" applyBorder="1" applyAlignment="1" applyProtection="1">
      <alignment horizontal="center"/>
    </xf>
    <xf numFmtId="183" fontId="8" fillId="5" borderId="30" xfId="4" applyFont="1" applyFill="1" applyBorder="1" applyAlignment="1" applyProtection="1">
      <alignment horizontal="center"/>
    </xf>
  </cellXfs>
  <cellStyles count="23">
    <cellStyle name="Comma" xfId="1" builtinId="3"/>
    <cellStyle name="Comma 2" xfId="12"/>
    <cellStyle name="Comma 2 2" xfId="15"/>
    <cellStyle name="Comma 2 3" xfId="16"/>
    <cellStyle name="Comma 3" xfId="17"/>
    <cellStyle name="Comma 4" xfId="18"/>
    <cellStyle name="Comma_Worksheet in Book6" xfId="2"/>
    <cellStyle name="Currency" xfId="3" builtinId="4"/>
    <cellStyle name="Currency 2" xfId="19"/>
    <cellStyle name="Hyperlink" xfId="6" builtinId="8"/>
    <cellStyle name="Normal" xfId="0" builtinId="0"/>
    <cellStyle name="Normal 2" xfId="7"/>
    <cellStyle name="Normal 2 2" xfId="20"/>
    <cellStyle name="Normal 3" xfId="9"/>
    <cellStyle name="Normal 4" xfId="10"/>
    <cellStyle name="Normal 5" xfId="14"/>
    <cellStyle name="Normal_pgm summary by serv" xfId="4"/>
    <cellStyle name="Normal_pgm summary by serv 2" xfId="11"/>
    <cellStyle name="Percent" xfId="5" builtinId="5"/>
    <cellStyle name="Percent 2" xfId="8"/>
    <cellStyle name="Percent 2 2" xfId="21"/>
    <cellStyle name="Percent 2 3" xfId="22"/>
    <cellStyle name="Percent 3" xfId="13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>
        <c:manualLayout>
          <c:layoutTarget val="inner"/>
          <c:xMode val="edge"/>
          <c:yMode val="edge"/>
          <c:x val="0.20399055532185403"/>
          <c:y val="0.18634467329602064"/>
          <c:w val="0.78964153324506314"/>
          <c:h val="0.5268027037570755"/>
        </c:manualLayout>
      </c:layout>
      <c:barChart>
        <c:barDir val="col"/>
        <c:grouping val="clustered"/>
        <c:ser>
          <c:idx val="0"/>
          <c:order val="0"/>
          <c:tx>
            <c:strRef>
              <c:f>'Appendix 1 - Performance'!$B$8</c:f>
              <c:strCache>
                <c:ptCount val="1"/>
                <c:pt idx="0">
                  <c:v>Operating cost per lane km</c:v>
                </c:pt>
              </c:strCache>
            </c:strRef>
          </c:tx>
          <c:cat>
            <c:strRef>
              <c:f>'Appendix 1 - Performance'!$C$7:$K$7</c:f>
              <c:strCache>
                <c:ptCount val="9"/>
                <c:pt idx="0">
                  <c:v>2005 Actual</c:v>
                </c:pt>
                <c:pt idx="1">
                  <c:v>2006 Actual</c:v>
                </c:pt>
                <c:pt idx="2">
                  <c:v>2007 Actual</c:v>
                </c:pt>
                <c:pt idx="3">
                  <c:v>2008 Actual</c:v>
                </c:pt>
                <c:pt idx="4">
                  <c:v>2009 Actual</c:v>
                </c:pt>
                <c:pt idx="5">
                  <c:v>2010 Actual</c:v>
                </c:pt>
                <c:pt idx="6">
                  <c:v>2011 Projected</c:v>
                </c:pt>
                <c:pt idx="7">
                  <c:v>2012 Target</c:v>
                </c:pt>
                <c:pt idx="8">
                  <c:v>2013 Target</c:v>
                </c:pt>
              </c:strCache>
            </c:strRef>
          </c:cat>
          <c:val>
            <c:numRef>
              <c:f>'Appendix 1 - Performance'!$C$8:$K$8</c:f>
              <c:numCache>
                <c:formatCode>"$"#,##0;[Red]\-"$"#,##0</c:formatCode>
                <c:ptCount val="9"/>
                <c:pt idx="0">
                  <c:v>4509</c:v>
                </c:pt>
                <c:pt idx="1">
                  <c:v>3907</c:v>
                </c:pt>
                <c:pt idx="2">
                  <c:v>5319</c:v>
                </c:pt>
                <c:pt idx="3">
                  <c:v>5034</c:v>
                </c:pt>
                <c:pt idx="4" formatCode="&quot;$&quot;#,##0_);[Red]\(&quot;$&quot;#,##0\)">
                  <c:v>5427</c:v>
                </c:pt>
                <c:pt idx="5" formatCode="&quot;$&quot;#,##0_);[Red]\(&quot;$&quot;#,##0\)">
                  <c:v>3880</c:v>
                </c:pt>
                <c:pt idx="6" formatCode="&quot;$&quot;#,##0_);[Red]\(&quot;$&quot;#,##0\)">
                  <c:v>5465</c:v>
                </c:pt>
                <c:pt idx="7" formatCode="&quot;$&quot;#,##0_);[Red]\(&quot;$&quot;#,##0\)">
                  <c:v>7864</c:v>
                </c:pt>
                <c:pt idx="8" formatCode="&quot;$&quot;#,##0_);[Red]\(&quot;$&quot;#,##0\)">
                  <c:v>5632</c:v>
                </c:pt>
              </c:numCache>
            </c:numRef>
          </c:val>
        </c:ser>
        <c:axId val="53271936"/>
        <c:axId val="53430528"/>
      </c:barChart>
      <c:catAx>
        <c:axId val="53271936"/>
        <c:scaling>
          <c:orientation val="minMax"/>
        </c:scaling>
        <c:axPos val="b"/>
        <c:numFmt formatCode="General" sourceLinked="1"/>
        <c:majorTickMark val="cross"/>
        <c:tickLblPos val="nextTo"/>
        <c:spPr>
          <a:ln w="2684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4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30528"/>
        <c:crosses val="autoZero"/>
        <c:lblAlgn val="ctr"/>
        <c:lblOffset val="100"/>
        <c:tickMarkSkip val="1"/>
      </c:catAx>
      <c:valAx>
        <c:axId val="53430528"/>
        <c:scaling>
          <c:orientation val="minMax"/>
          <c:max val="8000"/>
          <c:min val="0"/>
        </c:scaling>
        <c:axPos val="l"/>
        <c:majorGridlines>
          <c:spPr>
            <a:ln w="10735">
              <a:solidFill>
                <a:srgbClr val="C0C0C0"/>
              </a:solidFill>
              <a:prstDash val="solid"/>
            </a:ln>
          </c:spPr>
        </c:majorGridlines>
        <c:numFmt formatCode="\$#,##0;[Red]\-\$#,##0" sourceLinked="0"/>
        <c:majorTickMark val="cross"/>
        <c:tickLblPos val="nextTo"/>
        <c:spPr>
          <a:ln w="2684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6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271936"/>
        <c:crosses val="autoZero"/>
        <c:crossBetween val="between"/>
        <c:majorUnit val="1000"/>
      </c:valAx>
      <c:dTable>
        <c:showHorzBorder val="1"/>
        <c:showVertBorder val="1"/>
        <c:showOutline val="1"/>
        <c:showKeys val="1"/>
        <c:spPr>
          <a:ln w="2684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92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</c:dTable>
      <c:spPr>
        <a:solidFill>
          <a:srgbClr val="FFFFFF"/>
        </a:solidFill>
        <a:ln w="10735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2684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4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333372</xdr:rowOff>
    </xdr:from>
    <xdr:to>
      <xdr:col>5</xdr:col>
      <xdr:colOff>790575</xdr:colOff>
      <xdr:row>2</xdr:row>
      <xdr:rowOff>180973</xdr:rowOff>
    </xdr:to>
    <xdr:sp macro="" textlink="">
      <xdr:nvSpPr>
        <xdr:cNvPr id="2" name="Right Brace 1"/>
        <xdr:cNvSpPr/>
      </xdr:nvSpPr>
      <xdr:spPr>
        <a:xfrm rot="16200000">
          <a:off x="4400550" y="-19053"/>
          <a:ext cx="180976" cy="1552575"/>
        </a:xfrm>
        <a:prstGeom prst="rightBrace">
          <a:avLst>
            <a:gd name="adj1" fmla="val 8333"/>
            <a:gd name="adj2" fmla="val 50000"/>
          </a:avLst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47626</xdr:colOff>
      <xdr:row>2</xdr:row>
      <xdr:rowOff>161924</xdr:rowOff>
    </xdr:from>
    <xdr:to>
      <xdr:col>6</xdr:col>
      <xdr:colOff>438154</xdr:colOff>
      <xdr:row>3</xdr:row>
      <xdr:rowOff>161924</xdr:rowOff>
    </xdr:to>
    <xdr:sp macro="" textlink="">
      <xdr:nvSpPr>
        <xdr:cNvPr id="2" name="Right Brace 1"/>
        <xdr:cNvSpPr/>
      </xdr:nvSpPr>
      <xdr:spPr>
        <a:xfrm rot="16200000">
          <a:off x="4133852" y="-752477"/>
          <a:ext cx="161925" cy="2714628"/>
        </a:xfrm>
        <a:prstGeom prst="rightBrace">
          <a:avLst>
            <a:gd name="adj1" fmla="val 8333"/>
            <a:gd name="adj2" fmla="val 50000"/>
          </a:avLst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123825</xdr:rowOff>
    </xdr:from>
    <xdr:to>
      <xdr:col>7</xdr:col>
      <xdr:colOff>474345</xdr:colOff>
      <xdr:row>27</xdr:row>
      <xdr:rowOff>45085</xdr:rowOff>
    </xdr:to>
    <xdr:graphicFrame macro="">
      <xdr:nvGraphicFramePr>
        <xdr:cNvPr id="8" name="Object 1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0.397</cdr:x>
      <cdr:y>0.94825</cdr:y>
    </cdr:from>
    <cdr:to>
      <cdr:x>0.5795</cdr:x>
      <cdr:y>1</cdr:y>
    </cdr:to>
    <cdr:sp macro="" textlink="">
      <cdr:nvSpPr>
        <cdr:cNvPr id="103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2144" y="2301719"/>
          <a:ext cx="810054" cy="1237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0.0445</cdr:x>
      <cdr:y>0.00875</cdr:y>
    </cdr:from>
    <cdr:to>
      <cdr:x>0.97</cdr:x>
      <cdr:y>0.23525</cdr:y>
    </cdr:to>
    <cdr:sp macro="" textlink="">
      <cdr:nvSpPr>
        <cdr:cNvPr id="1051" name="Text Box 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520" y="20919"/>
          <a:ext cx="4107971" cy="5415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CA" sz="1100" b="1" i="0" u="none" strike="noStrike" baseline="0">
              <a:solidFill>
                <a:srgbClr val="000000"/>
              </a:solidFill>
              <a:latin typeface="+mj-lt"/>
              <a:cs typeface="Times New Roman"/>
            </a:rPr>
            <a:t>Operating Cost of Winter Control Maintenance </a:t>
          </a:r>
        </a:p>
        <a:p xmlns:a="http://schemas.openxmlformats.org/drawingml/2006/main">
          <a:pPr algn="ctr" rtl="0">
            <a:defRPr sz="1000"/>
          </a:pPr>
          <a:r>
            <a:rPr lang="en-CA" sz="1100" b="1" i="0" u="none" strike="noStrike" baseline="0">
              <a:solidFill>
                <a:srgbClr val="000000"/>
              </a:solidFill>
              <a:latin typeface="+mj-lt"/>
              <a:cs typeface="Times New Roman"/>
            </a:rPr>
            <a:t>of Roads per Lane km.</a:t>
          </a:r>
        </a:p>
        <a:p xmlns:a="http://schemas.openxmlformats.org/drawingml/2006/main">
          <a:pPr algn="ctr" rtl="0">
            <a:defRPr sz="1000"/>
          </a:pPr>
          <a:endParaRPr lang="en-CA" sz="6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4</xdr:col>
      <xdr:colOff>666750</xdr:colOff>
      <xdr:row>2</xdr:row>
      <xdr:rowOff>47625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76200"/>
          <a:ext cx="13239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RSAWH\LOCALS~1\Temp\XPgrpwise\2012%20Operating%20BC-Chart%20AOCCs%20Excel%20Charts%20Nov%2026%2011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ad-shared/it1/FIN/DRAFT/User%20Folder/jleung/2012%20Operating%20Budget/AOCCs/BC%20Review/2012%20AOCC%20Business%20Case%20Tracking%20-%20Revised%20Oct%2014%2020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-2012 Rec' Budget"/>
      <sheetName val="Table 2 - 2012 Recd Base Budget"/>
      <sheetName val="Table 3 -2012 Staff Complement "/>
      <sheetName val="Table 4 - Rec'd Service Changes"/>
      <sheetName val="Table 5 - New  Enhanced"/>
      <sheetName val="Appendix 1 - Performance"/>
      <sheetName val="Appendix 1 - 2011 Var Review"/>
      <sheetName val="Appendix 2 - Budget by Category"/>
      <sheetName val="Appendix 5a- Specific Reserves"/>
      <sheetName val="Appendix 5b - Corporate Res"/>
      <sheetName val="WS 1 -Rec'd Base Changes "/>
      <sheetName val="WS 2- Service Changes"/>
      <sheetName val="Budget"/>
      <sheetName val="2012 Pivot"/>
      <sheetName val="2013 Pivot"/>
      <sheetName val="2014 Pivot"/>
      <sheetName val="Sheet2"/>
      <sheetName val="B Cases"/>
      <sheetName val="Operating Hours"/>
      <sheetName val="Library Material"/>
      <sheetName val="Operating Impact"/>
      <sheetName val="Table 2 2010 Variance Review"/>
      <sheetName val="Outlooks"/>
      <sheetName val="Table3 2011 Rec'd Base Bud CM"/>
      <sheetName val="Staff Complement"/>
      <sheetName val="Appendix D - Expenditures"/>
      <sheetName val="2010 Audit"/>
      <sheetName val="AOCC Form 14"/>
      <sheetName val="Minor Service"/>
      <sheetName val="By cent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M4">
            <v>5127859</v>
          </cell>
        </row>
        <row r="5">
          <cell r="M5">
            <v>1229339</v>
          </cell>
        </row>
        <row r="6">
          <cell r="M6">
            <v>489599</v>
          </cell>
        </row>
        <row r="7">
          <cell r="M7">
            <v>704644</v>
          </cell>
        </row>
        <row r="10">
          <cell r="M10">
            <v>3742</v>
          </cell>
        </row>
        <row r="18">
          <cell r="M18">
            <v>223331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ot Rec"/>
      <sheetName val="Recommendations"/>
      <sheetName val="All Recs"/>
      <sheetName val="Targets"/>
      <sheetName val="Operating Hours"/>
      <sheetName val="Budget"/>
      <sheetName val="Sheet1"/>
      <sheetName val="B Cases"/>
      <sheetName val="What If"/>
    </sheetNames>
    <sheetDataSet>
      <sheetData sheetId="0" refreshError="1"/>
      <sheetData sheetId="1">
        <row r="9">
          <cell r="C9">
            <v>-4.4416200000000003</v>
          </cell>
        </row>
      </sheetData>
      <sheetData sheetId="2" refreshError="1"/>
      <sheetData sheetId="3">
        <row r="9">
          <cell r="C9">
            <v>1245.2</v>
          </cell>
        </row>
        <row r="10">
          <cell r="C10">
            <v>416.4</v>
          </cell>
        </row>
        <row r="11">
          <cell r="C11">
            <v>678.9</v>
          </cell>
        </row>
        <row r="12">
          <cell r="C12">
            <v>597</v>
          </cell>
        </row>
        <row r="13">
          <cell r="C13">
            <v>710</v>
          </cell>
        </row>
        <row r="14">
          <cell r="C14">
            <v>542.5</v>
          </cell>
        </row>
        <row r="15">
          <cell r="C15">
            <v>1212.4000000000001</v>
          </cell>
        </row>
        <row r="16">
          <cell r="C16">
            <v>657.9</v>
          </cell>
        </row>
        <row r="17">
          <cell r="C17">
            <v>872.3</v>
          </cell>
        </row>
        <row r="18">
          <cell r="C18">
            <v>293.10000000000002</v>
          </cell>
        </row>
      </sheetData>
      <sheetData sheetId="4">
        <row r="48">
          <cell r="F48">
            <v>-7.791666666666667</v>
          </cell>
        </row>
      </sheetData>
      <sheetData sheetId="5" refreshError="1"/>
      <sheetData sheetId="6">
        <row r="3">
          <cell r="A3" t="str">
            <v>Sum of 2012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nsideto.toronto.ca/budget2012/pdf/opmemo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79998168889431442"/>
  </sheetPr>
  <dimension ref="A1:N18"/>
  <sheetViews>
    <sheetView showGridLines="0" zoomScale="90" zoomScaleNormal="90" workbookViewId="0">
      <selection activeCell="G29" sqref="G29"/>
    </sheetView>
  </sheetViews>
  <sheetFormatPr defaultRowHeight="12.75"/>
  <cols>
    <col min="1" max="1" width="1.7109375" style="17" customWidth="1"/>
    <col min="2" max="2" width="22.28515625" style="17" customWidth="1"/>
    <col min="3" max="3" width="9.85546875" style="17" customWidth="1"/>
    <col min="4" max="4" width="9.28515625" style="17" customWidth="1"/>
    <col min="5" max="5" width="11.140625" style="17" customWidth="1"/>
    <col min="6" max="6" width="12.140625" style="17" customWidth="1"/>
    <col min="7" max="7" width="14.28515625" style="17" customWidth="1"/>
    <col min="8" max="8" width="10.7109375" style="17" customWidth="1"/>
    <col min="9" max="9" width="8" style="17" customWidth="1"/>
    <col min="10" max="10" width="10.28515625" style="17" customWidth="1"/>
    <col min="11" max="11" width="9.28515625" style="17" customWidth="1"/>
    <col min="12" max="12" width="2.28515625" style="17" customWidth="1"/>
    <col min="13" max="13" width="9.140625" style="17"/>
    <col min="14" max="14" width="9.85546875" style="17" bestFit="1" customWidth="1"/>
    <col min="15" max="16384" width="9.140625" style="17"/>
  </cols>
  <sheetData>
    <row r="1" spans="1:14" s="20" customFormat="1" ht="19.5" customHeight="1">
      <c r="B1" s="1074" t="s">
        <v>589</v>
      </c>
      <c r="C1" s="1074"/>
      <c r="D1" s="1074"/>
      <c r="E1" s="1074"/>
      <c r="F1" s="1074"/>
      <c r="G1" s="1074"/>
      <c r="H1" s="1074"/>
      <c r="I1" s="1074"/>
      <c r="J1" s="1074"/>
      <c r="K1" s="1074"/>
      <c r="L1" s="14"/>
      <c r="M1" s="14"/>
    </row>
    <row r="2" spans="1:14" s="20" customFormat="1" ht="9" customHeight="1" thickBot="1">
      <c r="A2" s="19"/>
      <c r="B2" s="9"/>
      <c r="C2" s="8"/>
      <c r="D2" s="8"/>
      <c r="E2" s="8"/>
      <c r="F2" s="8"/>
      <c r="G2" s="8"/>
      <c r="H2" s="10"/>
      <c r="I2" s="8"/>
      <c r="J2" s="8"/>
      <c r="K2" s="8"/>
      <c r="L2" s="19"/>
      <c r="M2" s="19"/>
    </row>
    <row r="3" spans="1:14" ht="33.75" customHeight="1">
      <c r="B3" s="590"/>
      <c r="C3" s="591">
        <v>2011</v>
      </c>
      <c r="D3" s="524"/>
      <c r="E3" s="523" t="s">
        <v>755</v>
      </c>
      <c r="F3" s="524"/>
      <c r="G3" s="525"/>
      <c r="H3" s="1070" t="s">
        <v>558</v>
      </c>
      <c r="I3" s="1071"/>
      <c r="J3" s="493" t="s">
        <v>8</v>
      </c>
      <c r="K3" s="494"/>
    </row>
    <row r="4" spans="1:14" ht="40.5" customHeight="1">
      <c r="B4" s="592"/>
      <c r="C4" s="593" t="s">
        <v>560</v>
      </c>
      <c r="D4" s="594" t="s">
        <v>561</v>
      </c>
      <c r="E4" s="526" t="s">
        <v>562</v>
      </c>
      <c r="F4" s="527" t="s">
        <v>563</v>
      </c>
      <c r="G4" s="528" t="s">
        <v>564</v>
      </c>
      <c r="H4" s="1072"/>
      <c r="I4" s="1073"/>
      <c r="J4" s="551">
        <v>2013</v>
      </c>
      <c r="K4" s="495">
        <v>2014</v>
      </c>
    </row>
    <row r="5" spans="1:14" s="25" customFormat="1" ht="16.5" customHeight="1">
      <c r="B5" s="595" t="s">
        <v>0</v>
      </c>
      <c r="C5" s="529" t="s">
        <v>1</v>
      </c>
      <c r="D5" s="530" t="s">
        <v>1</v>
      </c>
      <c r="E5" s="529" t="s">
        <v>1</v>
      </c>
      <c r="F5" s="530" t="s">
        <v>1</v>
      </c>
      <c r="G5" s="531" t="s">
        <v>1</v>
      </c>
      <c r="H5" s="530" t="s">
        <v>1</v>
      </c>
      <c r="I5" s="530" t="s">
        <v>2</v>
      </c>
      <c r="J5" s="552" t="s">
        <v>1</v>
      </c>
      <c r="K5" s="496" t="s">
        <v>1</v>
      </c>
    </row>
    <row r="6" spans="1:14" ht="21" customHeight="1">
      <c r="B6" s="596" t="s">
        <v>3</v>
      </c>
      <c r="C6" s="670" t="e">
        <f>#REF!</f>
        <v>#REF!</v>
      </c>
      <c r="D6" s="671">
        <v>7468.4</v>
      </c>
      <c r="E6" s="670" t="e">
        <f>#REF!</f>
        <v>#REF!</v>
      </c>
      <c r="F6" s="671">
        <f>'Table 5 - New  Enhanced'!H29</f>
        <v>0</v>
      </c>
      <c r="G6" s="672" t="e">
        <f>E6+F6</f>
        <v>#REF!</v>
      </c>
      <c r="H6" s="671" t="e">
        <f>G6-C6</f>
        <v>#REF!</v>
      </c>
      <c r="I6" s="672" t="e">
        <f>IF(C6=0,"NA",H6/C6*100)</f>
        <v>#REF!</v>
      </c>
      <c r="J6" s="673" t="e">
        <f>#REF!</f>
        <v>#REF!</v>
      </c>
      <c r="K6" s="674" t="e">
        <f>#REF!</f>
        <v>#REF!</v>
      </c>
      <c r="M6"/>
    </row>
    <row r="7" spans="1:14" ht="21" customHeight="1">
      <c r="B7" s="597" t="s">
        <v>4</v>
      </c>
      <c r="C7" s="675" t="e">
        <f>#REF!</f>
        <v>#REF!</v>
      </c>
      <c r="D7" s="675">
        <v>205.9</v>
      </c>
      <c r="E7" s="676" t="e">
        <f>#REF!</f>
        <v>#REF!</v>
      </c>
      <c r="F7" s="675">
        <f>'Table 5 - New  Enhanced'!H29-'Table 5 - New  Enhanced'!I29</f>
        <v>0</v>
      </c>
      <c r="G7" s="677" t="e">
        <f>E7+F7</f>
        <v>#REF!</v>
      </c>
      <c r="H7" s="678" t="e">
        <f>G7-C7</f>
        <v>#REF!</v>
      </c>
      <c r="I7" s="677" t="e">
        <f>IF(C7=0,"NA",H7/C7*100)</f>
        <v>#REF!</v>
      </c>
      <c r="J7" s="679">
        <v>0</v>
      </c>
      <c r="K7" s="680">
        <v>0</v>
      </c>
      <c r="M7"/>
    </row>
    <row r="8" spans="1:14" ht="19.5" customHeight="1">
      <c r="B8" s="597" t="s">
        <v>25</v>
      </c>
      <c r="C8" s="675" t="e">
        <f>C6-C7</f>
        <v>#REF!</v>
      </c>
      <c r="D8" s="675">
        <f>D6-D7</f>
        <v>7262.5</v>
      </c>
      <c r="E8" s="681" t="e">
        <f>E6-E7</f>
        <v>#REF!</v>
      </c>
      <c r="F8" s="675">
        <f>F6-F7</f>
        <v>0</v>
      </c>
      <c r="G8" s="677" t="e">
        <f>G6-G7</f>
        <v>#REF!</v>
      </c>
      <c r="H8" s="682" t="e">
        <f>G8-C8</f>
        <v>#REF!</v>
      </c>
      <c r="I8" s="675" t="e">
        <f>IF(C8=0,"NA",H8/C8*100)</f>
        <v>#REF!</v>
      </c>
      <c r="J8" s="679" t="e">
        <f>#REF!</f>
        <v>#REF!</v>
      </c>
      <c r="K8" s="680" t="e">
        <f>#REF!</f>
        <v>#REF!</v>
      </c>
    </row>
    <row r="9" spans="1:14" ht="27.75" customHeight="1" thickBot="1">
      <c r="B9" s="598" t="s">
        <v>5</v>
      </c>
      <c r="C9" s="683" t="e">
        <f>#REF!</f>
        <v>#REF!</v>
      </c>
      <c r="D9" s="684">
        <v>91.2</v>
      </c>
      <c r="E9" s="683" t="e">
        <f>#REF!</f>
        <v>#REF!</v>
      </c>
      <c r="F9" s="684">
        <f>'Table 5 - New  Enhanced'!J29</f>
        <v>0</v>
      </c>
      <c r="G9" s="685" t="e">
        <f>E9+F9</f>
        <v>#REF!</v>
      </c>
      <c r="H9" s="684" t="e">
        <f>G9-C9</f>
        <v>#REF!</v>
      </c>
      <c r="I9" s="684" t="e">
        <f>IF(C9=0,"NA",H9/C9*100)</f>
        <v>#REF!</v>
      </c>
      <c r="J9" s="686">
        <v>82.7</v>
      </c>
      <c r="K9" s="687">
        <v>82.7</v>
      </c>
      <c r="M9"/>
      <c r="N9" s="241"/>
    </row>
    <row r="10" spans="1:14" ht="15.75" customHeight="1" thickBot="1">
      <c r="A10" s="20"/>
      <c r="B10" s="554"/>
      <c r="C10" s="554"/>
      <c r="D10" s="554"/>
      <c r="E10" s="533"/>
      <c r="F10" s="533"/>
      <c r="G10" s="533"/>
      <c r="H10" s="554"/>
      <c r="I10" s="554"/>
      <c r="J10" s="533"/>
      <c r="K10" s="554"/>
      <c r="L10" s="20"/>
      <c r="N10" s="313"/>
    </row>
    <row r="11" spans="1:14" ht="63.75">
      <c r="A11" s="20"/>
      <c r="B11" s="657" t="s">
        <v>597</v>
      </c>
      <c r="C11" s="658" t="s">
        <v>598</v>
      </c>
      <c r="D11" s="659" t="s">
        <v>600</v>
      </c>
      <c r="E11" s="660" t="s">
        <v>601</v>
      </c>
      <c r="F11" s="669" t="s">
        <v>610</v>
      </c>
      <c r="G11" s="532"/>
      <c r="H11" s="553"/>
      <c r="I11" s="645"/>
      <c r="J11" s="532"/>
      <c r="K11" s="553"/>
      <c r="L11" s="20"/>
      <c r="M11"/>
    </row>
    <row r="12" spans="1:14" ht="29.25" customHeight="1" thickBot="1">
      <c r="A12" s="20"/>
      <c r="B12" s="647" t="s">
        <v>599</v>
      </c>
      <c r="C12" s="688">
        <v>-722.6</v>
      </c>
      <c r="D12" s="689" t="e">
        <f>#REF!</f>
        <v>#REF!</v>
      </c>
      <c r="E12" s="690" t="e">
        <f>C12-D12</f>
        <v>#REF!</v>
      </c>
      <c r="F12" s="648" t="e">
        <f>D12/C12/10</f>
        <v>#REF!</v>
      </c>
      <c r="G12" s="532"/>
      <c r="H12" s="553"/>
      <c r="I12" s="553"/>
      <c r="J12" s="532"/>
      <c r="K12" s="553"/>
      <c r="L12" s="243"/>
      <c r="M12" s="242"/>
    </row>
    <row r="13" spans="1:14">
      <c r="A13" s="20"/>
      <c r="B13" s="20"/>
      <c r="C13" s="20"/>
      <c r="D13" s="20"/>
      <c r="E13" s="20"/>
      <c r="F13" s="20"/>
      <c r="G13" s="26"/>
      <c r="H13" s="555"/>
      <c r="I13" s="464"/>
      <c r="J13" s="464"/>
      <c r="K13" s="20"/>
      <c r="L13" s="20"/>
    </row>
    <row r="14" spans="1:14" ht="12.75" customHeight="1"/>
    <row r="16" spans="1:14" ht="16.5">
      <c r="B16" s="642" t="s">
        <v>596</v>
      </c>
      <c r="C16" s="642"/>
      <c r="D16" s="642"/>
      <c r="E16" s="643"/>
      <c r="F16" s="643"/>
      <c r="G16" s="643"/>
      <c r="H16" s="643"/>
    </row>
    <row r="17" spans="2:8" ht="16.5">
      <c r="B17" s="642" t="s">
        <v>594</v>
      </c>
      <c r="C17" s="644"/>
      <c r="D17" s="644"/>
      <c r="E17" s="643"/>
      <c r="F17" s="643"/>
      <c r="G17" s="643"/>
      <c r="H17" s="643"/>
    </row>
    <row r="18" spans="2:8">
      <c r="B18" s="641" t="s">
        <v>595</v>
      </c>
      <c r="C18" s="641"/>
      <c r="D18" s="641"/>
    </row>
  </sheetData>
  <mergeCells count="2">
    <mergeCell ref="H3:I4"/>
    <mergeCell ref="B1:K1"/>
  </mergeCells>
  <phoneticPr fontId="13" type="noConversion"/>
  <hyperlinks>
    <hyperlink ref="B18" r:id="rId1"/>
  </hyperlinks>
  <printOptions horizontalCentered="1"/>
  <pageMargins left="0.59055118110236204" right="0.43307086614173201" top="0.98425196850393704" bottom="0.98425196850393704" header="0.511811023622047" footer="0.511811023622047"/>
  <pageSetup scale="95" fitToHeight="2" orientation="landscape" r:id="rId2"/>
  <headerFooter alignWithMargins="0"/>
  <ignoredErrors>
    <ignoredError sqref="G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U34"/>
  <sheetViews>
    <sheetView workbookViewId="0">
      <selection activeCell="V12" sqref="V12"/>
    </sheetView>
  </sheetViews>
  <sheetFormatPr defaultRowHeight="22.5" customHeight="1"/>
  <cols>
    <col min="1" max="1" width="37" style="367" bestFit="1" customWidth="1"/>
    <col min="2" max="2" width="8.28515625" style="367" bestFit="1" customWidth="1"/>
    <col min="3" max="3" width="8.28515625" style="413" customWidth="1"/>
    <col min="4" max="4" width="9.28515625" style="367" bestFit="1" customWidth="1"/>
    <col min="5" max="5" width="8.28515625" style="413" customWidth="1"/>
    <col min="6" max="6" width="9.85546875" style="367" bestFit="1" customWidth="1"/>
    <col min="7" max="7" width="8.7109375" style="413" customWidth="1"/>
    <col min="8" max="8" width="9.5703125" style="413" customWidth="1"/>
    <col min="9" max="9" width="8.42578125" style="413" customWidth="1"/>
    <col min="10" max="10" width="9.7109375" style="367" hidden="1" customWidth="1"/>
    <col min="11" max="13" width="8.42578125" style="413" hidden="1" customWidth="1"/>
    <col min="14" max="14" width="9.7109375" style="367" hidden="1" customWidth="1"/>
    <col min="15" max="15" width="8.7109375" style="413" hidden="1" customWidth="1"/>
    <col min="16" max="16" width="9.7109375" style="367" hidden="1" customWidth="1"/>
    <col min="17" max="17" width="8.85546875" style="413" hidden="1" customWidth="1"/>
    <col min="18" max="18" width="9.7109375" style="367" hidden="1" customWidth="1"/>
    <col min="19" max="19" width="0" style="367" hidden="1" customWidth="1"/>
    <col min="20" max="20" width="9.7109375" style="367" hidden="1" customWidth="1"/>
    <col min="21" max="21" width="0" style="367" hidden="1" customWidth="1"/>
    <col min="22" max="16384" width="9.140625" style="367"/>
  </cols>
  <sheetData>
    <row r="1" spans="1:21" ht="22.5" customHeight="1">
      <c r="A1" s="1132" t="s">
        <v>540</v>
      </c>
      <c r="B1" s="1133"/>
      <c r="C1" s="1133"/>
      <c r="D1" s="1133"/>
      <c r="E1" s="1133"/>
      <c r="F1" s="1133"/>
      <c r="G1" s="1133"/>
      <c r="H1" s="1133"/>
      <c r="I1" s="1133"/>
      <c r="J1" s="1133"/>
      <c r="K1" s="1133"/>
      <c r="L1" s="1133"/>
      <c r="M1" s="1133"/>
      <c r="N1" s="1133"/>
      <c r="O1" s="1133"/>
      <c r="P1" s="1133"/>
      <c r="Q1" s="1133"/>
      <c r="R1" s="366"/>
    </row>
    <row r="2" spans="1:21" ht="22.5" customHeight="1" thickBot="1">
      <c r="A2" s="1134"/>
      <c r="B2" s="1135"/>
      <c r="C2" s="1135"/>
      <c r="D2" s="1135"/>
      <c r="E2" s="1135"/>
      <c r="F2" s="1135"/>
      <c r="G2" s="1135"/>
      <c r="H2" s="1135"/>
      <c r="I2" s="1135"/>
      <c r="J2" s="1135"/>
      <c r="K2" s="1135"/>
      <c r="L2" s="1135"/>
      <c r="M2" s="1135"/>
      <c r="N2" s="1135"/>
      <c r="O2" s="1135"/>
      <c r="P2" s="1135"/>
      <c r="Q2" s="1135"/>
      <c r="R2" s="366"/>
    </row>
    <row r="3" spans="1:21" s="369" customFormat="1" ht="30.75" customHeight="1">
      <c r="A3" s="368" t="s">
        <v>488</v>
      </c>
      <c r="B3" s="1131" t="s">
        <v>539</v>
      </c>
      <c r="C3" s="1130"/>
      <c r="D3" s="1128" t="s">
        <v>518</v>
      </c>
      <c r="E3" s="1136"/>
      <c r="F3" s="1131" t="s">
        <v>517</v>
      </c>
      <c r="G3" s="1130"/>
      <c r="H3" s="1131" t="s">
        <v>277</v>
      </c>
      <c r="I3" s="1130"/>
      <c r="J3" s="1128" t="s">
        <v>517</v>
      </c>
      <c r="K3" s="1136"/>
      <c r="L3" s="1131" t="s">
        <v>277</v>
      </c>
      <c r="M3" s="1130"/>
      <c r="N3" s="1131" t="s">
        <v>489</v>
      </c>
      <c r="O3" s="1130"/>
      <c r="P3" s="1128" t="s">
        <v>490</v>
      </c>
      <c r="Q3" s="1130"/>
      <c r="R3" s="1128" t="s">
        <v>491</v>
      </c>
      <c r="S3" s="1129"/>
      <c r="T3" s="1128" t="s">
        <v>492</v>
      </c>
      <c r="U3" s="1130"/>
    </row>
    <row r="4" spans="1:21" s="376" customFormat="1" ht="22.5" customHeight="1" thickBot="1">
      <c r="A4" s="370"/>
      <c r="B4" s="371" t="s">
        <v>493</v>
      </c>
      <c r="C4" s="372" t="s">
        <v>494</v>
      </c>
      <c r="D4" s="371" t="s">
        <v>493</v>
      </c>
      <c r="E4" s="372" t="s">
        <v>494</v>
      </c>
      <c r="F4" s="371" t="s">
        <v>493</v>
      </c>
      <c r="G4" s="372" t="s">
        <v>494</v>
      </c>
      <c r="H4" s="371" t="s">
        <v>493</v>
      </c>
      <c r="I4" s="372" t="s">
        <v>494</v>
      </c>
      <c r="J4" s="371" t="s">
        <v>493</v>
      </c>
      <c r="K4" s="373" t="s">
        <v>494</v>
      </c>
      <c r="L4" s="371" t="s">
        <v>493</v>
      </c>
      <c r="M4" s="372" t="s">
        <v>494</v>
      </c>
      <c r="N4" s="371" t="s">
        <v>493</v>
      </c>
      <c r="O4" s="372" t="s">
        <v>494</v>
      </c>
      <c r="P4" s="371" t="s">
        <v>493</v>
      </c>
      <c r="Q4" s="373" t="s">
        <v>494</v>
      </c>
      <c r="R4" s="371" t="s">
        <v>493</v>
      </c>
      <c r="S4" s="374" t="s">
        <v>494</v>
      </c>
      <c r="T4" s="375" t="s">
        <v>493</v>
      </c>
      <c r="U4" s="372" t="s">
        <v>494</v>
      </c>
    </row>
    <row r="5" spans="1:21" s="376" customFormat="1" ht="22.5" customHeight="1">
      <c r="A5" s="377" t="s">
        <v>495</v>
      </c>
      <c r="B5" s="371"/>
      <c r="C5" s="378"/>
      <c r="D5" s="371"/>
      <c r="E5" s="378"/>
      <c r="F5" s="371"/>
      <c r="G5" s="380"/>
      <c r="H5" s="414"/>
      <c r="I5" s="378"/>
      <c r="J5" s="375"/>
      <c r="K5" s="414"/>
      <c r="L5" s="418"/>
      <c r="M5" s="419"/>
      <c r="N5" s="371"/>
      <c r="O5" s="379"/>
      <c r="P5" s="371"/>
      <c r="Q5" s="380"/>
      <c r="R5" s="381"/>
      <c r="S5" s="382"/>
      <c r="T5" s="383"/>
      <c r="U5" s="384"/>
    </row>
    <row r="6" spans="1:21" s="7" customFormat="1" ht="22.5" customHeight="1">
      <c r="A6" s="385" t="s">
        <v>496</v>
      </c>
      <c r="B6" s="386">
        <v>26</v>
      </c>
      <c r="C6" s="387"/>
      <c r="D6" s="386">
        <v>26</v>
      </c>
      <c r="E6" s="387"/>
      <c r="F6" s="386"/>
      <c r="G6" s="390"/>
      <c r="H6" s="390">
        <f>B6+D6+F6</f>
        <v>52</v>
      </c>
      <c r="I6" s="387"/>
      <c r="J6" s="389"/>
      <c r="K6" s="415"/>
      <c r="L6" s="420"/>
      <c r="M6" s="421"/>
      <c r="N6" s="386"/>
      <c r="O6" s="388"/>
      <c r="P6" s="386">
        <f t="shared" ref="P6:Q13" si="0">B6+D6+F6+J6+N6</f>
        <v>52</v>
      </c>
      <c r="Q6" s="390">
        <f t="shared" si="0"/>
        <v>0</v>
      </c>
      <c r="R6" s="391"/>
      <c r="S6" s="392"/>
      <c r="T6" s="393">
        <f>P6+R6</f>
        <v>52</v>
      </c>
      <c r="U6" s="394">
        <f>Q6+S6</f>
        <v>0</v>
      </c>
    </row>
    <row r="7" spans="1:21" s="7" customFormat="1" ht="22.5" customHeight="1">
      <c r="A7" s="385" t="s">
        <v>497</v>
      </c>
      <c r="B7" s="386"/>
      <c r="C7" s="387"/>
      <c r="D7" s="386"/>
      <c r="E7" s="387"/>
      <c r="F7" s="386"/>
      <c r="G7" s="390"/>
      <c r="H7" s="390"/>
      <c r="I7" s="387"/>
      <c r="J7" s="389"/>
      <c r="K7" s="415"/>
      <c r="L7" s="420"/>
      <c r="M7" s="421"/>
      <c r="N7" s="386"/>
      <c r="O7" s="388"/>
      <c r="P7" s="386">
        <f t="shared" si="0"/>
        <v>0</v>
      </c>
      <c r="Q7" s="390">
        <f t="shared" si="0"/>
        <v>0</v>
      </c>
      <c r="R7" s="391">
        <f>15+15</f>
        <v>30</v>
      </c>
      <c r="S7" s="392"/>
      <c r="T7" s="393">
        <f t="shared" ref="T7:U27" si="1">P7+R7</f>
        <v>30</v>
      </c>
      <c r="U7" s="394">
        <f t="shared" si="1"/>
        <v>0</v>
      </c>
    </row>
    <row r="8" spans="1:21" s="7" customFormat="1" ht="22.5" customHeight="1">
      <c r="A8" s="395" t="s">
        <v>498</v>
      </c>
      <c r="B8" s="386"/>
      <c r="C8" s="387"/>
      <c r="D8" s="386">
        <v>306</v>
      </c>
      <c r="E8" s="387">
        <v>5.4</v>
      </c>
      <c r="F8" s="386">
        <v>306</v>
      </c>
      <c r="G8" s="390"/>
      <c r="H8" s="390">
        <f t="shared" ref="H8:H17" si="2">B8+D8+F8</f>
        <v>612</v>
      </c>
      <c r="I8" s="387">
        <f>C8+E8+G8</f>
        <v>5.4</v>
      </c>
      <c r="J8" s="389"/>
      <c r="K8" s="415"/>
      <c r="L8" s="420"/>
      <c r="M8" s="421"/>
      <c r="N8" s="386"/>
      <c r="O8" s="388"/>
      <c r="P8" s="386">
        <f t="shared" si="0"/>
        <v>612</v>
      </c>
      <c r="Q8" s="390">
        <f t="shared" si="0"/>
        <v>5.4</v>
      </c>
      <c r="R8" s="391"/>
      <c r="S8" s="392"/>
      <c r="T8" s="393">
        <f t="shared" si="1"/>
        <v>612</v>
      </c>
      <c r="U8" s="394">
        <f t="shared" si="1"/>
        <v>5.4</v>
      </c>
    </row>
    <row r="9" spans="1:21" s="7" customFormat="1" ht="22.5" customHeight="1">
      <c r="A9" s="385" t="s">
        <v>499</v>
      </c>
      <c r="B9" s="386"/>
      <c r="C9" s="387"/>
      <c r="D9" s="386"/>
      <c r="E9" s="387"/>
      <c r="F9" s="386">
        <v>525</v>
      </c>
      <c r="G9" s="390">
        <v>11</v>
      </c>
      <c r="H9" s="390">
        <f t="shared" si="2"/>
        <v>525</v>
      </c>
      <c r="I9" s="387">
        <f>C9+E9+G9</f>
        <v>11</v>
      </c>
      <c r="J9" s="389">
        <v>525</v>
      </c>
      <c r="K9" s="415"/>
      <c r="L9" s="420"/>
      <c r="M9" s="421"/>
      <c r="N9" s="386"/>
      <c r="O9" s="388"/>
      <c r="P9" s="386">
        <f t="shared" si="0"/>
        <v>1050</v>
      </c>
      <c r="Q9" s="390">
        <f t="shared" si="0"/>
        <v>11</v>
      </c>
      <c r="R9" s="391"/>
      <c r="S9" s="392"/>
      <c r="T9" s="393">
        <f t="shared" si="1"/>
        <v>1050</v>
      </c>
      <c r="U9" s="394">
        <f t="shared" si="1"/>
        <v>11</v>
      </c>
    </row>
    <row r="10" spans="1:21" s="7" customFormat="1" ht="22.5" customHeight="1">
      <c r="A10" s="385" t="s">
        <v>500</v>
      </c>
      <c r="B10" s="386"/>
      <c r="C10" s="387"/>
      <c r="D10" s="386"/>
      <c r="E10" s="387"/>
      <c r="F10" s="386"/>
      <c r="G10" s="390"/>
      <c r="H10" s="390"/>
      <c r="I10" s="387"/>
      <c r="J10" s="389"/>
      <c r="K10" s="415"/>
      <c r="L10" s="420"/>
      <c r="M10" s="421"/>
      <c r="N10" s="386"/>
      <c r="O10" s="388"/>
      <c r="P10" s="386">
        <f t="shared" si="0"/>
        <v>0</v>
      </c>
      <c r="Q10" s="390">
        <f t="shared" si="0"/>
        <v>0</v>
      </c>
      <c r="R10" s="391">
        <f>1103+1103</f>
        <v>2206</v>
      </c>
      <c r="S10" s="392">
        <v>18.489999999999998</v>
      </c>
      <c r="T10" s="393">
        <f>P10+R10</f>
        <v>2206</v>
      </c>
      <c r="U10" s="394">
        <f t="shared" si="1"/>
        <v>18.489999999999998</v>
      </c>
    </row>
    <row r="11" spans="1:21" s="7" customFormat="1" ht="22.5" customHeight="1">
      <c r="A11" s="385" t="s">
        <v>501</v>
      </c>
      <c r="B11" s="386"/>
      <c r="C11" s="387"/>
      <c r="D11" s="386"/>
      <c r="E11" s="387"/>
      <c r="F11" s="386"/>
      <c r="G11" s="390"/>
      <c r="H11" s="390"/>
      <c r="I11" s="387"/>
      <c r="J11" s="389">
        <v>511</v>
      </c>
      <c r="K11" s="415">
        <v>11</v>
      </c>
      <c r="L11" s="420"/>
      <c r="M11" s="421"/>
      <c r="N11" s="386">
        <v>511</v>
      </c>
      <c r="O11" s="388"/>
      <c r="P11" s="386">
        <f t="shared" si="0"/>
        <v>1022</v>
      </c>
      <c r="Q11" s="390">
        <f t="shared" si="0"/>
        <v>11</v>
      </c>
      <c r="R11" s="391"/>
      <c r="S11" s="392"/>
      <c r="T11" s="393">
        <f>P11+R11</f>
        <v>1022</v>
      </c>
      <c r="U11" s="394">
        <f t="shared" si="1"/>
        <v>11</v>
      </c>
    </row>
    <row r="12" spans="1:21" s="7" customFormat="1" ht="22.5" customHeight="1">
      <c r="A12" s="395" t="s">
        <v>502</v>
      </c>
      <c r="B12" s="386">
        <v>10</v>
      </c>
      <c r="C12" s="387"/>
      <c r="D12" s="386"/>
      <c r="E12" s="387"/>
      <c r="F12" s="386"/>
      <c r="G12" s="390"/>
      <c r="H12" s="390">
        <f t="shared" si="2"/>
        <v>10</v>
      </c>
      <c r="I12" s="387"/>
      <c r="J12" s="389"/>
      <c r="K12" s="415"/>
      <c r="L12" s="420"/>
      <c r="M12" s="421"/>
      <c r="N12" s="386"/>
      <c r="O12" s="388"/>
      <c r="P12" s="386">
        <f t="shared" si="0"/>
        <v>10</v>
      </c>
      <c r="Q12" s="390">
        <f t="shared" si="0"/>
        <v>0</v>
      </c>
      <c r="R12" s="391"/>
      <c r="S12" s="392"/>
      <c r="T12" s="393">
        <f t="shared" si="1"/>
        <v>10</v>
      </c>
      <c r="U12" s="394">
        <f t="shared" si="1"/>
        <v>0</v>
      </c>
    </row>
    <row r="13" spans="1:21" s="7" customFormat="1" ht="22.5" hidden="1" customHeight="1">
      <c r="A13" s="385" t="s">
        <v>503</v>
      </c>
      <c r="B13" s="386"/>
      <c r="C13" s="387"/>
      <c r="D13" s="386"/>
      <c r="E13" s="387"/>
      <c r="F13" s="386"/>
      <c r="G13" s="390"/>
      <c r="H13" s="390">
        <f t="shared" si="2"/>
        <v>0</v>
      </c>
      <c r="I13" s="387"/>
      <c r="J13" s="389"/>
      <c r="K13" s="415"/>
      <c r="L13" s="420"/>
      <c r="M13" s="421"/>
      <c r="N13" s="386"/>
      <c r="O13" s="388"/>
      <c r="P13" s="386">
        <f t="shared" si="0"/>
        <v>0</v>
      </c>
      <c r="Q13" s="390">
        <f t="shared" si="0"/>
        <v>0</v>
      </c>
      <c r="R13" s="391"/>
      <c r="S13" s="392"/>
      <c r="T13" s="393">
        <f t="shared" si="1"/>
        <v>0</v>
      </c>
      <c r="U13" s="394">
        <f t="shared" si="1"/>
        <v>0</v>
      </c>
    </row>
    <row r="14" spans="1:21" s="7" customFormat="1" ht="22.5" customHeight="1">
      <c r="A14" s="396" t="s">
        <v>541</v>
      </c>
      <c r="B14" s="386"/>
      <c r="C14" s="387"/>
      <c r="D14" s="386"/>
      <c r="E14" s="387"/>
      <c r="F14" s="386"/>
      <c r="G14" s="390"/>
      <c r="H14" s="390"/>
      <c r="I14" s="387"/>
      <c r="J14" s="389"/>
      <c r="K14" s="415"/>
      <c r="L14" s="420"/>
      <c r="M14" s="421"/>
      <c r="N14" s="386"/>
      <c r="O14" s="388"/>
      <c r="P14" s="386">
        <f t="shared" ref="P14:P19" si="3">B14+D14+F14+J14+N14</f>
        <v>0</v>
      </c>
      <c r="Q14" s="390"/>
      <c r="R14" s="391"/>
      <c r="S14" s="392"/>
      <c r="T14" s="393">
        <f t="shared" si="1"/>
        <v>0</v>
      </c>
      <c r="U14" s="394"/>
    </row>
    <row r="15" spans="1:21" s="7" customFormat="1" ht="22.5" customHeight="1">
      <c r="A15" s="385" t="s">
        <v>504</v>
      </c>
      <c r="B15" s="386"/>
      <c r="C15" s="387"/>
      <c r="D15" s="386"/>
      <c r="E15" s="387"/>
      <c r="F15" s="386"/>
      <c r="G15" s="390"/>
      <c r="H15" s="390"/>
      <c r="I15" s="387"/>
      <c r="J15" s="389"/>
      <c r="K15" s="415"/>
      <c r="L15" s="420"/>
      <c r="M15" s="421"/>
      <c r="N15" s="386"/>
      <c r="O15" s="388"/>
      <c r="P15" s="386">
        <f t="shared" si="3"/>
        <v>0</v>
      </c>
      <c r="Q15" s="390">
        <f>C15+E15+G15+K15+O15</f>
        <v>0</v>
      </c>
      <c r="R15" s="391">
        <v>28</v>
      </c>
      <c r="S15" s="392"/>
      <c r="T15" s="393">
        <f t="shared" si="1"/>
        <v>28</v>
      </c>
      <c r="U15" s="394">
        <f>Q15+S15</f>
        <v>0</v>
      </c>
    </row>
    <row r="16" spans="1:21" s="7" customFormat="1" ht="22.5" customHeight="1">
      <c r="A16" s="395" t="s">
        <v>505</v>
      </c>
      <c r="B16" s="386">
        <v>3</v>
      </c>
      <c r="C16" s="387"/>
      <c r="D16" s="386"/>
      <c r="E16" s="387"/>
      <c r="F16" s="386"/>
      <c r="G16" s="390"/>
      <c r="H16" s="390">
        <f t="shared" si="2"/>
        <v>3</v>
      </c>
      <c r="I16" s="387"/>
      <c r="J16" s="389"/>
      <c r="K16" s="415"/>
      <c r="L16" s="420"/>
      <c r="M16" s="421"/>
      <c r="N16" s="386"/>
      <c r="O16" s="388"/>
      <c r="P16" s="386">
        <f t="shared" si="3"/>
        <v>3</v>
      </c>
      <c r="Q16" s="390">
        <f>C16+E16+G16+K16+O16</f>
        <v>0</v>
      </c>
      <c r="R16" s="391"/>
      <c r="S16" s="392"/>
      <c r="T16" s="393">
        <f t="shared" si="1"/>
        <v>3</v>
      </c>
      <c r="U16" s="394">
        <f>Q16+S16</f>
        <v>0</v>
      </c>
    </row>
    <row r="17" spans="1:21" s="7" customFormat="1" ht="22.5" hidden="1" customHeight="1">
      <c r="A17" s="395" t="s">
        <v>497</v>
      </c>
      <c r="B17" s="386"/>
      <c r="C17" s="387"/>
      <c r="D17" s="386"/>
      <c r="E17" s="387"/>
      <c r="F17" s="386"/>
      <c r="G17" s="390"/>
      <c r="H17" s="390">
        <f t="shared" si="2"/>
        <v>0</v>
      </c>
      <c r="I17" s="387"/>
      <c r="J17" s="389"/>
      <c r="K17" s="415"/>
      <c r="L17" s="420"/>
      <c r="M17" s="421"/>
      <c r="N17" s="386"/>
      <c r="O17" s="388"/>
      <c r="P17" s="386">
        <f t="shared" si="3"/>
        <v>0</v>
      </c>
      <c r="Q17" s="390"/>
      <c r="R17" s="397"/>
      <c r="S17" s="398"/>
      <c r="T17" s="393">
        <f t="shared" si="1"/>
        <v>0</v>
      </c>
      <c r="U17" s="394"/>
    </row>
    <row r="18" spans="1:21" s="7" customFormat="1" ht="22.5" customHeight="1">
      <c r="A18" s="395" t="s">
        <v>506</v>
      </c>
      <c r="B18" s="386"/>
      <c r="C18" s="387"/>
      <c r="D18" s="386"/>
      <c r="E18" s="387"/>
      <c r="F18" s="386"/>
      <c r="G18" s="390"/>
      <c r="H18" s="390"/>
      <c r="I18" s="387"/>
      <c r="J18" s="389">
        <v>41</v>
      </c>
      <c r="K18" s="415">
        <v>1.2</v>
      </c>
      <c r="L18" s="420"/>
      <c r="M18" s="421"/>
      <c r="N18" s="386">
        <v>41</v>
      </c>
      <c r="O18" s="388"/>
      <c r="P18" s="386">
        <f t="shared" si="3"/>
        <v>82</v>
      </c>
      <c r="Q18" s="390">
        <f>C18+E18+G18+K18+O18</f>
        <v>1.2</v>
      </c>
      <c r="R18" s="397"/>
      <c r="S18" s="398"/>
      <c r="T18" s="393">
        <f t="shared" si="1"/>
        <v>82</v>
      </c>
      <c r="U18" s="394">
        <f>Q18+S18</f>
        <v>1.2</v>
      </c>
    </row>
    <row r="19" spans="1:21" s="7" customFormat="1" ht="22.5" customHeight="1">
      <c r="A19" s="395" t="s">
        <v>507</v>
      </c>
      <c r="B19" s="386"/>
      <c r="C19" s="387"/>
      <c r="D19" s="386"/>
      <c r="E19" s="387"/>
      <c r="F19" s="386"/>
      <c r="G19" s="390"/>
      <c r="H19" s="390"/>
      <c r="I19" s="387"/>
      <c r="J19" s="389"/>
      <c r="K19" s="415"/>
      <c r="L19" s="420"/>
      <c r="M19" s="421"/>
      <c r="N19" s="386"/>
      <c r="O19" s="388"/>
      <c r="P19" s="386">
        <f t="shared" si="3"/>
        <v>0</v>
      </c>
      <c r="Q19" s="390">
        <f>C19+E19+G19+K19+O19</f>
        <v>0</v>
      </c>
      <c r="R19" s="397">
        <f>218+218</f>
        <v>436</v>
      </c>
      <c r="S19" s="398">
        <v>3.32</v>
      </c>
      <c r="T19" s="393">
        <f t="shared" si="1"/>
        <v>436</v>
      </c>
      <c r="U19" s="394">
        <f>Q19+S19</f>
        <v>3.32</v>
      </c>
    </row>
    <row r="20" spans="1:21" s="7" customFormat="1" ht="22.5" customHeight="1">
      <c r="A20" s="396" t="s">
        <v>508</v>
      </c>
      <c r="B20" s="386"/>
      <c r="C20" s="387"/>
      <c r="D20" s="386"/>
      <c r="E20" s="387"/>
      <c r="F20" s="386"/>
      <c r="G20" s="390"/>
      <c r="H20" s="390"/>
      <c r="I20" s="387"/>
      <c r="J20" s="389"/>
      <c r="K20" s="415"/>
      <c r="L20" s="420"/>
      <c r="M20" s="421"/>
      <c r="N20" s="386"/>
      <c r="O20" s="388"/>
      <c r="P20" s="386"/>
      <c r="Q20" s="390"/>
      <c r="R20" s="397"/>
      <c r="S20" s="398"/>
      <c r="T20" s="393"/>
      <c r="U20" s="394"/>
    </row>
    <row r="21" spans="1:21" s="7" customFormat="1" ht="22.5" hidden="1" customHeight="1">
      <c r="A21" s="395" t="s">
        <v>509</v>
      </c>
      <c r="B21" s="386"/>
      <c r="C21" s="387"/>
      <c r="D21" s="386"/>
      <c r="E21" s="387"/>
      <c r="F21" s="386"/>
      <c r="G21" s="390"/>
      <c r="H21" s="390"/>
      <c r="I21" s="387"/>
      <c r="J21" s="389"/>
      <c r="K21" s="415"/>
      <c r="L21" s="420"/>
      <c r="M21" s="421"/>
      <c r="N21" s="386"/>
      <c r="O21" s="388"/>
      <c r="P21" s="386">
        <f t="shared" ref="P21:Q27" si="4">B21+D21+F21+J21+N21</f>
        <v>0</v>
      </c>
      <c r="Q21" s="390">
        <f t="shared" si="4"/>
        <v>0</v>
      </c>
      <c r="R21" s="397"/>
      <c r="S21" s="398"/>
      <c r="T21" s="393">
        <f t="shared" si="1"/>
        <v>0</v>
      </c>
      <c r="U21" s="394">
        <f t="shared" si="1"/>
        <v>0</v>
      </c>
    </row>
    <row r="22" spans="1:21" s="7" customFormat="1" ht="22.5" hidden="1" customHeight="1">
      <c r="A22" s="395" t="s">
        <v>510</v>
      </c>
      <c r="B22" s="386"/>
      <c r="C22" s="387"/>
      <c r="D22" s="386"/>
      <c r="E22" s="387"/>
      <c r="F22" s="386"/>
      <c r="G22" s="390"/>
      <c r="H22" s="390"/>
      <c r="I22" s="387"/>
      <c r="J22" s="389"/>
      <c r="K22" s="415"/>
      <c r="L22" s="420"/>
      <c r="M22" s="421"/>
      <c r="N22" s="386"/>
      <c r="O22" s="388"/>
      <c r="P22" s="386">
        <f t="shared" si="4"/>
        <v>0</v>
      </c>
      <c r="Q22" s="390">
        <f t="shared" si="4"/>
        <v>0</v>
      </c>
      <c r="R22" s="397"/>
      <c r="S22" s="398"/>
      <c r="T22" s="393">
        <f t="shared" si="1"/>
        <v>0</v>
      </c>
      <c r="U22" s="394">
        <f t="shared" si="1"/>
        <v>0</v>
      </c>
    </row>
    <row r="23" spans="1:21" s="7" customFormat="1" ht="22.5" customHeight="1">
      <c r="A23" s="395" t="s">
        <v>511</v>
      </c>
      <c r="B23" s="386"/>
      <c r="C23" s="387"/>
      <c r="D23" s="386"/>
      <c r="E23" s="387"/>
      <c r="F23" s="386"/>
      <c r="G23" s="390"/>
      <c r="H23" s="390"/>
      <c r="I23" s="387"/>
      <c r="J23" s="389"/>
      <c r="K23" s="415"/>
      <c r="L23" s="420"/>
      <c r="M23" s="421"/>
      <c r="N23" s="386"/>
      <c r="O23" s="388"/>
      <c r="P23" s="386">
        <f t="shared" si="4"/>
        <v>0</v>
      </c>
      <c r="Q23" s="390">
        <f t="shared" si="4"/>
        <v>0</v>
      </c>
      <c r="R23" s="397">
        <f>39+39</f>
        <v>78</v>
      </c>
      <c r="S23" s="398"/>
      <c r="T23" s="393">
        <f t="shared" si="1"/>
        <v>78</v>
      </c>
      <c r="U23" s="394">
        <f t="shared" si="1"/>
        <v>0</v>
      </c>
    </row>
    <row r="24" spans="1:21" s="7" customFormat="1" ht="22.5" customHeight="1">
      <c r="A24" s="395" t="s">
        <v>512</v>
      </c>
      <c r="B24" s="386"/>
      <c r="C24" s="387"/>
      <c r="D24" s="386"/>
      <c r="E24" s="387"/>
      <c r="F24" s="386"/>
      <c r="G24" s="390"/>
      <c r="H24" s="390"/>
      <c r="I24" s="387"/>
      <c r="J24" s="389"/>
      <c r="K24" s="415"/>
      <c r="L24" s="420"/>
      <c r="M24" s="421"/>
      <c r="N24" s="386"/>
      <c r="O24" s="388"/>
      <c r="P24" s="386">
        <f t="shared" si="4"/>
        <v>0</v>
      </c>
      <c r="Q24" s="390">
        <f t="shared" si="4"/>
        <v>0</v>
      </c>
      <c r="R24" s="397">
        <f>27</f>
        <v>27</v>
      </c>
      <c r="S24" s="398">
        <f>4.64-4.64</f>
        <v>0</v>
      </c>
      <c r="T24" s="393">
        <f t="shared" si="1"/>
        <v>27</v>
      </c>
      <c r="U24" s="394">
        <f t="shared" si="1"/>
        <v>0</v>
      </c>
    </row>
    <row r="25" spans="1:21" s="7" customFormat="1" ht="22.5" customHeight="1">
      <c r="A25" s="395" t="s">
        <v>513</v>
      </c>
      <c r="B25" s="386"/>
      <c r="C25" s="387"/>
      <c r="D25" s="386"/>
      <c r="E25" s="387"/>
      <c r="F25" s="386"/>
      <c r="G25" s="390"/>
      <c r="H25" s="390"/>
      <c r="I25" s="387"/>
      <c r="J25" s="389"/>
      <c r="K25" s="415"/>
      <c r="L25" s="420"/>
      <c r="M25" s="421"/>
      <c r="N25" s="386"/>
      <c r="O25" s="388"/>
      <c r="P25" s="386">
        <f t="shared" si="4"/>
        <v>0</v>
      </c>
      <c r="Q25" s="390">
        <f t="shared" si="4"/>
        <v>0</v>
      </c>
      <c r="R25" s="397">
        <f>18+18</f>
        <v>36</v>
      </c>
      <c r="S25" s="398"/>
      <c r="T25" s="393">
        <f t="shared" si="1"/>
        <v>36</v>
      </c>
      <c r="U25" s="394">
        <f t="shared" si="1"/>
        <v>0</v>
      </c>
    </row>
    <row r="26" spans="1:21" s="7" customFormat="1" ht="22.5" customHeight="1">
      <c r="A26" s="395" t="s">
        <v>514</v>
      </c>
      <c r="B26" s="386"/>
      <c r="C26" s="387"/>
      <c r="D26" s="386"/>
      <c r="E26" s="387"/>
      <c r="F26" s="386"/>
      <c r="G26" s="390"/>
      <c r="H26" s="390"/>
      <c r="I26" s="387"/>
      <c r="J26" s="389"/>
      <c r="K26" s="415"/>
      <c r="L26" s="420"/>
      <c r="M26" s="421"/>
      <c r="N26" s="386"/>
      <c r="O26" s="388"/>
      <c r="P26" s="386">
        <f t="shared" si="4"/>
        <v>0</v>
      </c>
      <c r="Q26" s="390">
        <f t="shared" si="4"/>
        <v>0</v>
      </c>
      <c r="R26" s="397">
        <f>35+35</f>
        <v>70</v>
      </c>
      <c r="S26" s="398"/>
      <c r="T26" s="393">
        <f t="shared" si="1"/>
        <v>70</v>
      </c>
      <c r="U26" s="394">
        <f t="shared" si="1"/>
        <v>0</v>
      </c>
    </row>
    <row r="27" spans="1:21" s="7" customFormat="1" ht="22.5" customHeight="1" thickBot="1">
      <c r="A27" s="399" t="s">
        <v>515</v>
      </c>
      <c r="B27" s="400"/>
      <c r="C27" s="401"/>
      <c r="D27" s="400"/>
      <c r="E27" s="401"/>
      <c r="F27" s="400"/>
      <c r="G27" s="404"/>
      <c r="H27" s="424"/>
      <c r="I27" s="425"/>
      <c r="J27" s="403"/>
      <c r="K27" s="416"/>
      <c r="L27" s="422"/>
      <c r="M27" s="423"/>
      <c r="N27" s="400"/>
      <c r="O27" s="402"/>
      <c r="P27" s="400">
        <f t="shared" si="4"/>
        <v>0</v>
      </c>
      <c r="Q27" s="404">
        <f t="shared" si="4"/>
        <v>0</v>
      </c>
      <c r="R27" s="397">
        <f>12+12</f>
        <v>24</v>
      </c>
      <c r="S27" s="398"/>
      <c r="T27" s="393">
        <f t="shared" si="1"/>
        <v>24</v>
      </c>
      <c r="U27" s="394">
        <f t="shared" si="1"/>
        <v>0</v>
      </c>
    </row>
    <row r="28" spans="1:21" s="7" customFormat="1" ht="22.5" customHeight="1" thickBot="1">
      <c r="A28" s="405" t="s">
        <v>516</v>
      </c>
      <c r="B28" s="406">
        <f t="shared" ref="B28:T28" si="5">SUM(B6:B27)</f>
        <v>39</v>
      </c>
      <c r="C28" s="407">
        <f t="shared" si="5"/>
        <v>0</v>
      </c>
      <c r="D28" s="408">
        <f t="shared" si="5"/>
        <v>332</v>
      </c>
      <c r="E28" s="408">
        <f t="shared" si="5"/>
        <v>5.4</v>
      </c>
      <c r="F28" s="408">
        <f t="shared" si="5"/>
        <v>831</v>
      </c>
      <c r="G28" s="408">
        <f t="shared" si="5"/>
        <v>11</v>
      </c>
      <c r="H28" s="408">
        <f>SUM(H6:H27)</f>
        <v>1202</v>
      </c>
      <c r="I28" s="408">
        <f>SUM(I6:I27)</f>
        <v>16.399999999999999</v>
      </c>
      <c r="J28" s="408">
        <f t="shared" si="5"/>
        <v>1077</v>
      </c>
      <c r="K28" s="417">
        <f t="shared" si="5"/>
        <v>12.2</v>
      </c>
      <c r="L28" s="406"/>
      <c r="M28" s="408"/>
      <c r="N28" s="408">
        <f t="shared" si="5"/>
        <v>552</v>
      </c>
      <c r="O28" s="408">
        <f t="shared" si="5"/>
        <v>0</v>
      </c>
      <c r="P28" s="408">
        <f t="shared" si="5"/>
        <v>2831</v>
      </c>
      <c r="Q28" s="407">
        <f t="shared" si="5"/>
        <v>28.599999999999998</v>
      </c>
      <c r="R28" s="408">
        <f t="shared" si="5"/>
        <v>2935</v>
      </c>
      <c r="S28" s="407">
        <f t="shared" si="5"/>
        <v>21.81</v>
      </c>
      <c r="T28" s="407">
        <f t="shared" si="5"/>
        <v>5766</v>
      </c>
      <c r="U28" s="407">
        <f>Q28+S28</f>
        <v>50.41</v>
      </c>
    </row>
    <row r="29" spans="1:21" ht="22.5" customHeight="1">
      <c r="A29" s="409"/>
      <c r="B29" s="410"/>
      <c r="C29" s="411"/>
      <c r="D29" s="410"/>
      <c r="E29" s="410"/>
      <c r="F29" s="410"/>
      <c r="G29" s="410"/>
      <c r="H29" s="410"/>
      <c r="I29" s="410"/>
      <c r="J29" s="410"/>
      <c r="K29" s="410"/>
      <c r="L29" s="410"/>
      <c r="M29" s="410"/>
      <c r="N29" s="410"/>
      <c r="O29" s="410"/>
      <c r="P29" s="410"/>
      <c r="Q29" s="411"/>
      <c r="S29" s="412"/>
      <c r="T29" s="412"/>
      <c r="U29" s="412"/>
    </row>
    <row r="30" spans="1:21" ht="22.5" customHeight="1">
      <c r="A30" s="429" t="s">
        <v>521</v>
      </c>
      <c r="B30" s="430"/>
      <c r="C30" s="412"/>
      <c r="Q30" s="412"/>
      <c r="S30" s="412"/>
      <c r="T30" s="412"/>
      <c r="U30" s="412"/>
    </row>
    <row r="31" spans="1:21" ht="22.5" customHeight="1">
      <c r="A31" s="429" t="s">
        <v>522</v>
      </c>
      <c r="B31" s="430">
        <v>83</v>
      </c>
      <c r="C31" s="412"/>
      <c r="Q31" s="412"/>
      <c r="S31" s="412"/>
      <c r="T31" s="412"/>
      <c r="U31" s="412"/>
    </row>
    <row r="32" spans="1:21" ht="22.5" customHeight="1">
      <c r="A32" s="429" t="s">
        <v>523</v>
      </c>
      <c r="B32" s="430">
        <v>134</v>
      </c>
      <c r="C32" s="412"/>
      <c r="Q32" s="412"/>
      <c r="S32" s="412"/>
      <c r="T32" s="412"/>
      <c r="U32" s="412"/>
    </row>
    <row r="33" spans="1:3" ht="22.5" customHeight="1">
      <c r="A33" s="429" t="s">
        <v>524</v>
      </c>
      <c r="B33" s="430">
        <v>63</v>
      </c>
      <c r="C33" s="412"/>
    </row>
    <row r="34" spans="1:3" ht="22.5" customHeight="1">
      <c r="A34" s="430"/>
      <c r="B34" s="431">
        <f>SUM(B28:B33)</f>
        <v>319</v>
      </c>
      <c r="C34" s="412"/>
    </row>
  </sheetData>
  <mergeCells count="12">
    <mergeCell ref="R3:S3"/>
    <mergeCell ref="T3:U3"/>
    <mergeCell ref="L3:M3"/>
    <mergeCell ref="H3:I3"/>
    <mergeCell ref="A1:Q1"/>
    <mergeCell ref="A2:Q2"/>
    <mergeCell ref="B3:C3"/>
    <mergeCell ref="D3:E3"/>
    <mergeCell ref="F3:G3"/>
    <mergeCell ref="J3:K3"/>
    <mergeCell ref="N3:O3"/>
    <mergeCell ref="P3:Q3"/>
  </mergeCells>
  <phoneticPr fontId="13" type="noConversion"/>
  <printOptions horizontalCentered="1"/>
  <pageMargins left="0" right="0" top="0.98425196850393704" bottom="0.98425196850393704" header="0.51181102362204722" footer="0.51181102362204722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8"/>
  <sheetViews>
    <sheetView showGridLines="0" workbookViewId="0">
      <selection activeCell="D7" sqref="D7"/>
    </sheetView>
  </sheetViews>
  <sheetFormatPr defaultRowHeight="12.75"/>
  <cols>
    <col min="1" max="1" width="2" style="20" customWidth="1"/>
    <col min="2" max="2" width="21.5703125" style="20" customWidth="1"/>
    <col min="3" max="5" width="15.28515625" style="20" customWidth="1"/>
    <col min="6" max="6" width="11.140625" style="20" customWidth="1"/>
    <col min="7" max="7" width="12.5703125" style="20" customWidth="1"/>
    <col min="8" max="8" width="1" style="20" customWidth="1"/>
    <col min="9" max="16384" width="9.140625" style="20"/>
  </cols>
  <sheetData>
    <row r="1" spans="1:13" s="21" customFormat="1" ht="26.25" customHeight="1">
      <c r="A1" s="1137"/>
      <c r="B1" s="1138"/>
      <c r="C1" s="1138"/>
      <c r="D1" s="1138"/>
      <c r="E1" s="1138"/>
      <c r="F1" s="1138"/>
      <c r="G1" s="1138"/>
      <c r="H1" s="1138"/>
      <c r="I1" s="1138"/>
      <c r="J1" s="1138"/>
      <c r="K1" s="1138"/>
      <c r="L1" s="1138"/>
      <c r="M1" s="1138"/>
    </row>
    <row r="2" spans="1:13" ht="26.25" customHeight="1">
      <c r="A2" s="1139" t="s">
        <v>528</v>
      </c>
      <c r="B2" s="1139"/>
      <c r="C2" s="1139"/>
      <c r="D2" s="1139"/>
      <c r="E2" s="1139"/>
      <c r="F2" s="1139"/>
      <c r="G2" s="1139"/>
      <c r="H2" s="16"/>
      <c r="I2" s="16"/>
      <c r="J2" s="16"/>
      <c r="K2" s="16"/>
      <c r="L2" s="16"/>
      <c r="M2" s="16"/>
    </row>
    <row r="3" spans="1:13" ht="23.25" customHeight="1"/>
    <row r="4" spans="1:13" ht="48" customHeight="1">
      <c r="B4" s="31"/>
      <c r="C4" s="1" t="s">
        <v>529</v>
      </c>
      <c r="D4" s="160" t="s">
        <v>530</v>
      </c>
      <c r="E4" s="1" t="s">
        <v>531</v>
      </c>
      <c r="F4" s="24" t="s">
        <v>532</v>
      </c>
      <c r="G4" s="32"/>
    </row>
    <row r="5" spans="1:13" s="22" customFormat="1" ht="23.25" customHeight="1">
      <c r="B5" s="4" t="s">
        <v>0</v>
      </c>
      <c r="C5" s="6" t="s">
        <v>1</v>
      </c>
      <c r="D5" s="8" t="s">
        <v>1</v>
      </c>
      <c r="E5" s="6" t="s">
        <v>1</v>
      </c>
      <c r="F5" s="164" t="s">
        <v>1</v>
      </c>
      <c r="G5" s="152" t="s">
        <v>17</v>
      </c>
    </row>
    <row r="6" spans="1:13" ht="21" customHeight="1">
      <c r="B6" s="153" t="s">
        <v>3</v>
      </c>
      <c r="C6" s="154"/>
      <c r="D6" s="161" t="e">
        <f>#REF!</f>
        <v>#REF!</v>
      </c>
      <c r="E6" s="154"/>
      <c r="F6" s="165" t="e">
        <f>E6-D6</f>
        <v>#REF!</v>
      </c>
      <c r="G6" s="157" t="e">
        <f>IF(F6=0,0,F6/D6*100)</f>
        <v>#REF!</v>
      </c>
      <c r="I6" s="36"/>
    </row>
    <row r="7" spans="1:13" ht="21" customHeight="1">
      <c r="B7" s="104" t="s">
        <v>7</v>
      </c>
      <c r="C7" s="151"/>
      <c r="D7" s="162" t="e">
        <f>#REF!</f>
        <v>#REF!</v>
      </c>
      <c r="E7" s="151"/>
      <c r="F7" s="166" t="e">
        <f>E7-D7</f>
        <v>#REF!</v>
      </c>
      <c r="G7" s="158" t="e">
        <f>IF(F7=0,0,F7/D7*100)</f>
        <v>#REF!</v>
      </c>
      <c r="I7" s="36"/>
    </row>
    <row r="8" spans="1:13" ht="25.5" customHeight="1">
      <c r="B8" s="153" t="s">
        <v>25</v>
      </c>
      <c r="C8" s="154">
        <f>C6-C7</f>
        <v>0</v>
      </c>
      <c r="D8" s="161" t="e">
        <f>D6-D7</f>
        <v>#REF!</v>
      </c>
      <c r="E8" s="154">
        <f>E6-E7</f>
        <v>0</v>
      </c>
      <c r="F8" s="165" t="e">
        <f>E8-D8</f>
        <v>#REF!</v>
      </c>
      <c r="G8" s="157" t="e">
        <f>IF(F8=0,0,F8/D8*100)</f>
        <v>#REF!</v>
      </c>
      <c r="I8" s="36"/>
    </row>
    <row r="9" spans="1:13" ht="25.5" customHeight="1">
      <c r="B9" s="155" t="s">
        <v>5</v>
      </c>
      <c r="C9" s="156"/>
      <c r="D9" s="163" t="e">
        <f>#REF!</f>
        <v>#REF!</v>
      </c>
      <c r="E9" s="168"/>
      <c r="F9" s="167" t="e">
        <f>E9-D9</f>
        <v>#REF!</v>
      </c>
      <c r="G9" s="159" t="e">
        <f>IF(F9=0,0,F9/D9*100)</f>
        <v>#REF!</v>
      </c>
      <c r="I9" s="36"/>
    </row>
    <row r="10" spans="1:13">
      <c r="B10" s="1140" t="s">
        <v>533</v>
      </c>
      <c r="C10" s="1141"/>
      <c r="D10" s="1141"/>
      <c r="E10" s="1141"/>
      <c r="F10" s="1141"/>
      <c r="G10" s="1141"/>
    </row>
    <row r="11" spans="1:13">
      <c r="B11" s="1114"/>
      <c r="C11" s="1114"/>
      <c r="D11" s="1114"/>
      <c r="E11" s="1114"/>
      <c r="F11" s="1114"/>
      <c r="G11" s="1114"/>
    </row>
    <row r="15" spans="1:13" ht="15.75">
      <c r="B15" s="12"/>
      <c r="C15" s="12"/>
      <c r="D15" s="12"/>
      <c r="E15" s="13"/>
      <c r="K15" s="11"/>
    </row>
    <row r="16" spans="1:13" ht="15.75">
      <c r="K16" s="38"/>
    </row>
    <row r="17" spans="11:11" ht="15.75">
      <c r="K17" s="38"/>
    </row>
    <row r="18" spans="11:11" ht="15.75">
      <c r="K18" s="38"/>
    </row>
  </sheetData>
  <mergeCells count="3">
    <mergeCell ref="A1:M1"/>
    <mergeCell ref="A2:G2"/>
    <mergeCell ref="B10:G11"/>
  </mergeCells>
  <phoneticPr fontId="13" type="noConversion"/>
  <printOptions horizontalCentered="1"/>
  <pageMargins left="0.47244094488188981" right="0.47244094488188981" top="0.98425196850393704" bottom="0.98425196850393704" header="0.51181102362204722" footer="0.51181102362204722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9"/>
  <sheetViews>
    <sheetView zoomScale="75" zoomScaleNormal="75" workbookViewId="0">
      <pane ySplit="5" topLeftCell="A6" activePane="bottomLeft" state="frozen"/>
      <selection pane="bottomLeft" activeCell="C254" sqref="C254"/>
    </sheetView>
  </sheetViews>
  <sheetFormatPr defaultColWidth="8.85546875" defaultRowHeight="12.75"/>
  <cols>
    <col min="1" max="1" width="67.7109375" customWidth="1"/>
    <col min="2" max="2" width="15.85546875" style="224" customWidth="1"/>
    <col min="3" max="6" width="12.7109375" style="180" customWidth="1"/>
    <col min="7" max="7" width="17.28515625" style="180" customWidth="1"/>
    <col min="8" max="8" width="17" style="180" customWidth="1"/>
    <col min="9" max="16384" width="8.85546875" style="180"/>
  </cols>
  <sheetData>
    <row r="1" spans="1:22" ht="18">
      <c r="A1" s="189" t="s">
        <v>62</v>
      </c>
      <c r="B1" s="215"/>
      <c r="C1" s="189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</row>
    <row r="2" spans="1:22" ht="18">
      <c r="A2" s="189" t="s">
        <v>63</v>
      </c>
      <c r="B2" s="215"/>
      <c r="C2" s="189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</row>
    <row r="4" spans="1:22" ht="15.75">
      <c r="A4" s="1143" t="s">
        <v>11</v>
      </c>
      <c r="B4" s="1144" t="s">
        <v>278</v>
      </c>
      <c r="C4" s="1143" t="s">
        <v>64</v>
      </c>
      <c r="D4" s="1143"/>
      <c r="E4" s="1143" t="s">
        <v>525</v>
      </c>
      <c r="F4" s="1143"/>
      <c r="G4" s="1142" t="s">
        <v>526</v>
      </c>
      <c r="H4" s="1142" t="s">
        <v>527</v>
      </c>
    </row>
    <row r="5" spans="1:22" ht="48" customHeight="1">
      <c r="A5" s="1143"/>
      <c r="B5" s="1145"/>
      <c r="C5" s="191">
        <v>2011</v>
      </c>
      <c r="D5" s="191">
        <v>2012</v>
      </c>
      <c r="E5" s="191">
        <v>2011</v>
      </c>
      <c r="F5" s="191">
        <v>2012</v>
      </c>
      <c r="G5" s="1142"/>
      <c r="H5" s="1142"/>
    </row>
    <row r="6" spans="1:22" hidden="1">
      <c r="A6" s="192" t="s">
        <v>65</v>
      </c>
      <c r="B6" s="216"/>
      <c r="C6" s="193"/>
      <c r="D6" s="193"/>
      <c r="E6" s="194">
        <f>SUM(C6:C8)</f>
        <v>703.2</v>
      </c>
      <c r="F6" s="194">
        <f>SUM(D6:D8)</f>
        <v>35</v>
      </c>
      <c r="H6" s="181"/>
    </row>
    <row r="7" spans="1:22" hidden="1">
      <c r="A7" s="195" t="s">
        <v>66</v>
      </c>
      <c r="B7" s="217" t="s">
        <v>279</v>
      </c>
      <c r="C7" s="196">
        <v>668.2</v>
      </c>
      <c r="D7" s="196">
        <v>0</v>
      </c>
      <c r="E7" s="197"/>
      <c r="F7" s="197"/>
      <c r="H7" s="181"/>
    </row>
    <row r="8" spans="1:22" hidden="1">
      <c r="A8" s="198" t="s">
        <v>67</v>
      </c>
      <c r="B8" s="218" t="s">
        <v>280</v>
      </c>
      <c r="C8" s="196">
        <v>35</v>
      </c>
      <c r="D8" s="196">
        <v>35</v>
      </c>
      <c r="E8" s="197"/>
      <c r="F8" s="197"/>
      <c r="H8" s="181"/>
    </row>
    <row r="9" spans="1:22" hidden="1">
      <c r="A9" s="202" t="s">
        <v>69</v>
      </c>
      <c r="B9" s="219"/>
      <c r="C9" s="193"/>
      <c r="D9" s="193"/>
      <c r="E9" s="194">
        <f>SUM(C9:C13)</f>
        <v>14420.2</v>
      </c>
      <c r="F9" s="194">
        <f>SUM(D9:D13)</f>
        <v>28764.6</v>
      </c>
      <c r="H9" s="181"/>
    </row>
    <row r="10" spans="1:22" hidden="1">
      <c r="A10" s="198" t="s">
        <v>67</v>
      </c>
      <c r="B10" s="218" t="s">
        <v>282</v>
      </c>
      <c r="C10" s="196">
        <v>995.7</v>
      </c>
      <c r="D10" s="196">
        <v>1025.7</v>
      </c>
      <c r="E10" s="197"/>
      <c r="F10" s="197"/>
      <c r="H10" s="181"/>
    </row>
    <row r="11" spans="1:22" hidden="1">
      <c r="A11" s="198" t="s">
        <v>70</v>
      </c>
      <c r="B11" s="218" t="s">
        <v>283</v>
      </c>
      <c r="C11" s="196">
        <v>6218.2</v>
      </c>
      <c r="D11" s="196">
        <v>6404.7</v>
      </c>
      <c r="E11" s="197"/>
      <c r="F11" s="197"/>
      <c r="H11" s="181"/>
    </row>
    <row r="12" spans="1:22" hidden="1">
      <c r="A12" s="198" t="s">
        <v>68</v>
      </c>
      <c r="B12" s="218" t="s">
        <v>281</v>
      </c>
      <c r="C12" s="196">
        <v>7206.3</v>
      </c>
      <c r="D12" s="196">
        <v>0</v>
      </c>
      <c r="E12" s="197"/>
      <c r="F12" s="197"/>
      <c r="H12" s="181"/>
    </row>
    <row r="13" spans="1:22" hidden="1">
      <c r="A13" s="199" t="s">
        <v>71</v>
      </c>
      <c r="B13" s="218" t="s">
        <v>284</v>
      </c>
      <c r="C13" s="200">
        <v>0</v>
      </c>
      <c r="D13" s="200">
        <v>21334.2</v>
      </c>
      <c r="E13" s="201"/>
      <c r="F13" s="201"/>
      <c r="H13" s="181"/>
    </row>
    <row r="14" spans="1:22" hidden="1">
      <c r="A14" s="202" t="s">
        <v>72</v>
      </c>
      <c r="B14" s="228"/>
      <c r="C14" s="193"/>
      <c r="D14" s="193"/>
      <c r="E14" s="194">
        <f>C15</f>
        <v>-538.20000000000005</v>
      </c>
      <c r="F14" s="194">
        <f>D15</f>
        <v>0</v>
      </c>
      <c r="H14" s="181"/>
    </row>
    <row r="15" spans="1:22" ht="25.5" hidden="1">
      <c r="A15" s="199" t="s">
        <v>73</v>
      </c>
      <c r="B15" s="229" t="s">
        <v>285</v>
      </c>
      <c r="C15" s="200">
        <v>-538.20000000000005</v>
      </c>
      <c r="D15" s="200">
        <v>0</v>
      </c>
      <c r="E15" s="201"/>
      <c r="F15" s="201"/>
      <c r="H15" s="181"/>
    </row>
    <row r="16" spans="1:22" hidden="1">
      <c r="A16" s="202" t="s">
        <v>74</v>
      </c>
      <c r="B16" s="230"/>
      <c r="C16" s="193"/>
      <c r="D16" s="193"/>
      <c r="E16" s="194">
        <f>SUM(C17:C19)</f>
        <v>30.900000000000006</v>
      </c>
      <c r="F16" s="194">
        <f>SUM(D17:D19)</f>
        <v>0</v>
      </c>
      <c r="H16" s="181"/>
    </row>
    <row r="17" spans="1:8" hidden="1">
      <c r="A17" s="198" t="s">
        <v>75</v>
      </c>
      <c r="B17" s="218" t="s">
        <v>286</v>
      </c>
      <c r="C17" s="196">
        <v>110.9</v>
      </c>
      <c r="D17" s="196">
        <v>0</v>
      </c>
      <c r="E17" s="197"/>
      <c r="F17" s="197"/>
      <c r="H17" s="181"/>
    </row>
    <row r="18" spans="1:8" hidden="1">
      <c r="A18" s="198" t="s">
        <v>76</v>
      </c>
      <c r="B18" s="218" t="s">
        <v>287</v>
      </c>
      <c r="C18" s="196">
        <v>-230</v>
      </c>
      <c r="D18" s="196">
        <v>0</v>
      </c>
      <c r="E18" s="197"/>
      <c r="F18" s="197"/>
      <c r="H18" s="181"/>
    </row>
    <row r="19" spans="1:8" hidden="1">
      <c r="A19" s="199" t="s">
        <v>77</v>
      </c>
      <c r="B19" s="231" t="s">
        <v>288</v>
      </c>
      <c r="C19" s="200">
        <v>150</v>
      </c>
      <c r="D19" s="200">
        <v>0</v>
      </c>
      <c r="E19" s="201"/>
      <c r="F19" s="201"/>
      <c r="H19" s="181"/>
    </row>
    <row r="20" spans="1:8" hidden="1">
      <c r="A20" s="202" t="s">
        <v>78</v>
      </c>
      <c r="B20" s="232"/>
      <c r="C20" s="193"/>
      <c r="D20" s="193"/>
      <c r="E20" s="194">
        <f>SUM(C20:C23)</f>
        <v>551.59999999999991</v>
      </c>
      <c r="F20" s="194">
        <f>SUM(D20:D23)</f>
        <v>365.6</v>
      </c>
      <c r="H20" s="181"/>
    </row>
    <row r="21" spans="1:8" hidden="1">
      <c r="A21" s="198" t="s">
        <v>79</v>
      </c>
      <c r="B21" s="218" t="s">
        <v>289</v>
      </c>
      <c r="C21" s="196">
        <v>124</v>
      </c>
      <c r="D21" s="196">
        <v>0</v>
      </c>
      <c r="E21" s="197"/>
      <c r="F21" s="197"/>
      <c r="H21" s="181"/>
    </row>
    <row r="22" spans="1:8" hidden="1">
      <c r="A22" s="198" t="s">
        <v>80</v>
      </c>
      <c r="B22" s="218" t="s">
        <v>290</v>
      </c>
      <c r="C22" s="196">
        <v>72.7</v>
      </c>
      <c r="D22" s="196">
        <v>0</v>
      </c>
      <c r="E22" s="197"/>
      <c r="F22" s="197"/>
      <c r="H22" s="181"/>
    </row>
    <row r="23" spans="1:8" hidden="1">
      <c r="A23" s="199" t="s">
        <v>67</v>
      </c>
      <c r="B23" s="229" t="s">
        <v>291</v>
      </c>
      <c r="C23" s="200">
        <v>354.9</v>
      </c>
      <c r="D23" s="200">
        <v>365.6</v>
      </c>
      <c r="E23" s="201"/>
      <c r="F23" s="201"/>
      <c r="H23" s="181"/>
    </row>
    <row r="24" spans="1:8" hidden="1">
      <c r="A24" s="202" t="s">
        <v>81</v>
      </c>
      <c r="B24" s="230"/>
      <c r="C24" s="193"/>
      <c r="D24" s="193"/>
      <c r="E24" s="194">
        <f>SUM(C24:C26)</f>
        <v>1051.8</v>
      </c>
      <c r="F24" s="194">
        <f>SUM(D24:D26)</f>
        <v>900</v>
      </c>
      <c r="H24" s="181"/>
    </row>
    <row r="25" spans="1:8" hidden="1">
      <c r="A25" s="198" t="s">
        <v>82</v>
      </c>
      <c r="B25" s="218" t="s">
        <v>292</v>
      </c>
      <c r="C25" s="196">
        <v>151.80000000000001</v>
      </c>
      <c r="D25" s="196">
        <v>0</v>
      </c>
      <c r="E25" s="197"/>
      <c r="F25" s="197"/>
      <c r="H25" s="181"/>
    </row>
    <row r="26" spans="1:8" hidden="1">
      <c r="A26" s="199" t="s">
        <v>83</v>
      </c>
      <c r="B26" s="231" t="s">
        <v>293</v>
      </c>
      <c r="C26" s="200">
        <v>900</v>
      </c>
      <c r="D26" s="200">
        <v>900</v>
      </c>
      <c r="E26" s="201"/>
      <c r="F26" s="201"/>
      <c r="H26" s="181"/>
    </row>
    <row r="27" spans="1:8" hidden="1">
      <c r="A27" s="202" t="s">
        <v>84</v>
      </c>
      <c r="B27" s="232"/>
      <c r="C27" s="193"/>
      <c r="D27" s="193"/>
      <c r="E27" s="194">
        <f>SUM(C27:C72)</f>
        <v>4804.3000000000011</v>
      </c>
      <c r="F27" s="194">
        <f>SUM(D27:D72)</f>
        <v>0</v>
      </c>
      <c r="H27" s="181"/>
    </row>
    <row r="28" spans="1:8" hidden="1">
      <c r="A28" s="198" t="s">
        <v>85</v>
      </c>
      <c r="B28" s="218" t="s">
        <v>294</v>
      </c>
      <c r="C28" s="196">
        <v>-42.3</v>
      </c>
      <c r="D28" s="196">
        <v>0</v>
      </c>
      <c r="E28" s="197"/>
      <c r="F28" s="197"/>
      <c r="H28" s="181"/>
    </row>
    <row r="29" spans="1:8" hidden="1">
      <c r="A29" s="198" t="s">
        <v>86</v>
      </c>
      <c r="B29" s="218" t="s">
        <v>295</v>
      </c>
      <c r="C29" s="196">
        <v>-26.9</v>
      </c>
      <c r="D29" s="196">
        <v>0</v>
      </c>
      <c r="E29" s="197"/>
      <c r="F29" s="197"/>
      <c r="H29" s="181"/>
    </row>
    <row r="30" spans="1:8" hidden="1">
      <c r="A30" s="198" t="s">
        <v>87</v>
      </c>
      <c r="B30" s="218" t="s">
        <v>296</v>
      </c>
      <c r="C30" s="196">
        <v>-24.3</v>
      </c>
      <c r="D30" s="196">
        <v>0</v>
      </c>
      <c r="E30" s="197"/>
      <c r="F30" s="197"/>
      <c r="H30" s="181"/>
    </row>
    <row r="31" spans="1:8" hidden="1">
      <c r="A31" s="198" t="s">
        <v>88</v>
      </c>
      <c r="B31" s="218" t="s">
        <v>297</v>
      </c>
      <c r="C31" s="196">
        <v>-8.8000000000000007</v>
      </c>
      <c r="D31" s="196">
        <v>0</v>
      </c>
      <c r="E31" s="197"/>
      <c r="F31" s="197"/>
      <c r="H31" s="181"/>
    </row>
    <row r="32" spans="1:8" hidden="1">
      <c r="A32" s="198" t="s">
        <v>89</v>
      </c>
      <c r="B32" s="218" t="s">
        <v>298</v>
      </c>
      <c r="C32" s="196">
        <v>-88.4</v>
      </c>
      <c r="D32" s="196">
        <v>0</v>
      </c>
      <c r="E32" s="197"/>
      <c r="F32" s="197"/>
      <c r="H32" s="181"/>
    </row>
    <row r="33" spans="1:8" hidden="1">
      <c r="A33" s="198" t="s">
        <v>90</v>
      </c>
      <c r="B33" s="218" t="s">
        <v>299</v>
      </c>
      <c r="C33" s="196">
        <v>-45.1</v>
      </c>
      <c r="D33" s="196">
        <v>0</v>
      </c>
      <c r="E33" s="197"/>
      <c r="F33" s="197"/>
      <c r="H33" s="181"/>
    </row>
    <row r="34" spans="1:8" hidden="1">
      <c r="A34" s="198" t="s">
        <v>91</v>
      </c>
      <c r="B34" s="218" t="s">
        <v>300</v>
      </c>
      <c r="C34" s="196">
        <v>-50</v>
      </c>
      <c r="D34" s="196">
        <v>0</v>
      </c>
      <c r="E34" s="197"/>
      <c r="F34" s="197"/>
      <c r="H34" s="181"/>
    </row>
    <row r="35" spans="1:8" hidden="1">
      <c r="A35" s="198" t="s">
        <v>92</v>
      </c>
      <c r="B35" s="218" t="s">
        <v>301</v>
      </c>
      <c r="C35" s="196">
        <v>2000</v>
      </c>
      <c r="D35" s="196">
        <v>0</v>
      </c>
      <c r="E35" s="197"/>
      <c r="F35" s="197"/>
      <c r="H35" s="181"/>
    </row>
    <row r="36" spans="1:8" hidden="1">
      <c r="A36" s="198" t="s">
        <v>93</v>
      </c>
      <c r="B36" s="218" t="s">
        <v>302</v>
      </c>
      <c r="C36" s="196">
        <v>364.7</v>
      </c>
      <c r="D36" s="196">
        <v>0</v>
      </c>
      <c r="E36" s="197"/>
      <c r="F36" s="197"/>
      <c r="H36" s="181"/>
    </row>
    <row r="37" spans="1:8" hidden="1">
      <c r="A37" s="198" t="s">
        <v>94</v>
      </c>
      <c r="B37" s="218" t="s">
        <v>303</v>
      </c>
      <c r="C37" s="196">
        <v>823.7</v>
      </c>
      <c r="D37" s="196">
        <v>0</v>
      </c>
      <c r="E37" s="197"/>
      <c r="F37" s="197"/>
      <c r="H37" s="181"/>
    </row>
    <row r="38" spans="1:8" hidden="1">
      <c r="A38" s="198" t="s">
        <v>95</v>
      </c>
      <c r="B38" s="218" t="s">
        <v>304</v>
      </c>
      <c r="C38" s="196">
        <v>-86.1</v>
      </c>
      <c r="D38" s="196">
        <v>0</v>
      </c>
      <c r="E38" s="197"/>
      <c r="F38" s="197"/>
      <c r="H38" s="181"/>
    </row>
    <row r="39" spans="1:8" hidden="1">
      <c r="A39" s="198" t="s">
        <v>96</v>
      </c>
      <c r="B39" s="218" t="s">
        <v>305</v>
      </c>
      <c r="C39" s="196">
        <v>-85.7</v>
      </c>
      <c r="D39" s="196">
        <v>0</v>
      </c>
      <c r="E39" s="197"/>
      <c r="F39" s="197"/>
      <c r="H39" s="181"/>
    </row>
    <row r="40" spans="1:8" hidden="1">
      <c r="A40" s="198" t="s">
        <v>97</v>
      </c>
      <c r="B40" s="218" t="s">
        <v>306</v>
      </c>
      <c r="C40" s="196">
        <v>-47.7</v>
      </c>
      <c r="D40" s="196">
        <v>0</v>
      </c>
      <c r="E40" s="197"/>
      <c r="F40" s="197"/>
      <c r="H40" s="181"/>
    </row>
    <row r="41" spans="1:8" hidden="1">
      <c r="A41" s="198" t="s">
        <v>98</v>
      </c>
      <c r="B41" s="218" t="s">
        <v>307</v>
      </c>
      <c r="C41" s="196">
        <v>474.5</v>
      </c>
      <c r="D41" s="196">
        <v>0</v>
      </c>
      <c r="E41" s="197"/>
      <c r="F41" s="197"/>
      <c r="H41" s="181"/>
    </row>
    <row r="42" spans="1:8" hidden="1">
      <c r="A42" s="198" t="s">
        <v>99</v>
      </c>
      <c r="B42" s="218" t="s">
        <v>308</v>
      </c>
      <c r="C42" s="196">
        <v>102</v>
      </c>
      <c r="D42" s="196">
        <v>0</v>
      </c>
      <c r="E42" s="197"/>
      <c r="F42" s="197"/>
      <c r="H42" s="181"/>
    </row>
    <row r="43" spans="1:8" hidden="1">
      <c r="A43" s="198" t="s">
        <v>100</v>
      </c>
      <c r="B43" s="218" t="s">
        <v>309</v>
      </c>
      <c r="C43" s="196">
        <v>182.3</v>
      </c>
      <c r="D43" s="196">
        <v>0</v>
      </c>
      <c r="E43" s="197"/>
      <c r="F43" s="197"/>
      <c r="H43" s="181"/>
    </row>
    <row r="44" spans="1:8" hidden="1">
      <c r="A44" s="198" t="s">
        <v>101</v>
      </c>
      <c r="B44" s="218" t="s">
        <v>310</v>
      </c>
      <c r="C44" s="196">
        <v>154</v>
      </c>
      <c r="D44" s="196">
        <v>0</v>
      </c>
      <c r="E44" s="197"/>
      <c r="F44" s="197"/>
      <c r="H44" s="181"/>
    </row>
    <row r="45" spans="1:8" hidden="1">
      <c r="A45" s="198" t="s">
        <v>102</v>
      </c>
      <c r="B45" s="218" t="s">
        <v>311</v>
      </c>
      <c r="C45" s="196">
        <v>42.3</v>
      </c>
      <c r="D45" s="196">
        <v>0</v>
      </c>
      <c r="E45" s="197"/>
      <c r="F45" s="197"/>
      <c r="H45" s="181"/>
    </row>
    <row r="46" spans="1:8" hidden="1">
      <c r="A46" s="198" t="s">
        <v>103</v>
      </c>
      <c r="B46" s="218" t="s">
        <v>312</v>
      </c>
      <c r="C46" s="196">
        <v>82.6</v>
      </c>
      <c r="D46" s="196">
        <v>0</v>
      </c>
      <c r="E46" s="197"/>
      <c r="F46" s="197"/>
      <c r="H46" s="181"/>
    </row>
    <row r="47" spans="1:8" hidden="1">
      <c r="A47" s="198" t="s">
        <v>104</v>
      </c>
      <c r="B47" s="218" t="s">
        <v>313</v>
      </c>
      <c r="C47" s="196">
        <v>44.6</v>
      </c>
      <c r="D47" s="196">
        <v>0</v>
      </c>
      <c r="E47" s="197"/>
      <c r="F47" s="197"/>
      <c r="H47" s="181"/>
    </row>
    <row r="48" spans="1:8" hidden="1">
      <c r="A48" s="198" t="s">
        <v>105</v>
      </c>
      <c r="B48" s="218" t="s">
        <v>314</v>
      </c>
      <c r="C48" s="196">
        <v>27.8</v>
      </c>
      <c r="D48" s="196">
        <v>0</v>
      </c>
      <c r="E48" s="197"/>
      <c r="F48" s="197"/>
      <c r="H48" s="181"/>
    </row>
    <row r="49" spans="1:8" hidden="1">
      <c r="A49" s="198" t="s">
        <v>106</v>
      </c>
      <c r="B49" s="218" t="s">
        <v>315</v>
      </c>
      <c r="C49" s="196">
        <v>26.9</v>
      </c>
      <c r="D49" s="196">
        <v>0</v>
      </c>
      <c r="E49" s="197"/>
      <c r="F49" s="197"/>
      <c r="H49" s="181"/>
    </row>
    <row r="50" spans="1:8" hidden="1">
      <c r="A50" s="198" t="s">
        <v>87</v>
      </c>
      <c r="B50" s="218" t="s">
        <v>316</v>
      </c>
      <c r="C50" s="196">
        <v>24.3</v>
      </c>
      <c r="D50" s="196">
        <v>0</v>
      </c>
      <c r="E50" s="197"/>
      <c r="F50" s="197"/>
      <c r="H50" s="181"/>
    </row>
    <row r="51" spans="1:8" hidden="1">
      <c r="A51" s="198" t="s">
        <v>107</v>
      </c>
      <c r="B51" s="218" t="s">
        <v>317</v>
      </c>
      <c r="C51" s="196">
        <v>20.6</v>
      </c>
      <c r="D51" s="196">
        <v>0</v>
      </c>
      <c r="E51" s="197"/>
      <c r="F51" s="197"/>
      <c r="H51" s="181"/>
    </row>
    <row r="52" spans="1:8" hidden="1">
      <c r="A52" s="198" t="s">
        <v>88</v>
      </c>
      <c r="B52" s="218" t="s">
        <v>318</v>
      </c>
      <c r="C52" s="196">
        <v>8.8000000000000007</v>
      </c>
      <c r="D52" s="196">
        <v>0</v>
      </c>
      <c r="E52" s="197"/>
      <c r="F52" s="197"/>
      <c r="H52" s="181"/>
    </row>
    <row r="53" spans="1:8" hidden="1">
      <c r="A53" s="198" t="s">
        <v>108</v>
      </c>
      <c r="B53" s="218" t="s">
        <v>319</v>
      </c>
      <c r="C53" s="196">
        <v>7</v>
      </c>
      <c r="D53" s="196">
        <v>0</v>
      </c>
      <c r="E53" s="197"/>
      <c r="F53" s="197"/>
      <c r="H53" s="181"/>
    </row>
    <row r="54" spans="1:8" hidden="1">
      <c r="A54" s="198" t="s">
        <v>109</v>
      </c>
      <c r="B54" s="218" t="s">
        <v>320</v>
      </c>
      <c r="C54" s="196">
        <v>120</v>
      </c>
      <c r="D54" s="196">
        <v>0</v>
      </c>
      <c r="E54" s="197"/>
      <c r="F54" s="197"/>
      <c r="H54" s="181"/>
    </row>
    <row r="55" spans="1:8" hidden="1">
      <c r="A55" s="198" t="s">
        <v>110</v>
      </c>
      <c r="B55" s="218" t="s">
        <v>321</v>
      </c>
      <c r="C55" s="196">
        <v>1</v>
      </c>
      <c r="D55" s="196">
        <v>0</v>
      </c>
      <c r="E55" s="197"/>
      <c r="F55" s="197"/>
      <c r="H55" s="181"/>
    </row>
    <row r="56" spans="1:8" hidden="1">
      <c r="A56" s="198" t="s">
        <v>111</v>
      </c>
      <c r="B56" s="218" t="s">
        <v>322</v>
      </c>
      <c r="C56" s="196">
        <v>7.6</v>
      </c>
      <c r="D56" s="196">
        <v>0</v>
      </c>
      <c r="E56" s="197"/>
      <c r="F56" s="197"/>
      <c r="H56" s="181"/>
    </row>
    <row r="57" spans="1:8" hidden="1">
      <c r="A57" s="198" t="s">
        <v>112</v>
      </c>
      <c r="B57" s="218" t="s">
        <v>323</v>
      </c>
      <c r="C57" s="196">
        <v>8.1999999999999993</v>
      </c>
      <c r="D57" s="196">
        <v>0</v>
      </c>
      <c r="E57" s="197"/>
      <c r="F57" s="197"/>
      <c r="H57" s="181"/>
    </row>
    <row r="58" spans="1:8" hidden="1">
      <c r="A58" s="198" t="s">
        <v>113</v>
      </c>
      <c r="B58" s="218" t="s">
        <v>324</v>
      </c>
      <c r="C58" s="196">
        <v>10.8</v>
      </c>
      <c r="D58" s="196">
        <v>0</v>
      </c>
      <c r="E58" s="197"/>
      <c r="F58" s="197"/>
      <c r="H58" s="181"/>
    </row>
    <row r="59" spans="1:8" hidden="1">
      <c r="A59" s="198" t="s">
        <v>114</v>
      </c>
      <c r="B59" s="218" t="s">
        <v>325</v>
      </c>
      <c r="C59" s="196">
        <v>11.2</v>
      </c>
      <c r="D59" s="196">
        <v>0</v>
      </c>
      <c r="E59" s="197"/>
      <c r="F59" s="197"/>
      <c r="H59" s="181"/>
    </row>
    <row r="60" spans="1:8" hidden="1">
      <c r="A60" s="198" t="s">
        <v>115</v>
      </c>
      <c r="B60" s="218" t="s">
        <v>326</v>
      </c>
      <c r="C60" s="196">
        <v>10</v>
      </c>
      <c r="D60" s="196">
        <v>0</v>
      </c>
      <c r="E60" s="197"/>
      <c r="F60" s="197"/>
      <c r="H60" s="181"/>
    </row>
    <row r="61" spans="1:8" hidden="1">
      <c r="A61" s="198" t="s">
        <v>116</v>
      </c>
      <c r="B61" s="218" t="s">
        <v>327</v>
      </c>
      <c r="C61" s="196">
        <v>9.5</v>
      </c>
      <c r="D61" s="196">
        <v>0</v>
      </c>
      <c r="E61" s="197"/>
      <c r="F61" s="197"/>
      <c r="H61" s="181"/>
    </row>
    <row r="62" spans="1:8" hidden="1">
      <c r="A62" s="198" t="s">
        <v>117</v>
      </c>
      <c r="B62" s="218" t="s">
        <v>328</v>
      </c>
      <c r="C62" s="196">
        <v>9</v>
      </c>
      <c r="D62" s="196">
        <v>0</v>
      </c>
      <c r="E62" s="197"/>
      <c r="F62" s="197"/>
      <c r="H62" s="181"/>
    </row>
    <row r="63" spans="1:8" hidden="1">
      <c r="A63" s="198" t="s">
        <v>118</v>
      </c>
      <c r="B63" s="218" t="s">
        <v>329</v>
      </c>
      <c r="C63" s="196">
        <v>6</v>
      </c>
      <c r="D63" s="196">
        <v>0</v>
      </c>
      <c r="E63" s="197"/>
      <c r="F63" s="197"/>
      <c r="H63" s="181"/>
    </row>
    <row r="64" spans="1:8" hidden="1">
      <c r="A64" s="198" t="s">
        <v>119</v>
      </c>
      <c r="B64" s="218" t="s">
        <v>330</v>
      </c>
      <c r="C64" s="196">
        <v>122.8</v>
      </c>
      <c r="D64" s="196">
        <v>0</v>
      </c>
      <c r="E64" s="197"/>
      <c r="F64" s="197"/>
      <c r="H64" s="181"/>
    </row>
    <row r="65" spans="1:8" hidden="1">
      <c r="A65" s="198" t="s">
        <v>89</v>
      </c>
      <c r="B65" s="218" t="s">
        <v>331</v>
      </c>
      <c r="C65" s="196">
        <v>88.4</v>
      </c>
      <c r="D65" s="196">
        <v>0</v>
      </c>
      <c r="E65" s="197"/>
      <c r="F65" s="197"/>
      <c r="H65" s="181"/>
    </row>
    <row r="66" spans="1:8" hidden="1">
      <c r="A66" s="198" t="s">
        <v>120</v>
      </c>
      <c r="B66" s="218" t="s">
        <v>332</v>
      </c>
      <c r="C66" s="196">
        <v>66.400000000000006</v>
      </c>
      <c r="D66" s="196">
        <v>0</v>
      </c>
      <c r="E66" s="197"/>
      <c r="F66" s="197"/>
      <c r="H66" s="181"/>
    </row>
    <row r="67" spans="1:8" ht="25.5" hidden="1">
      <c r="A67" s="198" t="s">
        <v>121</v>
      </c>
      <c r="B67" s="218" t="s">
        <v>333</v>
      </c>
      <c r="C67" s="196">
        <v>65.8</v>
      </c>
      <c r="D67" s="196">
        <v>0</v>
      </c>
      <c r="E67" s="197"/>
      <c r="F67" s="197"/>
      <c r="H67" s="181"/>
    </row>
    <row r="68" spans="1:8" hidden="1">
      <c r="A68" s="198" t="s">
        <v>122</v>
      </c>
      <c r="B68" s="218" t="s">
        <v>334</v>
      </c>
      <c r="C68" s="196">
        <v>83.3</v>
      </c>
      <c r="D68" s="196">
        <v>0</v>
      </c>
      <c r="E68" s="197"/>
      <c r="F68" s="197"/>
      <c r="H68" s="181"/>
    </row>
    <row r="69" spans="1:8" hidden="1">
      <c r="A69" s="198" t="s">
        <v>123</v>
      </c>
      <c r="B69" s="218" t="s">
        <v>327</v>
      </c>
      <c r="C69" s="196">
        <v>85.7</v>
      </c>
      <c r="D69" s="196">
        <v>0</v>
      </c>
      <c r="E69" s="197"/>
      <c r="F69" s="197"/>
      <c r="H69" s="181"/>
    </row>
    <row r="70" spans="1:8" hidden="1">
      <c r="A70" s="198" t="s">
        <v>124</v>
      </c>
      <c r="B70" s="218" t="s">
        <v>328</v>
      </c>
      <c r="C70" s="196">
        <v>47.7</v>
      </c>
      <c r="D70" s="196">
        <v>0</v>
      </c>
      <c r="E70" s="197"/>
      <c r="F70" s="197"/>
      <c r="H70" s="181"/>
    </row>
    <row r="71" spans="1:8" hidden="1">
      <c r="A71" s="198" t="s">
        <v>125</v>
      </c>
      <c r="B71" s="218" t="s">
        <v>335</v>
      </c>
      <c r="C71" s="196">
        <v>45.1</v>
      </c>
      <c r="D71" s="196">
        <v>0</v>
      </c>
      <c r="E71" s="197"/>
      <c r="F71" s="197"/>
      <c r="H71" s="181"/>
    </row>
    <row r="72" spans="1:8" hidden="1">
      <c r="A72" s="199" t="s">
        <v>126</v>
      </c>
      <c r="B72" s="229" t="s">
        <v>336</v>
      </c>
      <c r="C72" s="200">
        <v>125</v>
      </c>
      <c r="D72" s="200">
        <v>0</v>
      </c>
      <c r="E72" s="201"/>
      <c r="F72" s="201"/>
      <c r="H72" s="181"/>
    </row>
    <row r="73" spans="1:8" hidden="1">
      <c r="A73" s="202" t="s">
        <v>127</v>
      </c>
      <c r="B73" s="230"/>
      <c r="C73" s="193"/>
      <c r="D73" s="193"/>
      <c r="E73" s="194">
        <f>SUM(C73:C81)</f>
        <v>37677.9</v>
      </c>
      <c r="F73" s="194">
        <f>SUM(D73:D81)</f>
        <v>9737.7999999999993</v>
      </c>
      <c r="H73" s="181"/>
    </row>
    <row r="74" spans="1:8" hidden="1">
      <c r="A74" s="198" t="s">
        <v>128</v>
      </c>
      <c r="B74" s="218" t="s">
        <v>337</v>
      </c>
      <c r="C74" s="196">
        <v>0</v>
      </c>
      <c r="D74" s="196">
        <v>871</v>
      </c>
      <c r="E74" s="197"/>
      <c r="F74" s="197"/>
      <c r="H74" s="181"/>
    </row>
    <row r="75" spans="1:8" hidden="1">
      <c r="A75" s="198" t="s">
        <v>129</v>
      </c>
      <c r="B75" s="218" t="s">
        <v>338</v>
      </c>
      <c r="C75" s="196">
        <v>921</v>
      </c>
      <c r="D75" s="196">
        <v>1060</v>
      </c>
      <c r="E75" s="197"/>
      <c r="F75" s="197"/>
      <c r="H75" s="181"/>
    </row>
    <row r="76" spans="1:8" hidden="1">
      <c r="A76" s="198" t="s">
        <v>130</v>
      </c>
      <c r="B76" s="218" t="s">
        <v>339</v>
      </c>
      <c r="C76" s="196">
        <v>47.7</v>
      </c>
      <c r="D76" s="196">
        <v>0</v>
      </c>
      <c r="E76" s="197"/>
      <c r="F76" s="197"/>
      <c r="H76" s="181"/>
    </row>
    <row r="77" spans="1:8" hidden="1">
      <c r="A77" s="198" t="s">
        <v>131</v>
      </c>
      <c r="B77" s="218" t="s">
        <v>340</v>
      </c>
      <c r="C77" s="196">
        <v>206</v>
      </c>
      <c r="D77" s="196">
        <v>0</v>
      </c>
      <c r="E77" s="197"/>
      <c r="F77" s="197"/>
      <c r="H77" s="181"/>
    </row>
    <row r="78" spans="1:8" hidden="1">
      <c r="A78" s="198" t="s">
        <v>132</v>
      </c>
      <c r="B78" s="218" t="s">
        <v>341</v>
      </c>
      <c r="C78" s="196">
        <v>29981.200000000001</v>
      </c>
      <c r="D78" s="196">
        <v>0</v>
      </c>
      <c r="E78" s="197"/>
      <c r="F78" s="197"/>
      <c r="H78" s="181"/>
    </row>
    <row r="79" spans="1:8" hidden="1">
      <c r="A79" s="198" t="s">
        <v>133</v>
      </c>
      <c r="B79" s="218" t="s">
        <v>342</v>
      </c>
      <c r="C79" s="196">
        <v>0</v>
      </c>
      <c r="D79" s="196">
        <v>871</v>
      </c>
      <c r="E79" s="197"/>
      <c r="F79" s="197"/>
      <c r="H79" s="181"/>
    </row>
    <row r="80" spans="1:8" hidden="1">
      <c r="A80" s="198" t="s">
        <v>83</v>
      </c>
      <c r="B80" s="218" t="s">
        <v>343</v>
      </c>
      <c r="C80" s="196">
        <v>922</v>
      </c>
      <c r="D80" s="196">
        <v>935.8</v>
      </c>
      <c r="E80" s="197"/>
      <c r="F80" s="197"/>
      <c r="H80" s="181"/>
    </row>
    <row r="81" spans="1:8" hidden="1">
      <c r="A81" s="199" t="s">
        <v>134</v>
      </c>
      <c r="B81" s="231" t="s">
        <v>344</v>
      </c>
      <c r="C81" s="200">
        <v>5600</v>
      </c>
      <c r="D81" s="200">
        <v>6000</v>
      </c>
      <c r="E81" s="201"/>
      <c r="F81" s="201"/>
      <c r="H81" s="181"/>
    </row>
    <row r="82" spans="1:8" hidden="1">
      <c r="A82" s="202" t="s">
        <v>135</v>
      </c>
      <c r="B82" s="232"/>
      <c r="C82" s="193"/>
      <c r="D82" s="193"/>
      <c r="E82" s="194">
        <f>SUM(C82:C84)</f>
        <v>373</v>
      </c>
      <c r="F82" s="194">
        <f>SUM(D82:D84)</f>
        <v>257.10000000000002</v>
      </c>
      <c r="H82" s="181"/>
    </row>
    <row r="83" spans="1:8" hidden="1">
      <c r="A83" s="203" t="s">
        <v>136</v>
      </c>
      <c r="B83" s="218" t="s">
        <v>345</v>
      </c>
      <c r="C83" s="196">
        <v>122.3</v>
      </c>
      <c r="D83" s="196">
        <v>0</v>
      </c>
      <c r="E83" s="197"/>
      <c r="F83" s="197"/>
      <c r="H83" s="181"/>
    </row>
    <row r="84" spans="1:8" hidden="1">
      <c r="A84" s="204" t="s">
        <v>83</v>
      </c>
      <c r="B84" s="229" t="s">
        <v>346</v>
      </c>
      <c r="C84" s="200">
        <v>250.7</v>
      </c>
      <c r="D84" s="200">
        <v>257.10000000000002</v>
      </c>
      <c r="E84" s="201"/>
      <c r="F84" s="201"/>
      <c r="H84" s="181"/>
    </row>
    <row r="85" spans="1:8" hidden="1">
      <c r="A85" s="202" t="s">
        <v>137</v>
      </c>
      <c r="B85" s="230"/>
      <c r="C85" s="193"/>
      <c r="D85" s="193"/>
      <c r="E85" s="194">
        <f>SUM(C85:C95)</f>
        <v>-43078.1</v>
      </c>
      <c r="F85" s="194">
        <f>SUM(D85:D95)</f>
        <v>-56927.8</v>
      </c>
      <c r="H85" s="181"/>
    </row>
    <row r="86" spans="1:8" hidden="1">
      <c r="A86" s="198" t="s">
        <v>138</v>
      </c>
      <c r="B86" s="218" t="s">
        <v>347</v>
      </c>
      <c r="C86" s="196">
        <v>20800</v>
      </c>
      <c r="D86" s="196">
        <v>20800</v>
      </c>
      <c r="E86" s="197"/>
      <c r="F86" s="197"/>
      <c r="H86" s="181"/>
    </row>
    <row r="87" spans="1:8" hidden="1">
      <c r="A87" s="198" t="s">
        <v>139</v>
      </c>
      <c r="B87" s="218" t="s">
        <v>348</v>
      </c>
      <c r="C87" s="196">
        <v>-4363.8999999999996</v>
      </c>
      <c r="D87" s="196">
        <v>-8727.7999999999993</v>
      </c>
      <c r="E87" s="197"/>
      <c r="F87" s="197"/>
      <c r="H87" s="181"/>
    </row>
    <row r="88" spans="1:8" hidden="1">
      <c r="A88" s="198" t="s">
        <v>140</v>
      </c>
      <c r="B88" s="218" t="s">
        <v>349</v>
      </c>
      <c r="C88" s="196">
        <v>8085.8</v>
      </c>
      <c r="D88" s="196">
        <v>0</v>
      </c>
      <c r="E88" s="197"/>
      <c r="F88" s="197"/>
      <c r="H88" s="181"/>
    </row>
    <row r="89" spans="1:8" hidden="1">
      <c r="A89" s="198" t="s">
        <v>141</v>
      </c>
      <c r="B89" s="218" t="s">
        <v>350</v>
      </c>
      <c r="C89" s="196">
        <v>-158.5</v>
      </c>
      <c r="D89" s="196">
        <v>-158.5</v>
      </c>
      <c r="E89" s="197"/>
      <c r="F89" s="197"/>
      <c r="H89" s="181"/>
    </row>
    <row r="90" spans="1:8" hidden="1">
      <c r="A90" s="198" t="s">
        <v>142</v>
      </c>
      <c r="B90" s="218" t="s">
        <v>351</v>
      </c>
      <c r="C90" s="196">
        <v>-79.599999999999994</v>
      </c>
      <c r="D90" s="196">
        <v>-79.599999999999994</v>
      </c>
      <c r="E90" s="197"/>
      <c r="F90" s="197"/>
      <c r="H90" s="181"/>
    </row>
    <row r="91" spans="1:8" hidden="1">
      <c r="A91" s="198" t="s">
        <v>143</v>
      </c>
      <c r="B91" s="218" t="s">
        <v>352</v>
      </c>
      <c r="C91" s="196">
        <v>-69000</v>
      </c>
      <c r="D91" s="196">
        <v>-69000</v>
      </c>
      <c r="E91" s="197"/>
      <c r="F91" s="197"/>
      <c r="H91" s="181"/>
    </row>
    <row r="92" spans="1:8" hidden="1">
      <c r="A92" s="198" t="s">
        <v>144</v>
      </c>
      <c r="B92" s="218" t="s">
        <v>353</v>
      </c>
      <c r="C92" s="196">
        <v>158.5</v>
      </c>
      <c r="D92" s="196">
        <v>158.5</v>
      </c>
      <c r="E92" s="197"/>
      <c r="F92" s="197"/>
      <c r="H92" s="181"/>
    </row>
    <row r="93" spans="1:8" hidden="1">
      <c r="A93" s="198" t="s">
        <v>145</v>
      </c>
      <c r="B93" s="218" t="s">
        <v>354</v>
      </c>
      <c r="C93" s="196">
        <v>79.599999999999994</v>
      </c>
      <c r="D93" s="196">
        <v>79.599999999999994</v>
      </c>
      <c r="E93" s="197"/>
      <c r="F93" s="197"/>
      <c r="H93" s="181"/>
    </row>
    <row r="94" spans="1:8" hidden="1">
      <c r="A94" s="198" t="s">
        <v>146</v>
      </c>
      <c r="B94" s="218" t="s">
        <v>355</v>
      </c>
      <c r="C94" s="196">
        <v>1200</v>
      </c>
      <c r="D94" s="196">
        <v>0</v>
      </c>
      <c r="E94" s="197"/>
      <c r="F94" s="197"/>
      <c r="H94" s="181"/>
    </row>
    <row r="95" spans="1:8" hidden="1">
      <c r="A95" s="199" t="s">
        <v>147</v>
      </c>
      <c r="B95" s="231" t="s">
        <v>356</v>
      </c>
      <c r="C95" s="200">
        <v>200</v>
      </c>
      <c r="D95" s="200">
        <v>0</v>
      </c>
      <c r="E95" s="201"/>
      <c r="F95" s="201"/>
      <c r="H95" s="181"/>
    </row>
    <row r="96" spans="1:8" hidden="1">
      <c r="A96" s="202" t="s">
        <v>148</v>
      </c>
      <c r="B96" s="232"/>
      <c r="C96" s="193"/>
      <c r="D96" s="193"/>
      <c r="E96" s="194">
        <f>C97</f>
        <v>534.9</v>
      </c>
      <c r="F96" s="194">
        <f>D97</f>
        <v>545.6</v>
      </c>
      <c r="H96" s="181"/>
    </row>
    <row r="97" spans="1:8" hidden="1">
      <c r="A97" s="199" t="s">
        <v>83</v>
      </c>
      <c r="B97" s="229" t="s">
        <v>357</v>
      </c>
      <c r="C97" s="200">
        <v>534.9</v>
      </c>
      <c r="D97" s="200">
        <v>545.6</v>
      </c>
      <c r="E97" s="201"/>
      <c r="F97" s="201"/>
      <c r="H97" s="181"/>
    </row>
    <row r="98" spans="1:8" hidden="1">
      <c r="A98" s="202" t="s">
        <v>149</v>
      </c>
      <c r="B98" s="230"/>
      <c r="C98" s="193"/>
      <c r="D98" s="193"/>
      <c r="E98" s="194">
        <f>SUM(C98:C101)</f>
        <v>1841</v>
      </c>
      <c r="F98" s="194">
        <f>SUM(D98:D101)</f>
        <v>-630</v>
      </c>
      <c r="H98" s="181"/>
    </row>
    <row r="99" spans="1:8" hidden="1">
      <c r="A99" s="198" t="s">
        <v>150</v>
      </c>
      <c r="B99" s="218" t="s">
        <v>358</v>
      </c>
      <c r="C99" s="196">
        <v>429.2</v>
      </c>
      <c r="D99" s="196">
        <v>0</v>
      </c>
      <c r="E99" s="197"/>
      <c r="F99" s="197"/>
      <c r="H99" s="181"/>
    </row>
    <row r="100" spans="1:8" hidden="1">
      <c r="A100" s="198" t="s">
        <v>151</v>
      </c>
      <c r="B100" s="218" t="s">
        <v>359</v>
      </c>
      <c r="C100" s="196">
        <v>817.6</v>
      </c>
      <c r="D100" s="196">
        <v>-630</v>
      </c>
      <c r="E100" s="197"/>
      <c r="F100" s="197"/>
      <c r="H100" s="181"/>
    </row>
    <row r="101" spans="1:8" hidden="1">
      <c r="A101" s="199" t="s">
        <v>152</v>
      </c>
      <c r="B101" s="231" t="s">
        <v>360</v>
      </c>
      <c r="C101" s="200">
        <v>594.20000000000005</v>
      </c>
      <c r="D101" s="200">
        <v>0</v>
      </c>
      <c r="E101" s="201"/>
      <c r="F101" s="201"/>
      <c r="H101" s="181"/>
    </row>
    <row r="102" spans="1:8" hidden="1">
      <c r="A102" s="202" t="s">
        <v>153</v>
      </c>
      <c r="B102" s="232"/>
      <c r="C102" s="193"/>
      <c r="D102" s="193"/>
      <c r="E102" s="194">
        <f>C103</f>
        <v>532.4</v>
      </c>
      <c r="F102" s="194">
        <f>D103</f>
        <v>548.4</v>
      </c>
      <c r="H102" s="181"/>
    </row>
    <row r="103" spans="1:8" hidden="1">
      <c r="A103" s="199" t="s">
        <v>154</v>
      </c>
      <c r="B103" s="229" t="s">
        <v>361</v>
      </c>
      <c r="C103" s="200">
        <v>532.4</v>
      </c>
      <c r="D103" s="200">
        <v>548.4</v>
      </c>
      <c r="E103" s="201"/>
      <c r="F103" s="201"/>
      <c r="H103" s="181"/>
    </row>
    <row r="104" spans="1:8" hidden="1">
      <c r="A104" s="202" t="s">
        <v>155</v>
      </c>
      <c r="B104" s="230"/>
      <c r="C104" s="193"/>
      <c r="D104" s="193"/>
      <c r="E104" s="194">
        <f>SUM(C104:C107)</f>
        <v>141.49999999999994</v>
      </c>
      <c r="F104" s="194">
        <f>SUM(D104:D107)</f>
        <v>519.9</v>
      </c>
      <c r="H104" s="181"/>
    </row>
    <row r="105" spans="1:8" hidden="1">
      <c r="A105" s="198" t="s">
        <v>154</v>
      </c>
      <c r="B105" s="218" t="s">
        <v>362</v>
      </c>
      <c r="C105" s="196">
        <v>504.8</v>
      </c>
      <c r="D105" s="196">
        <v>519.9</v>
      </c>
      <c r="E105" s="197"/>
      <c r="F105" s="197"/>
      <c r="H105" s="181"/>
    </row>
    <row r="106" spans="1:8" hidden="1">
      <c r="A106" s="198" t="s">
        <v>156</v>
      </c>
      <c r="B106" s="218" t="s">
        <v>363</v>
      </c>
      <c r="C106" s="196">
        <v>26</v>
      </c>
      <c r="D106" s="196">
        <v>0</v>
      </c>
      <c r="E106" s="197"/>
      <c r="F106" s="197"/>
      <c r="H106" s="181"/>
    </row>
    <row r="107" spans="1:8" hidden="1">
      <c r="A107" s="199" t="s">
        <v>157</v>
      </c>
      <c r="B107" s="231" t="s">
        <v>364</v>
      </c>
      <c r="C107" s="200">
        <v>-389.3</v>
      </c>
      <c r="D107" s="200">
        <v>0</v>
      </c>
      <c r="E107" s="201"/>
      <c r="F107" s="201"/>
      <c r="H107" s="181"/>
    </row>
    <row r="108" spans="1:8" hidden="1">
      <c r="A108" s="202" t="s">
        <v>158</v>
      </c>
      <c r="B108" s="232"/>
      <c r="C108" s="193"/>
      <c r="D108" s="193"/>
      <c r="E108" s="194">
        <f>SUM(C108:C112)</f>
        <v>1054.5</v>
      </c>
      <c r="F108" s="194">
        <f>SUM(D108:D112)</f>
        <v>332.2</v>
      </c>
      <c r="H108" s="181"/>
    </row>
    <row r="109" spans="1:8" hidden="1">
      <c r="A109" s="198" t="s">
        <v>159</v>
      </c>
      <c r="B109" s="218" t="s">
        <v>365</v>
      </c>
      <c r="C109" s="196">
        <v>689</v>
      </c>
      <c r="D109" s="196">
        <v>0</v>
      </c>
      <c r="E109" s="197"/>
      <c r="F109" s="197"/>
      <c r="H109" s="181"/>
    </row>
    <row r="110" spans="1:8" hidden="1">
      <c r="A110" s="198" t="s">
        <v>160</v>
      </c>
      <c r="B110" s="218" t="s">
        <v>366</v>
      </c>
      <c r="C110" s="196">
        <v>100.6</v>
      </c>
      <c r="D110" s="196">
        <v>0</v>
      </c>
      <c r="E110" s="197"/>
      <c r="F110" s="197"/>
      <c r="H110" s="181"/>
    </row>
    <row r="111" spans="1:8" hidden="1">
      <c r="A111" s="198" t="s">
        <v>67</v>
      </c>
      <c r="B111" s="218" t="s">
        <v>367</v>
      </c>
      <c r="C111" s="196">
        <v>328.9</v>
      </c>
      <c r="D111" s="196">
        <v>332.2</v>
      </c>
      <c r="E111" s="197"/>
      <c r="F111" s="197"/>
      <c r="H111" s="181"/>
    </row>
    <row r="112" spans="1:8" hidden="1">
      <c r="A112" s="199" t="s">
        <v>161</v>
      </c>
      <c r="B112" s="229" t="s">
        <v>368</v>
      </c>
      <c r="C112" s="200">
        <v>-64</v>
      </c>
      <c r="D112" s="200">
        <v>0</v>
      </c>
      <c r="E112" s="201"/>
      <c r="F112" s="201"/>
      <c r="H112" s="181"/>
    </row>
    <row r="113" spans="1:8" hidden="1">
      <c r="A113" s="205" t="s">
        <v>162</v>
      </c>
      <c r="B113" s="230"/>
      <c r="C113" s="193"/>
      <c r="D113" s="193"/>
      <c r="E113" s="194">
        <f>SUM(C113:C116)</f>
        <v>76.5</v>
      </c>
      <c r="F113" s="194">
        <f>SUM(D113:D116)</f>
        <v>-342.1</v>
      </c>
      <c r="H113" s="181"/>
    </row>
    <row r="114" spans="1:8" hidden="1">
      <c r="A114" s="198" t="s">
        <v>154</v>
      </c>
      <c r="B114" s="218" t="s">
        <v>369</v>
      </c>
      <c r="C114" s="196">
        <v>195.1</v>
      </c>
      <c r="D114" s="196">
        <v>200.9</v>
      </c>
      <c r="E114" s="197"/>
      <c r="F114" s="197"/>
      <c r="H114" s="181"/>
    </row>
    <row r="115" spans="1:8" hidden="1">
      <c r="A115" s="198" t="s">
        <v>163</v>
      </c>
      <c r="B115" s="218" t="s">
        <v>370</v>
      </c>
      <c r="C115" s="196">
        <v>-118.6</v>
      </c>
      <c r="D115" s="196">
        <v>0</v>
      </c>
      <c r="E115" s="197"/>
      <c r="F115" s="197"/>
      <c r="H115" s="181"/>
    </row>
    <row r="116" spans="1:8" hidden="1">
      <c r="A116" s="206" t="s">
        <v>164</v>
      </c>
      <c r="B116" s="231" t="s">
        <v>371</v>
      </c>
      <c r="C116" s="200">
        <v>0</v>
      </c>
      <c r="D116" s="200">
        <v>-543</v>
      </c>
      <c r="E116" s="201"/>
      <c r="F116" s="201"/>
      <c r="H116" s="181"/>
    </row>
    <row r="117" spans="1:8" hidden="1">
      <c r="A117" s="202" t="s">
        <v>165</v>
      </c>
      <c r="B117" s="232"/>
      <c r="C117" s="193"/>
      <c r="D117" s="193"/>
      <c r="E117" s="194">
        <f>SUM(C117:C119)</f>
        <v>349.7</v>
      </c>
      <c r="F117" s="194">
        <f>SUM(D117:D119)</f>
        <v>-474.8</v>
      </c>
      <c r="H117" s="181"/>
    </row>
    <row r="118" spans="1:8" ht="25.5" hidden="1">
      <c r="A118" s="198" t="s">
        <v>166</v>
      </c>
      <c r="B118" s="218" t="s">
        <v>372</v>
      </c>
      <c r="C118" s="196">
        <v>325</v>
      </c>
      <c r="D118" s="196">
        <v>-500</v>
      </c>
      <c r="E118" s="197"/>
      <c r="F118" s="197"/>
      <c r="H118" s="181"/>
    </row>
    <row r="119" spans="1:8" hidden="1">
      <c r="A119" s="198" t="s">
        <v>83</v>
      </c>
      <c r="B119" s="218" t="s">
        <v>373</v>
      </c>
      <c r="C119" s="196">
        <v>24.7</v>
      </c>
      <c r="D119" s="196">
        <v>25.2</v>
      </c>
      <c r="E119" s="197"/>
      <c r="F119" s="197"/>
      <c r="H119" s="181"/>
    </row>
    <row r="120" spans="1:8" hidden="1">
      <c r="A120" s="199"/>
      <c r="B120" s="229"/>
      <c r="C120" s="200"/>
      <c r="D120" s="200"/>
      <c r="E120" s="201"/>
      <c r="F120" s="201"/>
      <c r="H120" s="181"/>
    </row>
    <row r="121" spans="1:8" hidden="1">
      <c r="A121" s="202" t="s">
        <v>167</v>
      </c>
      <c r="B121" s="230"/>
      <c r="C121" s="193">
        <v>7745</v>
      </c>
      <c r="D121" s="193">
        <v>0</v>
      </c>
      <c r="E121" s="194">
        <f>C121</f>
        <v>7745</v>
      </c>
      <c r="F121" s="194">
        <f>D121</f>
        <v>0</v>
      </c>
      <c r="H121" s="181"/>
    </row>
    <row r="122" spans="1:8" hidden="1">
      <c r="A122" s="207"/>
      <c r="B122" s="231"/>
      <c r="C122" s="200"/>
      <c r="D122" s="200"/>
      <c r="E122" s="201"/>
      <c r="F122" s="201"/>
      <c r="H122" s="181"/>
    </row>
    <row r="123" spans="1:8" hidden="1">
      <c r="A123" s="202" t="s">
        <v>168</v>
      </c>
      <c r="B123" s="232"/>
      <c r="C123" s="193"/>
      <c r="D123" s="193"/>
      <c r="E123" s="194">
        <f>SUM(C123:C129)</f>
        <v>1003.8</v>
      </c>
      <c r="F123" s="194">
        <f>SUM(D123:D129)</f>
        <v>992.8</v>
      </c>
      <c r="H123" s="181"/>
    </row>
    <row r="124" spans="1:8" hidden="1">
      <c r="A124" s="198" t="s">
        <v>169</v>
      </c>
      <c r="B124" s="218" t="s">
        <v>374</v>
      </c>
      <c r="C124" s="196">
        <v>-36.6</v>
      </c>
      <c r="D124" s="196">
        <v>0</v>
      </c>
      <c r="E124" s="197"/>
      <c r="F124" s="197"/>
      <c r="H124" s="181"/>
    </row>
    <row r="125" spans="1:8" hidden="1">
      <c r="A125" s="198" t="s">
        <v>170</v>
      </c>
      <c r="B125" s="218" t="s">
        <v>375</v>
      </c>
      <c r="C125" s="196">
        <v>36.6</v>
      </c>
      <c r="D125" s="196">
        <v>0</v>
      </c>
      <c r="E125" s="197"/>
      <c r="F125" s="197"/>
      <c r="H125" s="181"/>
    </row>
    <row r="126" spans="1:8" hidden="1">
      <c r="A126" s="198" t="s">
        <v>171</v>
      </c>
      <c r="B126" s="218" t="s">
        <v>376</v>
      </c>
      <c r="C126" s="196">
        <v>11</v>
      </c>
      <c r="D126" s="196">
        <v>0</v>
      </c>
      <c r="E126" s="197"/>
      <c r="F126" s="197"/>
      <c r="H126" s="181"/>
    </row>
    <row r="127" spans="1:8" hidden="1">
      <c r="A127" s="198" t="s">
        <v>83</v>
      </c>
      <c r="B127" s="218" t="s">
        <v>377</v>
      </c>
      <c r="C127" s="196">
        <v>775.3</v>
      </c>
      <c r="D127" s="196">
        <v>775.3</v>
      </c>
      <c r="E127" s="197"/>
      <c r="F127" s="197"/>
      <c r="H127" s="181"/>
    </row>
    <row r="128" spans="1:8" hidden="1">
      <c r="A128" s="198" t="s">
        <v>172</v>
      </c>
      <c r="B128" s="218" t="s">
        <v>378</v>
      </c>
      <c r="C128" s="196">
        <v>117.5</v>
      </c>
      <c r="D128" s="196">
        <v>117.5</v>
      </c>
      <c r="E128" s="197"/>
      <c r="F128" s="197"/>
      <c r="H128" s="181"/>
    </row>
    <row r="129" spans="1:8" hidden="1">
      <c r="A129" s="199" t="s">
        <v>173</v>
      </c>
      <c r="B129" s="229" t="s">
        <v>379</v>
      </c>
      <c r="C129" s="200">
        <v>100</v>
      </c>
      <c r="D129" s="200">
        <v>100</v>
      </c>
      <c r="E129" s="201"/>
      <c r="F129" s="201"/>
      <c r="H129" s="181"/>
    </row>
    <row r="130" spans="1:8" hidden="1">
      <c r="A130" s="202" t="s">
        <v>174</v>
      </c>
      <c r="B130" s="230" t="s">
        <v>18</v>
      </c>
      <c r="C130" s="193"/>
      <c r="D130" s="193"/>
      <c r="E130" s="194">
        <f>SUM(C130:C132)</f>
        <v>49.4</v>
      </c>
      <c r="F130" s="194">
        <f>SUM(D130:D132)</f>
        <v>4.4000000000000004</v>
      </c>
      <c r="H130" s="181"/>
    </row>
    <row r="131" spans="1:8" hidden="1">
      <c r="A131" s="198" t="s">
        <v>175</v>
      </c>
      <c r="B131" s="218" t="s">
        <v>380</v>
      </c>
      <c r="C131" s="196">
        <v>45</v>
      </c>
      <c r="D131" s="196">
        <v>0</v>
      </c>
      <c r="E131" s="197"/>
      <c r="F131" s="197"/>
      <c r="H131" s="181"/>
    </row>
    <row r="132" spans="1:8" hidden="1">
      <c r="A132" s="199" t="s">
        <v>154</v>
      </c>
      <c r="B132" s="231" t="s">
        <v>381</v>
      </c>
      <c r="C132" s="200">
        <v>4.4000000000000004</v>
      </c>
      <c r="D132" s="200">
        <v>4.4000000000000004</v>
      </c>
      <c r="E132" s="201"/>
      <c r="F132" s="201"/>
      <c r="H132" s="181"/>
    </row>
    <row r="133" spans="1:8" hidden="1">
      <c r="A133" s="202" t="s">
        <v>176</v>
      </c>
      <c r="B133" s="232"/>
      <c r="C133" s="193"/>
      <c r="D133" s="193"/>
      <c r="E133" s="194">
        <f>SUM(C133:C143)</f>
        <v>928.3</v>
      </c>
      <c r="F133" s="194">
        <f>SUM(D133:D143)</f>
        <v>787</v>
      </c>
      <c r="H133" s="181"/>
    </row>
    <row r="134" spans="1:8" hidden="1">
      <c r="A134" s="198" t="s">
        <v>177</v>
      </c>
      <c r="B134" s="218" t="s">
        <v>382</v>
      </c>
      <c r="C134" s="196">
        <v>60.1</v>
      </c>
      <c r="D134" s="196">
        <v>0</v>
      </c>
      <c r="E134" s="197"/>
      <c r="F134" s="197"/>
      <c r="H134" s="181"/>
    </row>
    <row r="135" spans="1:8" hidden="1">
      <c r="A135" s="198" t="s">
        <v>178</v>
      </c>
      <c r="B135" s="218" t="s">
        <v>383</v>
      </c>
      <c r="C135" s="196">
        <v>14.5</v>
      </c>
      <c r="D135" s="196">
        <v>0</v>
      </c>
      <c r="E135" s="197"/>
      <c r="F135" s="197"/>
      <c r="H135" s="181"/>
    </row>
    <row r="136" spans="1:8" hidden="1">
      <c r="A136" s="198" t="s">
        <v>179</v>
      </c>
      <c r="B136" s="218" t="s">
        <v>384</v>
      </c>
      <c r="C136" s="196">
        <v>77.7</v>
      </c>
      <c r="D136" s="196">
        <v>0</v>
      </c>
      <c r="E136" s="197"/>
      <c r="F136" s="197"/>
      <c r="H136" s="181"/>
    </row>
    <row r="137" spans="1:8" hidden="1">
      <c r="A137" s="198" t="s">
        <v>178</v>
      </c>
      <c r="B137" s="218" t="s">
        <v>385</v>
      </c>
      <c r="C137" s="196">
        <v>46.3</v>
      </c>
      <c r="D137" s="196">
        <v>0</v>
      </c>
      <c r="E137" s="197"/>
      <c r="F137" s="197"/>
      <c r="H137" s="181"/>
    </row>
    <row r="138" spans="1:8" hidden="1">
      <c r="A138" s="198" t="s">
        <v>180</v>
      </c>
      <c r="B138" s="218" t="s">
        <v>386</v>
      </c>
      <c r="C138" s="196">
        <v>36.9</v>
      </c>
      <c r="D138" s="196">
        <v>0</v>
      </c>
      <c r="E138" s="197"/>
      <c r="F138" s="197"/>
      <c r="H138" s="181"/>
    </row>
    <row r="139" spans="1:8" hidden="1">
      <c r="A139" s="198" t="s">
        <v>181</v>
      </c>
      <c r="B139" s="218" t="s">
        <v>387</v>
      </c>
      <c r="C139" s="196">
        <v>15</v>
      </c>
      <c r="D139" s="196">
        <v>17</v>
      </c>
      <c r="E139" s="197"/>
      <c r="F139" s="197"/>
      <c r="H139" s="181"/>
    </row>
    <row r="140" spans="1:8" hidden="1">
      <c r="A140" s="198" t="s">
        <v>182</v>
      </c>
      <c r="B140" s="218" t="s">
        <v>388</v>
      </c>
      <c r="C140" s="196">
        <v>120.3</v>
      </c>
      <c r="D140" s="196">
        <v>94</v>
      </c>
      <c r="E140" s="197"/>
      <c r="F140" s="197"/>
      <c r="H140" s="181"/>
    </row>
    <row r="141" spans="1:8" hidden="1">
      <c r="A141" s="198" t="s">
        <v>183</v>
      </c>
      <c r="B141" s="218" t="s">
        <v>389</v>
      </c>
      <c r="C141" s="196">
        <v>15.5</v>
      </c>
      <c r="D141" s="196">
        <v>15</v>
      </c>
      <c r="E141" s="197"/>
      <c r="F141" s="197"/>
      <c r="H141" s="181"/>
    </row>
    <row r="142" spans="1:8" hidden="1">
      <c r="A142" s="198" t="s">
        <v>184</v>
      </c>
      <c r="B142" s="218" t="s">
        <v>390</v>
      </c>
      <c r="C142" s="196">
        <v>542</v>
      </c>
      <c r="D142" s="196">
        <v>661</v>
      </c>
      <c r="E142" s="197"/>
      <c r="F142" s="197"/>
      <c r="H142" s="181"/>
    </row>
    <row r="143" spans="1:8" hidden="1">
      <c r="A143" s="199"/>
      <c r="B143" s="229"/>
      <c r="C143" s="200">
        <v>0</v>
      </c>
      <c r="D143" s="200">
        <v>0</v>
      </c>
      <c r="E143" s="201"/>
      <c r="F143" s="201"/>
      <c r="H143" s="181"/>
    </row>
    <row r="144" spans="1:8" hidden="1">
      <c r="A144" s="202" t="s">
        <v>185</v>
      </c>
      <c r="B144" s="230"/>
      <c r="C144" s="193"/>
      <c r="D144" s="193"/>
      <c r="E144" s="194">
        <f>SUM(C144:C148)</f>
        <v>1246.2</v>
      </c>
      <c r="F144" s="194">
        <f>SUM(D144:D148)</f>
        <v>1388</v>
      </c>
      <c r="H144" s="181"/>
    </row>
    <row r="145" spans="1:8" hidden="1">
      <c r="A145" s="198" t="s">
        <v>186</v>
      </c>
      <c r="B145" s="218" t="s">
        <v>391</v>
      </c>
      <c r="C145" s="196">
        <v>110</v>
      </c>
      <c r="D145" s="196">
        <v>0</v>
      </c>
      <c r="E145" s="197"/>
      <c r="F145" s="197"/>
      <c r="H145" s="181"/>
    </row>
    <row r="146" spans="1:8" hidden="1">
      <c r="A146" s="198" t="s">
        <v>187</v>
      </c>
      <c r="B146" s="218" t="s">
        <v>392</v>
      </c>
      <c r="C146" s="196">
        <v>191.8</v>
      </c>
      <c r="D146" s="196">
        <v>0</v>
      </c>
      <c r="E146" s="197"/>
      <c r="F146" s="197"/>
      <c r="H146" s="181"/>
    </row>
    <row r="147" spans="1:8" hidden="1">
      <c r="A147" s="198" t="s">
        <v>83</v>
      </c>
      <c r="B147" s="218" t="s">
        <v>393</v>
      </c>
      <c r="C147" s="196">
        <v>774.4</v>
      </c>
      <c r="D147" s="196">
        <v>790</v>
      </c>
      <c r="E147" s="197"/>
      <c r="F147" s="197"/>
      <c r="H147" s="181"/>
    </row>
    <row r="148" spans="1:8" hidden="1">
      <c r="A148" s="199" t="s">
        <v>188</v>
      </c>
      <c r="B148" s="231" t="s">
        <v>394</v>
      </c>
      <c r="C148" s="200">
        <v>170</v>
      </c>
      <c r="D148" s="200">
        <v>598</v>
      </c>
      <c r="E148" s="201"/>
      <c r="F148" s="201"/>
      <c r="H148" s="181"/>
    </row>
    <row r="149" spans="1:8" hidden="1">
      <c r="A149" s="202" t="s">
        <v>189</v>
      </c>
      <c r="B149" s="232"/>
      <c r="C149" s="193"/>
      <c r="D149" s="193"/>
      <c r="E149" s="194">
        <f>C150</f>
        <v>143.4</v>
      </c>
      <c r="F149" s="194">
        <f>D150</f>
        <v>0</v>
      </c>
      <c r="H149" s="181"/>
    </row>
    <row r="150" spans="1:8" hidden="1">
      <c r="A150" s="204" t="s">
        <v>190</v>
      </c>
      <c r="B150" s="229" t="s">
        <v>395</v>
      </c>
      <c r="C150" s="200">
        <v>143.4</v>
      </c>
      <c r="D150" s="200">
        <v>0</v>
      </c>
      <c r="E150" s="201"/>
      <c r="F150" s="201"/>
      <c r="H150" s="181"/>
    </row>
    <row r="151" spans="1:8" hidden="1">
      <c r="A151" s="202" t="s">
        <v>191</v>
      </c>
      <c r="B151" s="230"/>
      <c r="C151" s="193"/>
      <c r="D151" s="193"/>
      <c r="E151" s="194">
        <f>SUM(C151:C165)</f>
        <v>1501.3000000000002</v>
      </c>
      <c r="F151" s="194">
        <f>SUM(D151:D165)</f>
        <v>707.7</v>
      </c>
      <c r="H151" s="181"/>
    </row>
    <row r="152" spans="1:8" hidden="1">
      <c r="A152" s="198" t="s">
        <v>192</v>
      </c>
      <c r="B152" s="218" t="s">
        <v>396</v>
      </c>
      <c r="C152" s="196">
        <v>45.9</v>
      </c>
      <c r="D152" s="196">
        <v>0</v>
      </c>
      <c r="E152" s="197"/>
      <c r="F152" s="197"/>
      <c r="H152" s="181"/>
    </row>
    <row r="153" spans="1:8" hidden="1">
      <c r="A153" s="198" t="s">
        <v>193</v>
      </c>
      <c r="B153" s="218" t="s">
        <v>397</v>
      </c>
      <c r="C153" s="196">
        <v>45.9</v>
      </c>
      <c r="D153" s="196">
        <v>0</v>
      </c>
      <c r="E153" s="197"/>
      <c r="F153" s="197"/>
      <c r="H153" s="181"/>
    </row>
    <row r="154" spans="1:8" hidden="1">
      <c r="A154" s="198" t="s">
        <v>194</v>
      </c>
      <c r="B154" s="218" t="s">
        <v>398</v>
      </c>
      <c r="C154" s="196">
        <v>45.9</v>
      </c>
      <c r="D154" s="196">
        <v>0</v>
      </c>
      <c r="E154" s="197"/>
      <c r="F154" s="197"/>
      <c r="H154" s="181"/>
    </row>
    <row r="155" spans="1:8" ht="25.5" hidden="1">
      <c r="A155" s="198" t="s">
        <v>195</v>
      </c>
      <c r="B155" s="218" t="s">
        <v>399</v>
      </c>
      <c r="C155" s="196">
        <v>45.9</v>
      </c>
      <c r="D155" s="196">
        <v>0</v>
      </c>
      <c r="E155" s="197"/>
      <c r="F155" s="197"/>
      <c r="H155" s="181"/>
    </row>
    <row r="156" spans="1:8" hidden="1">
      <c r="A156" s="198" t="s">
        <v>196</v>
      </c>
      <c r="B156" s="218" t="s">
        <v>400</v>
      </c>
      <c r="C156" s="196">
        <v>45.9</v>
      </c>
      <c r="D156" s="196">
        <v>0</v>
      </c>
      <c r="E156" s="197"/>
      <c r="F156" s="197"/>
      <c r="H156" s="181"/>
    </row>
    <row r="157" spans="1:8" hidden="1">
      <c r="A157" s="198" t="s">
        <v>197</v>
      </c>
      <c r="B157" s="218" t="s">
        <v>401</v>
      </c>
      <c r="C157" s="196">
        <v>37.1</v>
      </c>
      <c r="D157" s="196">
        <v>0</v>
      </c>
      <c r="E157" s="197"/>
      <c r="F157" s="197"/>
      <c r="H157" s="181"/>
    </row>
    <row r="158" spans="1:8" hidden="1">
      <c r="A158" s="198" t="s">
        <v>198</v>
      </c>
      <c r="B158" s="218" t="s">
        <v>402</v>
      </c>
      <c r="C158" s="196">
        <v>37.1</v>
      </c>
      <c r="D158" s="196">
        <v>0</v>
      </c>
      <c r="E158" s="197"/>
      <c r="F158" s="197"/>
      <c r="H158" s="181"/>
    </row>
    <row r="159" spans="1:8" hidden="1">
      <c r="A159" s="198" t="s">
        <v>199</v>
      </c>
      <c r="B159" s="218" t="s">
        <v>403</v>
      </c>
      <c r="C159" s="196">
        <v>74.3</v>
      </c>
      <c r="D159" s="196">
        <v>0</v>
      </c>
      <c r="E159" s="197"/>
      <c r="F159" s="197"/>
      <c r="H159" s="181"/>
    </row>
    <row r="160" spans="1:8" hidden="1">
      <c r="A160" s="198" t="s">
        <v>200</v>
      </c>
      <c r="B160" s="218" t="s">
        <v>404</v>
      </c>
      <c r="C160" s="196">
        <v>37.1</v>
      </c>
      <c r="D160" s="196">
        <v>0</v>
      </c>
      <c r="E160" s="197"/>
      <c r="F160" s="197"/>
      <c r="H160" s="181"/>
    </row>
    <row r="161" spans="1:8" hidden="1">
      <c r="A161" s="198" t="s">
        <v>201</v>
      </c>
      <c r="B161" s="218" t="s">
        <v>405</v>
      </c>
      <c r="C161" s="196">
        <v>259.7</v>
      </c>
      <c r="D161" s="196">
        <v>0</v>
      </c>
      <c r="E161" s="197"/>
      <c r="F161" s="197"/>
      <c r="H161" s="181"/>
    </row>
    <row r="162" spans="1:8" hidden="1">
      <c r="A162" s="198" t="s">
        <v>202</v>
      </c>
      <c r="B162" s="218" t="s">
        <v>406</v>
      </c>
      <c r="C162" s="196">
        <v>154.80000000000001</v>
      </c>
      <c r="D162" s="196">
        <v>0</v>
      </c>
      <c r="E162" s="197"/>
      <c r="F162" s="197"/>
      <c r="H162" s="181"/>
    </row>
    <row r="163" spans="1:8" hidden="1">
      <c r="A163" s="198" t="s">
        <v>203</v>
      </c>
      <c r="B163" s="218" t="s">
        <v>407</v>
      </c>
      <c r="C163" s="196">
        <v>111.4</v>
      </c>
      <c r="D163" s="196">
        <v>0</v>
      </c>
      <c r="E163" s="197"/>
      <c r="F163" s="197"/>
      <c r="H163" s="181"/>
    </row>
    <row r="164" spans="1:8" hidden="1">
      <c r="A164" s="198" t="s">
        <v>204</v>
      </c>
      <c r="B164" s="218" t="s">
        <v>408</v>
      </c>
      <c r="C164" s="196">
        <v>-135.4</v>
      </c>
      <c r="D164" s="196">
        <v>0</v>
      </c>
      <c r="E164" s="197"/>
      <c r="F164" s="197"/>
      <c r="H164" s="181"/>
    </row>
    <row r="165" spans="1:8" hidden="1">
      <c r="A165" s="199" t="s">
        <v>83</v>
      </c>
      <c r="B165" s="231" t="s">
        <v>409</v>
      </c>
      <c r="C165" s="200">
        <v>695.7</v>
      </c>
      <c r="D165" s="200">
        <v>707.7</v>
      </c>
      <c r="E165" s="201"/>
      <c r="F165" s="201"/>
      <c r="H165" s="181"/>
    </row>
    <row r="166" spans="1:8" hidden="1">
      <c r="A166" s="202" t="s">
        <v>205</v>
      </c>
      <c r="B166" s="232"/>
      <c r="C166" s="193"/>
      <c r="D166" s="193"/>
      <c r="E166" s="194">
        <f>SUM(C166:C171)</f>
        <v>322.2</v>
      </c>
      <c r="F166" s="194">
        <f>SUM(D166:D171)</f>
        <v>0</v>
      </c>
      <c r="H166" s="181"/>
    </row>
    <row r="167" spans="1:8" hidden="1">
      <c r="A167" s="198" t="s">
        <v>206</v>
      </c>
      <c r="B167" s="218" t="s">
        <v>410</v>
      </c>
      <c r="C167" s="196">
        <v>66.400000000000006</v>
      </c>
      <c r="D167" s="196">
        <v>0</v>
      </c>
      <c r="E167" s="197"/>
      <c r="F167" s="197"/>
      <c r="H167" s="181"/>
    </row>
    <row r="168" spans="1:8" hidden="1">
      <c r="A168" s="198" t="s">
        <v>207</v>
      </c>
      <c r="B168" s="218" t="s">
        <v>411</v>
      </c>
      <c r="C168" s="196">
        <v>114.3</v>
      </c>
      <c r="D168" s="196">
        <v>0</v>
      </c>
      <c r="E168" s="197"/>
      <c r="F168" s="197"/>
      <c r="H168" s="181"/>
    </row>
    <row r="169" spans="1:8" hidden="1">
      <c r="A169" s="198" t="s">
        <v>208</v>
      </c>
      <c r="B169" s="218" t="s">
        <v>412</v>
      </c>
      <c r="C169" s="196">
        <v>52.9</v>
      </c>
      <c r="D169" s="196">
        <v>0</v>
      </c>
      <c r="E169" s="197"/>
      <c r="F169" s="197"/>
      <c r="H169" s="181"/>
    </row>
    <row r="170" spans="1:8" hidden="1">
      <c r="A170" s="198" t="s">
        <v>209</v>
      </c>
      <c r="B170" s="218" t="s">
        <v>413</v>
      </c>
      <c r="C170" s="196">
        <v>46.6</v>
      </c>
      <c r="D170" s="196">
        <v>0</v>
      </c>
      <c r="E170" s="197"/>
      <c r="F170" s="197"/>
      <c r="H170" s="181"/>
    </row>
    <row r="171" spans="1:8" hidden="1">
      <c r="A171" s="199" t="s">
        <v>210</v>
      </c>
      <c r="B171" s="229" t="s">
        <v>414</v>
      </c>
      <c r="C171" s="200">
        <v>42</v>
      </c>
      <c r="D171" s="200">
        <v>0</v>
      </c>
      <c r="E171" s="201"/>
      <c r="F171" s="201"/>
      <c r="H171" s="181"/>
    </row>
    <row r="172" spans="1:8" hidden="1">
      <c r="A172" s="202" t="s">
        <v>211</v>
      </c>
      <c r="B172" s="230"/>
      <c r="C172" s="193"/>
      <c r="D172" s="193"/>
      <c r="E172" s="194">
        <f>SUM(C172:C177)</f>
        <v>3212.9</v>
      </c>
      <c r="F172" s="194">
        <f>SUM(D172:D177)</f>
        <v>265.8</v>
      </c>
      <c r="H172" s="181"/>
    </row>
    <row r="173" spans="1:8" hidden="1">
      <c r="A173" s="198" t="s">
        <v>212</v>
      </c>
      <c r="B173" s="218" t="s">
        <v>415</v>
      </c>
      <c r="C173" s="196">
        <v>1932.9</v>
      </c>
      <c r="D173" s="196">
        <v>265.8</v>
      </c>
      <c r="E173" s="197"/>
      <c r="F173" s="197"/>
      <c r="H173" s="181"/>
    </row>
    <row r="174" spans="1:8" hidden="1">
      <c r="A174" s="198" t="s">
        <v>213</v>
      </c>
      <c r="B174" s="218" t="s">
        <v>416</v>
      </c>
      <c r="C174" s="196">
        <v>893</v>
      </c>
      <c r="D174" s="196">
        <v>0</v>
      </c>
      <c r="E174" s="197"/>
      <c r="F174" s="197"/>
      <c r="H174" s="181"/>
    </row>
    <row r="175" spans="1:8" hidden="1">
      <c r="A175" s="198" t="s">
        <v>214</v>
      </c>
      <c r="B175" s="218" t="s">
        <v>417</v>
      </c>
      <c r="C175" s="196">
        <v>236</v>
      </c>
      <c r="D175" s="196">
        <v>0</v>
      </c>
      <c r="E175" s="197"/>
      <c r="F175" s="197"/>
      <c r="H175" s="181"/>
    </row>
    <row r="176" spans="1:8" hidden="1">
      <c r="A176" s="198" t="s">
        <v>215</v>
      </c>
      <c r="B176" s="218" t="s">
        <v>418</v>
      </c>
      <c r="C176" s="196">
        <v>0</v>
      </c>
      <c r="D176" s="196">
        <v>0</v>
      </c>
      <c r="E176" s="197"/>
      <c r="F176" s="197"/>
      <c r="H176" s="181"/>
    </row>
    <row r="177" spans="1:8" hidden="1">
      <c r="A177" s="198" t="s">
        <v>216</v>
      </c>
      <c r="B177" s="218" t="s">
        <v>419</v>
      </c>
      <c r="C177" s="196">
        <v>151</v>
      </c>
      <c r="D177" s="196">
        <v>0</v>
      </c>
      <c r="E177" s="197"/>
      <c r="F177" s="197"/>
      <c r="H177" s="181"/>
    </row>
    <row r="178" spans="1:8" hidden="1">
      <c r="A178" s="199"/>
      <c r="B178" s="231"/>
      <c r="C178" s="200"/>
      <c r="D178" s="200"/>
      <c r="E178" s="201"/>
      <c r="F178" s="201"/>
      <c r="H178" s="181"/>
    </row>
    <row r="179" spans="1:8" hidden="1">
      <c r="A179" s="202" t="s">
        <v>217</v>
      </c>
      <c r="B179" s="232"/>
      <c r="C179" s="193"/>
      <c r="D179" s="193"/>
      <c r="E179" s="194">
        <f>SUM(C179:C182)</f>
        <v>33</v>
      </c>
      <c r="F179" s="194">
        <f>SUM(D179:D182)</f>
        <v>0</v>
      </c>
      <c r="H179" s="181"/>
    </row>
    <row r="180" spans="1:8" hidden="1">
      <c r="A180" s="198" t="s">
        <v>218</v>
      </c>
      <c r="B180" s="218" t="s">
        <v>420</v>
      </c>
      <c r="C180" s="196">
        <v>27.5</v>
      </c>
      <c r="D180" s="196">
        <v>0</v>
      </c>
      <c r="E180" s="197"/>
      <c r="F180" s="197"/>
      <c r="H180" s="181"/>
    </row>
    <row r="181" spans="1:8" hidden="1">
      <c r="A181" s="198" t="s">
        <v>218</v>
      </c>
      <c r="B181" s="218" t="s">
        <v>421</v>
      </c>
      <c r="C181" s="196">
        <v>5.5</v>
      </c>
      <c r="D181" s="196">
        <v>0</v>
      </c>
      <c r="E181" s="197"/>
      <c r="F181" s="197"/>
      <c r="H181" s="181"/>
    </row>
    <row r="182" spans="1:8" hidden="1">
      <c r="A182" s="199"/>
      <c r="B182" s="229"/>
      <c r="C182" s="200">
        <v>0</v>
      </c>
      <c r="D182" s="200">
        <v>0</v>
      </c>
      <c r="E182" s="201"/>
      <c r="F182" s="201"/>
      <c r="H182" s="181"/>
    </row>
    <row r="183" spans="1:8" hidden="1">
      <c r="A183" s="202" t="s">
        <v>219</v>
      </c>
      <c r="B183" s="230"/>
      <c r="C183" s="193"/>
      <c r="D183" s="193"/>
      <c r="E183" s="194">
        <f>SUM(C183:C186)</f>
        <v>67.2</v>
      </c>
      <c r="F183" s="194">
        <f>SUM(D183:D186)</f>
        <v>59.900000000000006</v>
      </c>
      <c r="H183" s="181"/>
    </row>
    <row r="184" spans="1:8" hidden="1">
      <c r="A184" s="198" t="s">
        <v>220</v>
      </c>
      <c r="B184" s="218" t="s">
        <v>422</v>
      </c>
      <c r="C184" s="196">
        <v>0</v>
      </c>
      <c r="D184" s="196">
        <v>-9.6</v>
      </c>
      <c r="E184" s="197"/>
      <c r="F184" s="197"/>
      <c r="H184" s="181"/>
    </row>
    <row r="185" spans="1:8" hidden="1">
      <c r="A185" s="198" t="s">
        <v>83</v>
      </c>
      <c r="B185" s="218" t="s">
        <v>423</v>
      </c>
      <c r="C185" s="196">
        <v>63.2</v>
      </c>
      <c r="D185" s="196">
        <v>65.400000000000006</v>
      </c>
      <c r="E185" s="197"/>
      <c r="F185" s="197"/>
      <c r="H185" s="181"/>
    </row>
    <row r="186" spans="1:8" hidden="1">
      <c r="A186" s="199" t="s">
        <v>221</v>
      </c>
      <c r="B186" s="231" t="s">
        <v>424</v>
      </c>
      <c r="C186" s="200">
        <v>4</v>
      </c>
      <c r="D186" s="200">
        <v>4.0999999999999996</v>
      </c>
      <c r="E186" s="201"/>
      <c r="F186" s="201"/>
      <c r="H186" s="181"/>
    </row>
    <row r="187" spans="1:8" hidden="1">
      <c r="A187" s="208" t="s">
        <v>222</v>
      </c>
      <c r="B187" s="232"/>
      <c r="C187" s="196"/>
      <c r="D187" s="196"/>
      <c r="E187" s="197">
        <f>SUM(C188:C189)</f>
        <v>105.1</v>
      </c>
      <c r="F187" s="197">
        <f>SUM(D188:D189)</f>
        <v>45.400000000000006</v>
      </c>
      <c r="H187" s="181"/>
    </row>
    <row r="188" spans="1:8" hidden="1">
      <c r="A188" s="198" t="s">
        <v>220</v>
      </c>
      <c r="B188" s="218"/>
      <c r="C188" s="196">
        <v>0</v>
      </c>
      <c r="D188" s="196">
        <v>-62.5</v>
      </c>
      <c r="E188" s="197"/>
      <c r="F188" s="197"/>
      <c r="H188" s="181"/>
    </row>
    <row r="189" spans="1:8" hidden="1">
      <c r="A189" s="199" t="s">
        <v>223</v>
      </c>
      <c r="B189" s="229"/>
      <c r="C189" s="200">
        <v>105.1</v>
      </c>
      <c r="D189" s="200">
        <v>107.9</v>
      </c>
      <c r="E189" s="201"/>
      <c r="F189" s="201"/>
      <c r="H189" s="181"/>
    </row>
    <row r="190" spans="1:8" hidden="1">
      <c r="A190" s="202" t="s">
        <v>224</v>
      </c>
      <c r="B190" s="230"/>
      <c r="C190" s="193"/>
      <c r="D190" s="193"/>
      <c r="E190" s="194">
        <f>SUM(C190:C194)</f>
        <v>299.40000000000003</v>
      </c>
      <c r="F190" s="194">
        <f>SUM(D190:D194)</f>
        <v>32.5</v>
      </c>
      <c r="H190" s="181"/>
    </row>
    <row r="191" spans="1:8" hidden="1">
      <c r="A191" s="198" t="s">
        <v>225</v>
      </c>
      <c r="B191" s="218" t="s">
        <v>425</v>
      </c>
      <c r="C191" s="196">
        <v>279.10000000000002</v>
      </c>
      <c r="D191" s="196">
        <v>14</v>
      </c>
      <c r="E191" s="197"/>
      <c r="F191" s="197"/>
      <c r="H191" s="181"/>
    </row>
    <row r="192" spans="1:8" hidden="1">
      <c r="A192" s="198" t="s">
        <v>220</v>
      </c>
      <c r="B192" s="218" t="s">
        <v>426</v>
      </c>
      <c r="C192" s="196">
        <v>0</v>
      </c>
      <c r="D192" s="196">
        <v>-2.5</v>
      </c>
      <c r="E192" s="197"/>
      <c r="F192" s="197"/>
      <c r="H192" s="181"/>
    </row>
    <row r="193" spans="1:8" hidden="1">
      <c r="A193" s="198" t="s">
        <v>226</v>
      </c>
      <c r="B193" s="218" t="s">
        <v>427</v>
      </c>
      <c r="C193" s="196">
        <v>16.600000000000001</v>
      </c>
      <c r="D193" s="196">
        <v>17.2</v>
      </c>
      <c r="E193" s="197"/>
      <c r="F193" s="197"/>
      <c r="H193" s="181"/>
    </row>
    <row r="194" spans="1:8" hidden="1">
      <c r="A194" s="199" t="s">
        <v>227</v>
      </c>
      <c r="B194" s="231" t="s">
        <v>428</v>
      </c>
      <c r="C194" s="200">
        <v>3.7</v>
      </c>
      <c r="D194" s="200">
        <v>3.8</v>
      </c>
      <c r="E194" s="201"/>
      <c r="F194" s="201"/>
      <c r="H194" s="181"/>
    </row>
    <row r="195" spans="1:8" hidden="1">
      <c r="A195" s="202" t="s">
        <v>228</v>
      </c>
      <c r="B195" s="232"/>
      <c r="C195" s="193"/>
      <c r="D195" s="193"/>
      <c r="E195" s="194">
        <f>C196</f>
        <v>12</v>
      </c>
      <c r="F195" s="194">
        <f>D196</f>
        <v>11.9</v>
      </c>
      <c r="H195" s="181"/>
    </row>
    <row r="196" spans="1:8" hidden="1">
      <c r="A196" s="199" t="s">
        <v>226</v>
      </c>
      <c r="B196" s="229"/>
      <c r="C196" s="200">
        <v>12</v>
      </c>
      <c r="D196" s="200">
        <v>11.9</v>
      </c>
      <c r="E196" s="201"/>
      <c r="F196" s="201"/>
      <c r="H196" s="181"/>
    </row>
    <row r="197" spans="1:8" hidden="1">
      <c r="A197" s="202" t="s">
        <v>229</v>
      </c>
      <c r="B197" s="232"/>
      <c r="C197" s="193"/>
      <c r="D197" s="193"/>
      <c r="E197" s="194">
        <f>SUM(C197:C202)</f>
        <v>1398.1000000000001</v>
      </c>
      <c r="F197" s="194">
        <f>SUM(D197:D202)</f>
        <v>195</v>
      </c>
      <c r="H197" s="181"/>
    </row>
    <row r="198" spans="1:8" hidden="1">
      <c r="A198" s="198" t="s">
        <v>230</v>
      </c>
      <c r="B198" s="218" t="s">
        <v>429</v>
      </c>
      <c r="C198" s="196">
        <v>680.3</v>
      </c>
      <c r="D198" s="196">
        <v>0</v>
      </c>
      <c r="E198" s="197"/>
      <c r="F198" s="197"/>
      <c r="H198" s="181"/>
    </row>
    <row r="199" spans="1:8" hidden="1">
      <c r="A199" s="198" t="s">
        <v>231</v>
      </c>
      <c r="B199" s="218" t="s">
        <v>430</v>
      </c>
      <c r="C199" s="196">
        <v>60</v>
      </c>
      <c r="D199" s="196">
        <v>195</v>
      </c>
      <c r="E199" s="197"/>
      <c r="F199" s="197"/>
      <c r="H199" s="181"/>
    </row>
    <row r="200" spans="1:8" hidden="1">
      <c r="A200" s="198" t="s">
        <v>232</v>
      </c>
      <c r="B200" s="218" t="s">
        <v>431</v>
      </c>
      <c r="C200" s="196">
        <v>24.7</v>
      </c>
      <c r="D200" s="196">
        <v>0</v>
      </c>
      <c r="E200" s="197"/>
      <c r="F200" s="197"/>
      <c r="H200" s="181"/>
    </row>
    <row r="201" spans="1:8" hidden="1">
      <c r="A201" s="198" t="s">
        <v>233</v>
      </c>
      <c r="B201" s="218" t="s">
        <v>432</v>
      </c>
      <c r="C201" s="196">
        <v>1313.4</v>
      </c>
      <c r="D201" s="196">
        <v>0</v>
      </c>
      <c r="E201" s="197"/>
      <c r="F201" s="197"/>
      <c r="H201" s="181"/>
    </row>
    <row r="202" spans="1:8" hidden="1">
      <c r="A202" s="199" t="s">
        <v>234</v>
      </c>
      <c r="B202" s="229" t="s">
        <v>433</v>
      </c>
      <c r="C202" s="200">
        <v>-680.3</v>
      </c>
      <c r="D202" s="200">
        <v>0</v>
      </c>
      <c r="E202" s="201"/>
      <c r="F202" s="201"/>
      <c r="H202" s="181"/>
    </row>
    <row r="203" spans="1:8">
      <c r="A203" s="209" t="s">
        <v>235</v>
      </c>
      <c r="B203" s="230"/>
      <c r="C203" s="193"/>
      <c r="D203" s="193"/>
      <c r="E203" s="194"/>
      <c r="F203" s="194"/>
      <c r="H203" s="181"/>
    </row>
    <row r="204" spans="1:8">
      <c r="A204" s="336" t="s">
        <v>472</v>
      </c>
      <c r="B204" s="230"/>
      <c r="C204" s="196">
        <f>E204</f>
        <v>163907.80000000002</v>
      </c>
      <c r="D204" s="196"/>
      <c r="E204" s="197">
        <f>161883.2+2024.6</f>
        <v>163907.80000000002</v>
      </c>
      <c r="F204" s="197"/>
      <c r="H204" s="181"/>
    </row>
    <row r="205" spans="1:8">
      <c r="A205" s="335"/>
      <c r="B205" s="230"/>
      <c r="C205" s="196"/>
      <c r="D205" s="196"/>
      <c r="E205" s="197"/>
      <c r="F205" s="197"/>
      <c r="H205" s="181"/>
    </row>
    <row r="206" spans="1:8">
      <c r="A206" s="198" t="s">
        <v>236</v>
      </c>
      <c r="B206" s="218" t="s">
        <v>434</v>
      </c>
      <c r="C206" s="196">
        <v>250</v>
      </c>
      <c r="D206" s="196">
        <v>0</v>
      </c>
      <c r="E206" s="197"/>
      <c r="F206" s="197"/>
      <c r="G206" s="311">
        <f>E206-C206</f>
        <v>-250</v>
      </c>
      <c r="H206" s="323">
        <f>F206-D206</f>
        <v>0</v>
      </c>
    </row>
    <row r="207" spans="1:8" ht="25.5">
      <c r="A207" s="198" t="s">
        <v>237</v>
      </c>
      <c r="B207" s="218" t="s">
        <v>435</v>
      </c>
      <c r="C207" s="196">
        <v>1500</v>
      </c>
      <c r="D207" s="196">
        <v>0</v>
      </c>
      <c r="E207" s="197">
        <v>1000</v>
      </c>
      <c r="F207" s="197"/>
      <c r="G207" s="311">
        <f t="shared" ref="G207:G265" si="0">E207-C207</f>
        <v>-500</v>
      </c>
      <c r="H207" s="323">
        <f t="shared" ref="H207:H265" si="1">F207-D207</f>
        <v>0</v>
      </c>
    </row>
    <row r="208" spans="1:8" ht="25.5">
      <c r="A208" s="198" t="s">
        <v>238</v>
      </c>
      <c r="B208" s="218" t="s">
        <v>436</v>
      </c>
      <c r="C208" s="196">
        <v>56.7</v>
      </c>
      <c r="D208" s="196">
        <v>0</v>
      </c>
      <c r="E208" s="197">
        <v>56.7</v>
      </c>
      <c r="F208" s="197"/>
      <c r="G208" s="311">
        <f t="shared" si="0"/>
        <v>0</v>
      </c>
      <c r="H208" s="323">
        <f t="shared" si="1"/>
        <v>0</v>
      </c>
    </row>
    <row r="209" spans="1:8">
      <c r="A209" s="198" t="s">
        <v>239</v>
      </c>
      <c r="B209" s="218" t="s">
        <v>437</v>
      </c>
      <c r="C209" s="196">
        <v>191</v>
      </c>
      <c r="D209" s="196">
        <v>0</v>
      </c>
      <c r="E209" s="197">
        <f>319-39</f>
        <v>280</v>
      </c>
      <c r="F209" s="197"/>
      <c r="G209" s="311">
        <f t="shared" si="0"/>
        <v>89</v>
      </c>
      <c r="H209" s="323">
        <f t="shared" si="1"/>
        <v>0</v>
      </c>
    </row>
    <row r="210" spans="1:8">
      <c r="A210" s="198" t="s">
        <v>240</v>
      </c>
      <c r="B210" s="218" t="s">
        <v>438</v>
      </c>
      <c r="C210" s="196">
        <v>-34</v>
      </c>
      <c r="D210" s="196">
        <v>-36</v>
      </c>
      <c r="E210" s="197"/>
      <c r="F210" s="197"/>
      <c r="G210" s="311">
        <f t="shared" si="0"/>
        <v>34</v>
      </c>
      <c r="H210" s="323">
        <f t="shared" si="1"/>
        <v>36</v>
      </c>
    </row>
    <row r="211" spans="1:8">
      <c r="A211" s="198" t="s">
        <v>128</v>
      </c>
      <c r="B211" s="218" t="s">
        <v>439</v>
      </c>
      <c r="C211" s="196">
        <v>249</v>
      </c>
      <c r="D211" s="196">
        <v>1237</v>
      </c>
      <c r="E211" s="197">
        <v>39</v>
      </c>
      <c r="F211" s="197">
        <v>332</v>
      </c>
      <c r="G211" s="311">
        <f t="shared" si="0"/>
        <v>-210</v>
      </c>
      <c r="H211" s="323">
        <f t="shared" si="1"/>
        <v>-905</v>
      </c>
    </row>
    <row r="212" spans="1:8">
      <c r="A212" s="198" t="s">
        <v>83</v>
      </c>
      <c r="B212" s="218" t="s">
        <v>440</v>
      </c>
      <c r="C212" s="196">
        <v>815.7</v>
      </c>
      <c r="D212" s="196">
        <v>840.2</v>
      </c>
      <c r="E212" s="197">
        <f>205.8+176.6</f>
        <v>382.4</v>
      </c>
      <c r="F212" s="197">
        <f>210.9+181</f>
        <v>391.9</v>
      </c>
      <c r="G212" s="311">
        <f t="shared" si="0"/>
        <v>-433.30000000000007</v>
      </c>
      <c r="H212" s="323">
        <f t="shared" si="1"/>
        <v>-448.30000000000007</v>
      </c>
    </row>
    <row r="213" spans="1:8">
      <c r="A213" s="199" t="s">
        <v>241</v>
      </c>
      <c r="B213" s="229" t="s">
        <v>441</v>
      </c>
      <c r="C213" s="200">
        <v>9</v>
      </c>
      <c r="D213" s="200">
        <v>9.3000000000000007</v>
      </c>
      <c r="E213" s="201">
        <v>226.7</v>
      </c>
      <c r="F213" s="201">
        <v>232.3</v>
      </c>
      <c r="G213" s="334">
        <f t="shared" si="0"/>
        <v>217.7</v>
      </c>
      <c r="H213" s="326">
        <f t="shared" si="1"/>
        <v>223</v>
      </c>
    </row>
    <row r="214" spans="1:8" hidden="1">
      <c r="A214" s="209" t="s">
        <v>242</v>
      </c>
      <c r="B214" s="232"/>
      <c r="C214" s="193"/>
      <c r="D214" s="193"/>
      <c r="E214" s="194">
        <f>C215</f>
        <v>181</v>
      </c>
      <c r="F214" s="194">
        <f>D215</f>
        <v>186.5</v>
      </c>
      <c r="G214" s="311">
        <f t="shared" si="0"/>
        <v>181</v>
      </c>
      <c r="H214" s="323">
        <f t="shared" si="1"/>
        <v>186.5</v>
      </c>
    </row>
    <row r="215" spans="1:8" hidden="1">
      <c r="A215" s="199" t="s">
        <v>243</v>
      </c>
      <c r="B215" s="229" t="s">
        <v>442</v>
      </c>
      <c r="C215" s="200">
        <v>181</v>
      </c>
      <c r="D215" s="200">
        <v>186.5</v>
      </c>
      <c r="E215" s="201"/>
      <c r="F215" s="201"/>
      <c r="G215" s="311">
        <f t="shared" si="0"/>
        <v>-181</v>
      </c>
      <c r="H215" s="323">
        <f t="shared" si="1"/>
        <v>-186.5</v>
      </c>
    </row>
    <row r="216" spans="1:8" hidden="1">
      <c r="A216" s="209" t="s">
        <v>244</v>
      </c>
      <c r="B216" s="230"/>
      <c r="C216" s="193"/>
      <c r="D216" s="193"/>
      <c r="E216" s="194">
        <f>C217</f>
        <v>-10</v>
      </c>
      <c r="F216" s="194">
        <f>D217</f>
        <v>-10</v>
      </c>
      <c r="G216" s="311">
        <f t="shared" si="0"/>
        <v>-10</v>
      </c>
      <c r="H216" s="323">
        <f t="shared" si="1"/>
        <v>-10</v>
      </c>
    </row>
    <row r="217" spans="1:8" hidden="1">
      <c r="A217" s="198" t="s">
        <v>245</v>
      </c>
      <c r="B217" s="218" t="s">
        <v>443</v>
      </c>
      <c r="C217" s="196">
        <v>-10</v>
      </c>
      <c r="D217" s="196">
        <v>-10</v>
      </c>
      <c r="E217" s="197"/>
      <c r="F217" s="197"/>
      <c r="G217" s="311">
        <f t="shared" si="0"/>
        <v>10</v>
      </c>
      <c r="H217" s="323">
        <f t="shared" si="1"/>
        <v>10</v>
      </c>
    </row>
    <row r="218" spans="1:8" hidden="1">
      <c r="A218" s="199"/>
      <c r="B218" s="231"/>
      <c r="C218" s="200"/>
      <c r="D218" s="200"/>
      <c r="E218" s="201"/>
      <c r="F218" s="201"/>
      <c r="G218" s="311">
        <f t="shared" si="0"/>
        <v>0</v>
      </c>
      <c r="H218" s="323">
        <f t="shared" si="1"/>
        <v>0</v>
      </c>
    </row>
    <row r="219" spans="1:8" hidden="1">
      <c r="A219" s="202" t="s">
        <v>246</v>
      </c>
      <c r="B219" s="233" t="s">
        <v>18</v>
      </c>
      <c r="C219" s="193"/>
      <c r="D219" s="193"/>
      <c r="E219" s="194">
        <f>SUM(C219:C221)</f>
        <v>219.5</v>
      </c>
      <c r="F219" s="194">
        <f>SUM(D219:D221)</f>
        <v>222.6</v>
      </c>
      <c r="G219" s="311">
        <f t="shared" si="0"/>
        <v>219.5</v>
      </c>
      <c r="H219" s="323">
        <f t="shared" si="1"/>
        <v>222.6</v>
      </c>
    </row>
    <row r="220" spans="1:8" hidden="1">
      <c r="A220" s="210" t="s">
        <v>247</v>
      </c>
      <c r="B220" s="218" t="s">
        <v>444</v>
      </c>
      <c r="C220" s="196">
        <v>148</v>
      </c>
      <c r="D220" s="196">
        <v>27</v>
      </c>
      <c r="E220" s="197"/>
      <c r="F220" s="197"/>
      <c r="G220" s="311">
        <f t="shared" si="0"/>
        <v>-148</v>
      </c>
      <c r="H220" s="323">
        <f t="shared" si="1"/>
        <v>-27</v>
      </c>
    </row>
    <row r="221" spans="1:8" hidden="1">
      <c r="A221" s="199" t="s">
        <v>248</v>
      </c>
      <c r="B221" s="229" t="s">
        <v>445</v>
      </c>
      <c r="C221" s="200">
        <v>71.5</v>
      </c>
      <c r="D221" s="200">
        <v>195.6</v>
      </c>
      <c r="E221" s="201"/>
      <c r="F221" s="201"/>
      <c r="G221" s="311">
        <f t="shared" si="0"/>
        <v>-71.5</v>
      </c>
      <c r="H221" s="323">
        <f t="shared" si="1"/>
        <v>-195.6</v>
      </c>
    </row>
    <row r="222" spans="1:8" hidden="1">
      <c r="A222" s="202" t="s">
        <v>249</v>
      </c>
      <c r="B222" s="230"/>
      <c r="C222" s="193"/>
      <c r="D222" s="193"/>
      <c r="E222" s="194">
        <f>C223</f>
        <v>865.5</v>
      </c>
      <c r="F222" s="194">
        <f>D223</f>
        <v>882.8</v>
      </c>
      <c r="G222" s="311">
        <f t="shared" si="0"/>
        <v>865.5</v>
      </c>
      <c r="H222" s="323">
        <f t="shared" si="1"/>
        <v>882.8</v>
      </c>
    </row>
    <row r="223" spans="1:8" hidden="1">
      <c r="A223" s="199" t="s">
        <v>250</v>
      </c>
      <c r="B223" s="234" t="s">
        <v>446</v>
      </c>
      <c r="C223" s="200">
        <v>865.5</v>
      </c>
      <c r="D223" s="200">
        <v>882.8</v>
      </c>
      <c r="E223" s="201"/>
      <c r="F223" s="201"/>
      <c r="G223" s="311">
        <f t="shared" si="0"/>
        <v>-865.5</v>
      </c>
      <c r="H223" s="323">
        <f t="shared" si="1"/>
        <v>-882.8</v>
      </c>
    </row>
    <row r="224" spans="1:8" hidden="1">
      <c r="A224" s="202" t="s">
        <v>251</v>
      </c>
      <c r="B224" s="233" t="s">
        <v>18</v>
      </c>
      <c r="C224" s="193"/>
      <c r="D224" s="193"/>
      <c r="E224" s="194">
        <f>C225</f>
        <v>-480</v>
      </c>
      <c r="F224" s="194">
        <f>D225</f>
        <v>0</v>
      </c>
      <c r="G224" s="311">
        <f t="shared" si="0"/>
        <v>-480</v>
      </c>
      <c r="H224" s="323">
        <f t="shared" si="1"/>
        <v>0</v>
      </c>
    </row>
    <row r="225" spans="1:8" hidden="1">
      <c r="A225" s="199" t="s">
        <v>252</v>
      </c>
      <c r="B225" s="229" t="s">
        <v>447</v>
      </c>
      <c r="C225" s="200">
        <v>-480</v>
      </c>
      <c r="D225" s="200">
        <v>0</v>
      </c>
      <c r="E225" s="201"/>
      <c r="F225" s="201"/>
      <c r="G225" s="311">
        <f t="shared" si="0"/>
        <v>480</v>
      </c>
      <c r="H225" s="323">
        <f t="shared" si="1"/>
        <v>0</v>
      </c>
    </row>
    <row r="226" spans="1:8" hidden="1">
      <c r="A226" s="202" t="s">
        <v>253</v>
      </c>
      <c r="B226" s="230"/>
      <c r="C226" s="193"/>
      <c r="D226" s="193"/>
      <c r="E226" s="194">
        <f>SUM(C226:C236)</f>
        <v>188000</v>
      </c>
      <c r="F226" s="194">
        <f>SUM(D226:D236)</f>
        <v>0</v>
      </c>
      <c r="G226" s="311">
        <f t="shared" si="0"/>
        <v>188000</v>
      </c>
      <c r="H226" s="323">
        <f t="shared" si="1"/>
        <v>0</v>
      </c>
    </row>
    <row r="227" spans="1:8" hidden="1">
      <c r="A227" s="198" t="s">
        <v>247</v>
      </c>
      <c r="B227" s="218"/>
      <c r="C227" s="196">
        <v>27000</v>
      </c>
      <c r="D227" s="196">
        <v>0</v>
      </c>
      <c r="E227" s="197"/>
      <c r="F227" s="197"/>
      <c r="G227" s="311">
        <f t="shared" si="0"/>
        <v>-27000</v>
      </c>
      <c r="H227" s="323">
        <f t="shared" si="1"/>
        <v>0</v>
      </c>
    </row>
    <row r="228" spans="1:8" hidden="1">
      <c r="A228" s="198" t="s">
        <v>254</v>
      </c>
      <c r="B228" s="218"/>
      <c r="C228" s="196">
        <v>16000</v>
      </c>
      <c r="D228" s="196">
        <v>0</v>
      </c>
      <c r="E228" s="197"/>
      <c r="F228" s="197"/>
      <c r="G228" s="311">
        <f t="shared" si="0"/>
        <v>-16000</v>
      </c>
      <c r="H228" s="323">
        <f t="shared" si="1"/>
        <v>0</v>
      </c>
    </row>
    <row r="229" spans="1:8" hidden="1">
      <c r="A229" s="198" t="s">
        <v>255</v>
      </c>
      <c r="B229" s="218"/>
      <c r="C229" s="196">
        <v>20000</v>
      </c>
      <c r="D229" s="196">
        <v>0</v>
      </c>
      <c r="E229" s="197"/>
      <c r="F229" s="197"/>
      <c r="G229" s="311">
        <f t="shared" si="0"/>
        <v>-20000</v>
      </c>
      <c r="H229" s="323">
        <f t="shared" si="1"/>
        <v>0</v>
      </c>
    </row>
    <row r="230" spans="1:8" hidden="1">
      <c r="A230" s="198" t="s">
        <v>256</v>
      </c>
      <c r="B230" s="218"/>
      <c r="C230" s="196">
        <v>11000</v>
      </c>
      <c r="D230" s="196">
        <v>0</v>
      </c>
      <c r="E230" s="197"/>
      <c r="F230" s="197"/>
      <c r="G230" s="311">
        <f t="shared" si="0"/>
        <v>-11000</v>
      </c>
      <c r="H230" s="323">
        <f t="shared" si="1"/>
        <v>0</v>
      </c>
    </row>
    <row r="231" spans="1:8" hidden="1">
      <c r="A231" s="198" t="s">
        <v>257</v>
      </c>
      <c r="B231" s="218"/>
      <c r="C231" s="196">
        <v>4000</v>
      </c>
      <c r="D231" s="196">
        <v>0</v>
      </c>
      <c r="E231" s="197"/>
      <c r="F231" s="197"/>
      <c r="G231" s="311">
        <f t="shared" si="0"/>
        <v>-4000</v>
      </c>
      <c r="H231" s="323">
        <f t="shared" si="1"/>
        <v>0</v>
      </c>
    </row>
    <row r="232" spans="1:8" hidden="1">
      <c r="A232" s="198" t="s">
        <v>258</v>
      </c>
      <c r="B232" s="218"/>
      <c r="C232" s="196">
        <v>4000</v>
      </c>
      <c r="D232" s="196">
        <v>0</v>
      </c>
      <c r="E232" s="197"/>
      <c r="F232" s="197"/>
      <c r="G232" s="311">
        <f t="shared" si="0"/>
        <v>-4000</v>
      </c>
      <c r="H232" s="323">
        <f t="shared" si="1"/>
        <v>0</v>
      </c>
    </row>
    <row r="233" spans="1:8" hidden="1">
      <c r="A233" s="198" t="s">
        <v>259</v>
      </c>
      <c r="B233" s="218"/>
      <c r="C233" s="196">
        <v>3000</v>
      </c>
      <c r="D233" s="196">
        <v>0</v>
      </c>
      <c r="E233" s="197"/>
      <c r="F233" s="197"/>
      <c r="G233" s="311">
        <f t="shared" si="0"/>
        <v>-3000</v>
      </c>
      <c r="H233" s="323">
        <f t="shared" si="1"/>
        <v>0</v>
      </c>
    </row>
    <row r="234" spans="1:8" hidden="1">
      <c r="A234" s="198" t="s">
        <v>260</v>
      </c>
      <c r="B234" s="218"/>
      <c r="C234" s="196">
        <v>8000</v>
      </c>
      <c r="D234" s="196">
        <v>0</v>
      </c>
      <c r="E234" s="197"/>
      <c r="F234" s="197"/>
      <c r="G234" s="311">
        <f t="shared" si="0"/>
        <v>-8000</v>
      </c>
      <c r="H234" s="323">
        <f t="shared" si="1"/>
        <v>0</v>
      </c>
    </row>
    <row r="235" spans="1:8" hidden="1">
      <c r="A235" s="198" t="s">
        <v>261</v>
      </c>
      <c r="B235" s="218"/>
      <c r="C235" s="196">
        <v>92000</v>
      </c>
      <c r="D235" s="196">
        <v>0</v>
      </c>
      <c r="E235" s="197"/>
      <c r="F235" s="197"/>
      <c r="G235" s="311">
        <f t="shared" si="0"/>
        <v>-92000</v>
      </c>
      <c r="H235" s="323">
        <f t="shared" si="1"/>
        <v>0</v>
      </c>
    </row>
    <row r="236" spans="1:8" hidden="1">
      <c r="A236" s="199" t="s">
        <v>262</v>
      </c>
      <c r="B236" s="231"/>
      <c r="C236" s="200">
        <v>3000</v>
      </c>
      <c r="D236" s="200">
        <v>0</v>
      </c>
      <c r="E236" s="201"/>
      <c r="F236" s="201"/>
      <c r="G236" s="311">
        <f t="shared" si="0"/>
        <v>-3000</v>
      </c>
      <c r="H236" s="323">
        <f t="shared" si="1"/>
        <v>0</v>
      </c>
    </row>
    <row r="237" spans="1:8" hidden="1">
      <c r="A237" s="202" t="s">
        <v>263</v>
      </c>
      <c r="B237" s="232"/>
      <c r="C237" s="193"/>
      <c r="D237" s="193"/>
      <c r="E237" s="194">
        <f>C238</f>
        <v>6900</v>
      </c>
      <c r="F237" s="194">
        <f>D238</f>
        <v>0</v>
      </c>
      <c r="G237" s="311">
        <f t="shared" si="0"/>
        <v>6900</v>
      </c>
      <c r="H237" s="323">
        <f t="shared" si="1"/>
        <v>0</v>
      </c>
    </row>
    <row r="238" spans="1:8" hidden="1">
      <c r="A238" s="199" t="s">
        <v>264</v>
      </c>
      <c r="B238" s="229"/>
      <c r="C238" s="200">
        <v>6900</v>
      </c>
      <c r="D238" s="200"/>
      <c r="E238" s="201"/>
      <c r="F238" s="201"/>
      <c r="G238" s="311">
        <f t="shared" si="0"/>
        <v>-6900</v>
      </c>
      <c r="H238" s="323">
        <f t="shared" si="1"/>
        <v>0</v>
      </c>
    </row>
    <row r="239" spans="1:8" hidden="1">
      <c r="A239" s="225" t="s">
        <v>265</v>
      </c>
      <c r="B239" s="235"/>
      <c r="C239" s="193"/>
      <c r="D239" s="193"/>
      <c r="E239" s="194">
        <f>SUM(C239:C243)</f>
        <v>42875</v>
      </c>
      <c r="F239" s="194">
        <f>SUM(D239:D243)</f>
        <v>16355.9</v>
      </c>
      <c r="G239" s="311">
        <f t="shared" si="0"/>
        <v>42875</v>
      </c>
      <c r="H239" s="323">
        <f t="shared" si="1"/>
        <v>16355.9</v>
      </c>
    </row>
    <row r="240" spans="1:8" hidden="1">
      <c r="A240" s="226" t="s">
        <v>247</v>
      </c>
      <c r="B240" s="236" t="s">
        <v>448</v>
      </c>
      <c r="C240" s="196">
        <v>26661</v>
      </c>
      <c r="D240" s="196">
        <v>0</v>
      </c>
      <c r="E240" s="197"/>
      <c r="F240" s="197"/>
      <c r="G240" s="311">
        <f t="shared" si="0"/>
        <v>-26661</v>
      </c>
      <c r="H240" s="323">
        <f t="shared" si="1"/>
        <v>0</v>
      </c>
    </row>
    <row r="241" spans="1:8" hidden="1">
      <c r="A241" s="226" t="s">
        <v>266</v>
      </c>
      <c r="B241" s="236"/>
      <c r="C241" s="196">
        <v>2746.8</v>
      </c>
      <c r="D241" s="196">
        <v>0</v>
      </c>
      <c r="E241" s="197"/>
      <c r="F241" s="197"/>
      <c r="G241" s="311">
        <f t="shared" si="0"/>
        <v>-2746.8</v>
      </c>
      <c r="H241" s="323">
        <f t="shared" si="1"/>
        <v>0</v>
      </c>
    </row>
    <row r="242" spans="1:8" ht="25.5" hidden="1">
      <c r="A242" s="226" t="s">
        <v>267</v>
      </c>
      <c r="B242" s="236"/>
      <c r="C242" s="196">
        <v>6997.4</v>
      </c>
      <c r="D242" s="196">
        <v>15983.9</v>
      </c>
      <c r="E242" s="197"/>
      <c r="F242" s="197"/>
      <c r="G242" s="311">
        <f t="shared" si="0"/>
        <v>-6997.4</v>
      </c>
      <c r="H242" s="323">
        <f t="shared" si="1"/>
        <v>-15983.9</v>
      </c>
    </row>
    <row r="243" spans="1:8" ht="25.5" hidden="1">
      <c r="A243" s="227" t="s">
        <v>268</v>
      </c>
      <c r="B243" s="237"/>
      <c r="C243" s="200">
        <v>6469.8</v>
      </c>
      <c r="D243" s="200">
        <v>372</v>
      </c>
      <c r="E243" s="201"/>
      <c r="F243" s="201"/>
      <c r="G243" s="311">
        <f t="shared" si="0"/>
        <v>-6469.8</v>
      </c>
      <c r="H243" s="323">
        <f t="shared" si="1"/>
        <v>-372</v>
      </c>
    </row>
    <row r="244" spans="1:8" hidden="1">
      <c r="A244" s="202" t="s">
        <v>269</v>
      </c>
      <c r="B244" s="238"/>
      <c r="C244" s="193"/>
      <c r="D244" s="193"/>
      <c r="E244" s="194">
        <f>C245</f>
        <v>31.6</v>
      </c>
      <c r="F244" s="194">
        <f>D245</f>
        <v>6.2</v>
      </c>
      <c r="G244" s="311">
        <f t="shared" si="0"/>
        <v>31.6</v>
      </c>
      <c r="H244" s="323">
        <f t="shared" si="1"/>
        <v>6.2</v>
      </c>
    </row>
    <row r="245" spans="1:8" hidden="1">
      <c r="A245" s="199" t="s">
        <v>270</v>
      </c>
      <c r="B245" s="229" t="s">
        <v>449</v>
      </c>
      <c r="C245" s="200">
        <v>31.6</v>
      </c>
      <c r="D245" s="200">
        <v>6.2</v>
      </c>
      <c r="E245" s="201"/>
      <c r="F245" s="201"/>
      <c r="G245" s="311">
        <f t="shared" si="0"/>
        <v>-31.6</v>
      </c>
      <c r="H245" s="323">
        <f t="shared" si="1"/>
        <v>-6.2</v>
      </c>
    </row>
    <row r="246" spans="1:8" hidden="1">
      <c r="A246" s="211" t="s">
        <v>271</v>
      </c>
      <c r="B246" s="239"/>
      <c r="C246" s="193"/>
      <c r="D246" s="193"/>
      <c r="E246" s="194">
        <f>SUM(C246:C251)</f>
        <v>454047.3</v>
      </c>
      <c r="F246" s="194">
        <f>SUM(D246:D251)</f>
        <v>103782.09999999999</v>
      </c>
      <c r="G246" s="311">
        <f t="shared" si="0"/>
        <v>454047.3</v>
      </c>
      <c r="H246" s="323">
        <f t="shared" si="1"/>
        <v>103782.09999999999</v>
      </c>
    </row>
    <row r="247" spans="1:8" hidden="1">
      <c r="A247" s="212" t="s">
        <v>272</v>
      </c>
      <c r="B247" s="240"/>
      <c r="C247" s="196">
        <v>266300</v>
      </c>
      <c r="D247" s="196">
        <v>67800</v>
      </c>
      <c r="E247" s="197"/>
      <c r="F247" s="197"/>
      <c r="G247" s="311">
        <f t="shared" si="0"/>
        <v>-266300</v>
      </c>
      <c r="H247" s="323">
        <f t="shared" si="1"/>
        <v>-67800</v>
      </c>
    </row>
    <row r="248" spans="1:8" hidden="1">
      <c r="A248" s="212" t="s">
        <v>273</v>
      </c>
      <c r="B248" s="240"/>
      <c r="C248" s="196">
        <v>75995.8</v>
      </c>
      <c r="D248" s="196">
        <v>63755.8</v>
      </c>
      <c r="E248" s="197"/>
      <c r="F248" s="197"/>
      <c r="G248" s="311">
        <f t="shared" si="0"/>
        <v>-75995.8</v>
      </c>
      <c r="H248" s="323">
        <f t="shared" si="1"/>
        <v>-63755.8</v>
      </c>
    </row>
    <row r="249" spans="1:8" hidden="1">
      <c r="A249" s="212" t="s">
        <v>274</v>
      </c>
      <c r="B249" s="240"/>
      <c r="C249" s="196">
        <v>65891.199999999997</v>
      </c>
      <c r="D249" s="196">
        <v>-27773.7</v>
      </c>
      <c r="E249" s="197"/>
      <c r="F249" s="197"/>
      <c r="G249" s="311">
        <f t="shared" si="0"/>
        <v>-65891.199999999997</v>
      </c>
      <c r="H249" s="323">
        <f t="shared" si="1"/>
        <v>27773.7</v>
      </c>
    </row>
    <row r="250" spans="1:8" hidden="1">
      <c r="A250" s="206" t="s">
        <v>275</v>
      </c>
      <c r="B250" s="220"/>
      <c r="C250" s="196">
        <v>16931.8</v>
      </c>
      <c r="D250" s="196">
        <v>0</v>
      </c>
      <c r="E250" s="197"/>
      <c r="F250" s="197"/>
      <c r="G250" s="311">
        <f t="shared" si="0"/>
        <v>-16931.8</v>
      </c>
      <c r="H250" s="323">
        <f t="shared" si="1"/>
        <v>0</v>
      </c>
    </row>
    <row r="251" spans="1:8" hidden="1">
      <c r="A251" s="204" t="s">
        <v>276</v>
      </c>
      <c r="B251" s="221"/>
      <c r="C251" s="200">
        <v>28928.5</v>
      </c>
      <c r="D251" s="200">
        <v>0</v>
      </c>
      <c r="E251" s="201"/>
      <c r="F251" s="201"/>
      <c r="G251" s="311">
        <f t="shared" si="0"/>
        <v>-28928.5</v>
      </c>
      <c r="H251" s="323">
        <f t="shared" si="1"/>
        <v>0</v>
      </c>
    </row>
    <row r="252" spans="1:8" ht="18" hidden="1" customHeight="1">
      <c r="A252" s="213" t="s">
        <v>277</v>
      </c>
      <c r="B252" s="222"/>
      <c r="C252" s="214">
        <v>734261.7</v>
      </c>
      <c r="D252" s="214">
        <v>111598.5</v>
      </c>
      <c r="E252" s="214">
        <f>SUM(E6:E251)</f>
        <v>897116.89999999991</v>
      </c>
      <c r="F252" s="214">
        <f>SUM(F6:F251)</f>
        <v>110504.19999999998</v>
      </c>
      <c r="G252" s="311">
        <f t="shared" si="0"/>
        <v>162855.19999999995</v>
      </c>
      <c r="H252" s="323">
        <f t="shared" si="1"/>
        <v>-1094.3000000000175</v>
      </c>
    </row>
    <row r="253" spans="1:8">
      <c r="A253" s="324"/>
      <c r="B253" s="223"/>
      <c r="G253" s="311"/>
      <c r="H253" s="323"/>
    </row>
    <row r="254" spans="1:8">
      <c r="A254" s="325"/>
      <c r="B254" s="237"/>
      <c r="C254" s="311">
        <f>SUM(C206:C213)</f>
        <v>3037.3999999999996</v>
      </c>
      <c r="D254" s="311">
        <f>SUM(D206:D213)</f>
        <v>2050.5</v>
      </c>
      <c r="G254" s="311"/>
      <c r="H254" s="323"/>
    </row>
    <row r="255" spans="1:8">
      <c r="A255" s="325" t="s">
        <v>247</v>
      </c>
      <c r="B255" s="237"/>
      <c r="C255" s="337">
        <v>2395.9</v>
      </c>
      <c r="E255" s="426">
        <v>2395.9</v>
      </c>
      <c r="F255" s="426">
        <v>2664.7</v>
      </c>
      <c r="G255" s="427">
        <f>E255</f>
        <v>2395.9</v>
      </c>
      <c r="H255" s="428">
        <f>F255</f>
        <v>2664.7</v>
      </c>
    </row>
    <row r="256" spans="1:8">
      <c r="A256" s="325" t="s">
        <v>467</v>
      </c>
      <c r="B256" s="237"/>
      <c r="C256" s="337">
        <v>699.2</v>
      </c>
      <c r="E256" s="180">
        <v>699.2</v>
      </c>
      <c r="F256" s="180">
        <v>695</v>
      </c>
      <c r="G256" s="311">
        <f t="shared" si="0"/>
        <v>0</v>
      </c>
      <c r="H256" s="323">
        <f t="shared" si="1"/>
        <v>695</v>
      </c>
    </row>
    <row r="257" spans="1:8">
      <c r="A257" s="325" t="s">
        <v>468</v>
      </c>
      <c r="B257" s="237"/>
      <c r="C257" s="337">
        <v>348.3</v>
      </c>
      <c r="E257" s="318">
        <v>348.3</v>
      </c>
      <c r="F257" s="318">
        <v>355.3</v>
      </c>
      <c r="G257" s="319">
        <f t="shared" si="0"/>
        <v>0</v>
      </c>
      <c r="H257" s="326">
        <f t="shared" si="1"/>
        <v>355.3</v>
      </c>
    </row>
    <row r="258" spans="1:8">
      <c r="A258" s="325"/>
      <c r="B258" s="237"/>
      <c r="G258" s="311"/>
      <c r="H258" s="323"/>
    </row>
    <row r="259" spans="1:8" s="320" customFormat="1">
      <c r="A259" s="187" t="s">
        <v>469</v>
      </c>
      <c r="B259" s="312"/>
      <c r="C259" s="188">
        <f>SUM(C254:C257)</f>
        <v>6480.7999999999993</v>
      </c>
      <c r="E259" s="188">
        <f>SUM(E206:E213)+SUM(E255:E258)</f>
        <v>5428.2000000000007</v>
      </c>
      <c r="F259" s="188">
        <f>SUM(F206:F213)+SUM(F255:F258)</f>
        <v>4671.2</v>
      </c>
      <c r="G259" s="188">
        <f>SUM(G206:G213)+SUM(G255:G258)</f>
        <v>1343.3</v>
      </c>
      <c r="H259" s="327">
        <f>SUM(H206:H213)+SUM(H255:H258)</f>
        <v>2620.6999999999998</v>
      </c>
    </row>
    <row r="260" spans="1:8">
      <c r="A260" s="325"/>
      <c r="B260" s="237"/>
      <c r="G260" s="311"/>
      <c r="H260" s="323"/>
    </row>
    <row r="261" spans="1:8" s="321" customFormat="1">
      <c r="A261" s="328" t="s">
        <v>470</v>
      </c>
      <c r="B261" s="329"/>
      <c r="E261" s="322">
        <f>E259-E255</f>
        <v>3032.3000000000006</v>
      </c>
      <c r="F261" s="322">
        <f>F259-F255</f>
        <v>2006.5</v>
      </c>
      <c r="G261" s="322">
        <f>G259-G255</f>
        <v>-1052.6000000000001</v>
      </c>
      <c r="H261" s="330">
        <f>H259-H255</f>
        <v>-44</v>
      </c>
    </row>
    <row r="262" spans="1:8">
      <c r="A262" s="325"/>
      <c r="B262" s="237"/>
      <c r="G262" s="311"/>
      <c r="H262" s="323"/>
    </row>
    <row r="263" spans="1:8">
      <c r="A263" s="325" t="s">
        <v>473</v>
      </c>
      <c r="B263" s="237"/>
      <c r="C263" s="311">
        <f>C259+C204</f>
        <v>170388.6</v>
      </c>
      <c r="D263" s="311"/>
      <c r="E263" s="311">
        <f>E259+E204</f>
        <v>169336.00000000003</v>
      </c>
      <c r="G263" s="311"/>
      <c r="H263" s="323"/>
    </row>
    <row r="264" spans="1:8">
      <c r="A264" s="325"/>
      <c r="B264" s="237"/>
      <c r="D264" s="311">
        <f>E263-C263</f>
        <v>-1052.5999999999767</v>
      </c>
      <c r="G264" s="311"/>
      <c r="H264" s="323"/>
    </row>
    <row r="265" spans="1:8">
      <c r="A265" s="325" t="s">
        <v>471</v>
      </c>
      <c r="B265" s="237"/>
      <c r="E265" s="180">
        <v>1037</v>
      </c>
      <c r="F265" s="180">
        <v>8550</v>
      </c>
      <c r="G265" s="311">
        <f t="shared" si="0"/>
        <v>1037</v>
      </c>
      <c r="H265" s="323">
        <f t="shared" si="1"/>
        <v>8550</v>
      </c>
    </row>
    <row r="266" spans="1:8">
      <c r="A266" s="331"/>
      <c r="B266" s="332"/>
      <c r="C266" s="318"/>
      <c r="D266" s="318"/>
      <c r="E266" s="318"/>
      <c r="F266" s="318"/>
      <c r="G266" s="318"/>
      <c r="H266" s="333"/>
    </row>
    <row r="268" spans="1:8">
      <c r="D268" s="311">
        <f>D264-C254</f>
        <v>-4089.9999999999764</v>
      </c>
    </row>
    <row r="269" spans="1:8">
      <c r="D269" s="311">
        <f>D268-E255</f>
        <v>-6485.899999999976</v>
      </c>
    </row>
  </sheetData>
  <mergeCells count="6">
    <mergeCell ref="G4:G5"/>
    <mergeCell ref="H4:H5"/>
    <mergeCell ref="A4:A5"/>
    <mergeCell ref="C4:D4"/>
    <mergeCell ref="E4:F4"/>
    <mergeCell ref="B4:B5"/>
  </mergeCells>
  <phoneticPr fontId="13" type="noConversion"/>
  <printOptions horizontalCentered="1"/>
  <pageMargins left="0.511811023622047" right="0.511811023622047" top="0.98425196850393704" bottom="0.98425196850393704" header="0.511811023622047" footer="0.511811023622047"/>
  <pageSetup scale="75" orientation="landscape" r:id="rId1"/>
  <headerFooter alignWithMargins="0">
    <oddHeader>Page &amp;P of &amp;N</oddHeader>
  </headerFooter>
  <rowBreaks count="2" manualBreakCount="2">
    <brk id="84" max="7" man="1"/>
    <brk id="171" max="7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7"/>
  <sheetViews>
    <sheetView showGridLines="0" topLeftCell="A4" workbookViewId="0">
      <selection activeCell="E11" sqref="E11"/>
    </sheetView>
  </sheetViews>
  <sheetFormatPr defaultRowHeight="12.75"/>
  <cols>
    <col min="1" max="2" width="2.28515625" style="20" customWidth="1"/>
    <col min="3" max="3" width="37.7109375" style="20" customWidth="1"/>
    <col min="4" max="4" width="12.42578125" style="20" customWidth="1"/>
    <col min="5" max="5" width="10.7109375" style="20" customWidth="1"/>
    <col min="6" max="6" width="12.140625" style="20" customWidth="1"/>
    <col min="7" max="7" width="11" style="20" customWidth="1"/>
    <col min="8" max="8" width="9.140625" style="20"/>
    <col min="9" max="10" width="12.140625" style="23" customWidth="1"/>
    <col min="11" max="11" width="3" style="20" customWidth="1"/>
    <col min="12" max="16384" width="9.140625" style="20"/>
  </cols>
  <sheetData>
    <row r="1" spans="1:14" s="21" customFormat="1" ht="26.25" customHeight="1">
      <c r="A1" s="1137"/>
      <c r="B1" s="1137"/>
      <c r="C1" s="1138"/>
      <c r="D1" s="1138"/>
      <c r="E1" s="1138"/>
      <c r="F1" s="1138"/>
      <c r="G1" s="1138"/>
      <c r="H1" s="1138"/>
      <c r="I1" s="1138"/>
      <c r="J1" s="1138"/>
      <c r="K1" s="1138"/>
      <c r="L1" s="1138"/>
      <c r="M1" s="1138"/>
      <c r="N1" s="1138"/>
    </row>
    <row r="2" spans="1:14" ht="26.25" customHeight="1">
      <c r="A2" s="14"/>
      <c r="B2" s="14"/>
      <c r="C2" s="1152" t="s">
        <v>534</v>
      </c>
      <c r="D2" s="1152"/>
      <c r="E2" s="1152"/>
      <c r="F2" s="1152"/>
      <c r="G2" s="1152"/>
      <c r="H2" s="1152"/>
      <c r="I2" s="1152"/>
      <c r="J2" s="1152"/>
      <c r="K2" s="15"/>
      <c r="L2" s="15"/>
      <c r="M2" s="15"/>
      <c r="N2" s="15"/>
    </row>
    <row r="3" spans="1:14" ht="15" customHeight="1" thickBot="1">
      <c r="C3" s="27"/>
      <c r="D3" s="28"/>
      <c r="E3" s="28"/>
      <c r="F3" s="28"/>
      <c r="G3" s="28"/>
      <c r="I3" s="20"/>
      <c r="J3" s="20"/>
    </row>
    <row r="4" spans="1:14" s="2" customFormat="1" ht="36" customHeight="1">
      <c r="C4" s="257"/>
      <c r="D4" s="1150" t="s">
        <v>535</v>
      </c>
      <c r="E4" s="1153" t="s">
        <v>536</v>
      </c>
      <c r="F4" s="1153" t="s">
        <v>537</v>
      </c>
      <c r="G4" s="1146" t="s">
        <v>538</v>
      </c>
      <c r="H4" s="1147"/>
      <c r="I4" s="258" t="s">
        <v>8</v>
      </c>
      <c r="J4" s="259"/>
    </row>
    <row r="5" spans="1:14" s="22" customFormat="1" ht="15" customHeight="1">
      <c r="C5" s="260"/>
      <c r="D5" s="1151"/>
      <c r="E5" s="1154"/>
      <c r="F5" s="1154"/>
      <c r="G5" s="1148"/>
      <c r="H5" s="1149"/>
      <c r="I5" s="1">
        <v>2012</v>
      </c>
      <c r="J5" s="261">
        <v>2013</v>
      </c>
    </row>
    <row r="6" spans="1:14" ht="18.75" customHeight="1">
      <c r="C6" s="262" t="s">
        <v>0</v>
      </c>
      <c r="D6" s="4" t="s">
        <v>1</v>
      </c>
      <c r="E6" s="18" t="s">
        <v>1</v>
      </c>
      <c r="F6" s="18" t="s">
        <v>1</v>
      </c>
      <c r="G6" s="5" t="s">
        <v>1</v>
      </c>
      <c r="H6" s="5" t="s">
        <v>2</v>
      </c>
      <c r="I6" s="173" t="s">
        <v>1</v>
      </c>
      <c r="J6" s="263" t="s">
        <v>1</v>
      </c>
    </row>
    <row r="7" spans="1:14" ht="21" customHeight="1">
      <c r="C7" s="264" t="s">
        <v>3</v>
      </c>
      <c r="D7" s="147" t="e">
        <f>#REF!</f>
        <v>#REF!</v>
      </c>
      <c r="E7" s="150"/>
      <c r="F7" s="150" t="e">
        <f>#REF!</f>
        <v>#REF!</v>
      </c>
      <c r="G7" s="107" t="e">
        <f>F7-D7</f>
        <v>#REF!</v>
      </c>
      <c r="H7" s="107" t="e">
        <f>IF(D7=0,"NA",G7/D7*100)</f>
        <v>#REF!</v>
      </c>
      <c r="I7" s="148" t="e">
        <f>'Table 1-2012 Rec'' Budget'!J6</f>
        <v>#REF!</v>
      </c>
      <c r="J7" s="265" t="e">
        <f>'Table 1-2012 Rec'' Budget'!K6</f>
        <v>#REF!</v>
      </c>
    </row>
    <row r="8" spans="1:14" ht="21" customHeight="1">
      <c r="C8" s="266" t="s">
        <v>4</v>
      </c>
      <c r="D8" s="105" t="e">
        <f>#REF!</f>
        <v>#REF!</v>
      </c>
      <c r="E8" s="149"/>
      <c r="F8" s="149" t="e">
        <f>#REF!</f>
        <v>#REF!</v>
      </c>
      <c r="G8" s="106" t="e">
        <f>F8-D8</f>
        <v>#REF!</v>
      </c>
      <c r="H8" s="106" t="e">
        <f>IF(D8=0,"NA",G8/D8*100)</f>
        <v>#REF!</v>
      </c>
      <c r="I8" s="103">
        <f>'Table 1-2012 Rec'' Budget'!J7</f>
        <v>0</v>
      </c>
      <c r="J8" s="267">
        <f>'Table 1-2012 Rec'' Budget'!K7</f>
        <v>0</v>
      </c>
    </row>
    <row r="9" spans="1:14" ht="21" customHeight="1">
      <c r="C9" s="268" t="s">
        <v>25</v>
      </c>
      <c r="D9" s="174" t="e">
        <f>D7-D8</f>
        <v>#REF!</v>
      </c>
      <c r="E9" s="175">
        <f>E7-E8</f>
        <v>0</v>
      </c>
      <c r="F9" s="175" t="e">
        <f>F7-F8</f>
        <v>#REF!</v>
      </c>
      <c r="G9" s="172" t="e">
        <f>F9-D9</f>
        <v>#REF!</v>
      </c>
      <c r="H9" s="172" t="e">
        <f>IF(D9=0,"NA",G9/D9*100)</f>
        <v>#REF!</v>
      </c>
      <c r="I9" s="176" t="e">
        <f>I7-I8</f>
        <v>#REF!</v>
      </c>
      <c r="J9" s="269" t="e">
        <f>J7-J8</f>
        <v>#REF!</v>
      </c>
    </row>
    <row r="10" spans="1:14" ht="28.5" customHeight="1" thickBot="1">
      <c r="C10" s="270" t="s">
        <v>5</v>
      </c>
      <c r="D10" s="271" t="e">
        <f>#REF!</f>
        <v>#REF!</v>
      </c>
      <c r="E10" s="272"/>
      <c r="F10" s="272" t="e">
        <f>#REF!</f>
        <v>#REF!</v>
      </c>
      <c r="G10" s="273" t="e">
        <f>F10-D10</f>
        <v>#REF!</v>
      </c>
      <c r="H10" s="273" t="e">
        <f>IF(D10=0,"NA",G10/D10*100)</f>
        <v>#REF!</v>
      </c>
      <c r="I10" s="274">
        <f>'Table 1-2012 Rec'' Budget'!J9</f>
        <v>82.7</v>
      </c>
      <c r="J10" s="275">
        <f>'Table 1-2012 Rec'' Budget'!K9</f>
        <v>82.7</v>
      </c>
    </row>
    <row r="11" spans="1:14" ht="18.75" customHeight="1">
      <c r="C11" s="244" t="s">
        <v>455</v>
      </c>
      <c r="D11" s="245"/>
      <c r="E11" s="246" t="e">
        <f>'Table 1-2012 Rec'' Budget'!#REF!</f>
        <v>#REF!</v>
      </c>
      <c r="F11" s="246" t="e">
        <f>'Table 1-2012 Rec'' Budget'!#REF!</f>
        <v>#REF!</v>
      </c>
      <c r="G11" s="247"/>
      <c r="H11" s="247"/>
      <c r="I11" s="248" t="e">
        <f>'Table 1-2012 Rec'' Budget'!#REF!</f>
        <v>#REF!</v>
      </c>
      <c r="J11" s="249"/>
      <c r="L11" t="s">
        <v>453</v>
      </c>
    </row>
    <row r="12" spans="1:14" ht="15.75" customHeight="1">
      <c r="C12" s="250" t="s">
        <v>456</v>
      </c>
      <c r="D12" s="170"/>
      <c r="E12" s="169" t="e">
        <f>E9-E11</f>
        <v>#REF!</v>
      </c>
      <c r="F12" s="169" t="e">
        <f>F9-F11</f>
        <v>#REF!</v>
      </c>
      <c r="G12" s="170"/>
      <c r="H12" s="170"/>
      <c r="I12" s="177"/>
      <c r="J12" s="251"/>
    </row>
    <row r="13" spans="1:14" ht="15.75" customHeight="1" thickBot="1">
      <c r="C13" s="252" t="s">
        <v>457</v>
      </c>
      <c r="D13" s="253"/>
      <c r="E13" s="254" t="e">
        <f>IF(E12=0,0,E12/E11)</f>
        <v>#REF!</v>
      </c>
      <c r="F13" s="254" t="e">
        <f>IF(F12=0,0,F12/F11)</f>
        <v>#REF!</v>
      </c>
      <c r="G13" s="253"/>
      <c r="H13" s="253"/>
      <c r="I13" s="255"/>
      <c r="J13" s="256"/>
    </row>
    <row r="14" spans="1:14" ht="9.75" customHeight="1" thickBot="1">
      <c r="I14" s="20"/>
      <c r="J14" s="20"/>
    </row>
    <row r="15" spans="1:14" ht="18" customHeight="1">
      <c r="C15" s="276" t="s">
        <v>460</v>
      </c>
      <c r="D15" s="317" t="e">
        <f>E15/(D9)</f>
        <v>#REF!</v>
      </c>
      <c r="E15" s="246" t="e">
        <f>'Table 1-2012 Rec'' Budget'!#REF!</f>
        <v>#REF!</v>
      </c>
      <c r="F15" s="434" t="e">
        <f>E15</f>
        <v>#REF!</v>
      </c>
      <c r="G15"/>
      <c r="I15" s="20"/>
      <c r="J15" s="20"/>
      <c r="K15" t="s">
        <v>459</v>
      </c>
    </row>
    <row r="16" spans="1:14" ht="18" customHeight="1">
      <c r="C16" s="278" t="s">
        <v>454</v>
      </c>
      <c r="D16" s="314"/>
      <c r="E16" s="171" t="e">
        <f>#REF!</f>
        <v>#REF!</v>
      </c>
      <c r="F16" s="435" t="e">
        <f>#REF!</f>
        <v>#REF!</v>
      </c>
      <c r="G16"/>
      <c r="I16" s="20"/>
      <c r="J16" s="20"/>
      <c r="K16" t="s">
        <v>465</v>
      </c>
    </row>
    <row r="17" spans="3:11" ht="15" customHeight="1">
      <c r="C17" s="250" t="s">
        <v>15</v>
      </c>
      <c r="D17" s="315"/>
      <c r="E17" s="310" t="e">
        <f>E15-E16</f>
        <v>#REF!</v>
      </c>
      <c r="F17" s="436" t="e">
        <f>F15-F16</f>
        <v>#REF!</v>
      </c>
      <c r="G17"/>
      <c r="I17" s="20"/>
      <c r="J17" s="20"/>
      <c r="K17"/>
    </row>
    <row r="18" spans="3:11" ht="15" customHeight="1" thickBot="1">
      <c r="C18" s="252" t="s">
        <v>461</v>
      </c>
      <c r="D18" s="316"/>
      <c r="E18" s="254" t="e">
        <f>E16/E15*D15</f>
        <v>#REF!</v>
      </c>
      <c r="F18" s="437" t="e">
        <f>F16/F15*D15</f>
        <v>#REF!</v>
      </c>
      <c r="G18"/>
      <c r="I18" s="20"/>
      <c r="J18" s="20"/>
      <c r="K18"/>
    </row>
    <row r="19" spans="3:11" ht="9.75" customHeight="1" thickBot="1">
      <c r="I19" s="20"/>
      <c r="J19" s="20"/>
    </row>
    <row r="20" spans="3:11" ht="18" customHeight="1">
      <c r="C20" s="276" t="s">
        <v>462</v>
      </c>
      <c r="D20" s="317" t="e">
        <f>E20/D9</f>
        <v>#REF!</v>
      </c>
      <c r="E20" s="246" t="e">
        <f>#REF!</f>
        <v>#REF!</v>
      </c>
      <c r="F20" s="434" t="e">
        <f>E20</f>
        <v>#REF!</v>
      </c>
      <c r="G20"/>
      <c r="I20" s="20"/>
      <c r="J20" s="20"/>
      <c r="K20" t="s">
        <v>463</v>
      </c>
    </row>
    <row r="21" spans="3:11" ht="18" customHeight="1">
      <c r="C21" s="278" t="s">
        <v>454</v>
      </c>
      <c r="D21" s="146"/>
      <c r="E21" s="171" t="e">
        <f>#REF!-'Table3 2011 Rec''d Base Bud CM'!E16</f>
        <v>#REF!</v>
      </c>
      <c r="F21" s="435" t="e">
        <f>#REF!-'Table3 2011 Rec''d Base Bud CM'!F16</f>
        <v>#REF!</v>
      </c>
      <c r="G21"/>
      <c r="I21" s="20"/>
      <c r="J21" s="20"/>
      <c r="K21" t="s">
        <v>465</v>
      </c>
    </row>
    <row r="22" spans="3:11" ht="15" customHeight="1">
      <c r="C22" s="250" t="s">
        <v>15</v>
      </c>
      <c r="D22" s="19"/>
      <c r="E22" s="310" t="e">
        <f>E21-E20</f>
        <v>#REF!</v>
      </c>
      <c r="F22" s="436" t="e">
        <f>F21-F20</f>
        <v>#REF!</v>
      </c>
      <c r="G22"/>
      <c r="I22" s="20"/>
      <c r="J22" s="20"/>
      <c r="K22"/>
    </row>
    <row r="23" spans="3:11" ht="15" customHeight="1" thickBot="1">
      <c r="C23" s="252" t="s">
        <v>466</v>
      </c>
      <c r="D23" s="277"/>
      <c r="E23" s="254" t="e">
        <f>IF(E21=0,0,E21/E20*D20)</f>
        <v>#REF!</v>
      </c>
      <c r="F23" s="437" t="e">
        <f>IF(F21=0,0,F21/F20*D20)</f>
        <v>#REF!</v>
      </c>
      <c r="G23"/>
      <c r="I23" s="20"/>
      <c r="J23" s="20"/>
      <c r="K23"/>
    </row>
    <row r="24" spans="3:11" ht="9.75" customHeight="1" thickBot="1">
      <c r="I24" s="20"/>
      <c r="J24" s="20"/>
    </row>
    <row r="25" spans="3:11" ht="18" customHeight="1">
      <c r="C25" s="276" t="s">
        <v>458</v>
      </c>
      <c r="D25" s="317" t="e">
        <f>E25/(D9)</f>
        <v>#REF!</v>
      </c>
      <c r="E25" s="246" t="e">
        <f>#REF!</f>
        <v>#REF!</v>
      </c>
      <c r="F25" s="434" t="e">
        <f>E25</f>
        <v>#REF!</v>
      </c>
      <c r="G25"/>
      <c r="I25" s="20"/>
      <c r="J25" s="20"/>
      <c r="K25" t="s">
        <v>463</v>
      </c>
    </row>
    <row r="26" spans="3:11" ht="18" customHeight="1">
      <c r="C26" s="278" t="s">
        <v>454</v>
      </c>
      <c r="D26" s="146"/>
      <c r="E26" s="171" t="e">
        <f>#REF!</f>
        <v>#REF!</v>
      </c>
      <c r="F26" s="435" t="e">
        <f>#REF!</f>
        <v>#REF!</v>
      </c>
      <c r="G26"/>
      <c r="I26" s="20"/>
      <c r="J26" s="20"/>
      <c r="K26" t="s">
        <v>464</v>
      </c>
    </row>
    <row r="27" spans="3:11" ht="15" customHeight="1">
      <c r="C27" s="250" t="s">
        <v>15</v>
      </c>
      <c r="D27" s="19"/>
      <c r="E27" s="310" t="e">
        <f>E25-E26</f>
        <v>#REF!</v>
      </c>
      <c r="F27" s="436" t="e">
        <f>F25-F26</f>
        <v>#REF!</v>
      </c>
      <c r="G27"/>
      <c r="I27" s="20"/>
      <c r="J27" s="20"/>
      <c r="K27"/>
    </row>
    <row r="28" spans="3:11" ht="15" customHeight="1" thickBot="1">
      <c r="C28" s="252" t="s">
        <v>16</v>
      </c>
      <c r="D28" s="277"/>
      <c r="E28" s="254" t="e">
        <f>E26/E25*D25</f>
        <v>#REF!</v>
      </c>
      <c r="F28" s="437" t="e">
        <f>F26/F25*D25</f>
        <v>#REF!</v>
      </c>
      <c r="G28"/>
      <c r="I28" s="20"/>
      <c r="J28" s="20"/>
      <c r="K28"/>
    </row>
    <row r="29" spans="3:11">
      <c r="I29" s="20"/>
      <c r="J29" s="20"/>
    </row>
    <row r="30" spans="3:11">
      <c r="I30" s="20"/>
      <c r="J30" s="20"/>
    </row>
    <row r="31" spans="3:11">
      <c r="I31" s="20"/>
      <c r="J31" s="20"/>
    </row>
    <row r="32" spans="3:11">
      <c r="I32" s="20"/>
      <c r="J32" s="20"/>
    </row>
    <row r="33" spans="9:10">
      <c r="I33" s="20"/>
      <c r="J33" s="20"/>
    </row>
    <row r="34" spans="9:10">
      <c r="I34" s="20"/>
      <c r="J34" s="20"/>
    </row>
    <row r="35" spans="9:10">
      <c r="I35" s="20"/>
      <c r="J35" s="20"/>
    </row>
    <row r="36" spans="9:10">
      <c r="I36" s="20"/>
      <c r="J36" s="20"/>
    </row>
    <row r="37" spans="9:10">
      <c r="I37" s="20"/>
      <c r="J37" s="20"/>
    </row>
    <row r="38" spans="9:10">
      <c r="I38" s="20"/>
      <c r="J38" s="20"/>
    </row>
    <row r="39" spans="9:10">
      <c r="I39" s="20"/>
      <c r="J39" s="20"/>
    </row>
    <row r="40" spans="9:10">
      <c r="I40" s="20"/>
      <c r="J40" s="20"/>
    </row>
    <row r="41" spans="9:10">
      <c r="I41" s="20"/>
      <c r="J41" s="20"/>
    </row>
    <row r="42" spans="9:10">
      <c r="I42" s="20"/>
      <c r="J42" s="20"/>
    </row>
    <row r="43" spans="9:10">
      <c r="I43" s="20"/>
      <c r="J43" s="20"/>
    </row>
    <row r="44" spans="9:10">
      <c r="I44" s="20"/>
      <c r="J44" s="20"/>
    </row>
    <row r="45" spans="9:10">
      <c r="I45" s="20"/>
      <c r="J45" s="20"/>
    </row>
    <row r="46" spans="9:10">
      <c r="I46" s="20"/>
      <c r="J46" s="20"/>
    </row>
    <row r="47" spans="9:10">
      <c r="I47" s="20"/>
      <c r="J47" s="20"/>
    </row>
  </sheetData>
  <mergeCells count="6">
    <mergeCell ref="A1:N1"/>
    <mergeCell ref="G4:H5"/>
    <mergeCell ref="D4:D5"/>
    <mergeCell ref="C2:J2"/>
    <mergeCell ref="F4:F5"/>
    <mergeCell ref="E4:E5"/>
  </mergeCells>
  <phoneticPr fontId="13" type="noConversion"/>
  <printOptions horizontalCentered="1"/>
  <pageMargins left="0.43307086614173229" right="0.39370078740157483" top="0.98425196850393704" bottom="0.98425196850393704" header="0.51181102362204722" footer="0.51181102362204722"/>
  <pageSetup scale="8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K12" sqref="K12"/>
    </sheetView>
  </sheetViews>
  <sheetFormatPr defaultRowHeight="12.75"/>
  <cols>
    <col min="1" max="1" width="48.42578125" customWidth="1"/>
  </cols>
  <sheetData>
    <row r="1" spans="1:4">
      <c r="A1" s="439"/>
      <c r="B1" s="438">
        <v>2011</v>
      </c>
      <c r="C1" s="443">
        <v>2012</v>
      </c>
      <c r="D1" s="445">
        <v>2013</v>
      </c>
    </row>
    <row r="2" spans="1:4">
      <c r="A2" s="440"/>
      <c r="B2" s="332" t="s">
        <v>494</v>
      </c>
      <c r="C2" s="444" t="s">
        <v>494</v>
      </c>
      <c r="D2" s="446" t="s">
        <v>494</v>
      </c>
    </row>
    <row r="3" spans="1:4">
      <c r="A3" s="441" t="s">
        <v>545</v>
      </c>
      <c r="B3" s="447" t="e">
        <f>'Table 1-2012 Rec'' Budget'!C9</f>
        <v>#REF!</v>
      </c>
      <c r="C3" s="448" t="e">
        <f>B11</f>
        <v>#REF!</v>
      </c>
      <c r="D3" s="449" t="e">
        <f>C11</f>
        <v>#REF!</v>
      </c>
    </row>
    <row r="4" spans="1:4">
      <c r="A4" s="441" t="s">
        <v>543</v>
      </c>
      <c r="B4" s="447"/>
      <c r="C4" s="448"/>
      <c r="D4" s="449"/>
    </row>
    <row r="5" spans="1:4">
      <c r="A5" s="441" t="s">
        <v>548</v>
      </c>
      <c r="B5" s="447"/>
      <c r="C5" s="448"/>
      <c r="D5" s="449"/>
    </row>
    <row r="6" spans="1:4">
      <c r="A6" s="441" t="s">
        <v>544</v>
      </c>
      <c r="B6" s="447">
        <f>'Operating Impact'!C28</f>
        <v>0</v>
      </c>
      <c r="C6" s="448">
        <f>'Operating Impact'!E28</f>
        <v>5.4</v>
      </c>
      <c r="D6" s="449">
        <f>'Operating Impact'!G28</f>
        <v>11</v>
      </c>
    </row>
    <row r="7" spans="1:4" ht="25.5">
      <c r="A7" s="456" t="s">
        <v>549</v>
      </c>
      <c r="B7" s="457">
        <v>3</v>
      </c>
      <c r="C7" s="458">
        <v>0</v>
      </c>
      <c r="D7" s="459">
        <v>0</v>
      </c>
    </row>
    <row r="8" spans="1:4" ht="25.5">
      <c r="A8" s="456" t="s">
        <v>550</v>
      </c>
      <c r="B8" s="457">
        <v>0</v>
      </c>
      <c r="C8" s="458">
        <v>0</v>
      </c>
      <c r="D8" s="459">
        <v>0</v>
      </c>
    </row>
    <row r="9" spans="1:4">
      <c r="A9" s="440" t="s">
        <v>547</v>
      </c>
      <c r="B9" s="450" t="e">
        <f>#REF!</f>
        <v>#REF!</v>
      </c>
      <c r="C9" s="451" t="e">
        <f>#REF!</f>
        <v>#REF!</v>
      </c>
      <c r="D9" s="452" t="e">
        <f>#REF!</f>
        <v>#REF!</v>
      </c>
    </row>
    <row r="10" spans="1:4">
      <c r="A10" s="441"/>
      <c r="B10" s="447"/>
      <c r="C10" s="448"/>
      <c r="D10" s="449"/>
    </row>
    <row r="11" spans="1:4" ht="13.5" thickBot="1">
      <c r="A11" s="442" t="s">
        <v>546</v>
      </c>
      <c r="B11" s="453" t="e">
        <f>SUM(B3:B10)</f>
        <v>#REF!</v>
      </c>
      <c r="C11" s="454" t="e">
        <f>SUM(C3:C10)</f>
        <v>#REF!</v>
      </c>
      <c r="D11" s="455" t="e">
        <f>SUM(D3:D10)</f>
        <v>#REF!</v>
      </c>
    </row>
  </sheetData>
  <phoneticPr fontId="3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9"/>
  <sheetViews>
    <sheetView showGridLines="0" workbookViewId="0">
      <selection activeCell="J29" sqref="J29:J37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4" width="10.28515625" style="3" bestFit="1" customWidth="1"/>
    <col min="5" max="5" width="10.140625" style="3" bestFit="1" customWidth="1"/>
    <col min="6" max="7" width="12.7109375" style="3" customWidth="1"/>
    <col min="8" max="9" width="9.140625" style="3"/>
    <col min="10" max="10" width="11.28515625" style="7" customWidth="1"/>
    <col min="11" max="11" width="11.140625" style="7" customWidth="1"/>
    <col min="12" max="12" width="3.85546875" style="3" customWidth="1"/>
    <col min="13" max="16384" width="9.140625" style="3"/>
  </cols>
  <sheetData>
    <row r="1" spans="2:12" ht="20.25">
      <c r="B1" s="1157"/>
      <c r="C1" s="1157"/>
      <c r="D1" s="1157"/>
      <c r="E1" s="1157"/>
      <c r="F1" s="1157"/>
      <c r="G1" s="1157"/>
      <c r="H1" s="1157"/>
      <c r="I1" s="1157"/>
      <c r="J1" s="1157"/>
      <c r="K1" s="1157"/>
      <c r="L1" s="47"/>
    </row>
    <row r="2" spans="2:12" ht="20.25">
      <c r="B2" s="1156" t="s">
        <v>19</v>
      </c>
      <c r="C2" s="1156"/>
      <c r="D2" s="1156"/>
      <c r="E2" s="1156"/>
      <c r="F2" s="1156"/>
      <c r="G2" s="1156"/>
      <c r="H2" s="1156"/>
      <c r="I2" s="1156"/>
      <c r="J2" s="1156"/>
      <c r="K2" s="1156"/>
      <c r="L2" s="82"/>
    </row>
    <row r="3" spans="2:12" ht="20.25">
      <c r="B3" s="1117" t="s">
        <v>55</v>
      </c>
      <c r="C3" s="1117"/>
      <c r="D3" s="1117"/>
      <c r="E3" s="1117"/>
      <c r="F3" s="1117"/>
      <c r="G3" s="1117"/>
      <c r="H3" s="1117"/>
      <c r="I3" s="1117"/>
      <c r="J3" s="1117"/>
      <c r="K3" s="1117"/>
      <c r="L3" s="48"/>
    </row>
    <row r="4" spans="2:12" ht="15.75">
      <c r="B4" s="1121" t="s">
        <v>26</v>
      </c>
      <c r="C4" s="1121"/>
      <c r="D4" s="1121"/>
      <c r="E4" s="1121"/>
      <c r="F4" s="1121"/>
      <c r="G4" s="1121"/>
      <c r="H4" s="1121"/>
      <c r="I4" s="1121"/>
      <c r="J4" s="1121"/>
      <c r="K4" s="1121"/>
      <c r="L4" s="49"/>
    </row>
    <row r="5" spans="2:12" ht="13.5" thickBot="1">
      <c r="B5" s="50"/>
      <c r="C5" s="50"/>
      <c r="D5" s="50"/>
      <c r="E5" s="50"/>
      <c r="F5" s="50"/>
      <c r="G5" s="50"/>
      <c r="H5" s="50"/>
      <c r="I5" s="51"/>
      <c r="J5" s="51"/>
      <c r="K5" s="50"/>
      <c r="L5" s="52"/>
    </row>
    <row r="6" spans="2:12">
      <c r="B6" s="53"/>
      <c r="C6" s="54"/>
      <c r="D6" s="55"/>
      <c r="E6" s="55"/>
      <c r="F6" s="55"/>
      <c r="G6" s="55"/>
      <c r="H6" s="55"/>
      <c r="I6" s="56"/>
      <c r="J6" s="56"/>
      <c r="K6" s="57"/>
      <c r="L6" s="52"/>
    </row>
    <row r="7" spans="2:12">
      <c r="B7" s="63" t="s">
        <v>519</v>
      </c>
      <c r="C7" s="58"/>
      <c r="D7" s="59"/>
      <c r="E7" s="52"/>
      <c r="F7" s="52"/>
      <c r="G7" s="52"/>
      <c r="H7" s="52"/>
      <c r="I7" s="60"/>
      <c r="J7" s="60"/>
      <c r="K7" s="61"/>
      <c r="L7" s="52"/>
    </row>
    <row r="8" spans="2:12">
      <c r="B8" s="84" t="s">
        <v>520</v>
      </c>
      <c r="C8" s="62"/>
      <c r="D8" s="52"/>
      <c r="E8" s="52"/>
      <c r="F8" s="52"/>
      <c r="G8" s="52"/>
      <c r="H8" s="52"/>
      <c r="I8" s="60"/>
      <c r="J8" s="60"/>
      <c r="K8" s="61"/>
      <c r="L8" s="52"/>
    </row>
    <row r="9" spans="2:12" ht="13.5" thickBot="1">
      <c r="B9" s="63"/>
      <c r="C9" s="52"/>
      <c r="D9" s="52"/>
      <c r="E9" s="52"/>
      <c r="F9" s="52"/>
      <c r="G9" s="52"/>
      <c r="H9" s="52"/>
      <c r="I9" s="52"/>
      <c r="J9" s="52"/>
      <c r="K9" s="61"/>
      <c r="L9" s="52"/>
    </row>
    <row r="10" spans="2:12">
      <c r="B10" s="64"/>
      <c r="C10" s="65" t="s">
        <v>18</v>
      </c>
      <c r="D10" s="66"/>
      <c r="E10" s="67"/>
      <c r="F10" s="122"/>
      <c r="G10" s="122"/>
      <c r="H10" s="123"/>
      <c r="I10" s="279"/>
      <c r="J10" s="290"/>
      <c r="K10" s="303"/>
      <c r="L10" s="58"/>
    </row>
    <row r="11" spans="2:12">
      <c r="B11" s="68"/>
      <c r="C11" s="69"/>
      <c r="D11" s="85">
        <v>2010</v>
      </c>
      <c r="E11" s="86">
        <v>2010</v>
      </c>
      <c r="F11" s="124">
        <v>2011</v>
      </c>
      <c r="G11" s="124">
        <v>2011</v>
      </c>
      <c r="H11" s="1158" t="s">
        <v>27</v>
      </c>
      <c r="I11" s="1158"/>
      <c r="J11" s="291"/>
      <c r="K11" s="304"/>
      <c r="L11" s="87"/>
    </row>
    <row r="12" spans="2:12">
      <c r="B12" s="68"/>
      <c r="C12" s="69"/>
      <c r="D12" s="88" t="s">
        <v>28</v>
      </c>
      <c r="E12" s="86" t="s">
        <v>29</v>
      </c>
      <c r="F12" s="124" t="s">
        <v>450</v>
      </c>
      <c r="G12" s="124" t="s">
        <v>30</v>
      </c>
      <c r="H12" s="1159" t="s">
        <v>542</v>
      </c>
      <c r="I12" s="1159"/>
      <c r="J12" s="292">
        <v>2012</v>
      </c>
      <c r="K12" s="292">
        <v>2013</v>
      </c>
      <c r="L12" s="83"/>
    </row>
    <row r="13" spans="2:12">
      <c r="B13" s="63"/>
      <c r="C13" s="70"/>
      <c r="D13" s="89" t="s">
        <v>31</v>
      </c>
      <c r="E13" s="90" t="s">
        <v>32</v>
      </c>
      <c r="F13" s="125" t="s">
        <v>31</v>
      </c>
      <c r="G13" s="125" t="s">
        <v>451</v>
      </c>
      <c r="H13" s="1155" t="s">
        <v>31</v>
      </c>
      <c r="I13" s="1155"/>
      <c r="J13" s="293" t="s">
        <v>33</v>
      </c>
      <c r="K13" s="293" t="s">
        <v>33</v>
      </c>
      <c r="L13" s="83"/>
    </row>
    <row r="14" spans="2:12">
      <c r="B14" s="71"/>
      <c r="C14" s="72"/>
      <c r="D14" s="91" t="s">
        <v>1</v>
      </c>
      <c r="E14" s="92" t="s">
        <v>1</v>
      </c>
      <c r="F14" s="126" t="s">
        <v>1</v>
      </c>
      <c r="G14" s="126" t="s">
        <v>1</v>
      </c>
      <c r="H14" s="127" t="s">
        <v>1</v>
      </c>
      <c r="I14" s="280" t="s">
        <v>2</v>
      </c>
      <c r="J14" s="294" t="s">
        <v>1</v>
      </c>
      <c r="K14" s="294" t="s">
        <v>1</v>
      </c>
      <c r="L14" s="93"/>
    </row>
    <row r="15" spans="2:12">
      <c r="B15" s="73"/>
      <c r="C15" s="74"/>
      <c r="D15" s="108"/>
      <c r="E15" s="109"/>
      <c r="F15" s="128"/>
      <c r="G15" s="128"/>
      <c r="H15" s="129"/>
      <c r="I15" s="281"/>
      <c r="J15" s="295"/>
      <c r="K15" s="305"/>
      <c r="L15" s="94"/>
    </row>
    <row r="16" spans="2:12">
      <c r="B16" s="73"/>
      <c r="C16" s="178" t="s">
        <v>34</v>
      </c>
      <c r="D16" s="110">
        <v>133056.4</v>
      </c>
      <c r="E16" s="111">
        <f>D16+2024.6-1374.6</f>
        <v>133706.4</v>
      </c>
      <c r="F16" s="130">
        <v>135829.70000000001</v>
      </c>
      <c r="G16" s="130">
        <f>-4234</f>
        <v>-4234</v>
      </c>
      <c r="H16" s="131">
        <f>F16+G16-D16</f>
        <v>-1460.6999999999825</v>
      </c>
      <c r="I16" s="282">
        <f t="shared" ref="I16:I24" si="0">IF(D16=0,"n/a",H16/D16)</f>
        <v>-1.0978051412784223E-2</v>
      </c>
      <c r="J16" s="295">
        <f>F16+G16+253+210.9+181+2664.7+232.3-4833</f>
        <v>130304.6</v>
      </c>
      <c r="K16" s="299">
        <f>J16+623+216+185.4+2718+238-4020</f>
        <v>130265</v>
      </c>
      <c r="L16" s="95"/>
    </row>
    <row r="17" spans="2:12">
      <c r="B17" s="73"/>
      <c r="C17" s="178" t="s">
        <v>35</v>
      </c>
      <c r="D17" s="110">
        <v>19716.8</v>
      </c>
      <c r="E17" s="111">
        <f t="shared" ref="E17:E22" si="1">D17</f>
        <v>19716.8</v>
      </c>
      <c r="F17" s="130">
        <v>20158.400000000001</v>
      </c>
      <c r="G17" s="130">
        <f>-348.3-1740</f>
        <v>-2088.3000000000002</v>
      </c>
      <c r="H17" s="131">
        <f t="shared" ref="H17:H24" si="2">F17+G17-D17</f>
        <v>-1646.6999999999971</v>
      </c>
      <c r="I17" s="282">
        <f t="shared" si="0"/>
        <v>-8.3517609348372823E-2</v>
      </c>
      <c r="J17" s="295">
        <f>F17+G17+20+355.3-782</f>
        <v>17663.400000000001</v>
      </c>
      <c r="K17" s="299">
        <f>J17+104+362.4-782</f>
        <v>17347.800000000003</v>
      </c>
      <c r="L17" s="95"/>
    </row>
    <row r="18" spans="2:12">
      <c r="B18" s="73"/>
      <c r="C18" s="178" t="s">
        <v>36</v>
      </c>
      <c r="D18" s="110">
        <v>10.3</v>
      </c>
      <c r="E18" s="111">
        <f t="shared" si="1"/>
        <v>10.3</v>
      </c>
      <c r="F18" s="130">
        <v>112.3</v>
      </c>
      <c r="G18" s="130"/>
      <c r="H18" s="131">
        <f t="shared" si="2"/>
        <v>102</v>
      </c>
      <c r="I18" s="282">
        <f t="shared" si="0"/>
        <v>9.9029126213592225</v>
      </c>
      <c r="J18" s="295">
        <f>F18+G18</f>
        <v>112.3</v>
      </c>
      <c r="K18" s="299">
        <f>J18</f>
        <v>112.3</v>
      </c>
      <c r="L18" s="95"/>
    </row>
    <row r="19" spans="2:12">
      <c r="B19" s="73"/>
      <c r="C19" s="178" t="s">
        <v>37</v>
      </c>
      <c r="D19" s="110">
        <v>22507.200000000001</v>
      </c>
      <c r="E19" s="111">
        <f t="shared" si="1"/>
        <v>22507.200000000001</v>
      </c>
      <c r="F19" s="130">
        <v>23584.799999999999</v>
      </c>
      <c r="G19" s="130">
        <v>-699.2</v>
      </c>
      <c r="H19" s="131">
        <f t="shared" si="2"/>
        <v>378.39999999999782</v>
      </c>
      <c r="I19" s="282">
        <f t="shared" si="0"/>
        <v>1.6812397810478327E-2</v>
      </c>
      <c r="J19" s="295">
        <f>F19+G19+59+695</f>
        <v>23639.599999999999</v>
      </c>
      <c r="K19" s="299">
        <f>J19+104+712.7</f>
        <v>24456.3</v>
      </c>
      <c r="L19" s="95"/>
    </row>
    <row r="20" spans="2:12">
      <c r="B20" s="73"/>
      <c r="C20" s="178" t="s">
        <v>38</v>
      </c>
      <c r="D20" s="110">
        <v>1708</v>
      </c>
      <c r="E20" s="111">
        <f t="shared" si="1"/>
        <v>1708</v>
      </c>
      <c r="F20" s="130">
        <v>1708</v>
      </c>
      <c r="G20" s="130"/>
      <c r="H20" s="131">
        <f t="shared" si="2"/>
        <v>0</v>
      </c>
      <c r="I20" s="282">
        <f t="shared" si="0"/>
        <v>0</v>
      </c>
      <c r="J20" s="295">
        <f>F20+G20</f>
        <v>1708</v>
      </c>
      <c r="K20" s="299">
        <f>J20</f>
        <v>1708</v>
      </c>
      <c r="L20" s="95"/>
    </row>
    <row r="21" spans="2:12">
      <c r="B21" s="73"/>
      <c r="C21" s="178" t="s">
        <v>39</v>
      </c>
      <c r="D21" s="110">
        <v>667</v>
      </c>
      <c r="E21" s="111">
        <f t="shared" si="1"/>
        <v>667</v>
      </c>
      <c r="F21" s="130">
        <v>705</v>
      </c>
      <c r="G21" s="130"/>
      <c r="H21" s="131">
        <f t="shared" si="2"/>
        <v>38</v>
      </c>
      <c r="I21" s="282">
        <f t="shared" si="0"/>
        <v>5.6971514242878558E-2</v>
      </c>
      <c r="J21" s="295">
        <f>F21+G21</f>
        <v>705</v>
      </c>
      <c r="K21" s="299">
        <f>J21</f>
        <v>705</v>
      </c>
      <c r="L21" s="95"/>
    </row>
    <row r="22" spans="2:12">
      <c r="B22" s="73"/>
      <c r="C22" s="178" t="s">
        <v>40</v>
      </c>
      <c r="D22" s="110">
        <v>4</v>
      </c>
      <c r="E22" s="111">
        <f t="shared" si="1"/>
        <v>4</v>
      </c>
      <c r="F22" s="130">
        <v>4</v>
      </c>
      <c r="G22" s="130"/>
      <c r="H22" s="131">
        <f t="shared" si="2"/>
        <v>0</v>
      </c>
      <c r="I22" s="282">
        <f t="shared" si="0"/>
        <v>0</v>
      </c>
      <c r="J22" s="295">
        <f>F22+G22</f>
        <v>4</v>
      </c>
      <c r="K22" s="299">
        <f>J22</f>
        <v>4</v>
      </c>
      <c r="L22" s="95"/>
    </row>
    <row r="23" spans="2:12">
      <c r="B23" s="73"/>
      <c r="C23" s="178" t="s">
        <v>41</v>
      </c>
      <c r="D23" s="110"/>
      <c r="E23" s="111"/>
      <c r="F23" s="130"/>
      <c r="G23" s="130"/>
      <c r="H23" s="131">
        <f>F23+G23-D23</f>
        <v>0</v>
      </c>
      <c r="I23" s="282" t="str">
        <f t="shared" si="0"/>
        <v>n/a</v>
      </c>
      <c r="J23" s="295"/>
      <c r="K23" s="299"/>
      <c r="L23" s="95"/>
    </row>
    <row r="24" spans="2:12">
      <c r="B24" s="73"/>
      <c r="C24" s="178" t="s">
        <v>452</v>
      </c>
      <c r="D24" s="110"/>
      <c r="E24" s="111"/>
      <c r="F24" s="130"/>
      <c r="G24" s="130"/>
      <c r="H24" s="131">
        <f t="shared" si="2"/>
        <v>0</v>
      </c>
      <c r="I24" s="282" t="str">
        <f t="shared" si="0"/>
        <v>n/a</v>
      </c>
      <c r="J24" s="295"/>
      <c r="K24" s="299"/>
      <c r="L24" s="95"/>
    </row>
    <row r="25" spans="2:12">
      <c r="B25" s="73"/>
      <c r="C25" s="74"/>
      <c r="D25" s="112"/>
      <c r="E25" s="113"/>
      <c r="F25" s="132"/>
      <c r="G25" s="132"/>
      <c r="H25" s="133"/>
      <c r="I25" s="283"/>
      <c r="J25" s="296"/>
      <c r="K25" s="306"/>
      <c r="L25" s="95"/>
    </row>
    <row r="26" spans="2:12">
      <c r="B26" s="75" t="s">
        <v>42</v>
      </c>
      <c r="C26" s="96"/>
      <c r="D26" s="114">
        <f>SUM(D16:D25)</f>
        <v>177669.69999999998</v>
      </c>
      <c r="E26" s="115">
        <f>SUM(E16:E24)</f>
        <v>178319.69999999998</v>
      </c>
      <c r="F26" s="134">
        <f>SUM(F16:F24)</f>
        <v>182102.19999999998</v>
      </c>
      <c r="G26" s="134">
        <f>SUM(G16:G24)</f>
        <v>-7021.5</v>
      </c>
      <c r="H26" s="135">
        <f>SUM(H16:H24)</f>
        <v>-2588.9999999999818</v>
      </c>
      <c r="I26" s="284">
        <f>IF(D26=0,"n/a",H26/D26)</f>
        <v>-1.4571983855435013E-2</v>
      </c>
      <c r="J26" s="297">
        <f>SUM(J15:J24)</f>
        <v>174136.9</v>
      </c>
      <c r="K26" s="297">
        <f>SUM(K16:K24)</f>
        <v>174598.39999999997</v>
      </c>
      <c r="L26" s="97"/>
    </row>
    <row r="27" spans="2:12">
      <c r="B27" s="73"/>
      <c r="C27" s="74"/>
      <c r="D27" s="110"/>
      <c r="E27" s="113"/>
      <c r="F27" s="130"/>
      <c r="G27" s="130"/>
      <c r="H27" s="131"/>
      <c r="I27" s="282"/>
      <c r="J27" s="295"/>
      <c r="K27" s="299"/>
      <c r="L27" s="95"/>
    </row>
    <row r="28" spans="2:12">
      <c r="B28" s="73"/>
      <c r="C28" s="178" t="s">
        <v>43</v>
      </c>
      <c r="D28" s="110"/>
      <c r="E28" s="111"/>
      <c r="F28" s="130"/>
      <c r="G28" s="130"/>
      <c r="H28" s="131">
        <f>F28+G28-D28</f>
        <v>0</v>
      </c>
      <c r="I28" s="282" t="str">
        <f t="shared" ref="I28:I37" si="3">IF(D28=0,"n/a",H28/D28)</f>
        <v>n/a</v>
      </c>
      <c r="J28" s="295"/>
      <c r="K28" s="299"/>
      <c r="L28" s="95"/>
    </row>
    <row r="29" spans="2:12">
      <c r="B29" s="73"/>
      <c r="C29" s="178" t="s">
        <v>44</v>
      </c>
      <c r="D29" s="110">
        <v>5674.9</v>
      </c>
      <c r="E29" s="111">
        <f>D29</f>
        <v>5674.9</v>
      </c>
      <c r="F29" s="130">
        <v>5637.4</v>
      </c>
      <c r="G29" s="130"/>
      <c r="H29" s="131">
        <f t="shared" ref="H29:H37" si="4">F29+G29-D29</f>
        <v>-37.5</v>
      </c>
      <c r="I29" s="282">
        <f t="shared" si="3"/>
        <v>-6.6080459567569479E-3</v>
      </c>
      <c r="J29" s="295">
        <f>F29+G29</f>
        <v>5637.4</v>
      </c>
      <c r="K29" s="299">
        <f>J29</f>
        <v>5637.4</v>
      </c>
      <c r="L29" s="95"/>
    </row>
    <row r="30" spans="2:12">
      <c r="B30" s="73"/>
      <c r="C30" s="178" t="s">
        <v>45</v>
      </c>
      <c r="D30" s="110">
        <v>44.3</v>
      </c>
      <c r="E30" s="111">
        <f t="shared" ref="E30:E36" si="5">D30</f>
        <v>44.3</v>
      </c>
      <c r="F30" s="130">
        <v>0</v>
      </c>
      <c r="G30" s="130"/>
      <c r="H30" s="131">
        <f t="shared" si="4"/>
        <v>-44.3</v>
      </c>
      <c r="I30" s="282">
        <f t="shared" si="3"/>
        <v>-1</v>
      </c>
      <c r="J30" s="295">
        <f t="shared" ref="J30:J36" si="6">F30+G30</f>
        <v>0</v>
      </c>
      <c r="K30" s="299">
        <f t="shared" ref="K30:K36" si="7">J30</f>
        <v>0</v>
      </c>
      <c r="L30" s="95"/>
    </row>
    <row r="31" spans="2:12">
      <c r="B31" s="73"/>
      <c r="C31" s="178" t="s">
        <v>46</v>
      </c>
      <c r="D31" s="110">
        <v>245</v>
      </c>
      <c r="E31" s="111">
        <f t="shared" si="5"/>
        <v>245</v>
      </c>
      <c r="F31" s="130">
        <v>43.2</v>
      </c>
      <c r="G31" s="130"/>
      <c r="H31" s="131">
        <f t="shared" si="4"/>
        <v>-201.8</v>
      </c>
      <c r="I31" s="282">
        <f t="shared" si="3"/>
        <v>-0.8236734693877551</v>
      </c>
      <c r="J31" s="295">
        <f t="shared" si="6"/>
        <v>43.2</v>
      </c>
      <c r="K31" s="299">
        <f t="shared" si="7"/>
        <v>43.2</v>
      </c>
      <c r="L31" s="95"/>
    </row>
    <row r="32" spans="2:12">
      <c r="B32" s="73"/>
      <c r="C32" s="178" t="s">
        <v>47</v>
      </c>
      <c r="D32" s="110">
        <v>5163.6000000000004</v>
      </c>
      <c r="E32" s="111">
        <f>D32+674.2</f>
        <v>5837.8</v>
      </c>
      <c r="F32" s="130">
        <v>4264.5</v>
      </c>
      <c r="G32" s="130"/>
      <c r="H32" s="131">
        <f t="shared" si="4"/>
        <v>-899.10000000000036</v>
      </c>
      <c r="I32" s="282">
        <f t="shared" si="3"/>
        <v>-0.17412270508947253</v>
      </c>
      <c r="J32" s="295">
        <f t="shared" si="6"/>
        <v>4264.5</v>
      </c>
      <c r="K32" s="299">
        <f t="shared" si="7"/>
        <v>4264.5</v>
      </c>
      <c r="L32" s="95"/>
    </row>
    <row r="33" spans="2:12">
      <c r="B33" s="73"/>
      <c r="C33" s="178" t="s">
        <v>48</v>
      </c>
      <c r="D33" s="110">
        <v>530.79999999999995</v>
      </c>
      <c r="E33" s="111">
        <f t="shared" si="5"/>
        <v>530.79999999999995</v>
      </c>
      <c r="F33" s="130">
        <v>564.79999999999995</v>
      </c>
      <c r="G33" s="130"/>
      <c r="H33" s="131">
        <f t="shared" si="4"/>
        <v>34</v>
      </c>
      <c r="I33" s="282">
        <f t="shared" si="3"/>
        <v>6.4054257724189906E-2</v>
      </c>
      <c r="J33" s="295">
        <f t="shared" si="6"/>
        <v>564.79999999999995</v>
      </c>
      <c r="K33" s="299">
        <f t="shared" si="7"/>
        <v>564.79999999999995</v>
      </c>
      <c r="L33" s="95"/>
    </row>
    <row r="34" spans="2:12">
      <c r="B34" s="73"/>
      <c r="C34" s="178" t="s">
        <v>49</v>
      </c>
      <c r="D34" s="110">
        <v>1500</v>
      </c>
      <c r="E34" s="111">
        <f t="shared" si="5"/>
        <v>1500</v>
      </c>
      <c r="F34" s="130">
        <v>500</v>
      </c>
      <c r="G34" s="130">
        <v>500</v>
      </c>
      <c r="H34" s="131">
        <f t="shared" si="4"/>
        <v>-500</v>
      </c>
      <c r="I34" s="282">
        <f t="shared" si="3"/>
        <v>-0.33333333333333331</v>
      </c>
      <c r="J34" s="295">
        <f t="shared" si="6"/>
        <v>1000</v>
      </c>
      <c r="K34" s="299">
        <f t="shared" si="7"/>
        <v>1000</v>
      </c>
      <c r="L34" s="95"/>
    </row>
    <row r="35" spans="2:12">
      <c r="B35" s="73"/>
      <c r="C35" s="178" t="s">
        <v>50</v>
      </c>
      <c r="D35" s="110"/>
      <c r="E35" s="111">
        <f t="shared" si="5"/>
        <v>0</v>
      </c>
      <c r="F35" s="130"/>
      <c r="G35" s="130"/>
      <c r="H35" s="131">
        <f t="shared" si="4"/>
        <v>0</v>
      </c>
      <c r="I35" s="282" t="str">
        <f t="shared" si="3"/>
        <v>n/a</v>
      </c>
      <c r="J35" s="295">
        <f t="shared" si="6"/>
        <v>0</v>
      </c>
      <c r="K35" s="299">
        <f t="shared" si="7"/>
        <v>0</v>
      </c>
      <c r="L35" s="95"/>
    </row>
    <row r="36" spans="2:12">
      <c r="B36" s="73"/>
      <c r="C36" s="178" t="s">
        <v>51</v>
      </c>
      <c r="D36" s="110">
        <v>603.29999999999995</v>
      </c>
      <c r="E36" s="111">
        <f t="shared" si="5"/>
        <v>603.29999999999995</v>
      </c>
      <c r="F36" s="130">
        <v>1790.3</v>
      </c>
      <c r="G36" s="130"/>
      <c r="H36" s="131">
        <f>F36+G36-D36</f>
        <v>1187</v>
      </c>
      <c r="I36" s="282">
        <f t="shared" si="3"/>
        <v>1.9675120172385216</v>
      </c>
      <c r="J36" s="295">
        <f t="shared" si="6"/>
        <v>1790.3</v>
      </c>
      <c r="K36" s="299">
        <f t="shared" si="7"/>
        <v>1790.3</v>
      </c>
      <c r="L36" s="95"/>
    </row>
    <row r="37" spans="2:12">
      <c r="B37" s="73"/>
      <c r="C37" s="178" t="s">
        <v>452</v>
      </c>
      <c r="D37" s="110"/>
      <c r="E37" s="111"/>
      <c r="F37" s="130"/>
      <c r="G37" s="130"/>
      <c r="H37" s="131">
        <f t="shared" si="4"/>
        <v>0</v>
      </c>
      <c r="I37" s="282" t="str">
        <f t="shared" si="3"/>
        <v>n/a</v>
      </c>
      <c r="J37" s="295">
        <f>F37+G37</f>
        <v>0</v>
      </c>
      <c r="K37" s="299">
        <f>J37</f>
        <v>0</v>
      </c>
      <c r="L37" s="95"/>
    </row>
    <row r="38" spans="2:12">
      <c r="B38" s="73"/>
      <c r="C38" s="74"/>
      <c r="D38" s="112"/>
      <c r="E38" s="113"/>
      <c r="F38" s="132"/>
      <c r="G38" s="132"/>
      <c r="H38" s="136" t="s">
        <v>18</v>
      </c>
      <c r="I38" s="285"/>
      <c r="J38" s="296"/>
      <c r="K38" s="306"/>
      <c r="L38" s="95"/>
    </row>
    <row r="39" spans="2:12">
      <c r="B39" s="75" t="s">
        <v>52</v>
      </c>
      <c r="C39" s="96"/>
      <c r="D39" s="114">
        <f>SUM(D28:D38)</f>
        <v>13761.899999999998</v>
      </c>
      <c r="E39" s="115">
        <f>SUM(E28:E37)</f>
        <v>14436.099999999999</v>
      </c>
      <c r="F39" s="134">
        <f>SUM(F28:F37)</f>
        <v>12800.199999999997</v>
      </c>
      <c r="G39" s="134">
        <f>SUM(G28:G37)</f>
        <v>500</v>
      </c>
      <c r="H39" s="137">
        <f>SUM(H28:H37)</f>
        <v>-461.70000000000027</v>
      </c>
      <c r="I39" s="284">
        <f>IF(D39=0,"n/a",H39/D39)</f>
        <v>-3.3549146556798144E-2</v>
      </c>
      <c r="J39" s="298">
        <f>SUM(J28:J37)</f>
        <v>13300.199999999997</v>
      </c>
      <c r="K39" s="297">
        <f>SUM(K28:K37)</f>
        <v>13300.199999999997</v>
      </c>
      <c r="L39" s="97"/>
    </row>
    <row r="40" spans="2:12">
      <c r="B40" s="73"/>
      <c r="C40" s="74"/>
      <c r="D40" s="110"/>
      <c r="E40" s="111"/>
      <c r="F40" s="130"/>
      <c r="G40" s="130"/>
      <c r="H40" s="131"/>
      <c r="I40" s="282"/>
      <c r="J40" s="295"/>
      <c r="K40" s="299"/>
      <c r="L40" s="95"/>
    </row>
    <row r="41" spans="2:12">
      <c r="B41" s="73" t="s">
        <v>53</v>
      </c>
      <c r="C41" s="74"/>
      <c r="D41" s="110">
        <f t="shared" ref="D41:K41" si="8">D26-D39</f>
        <v>163907.79999999999</v>
      </c>
      <c r="E41" s="110">
        <f t="shared" si="8"/>
        <v>163883.59999999998</v>
      </c>
      <c r="F41" s="142">
        <f t="shared" si="8"/>
        <v>169302</v>
      </c>
      <c r="G41" s="142">
        <f>G26-G39</f>
        <v>-7521.5</v>
      </c>
      <c r="H41" s="144">
        <f t="shared" si="8"/>
        <v>-2127.2999999999815</v>
      </c>
      <c r="I41" s="286">
        <f t="shared" si="8"/>
        <v>1.8977162701363133E-2</v>
      </c>
      <c r="J41" s="299">
        <f t="shared" si="8"/>
        <v>160836.70000000001</v>
      </c>
      <c r="K41" s="299">
        <f t="shared" si="8"/>
        <v>161298.19999999995</v>
      </c>
      <c r="L41" s="95"/>
    </row>
    <row r="42" spans="2:12">
      <c r="B42" s="76"/>
      <c r="C42" s="98"/>
      <c r="D42" s="116"/>
      <c r="E42" s="117"/>
      <c r="F42" s="138"/>
      <c r="G42" s="138"/>
      <c r="H42" s="139"/>
      <c r="I42" s="287"/>
      <c r="J42" s="300"/>
      <c r="K42" s="307"/>
      <c r="L42" s="99"/>
    </row>
    <row r="43" spans="2:12" ht="13.5" thickBot="1">
      <c r="B43" s="77"/>
      <c r="C43" s="100"/>
      <c r="D43" s="118"/>
      <c r="E43" s="119"/>
      <c r="F43" s="140"/>
      <c r="G43" s="140"/>
      <c r="H43" s="141"/>
      <c r="I43" s="288"/>
      <c r="J43" s="301"/>
      <c r="K43" s="308"/>
      <c r="L43" s="95"/>
    </row>
    <row r="44" spans="2:12">
      <c r="B44" s="78"/>
      <c r="C44" s="101"/>
      <c r="D44" s="110"/>
      <c r="E44" s="111"/>
      <c r="F44" s="130"/>
      <c r="G44" s="130"/>
      <c r="H44" s="131"/>
      <c r="I44" s="282"/>
      <c r="J44" s="295"/>
      <c r="K44" s="299"/>
      <c r="L44" s="95"/>
    </row>
    <row r="45" spans="2:12">
      <c r="B45" s="79" t="s">
        <v>54</v>
      </c>
      <c r="C45" s="102"/>
      <c r="D45" s="120" t="e">
        <f>#REF!</f>
        <v>#REF!</v>
      </c>
      <c r="E45" s="121" t="e">
        <f>D45</f>
        <v>#REF!</v>
      </c>
      <c r="F45" s="142">
        <v>1832.6</v>
      </c>
      <c r="G45" s="142" t="e">
        <f>#REF!</f>
        <v>#REF!</v>
      </c>
      <c r="H45" s="131" t="e">
        <f>F45-D45</f>
        <v>#REF!</v>
      </c>
      <c r="I45" s="282" t="e">
        <f>IF(D45=0,"n/a",H45/D45)</f>
        <v>#REF!</v>
      </c>
      <c r="J45" s="295" t="e">
        <f>G45+5.4-43.3</f>
        <v>#REF!</v>
      </c>
      <c r="K45" s="299" t="e">
        <f>J45+11-52.7</f>
        <v>#REF!</v>
      </c>
      <c r="L45" s="95"/>
    </row>
    <row r="46" spans="2:12" ht="13.5" thickBot="1">
      <c r="B46" s="80"/>
      <c r="C46" s="81"/>
      <c r="D46" s="118"/>
      <c r="E46" s="119"/>
      <c r="F46" s="140"/>
      <c r="G46" s="140"/>
      <c r="H46" s="143"/>
      <c r="I46" s="289"/>
      <c r="J46" s="302"/>
      <c r="K46" s="309"/>
      <c r="L46" s="95"/>
    </row>
    <row r="48" spans="2:12">
      <c r="J48" s="432">
        <f>F41+G41</f>
        <v>161780.5</v>
      </c>
      <c r="K48" s="433">
        <f>K41-J41</f>
        <v>461.49999999994179</v>
      </c>
    </row>
    <row r="49" spans="10:10">
      <c r="J49" s="433">
        <f>J41-J48</f>
        <v>-943.79999999998836</v>
      </c>
    </row>
  </sheetData>
  <mergeCells count="7">
    <mergeCell ref="H13:I13"/>
    <mergeCell ref="B2:K2"/>
    <mergeCell ref="B4:K4"/>
    <mergeCell ref="B1:K1"/>
    <mergeCell ref="B3:K3"/>
    <mergeCell ref="H11:I11"/>
    <mergeCell ref="H12:I12"/>
  </mergeCells>
  <phoneticPr fontId="13" type="noConversion"/>
  <pageMargins left="0.75" right="0.75" top="1" bottom="1" header="0.5" footer="0.5"/>
  <pageSetup scale="70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137"/>
  <sheetViews>
    <sheetView zoomScale="85" zoomScaleNormal="85" workbookViewId="0">
      <selection activeCell="P39" sqref="P39"/>
    </sheetView>
  </sheetViews>
  <sheetFormatPr defaultColWidth="9.7109375" defaultRowHeight="12.75"/>
  <cols>
    <col min="1" max="1" width="2.140625" style="872" customWidth="1"/>
    <col min="2" max="2" width="2.28515625" style="872" customWidth="1"/>
    <col min="3" max="3" width="24.140625" style="872" customWidth="1"/>
    <col min="4" max="4" width="9.140625" style="872" customWidth="1"/>
    <col min="5" max="5" width="9.28515625" style="872" customWidth="1"/>
    <col min="6" max="6" width="8.7109375" style="872" customWidth="1"/>
    <col min="7" max="7" width="9.140625" style="872" customWidth="1"/>
    <col min="8" max="8" width="9.28515625" style="872" customWidth="1"/>
    <col min="9" max="9" width="7.85546875" style="872" bestFit="1" customWidth="1"/>
    <col min="10" max="10" width="10.85546875" style="872" customWidth="1"/>
    <col min="11" max="11" width="8.5703125" style="872" bestFit="1" customWidth="1"/>
    <col min="12" max="12" width="10" style="872" customWidth="1"/>
    <col min="13" max="13" width="10.28515625" style="872" customWidth="1"/>
    <col min="14" max="15" width="9.85546875" style="872" customWidth="1"/>
    <col min="16" max="17" width="10.7109375" style="872" customWidth="1"/>
    <col min="18" max="18" width="10.5703125" style="872" customWidth="1"/>
    <col min="19" max="19" width="10.140625" style="872" customWidth="1"/>
    <col min="20" max="20" width="10.7109375" style="872" customWidth="1"/>
    <col min="21" max="21" width="10" style="872" customWidth="1"/>
    <col min="22" max="22" width="6.85546875" style="999" customWidth="1"/>
    <col min="23" max="23" width="11.28515625" style="999" customWidth="1"/>
    <col min="24" max="24" width="11.85546875" style="872" customWidth="1"/>
    <col min="25" max="256" width="9.7109375" style="872"/>
    <col min="257" max="257" width="2.140625" style="872" customWidth="1"/>
    <col min="258" max="258" width="2.28515625" style="872" customWidth="1"/>
    <col min="259" max="259" width="24.140625" style="872" customWidth="1"/>
    <col min="260" max="260" width="9.140625" style="872" customWidth="1"/>
    <col min="261" max="261" width="9.28515625" style="872" customWidth="1"/>
    <col min="262" max="262" width="8.7109375" style="872" customWidth="1"/>
    <col min="263" max="263" width="9.140625" style="872" customWidth="1"/>
    <col min="264" max="264" width="9.28515625" style="872" customWidth="1"/>
    <col min="265" max="265" width="7.85546875" style="872" bestFit="1" customWidth="1"/>
    <col min="266" max="266" width="10.85546875" style="872" customWidth="1"/>
    <col min="267" max="267" width="8.5703125" style="872" bestFit="1" customWidth="1"/>
    <col min="268" max="268" width="10" style="872" customWidth="1"/>
    <col min="269" max="269" width="10.28515625" style="872" customWidth="1"/>
    <col min="270" max="271" width="9.85546875" style="872" customWidth="1"/>
    <col min="272" max="273" width="10.7109375" style="872" customWidth="1"/>
    <col min="274" max="274" width="10.5703125" style="872" customWidth="1"/>
    <col min="275" max="275" width="10.140625" style="872" customWidth="1"/>
    <col min="276" max="276" width="10.7109375" style="872" customWidth="1"/>
    <col min="277" max="277" width="10" style="872" customWidth="1"/>
    <col min="278" max="278" width="6.85546875" style="872" customWidth="1"/>
    <col min="279" max="279" width="11.28515625" style="872" customWidth="1"/>
    <col min="280" max="280" width="11.85546875" style="872" customWidth="1"/>
    <col min="281" max="512" width="9.7109375" style="872"/>
    <col min="513" max="513" width="2.140625" style="872" customWidth="1"/>
    <col min="514" max="514" width="2.28515625" style="872" customWidth="1"/>
    <col min="515" max="515" width="24.140625" style="872" customWidth="1"/>
    <col min="516" max="516" width="9.140625" style="872" customWidth="1"/>
    <col min="517" max="517" width="9.28515625" style="872" customWidth="1"/>
    <col min="518" max="518" width="8.7109375" style="872" customWidth="1"/>
    <col min="519" max="519" width="9.140625" style="872" customWidth="1"/>
    <col min="520" max="520" width="9.28515625" style="872" customWidth="1"/>
    <col min="521" max="521" width="7.85546875" style="872" bestFit="1" customWidth="1"/>
    <col min="522" max="522" width="10.85546875" style="872" customWidth="1"/>
    <col min="523" max="523" width="8.5703125" style="872" bestFit="1" customWidth="1"/>
    <col min="524" max="524" width="10" style="872" customWidth="1"/>
    <col min="525" max="525" width="10.28515625" style="872" customWidth="1"/>
    <col min="526" max="527" width="9.85546875" style="872" customWidth="1"/>
    <col min="528" max="529" width="10.7109375" style="872" customWidth="1"/>
    <col min="530" max="530" width="10.5703125" style="872" customWidth="1"/>
    <col min="531" max="531" width="10.140625" style="872" customWidth="1"/>
    <col min="532" max="532" width="10.7109375" style="872" customWidth="1"/>
    <col min="533" max="533" width="10" style="872" customWidth="1"/>
    <col min="534" max="534" width="6.85546875" style="872" customWidth="1"/>
    <col min="535" max="535" width="11.28515625" style="872" customWidth="1"/>
    <col min="536" max="536" width="11.85546875" style="872" customWidth="1"/>
    <col min="537" max="768" width="9.7109375" style="872"/>
    <col min="769" max="769" width="2.140625" style="872" customWidth="1"/>
    <col min="770" max="770" width="2.28515625" style="872" customWidth="1"/>
    <col min="771" max="771" width="24.140625" style="872" customWidth="1"/>
    <col min="772" max="772" width="9.140625" style="872" customWidth="1"/>
    <col min="773" max="773" width="9.28515625" style="872" customWidth="1"/>
    <col min="774" max="774" width="8.7109375" style="872" customWidth="1"/>
    <col min="775" max="775" width="9.140625" style="872" customWidth="1"/>
    <col min="776" max="776" width="9.28515625" style="872" customWidth="1"/>
    <col min="777" max="777" width="7.85546875" style="872" bestFit="1" customWidth="1"/>
    <col min="778" max="778" width="10.85546875" style="872" customWidth="1"/>
    <col min="779" max="779" width="8.5703125" style="872" bestFit="1" customWidth="1"/>
    <col min="780" max="780" width="10" style="872" customWidth="1"/>
    <col min="781" max="781" width="10.28515625" style="872" customWidth="1"/>
    <col min="782" max="783" width="9.85546875" style="872" customWidth="1"/>
    <col min="784" max="785" width="10.7109375" style="872" customWidth="1"/>
    <col min="786" max="786" width="10.5703125" style="872" customWidth="1"/>
    <col min="787" max="787" width="10.140625" style="872" customWidth="1"/>
    <col min="788" max="788" width="10.7109375" style="872" customWidth="1"/>
    <col min="789" max="789" width="10" style="872" customWidth="1"/>
    <col min="790" max="790" width="6.85546875" style="872" customWidth="1"/>
    <col min="791" max="791" width="11.28515625" style="872" customWidth="1"/>
    <col min="792" max="792" width="11.85546875" style="872" customWidth="1"/>
    <col min="793" max="1024" width="9.7109375" style="872"/>
    <col min="1025" max="1025" width="2.140625" style="872" customWidth="1"/>
    <col min="1026" max="1026" width="2.28515625" style="872" customWidth="1"/>
    <col min="1027" max="1027" width="24.140625" style="872" customWidth="1"/>
    <col min="1028" max="1028" width="9.140625" style="872" customWidth="1"/>
    <col min="1029" max="1029" width="9.28515625" style="872" customWidth="1"/>
    <col min="1030" max="1030" width="8.7109375" style="872" customWidth="1"/>
    <col min="1031" max="1031" width="9.140625" style="872" customWidth="1"/>
    <col min="1032" max="1032" width="9.28515625" style="872" customWidth="1"/>
    <col min="1033" max="1033" width="7.85546875" style="872" bestFit="1" customWidth="1"/>
    <col min="1034" max="1034" width="10.85546875" style="872" customWidth="1"/>
    <col min="1035" max="1035" width="8.5703125" style="872" bestFit="1" customWidth="1"/>
    <col min="1036" max="1036" width="10" style="872" customWidth="1"/>
    <col min="1037" max="1037" width="10.28515625" style="872" customWidth="1"/>
    <col min="1038" max="1039" width="9.85546875" style="872" customWidth="1"/>
    <col min="1040" max="1041" width="10.7109375" style="872" customWidth="1"/>
    <col min="1042" max="1042" width="10.5703125" style="872" customWidth="1"/>
    <col min="1043" max="1043" width="10.140625" style="872" customWidth="1"/>
    <col min="1044" max="1044" width="10.7109375" style="872" customWidth="1"/>
    <col min="1045" max="1045" width="10" style="872" customWidth="1"/>
    <col min="1046" max="1046" width="6.85546875" style="872" customWidth="1"/>
    <col min="1047" max="1047" width="11.28515625" style="872" customWidth="1"/>
    <col min="1048" max="1048" width="11.85546875" style="872" customWidth="1"/>
    <col min="1049" max="1280" width="9.7109375" style="872"/>
    <col min="1281" max="1281" width="2.140625" style="872" customWidth="1"/>
    <col min="1282" max="1282" width="2.28515625" style="872" customWidth="1"/>
    <col min="1283" max="1283" width="24.140625" style="872" customWidth="1"/>
    <col min="1284" max="1284" width="9.140625" style="872" customWidth="1"/>
    <col min="1285" max="1285" width="9.28515625" style="872" customWidth="1"/>
    <col min="1286" max="1286" width="8.7109375" style="872" customWidth="1"/>
    <col min="1287" max="1287" width="9.140625" style="872" customWidth="1"/>
    <col min="1288" max="1288" width="9.28515625" style="872" customWidth="1"/>
    <col min="1289" max="1289" width="7.85546875" style="872" bestFit="1" customWidth="1"/>
    <col min="1290" max="1290" width="10.85546875" style="872" customWidth="1"/>
    <col min="1291" max="1291" width="8.5703125" style="872" bestFit="1" customWidth="1"/>
    <col min="1292" max="1292" width="10" style="872" customWidth="1"/>
    <col min="1293" max="1293" width="10.28515625" style="872" customWidth="1"/>
    <col min="1294" max="1295" width="9.85546875" style="872" customWidth="1"/>
    <col min="1296" max="1297" width="10.7109375" style="872" customWidth="1"/>
    <col min="1298" max="1298" width="10.5703125" style="872" customWidth="1"/>
    <col min="1299" max="1299" width="10.140625" style="872" customWidth="1"/>
    <col min="1300" max="1300" width="10.7109375" style="872" customWidth="1"/>
    <col min="1301" max="1301" width="10" style="872" customWidth="1"/>
    <col min="1302" max="1302" width="6.85546875" style="872" customWidth="1"/>
    <col min="1303" max="1303" width="11.28515625" style="872" customWidth="1"/>
    <col min="1304" max="1304" width="11.85546875" style="872" customWidth="1"/>
    <col min="1305" max="1536" width="9.7109375" style="872"/>
    <col min="1537" max="1537" width="2.140625" style="872" customWidth="1"/>
    <col min="1538" max="1538" width="2.28515625" style="872" customWidth="1"/>
    <col min="1539" max="1539" width="24.140625" style="872" customWidth="1"/>
    <col min="1540" max="1540" width="9.140625" style="872" customWidth="1"/>
    <col min="1541" max="1541" width="9.28515625" style="872" customWidth="1"/>
    <col min="1542" max="1542" width="8.7109375" style="872" customWidth="1"/>
    <col min="1543" max="1543" width="9.140625" style="872" customWidth="1"/>
    <col min="1544" max="1544" width="9.28515625" style="872" customWidth="1"/>
    <col min="1545" max="1545" width="7.85546875" style="872" bestFit="1" customWidth="1"/>
    <col min="1546" max="1546" width="10.85546875" style="872" customWidth="1"/>
    <col min="1547" max="1547" width="8.5703125" style="872" bestFit="1" customWidth="1"/>
    <col min="1548" max="1548" width="10" style="872" customWidth="1"/>
    <col min="1549" max="1549" width="10.28515625" style="872" customWidth="1"/>
    <col min="1550" max="1551" width="9.85546875" style="872" customWidth="1"/>
    <col min="1552" max="1553" width="10.7109375" style="872" customWidth="1"/>
    <col min="1554" max="1554" width="10.5703125" style="872" customWidth="1"/>
    <col min="1555" max="1555" width="10.140625" style="872" customWidth="1"/>
    <col min="1556" max="1556" width="10.7109375" style="872" customWidth="1"/>
    <col min="1557" max="1557" width="10" style="872" customWidth="1"/>
    <col min="1558" max="1558" width="6.85546875" style="872" customWidth="1"/>
    <col min="1559" max="1559" width="11.28515625" style="872" customWidth="1"/>
    <col min="1560" max="1560" width="11.85546875" style="872" customWidth="1"/>
    <col min="1561" max="1792" width="9.7109375" style="872"/>
    <col min="1793" max="1793" width="2.140625" style="872" customWidth="1"/>
    <col min="1794" max="1794" width="2.28515625" style="872" customWidth="1"/>
    <col min="1795" max="1795" width="24.140625" style="872" customWidth="1"/>
    <col min="1796" max="1796" width="9.140625" style="872" customWidth="1"/>
    <col min="1797" max="1797" width="9.28515625" style="872" customWidth="1"/>
    <col min="1798" max="1798" width="8.7109375" style="872" customWidth="1"/>
    <col min="1799" max="1799" width="9.140625" style="872" customWidth="1"/>
    <col min="1800" max="1800" width="9.28515625" style="872" customWidth="1"/>
    <col min="1801" max="1801" width="7.85546875" style="872" bestFit="1" customWidth="1"/>
    <col min="1802" max="1802" width="10.85546875" style="872" customWidth="1"/>
    <col min="1803" max="1803" width="8.5703125" style="872" bestFit="1" customWidth="1"/>
    <col min="1804" max="1804" width="10" style="872" customWidth="1"/>
    <col min="1805" max="1805" width="10.28515625" style="872" customWidth="1"/>
    <col min="1806" max="1807" width="9.85546875" style="872" customWidth="1"/>
    <col min="1808" max="1809" width="10.7109375" style="872" customWidth="1"/>
    <col min="1810" max="1810" width="10.5703125" style="872" customWidth="1"/>
    <col min="1811" max="1811" width="10.140625" style="872" customWidth="1"/>
    <col min="1812" max="1812" width="10.7109375" style="872" customWidth="1"/>
    <col min="1813" max="1813" width="10" style="872" customWidth="1"/>
    <col min="1814" max="1814" width="6.85546875" style="872" customWidth="1"/>
    <col min="1815" max="1815" width="11.28515625" style="872" customWidth="1"/>
    <col min="1816" max="1816" width="11.85546875" style="872" customWidth="1"/>
    <col min="1817" max="2048" width="9.7109375" style="872"/>
    <col min="2049" max="2049" width="2.140625" style="872" customWidth="1"/>
    <col min="2050" max="2050" width="2.28515625" style="872" customWidth="1"/>
    <col min="2051" max="2051" width="24.140625" style="872" customWidth="1"/>
    <col min="2052" max="2052" width="9.140625" style="872" customWidth="1"/>
    <col min="2053" max="2053" width="9.28515625" style="872" customWidth="1"/>
    <col min="2054" max="2054" width="8.7109375" style="872" customWidth="1"/>
    <col min="2055" max="2055" width="9.140625" style="872" customWidth="1"/>
    <col min="2056" max="2056" width="9.28515625" style="872" customWidth="1"/>
    <col min="2057" max="2057" width="7.85546875" style="872" bestFit="1" customWidth="1"/>
    <col min="2058" max="2058" width="10.85546875" style="872" customWidth="1"/>
    <col min="2059" max="2059" width="8.5703125" style="872" bestFit="1" customWidth="1"/>
    <col min="2060" max="2060" width="10" style="872" customWidth="1"/>
    <col min="2061" max="2061" width="10.28515625" style="872" customWidth="1"/>
    <col min="2062" max="2063" width="9.85546875" style="872" customWidth="1"/>
    <col min="2064" max="2065" width="10.7109375" style="872" customWidth="1"/>
    <col min="2066" max="2066" width="10.5703125" style="872" customWidth="1"/>
    <col min="2067" max="2067" width="10.140625" style="872" customWidth="1"/>
    <col min="2068" max="2068" width="10.7109375" style="872" customWidth="1"/>
    <col min="2069" max="2069" width="10" style="872" customWidth="1"/>
    <col min="2070" max="2070" width="6.85546875" style="872" customWidth="1"/>
    <col min="2071" max="2071" width="11.28515625" style="872" customWidth="1"/>
    <col min="2072" max="2072" width="11.85546875" style="872" customWidth="1"/>
    <col min="2073" max="2304" width="9.7109375" style="872"/>
    <col min="2305" max="2305" width="2.140625" style="872" customWidth="1"/>
    <col min="2306" max="2306" width="2.28515625" style="872" customWidth="1"/>
    <col min="2307" max="2307" width="24.140625" style="872" customWidth="1"/>
    <col min="2308" max="2308" width="9.140625" style="872" customWidth="1"/>
    <col min="2309" max="2309" width="9.28515625" style="872" customWidth="1"/>
    <col min="2310" max="2310" width="8.7109375" style="872" customWidth="1"/>
    <col min="2311" max="2311" width="9.140625" style="872" customWidth="1"/>
    <col min="2312" max="2312" width="9.28515625" style="872" customWidth="1"/>
    <col min="2313" max="2313" width="7.85546875" style="872" bestFit="1" customWidth="1"/>
    <col min="2314" max="2314" width="10.85546875" style="872" customWidth="1"/>
    <col min="2315" max="2315" width="8.5703125" style="872" bestFit="1" customWidth="1"/>
    <col min="2316" max="2316" width="10" style="872" customWidth="1"/>
    <col min="2317" max="2317" width="10.28515625" style="872" customWidth="1"/>
    <col min="2318" max="2319" width="9.85546875" style="872" customWidth="1"/>
    <col min="2320" max="2321" width="10.7109375" style="872" customWidth="1"/>
    <col min="2322" max="2322" width="10.5703125" style="872" customWidth="1"/>
    <col min="2323" max="2323" width="10.140625" style="872" customWidth="1"/>
    <col min="2324" max="2324" width="10.7109375" style="872" customWidth="1"/>
    <col min="2325" max="2325" width="10" style="872" customWidth="1"/>
    <col min="2326" max="2326" width="6.85546875" style="872" customWidth="1"/>
    <col min="2327" max="2327" width="11.28515625" style="872" customWidth="1"/>
    <col min="2328" max="2328" width="11.85546875" style="872" customWidth="1"/>
    <col min="2329" max="2560" width="9.7109375" style="872"/>
    <col min="2561" max="2561" width="2.140625" style="872" customWidth="1"/>
    <col min="2562" max="2562" width="2.28515625" style="872" customWidth="1"/>
    <col min="2563" max="2563" width="24.140625" style="872" customWidth="1"/>
    <col min="2564" max="2564" width="9.140625" style="872" customWidth="1"/>
    <col min="2565" max="2565" width="9.28515625" style="872" customWidth="1"/>
    <col min="2566" max="2566" width="8.7109375" style="872" customWidth="1"/>
    <col min="2567" max="2567" width="9.140625" style="872" customWidth="1"/>
    <col min="2568" max="2568" width="9.28515625" style="872" customWidth="1"/>
    <col min="2569" max="2569" width="7.85546875" style="872" bestFit="1" customWidth="1"/>
    <col min="2570" max="2570" width="10.85546875" style="872" customWidth="1"/>
    <col min="2571" max="2571" width="8.5703125" style="872" bestFit="1" customWidth="1"/>
    <col min="2572" max="2572" width="10" style="872" customWidth="1"/>
    <col min="2573" max="2573" width="10.28515625" style="872" customWidth="1"/>
    <col min="2574" max="2575" width="9.85546875" style="872" customWidth="1"/>
    <col min="2576" max="2577" width="10.7109375" style="872" customWidth="1"/>
    <col min="2578" max="2578" width="10.5703125" style="872" customWidth="1"/>
    <col min="2579" max="2579" width="10.140625" style="872" customWidth="1"/>
    <col min="2580" max="2580" width="10.7109375" style="872" customWidth="1"/>
    <col min="2581" max="2581" width="10" style="872" customWidth="1"/>
    <col min="2582" max="2582" width="6.85546875" style="872" customWidth="1"/>
    <col min="2583" max="2583" width="11.28515625" style="872" customWidth="1"/>
    <col min="2584" max="2584" width="11.85546875" style="872" customWidth="1"/>
    <col min="2585" max="2816" width="9.7109375" style="872"/>
    <col min="2817" max="2817" width="2.140625" style="872" customWidth="1"/>
    <col min="2818" max="2818" width="2.28515625" style="872" customWidth="1"/>
    <col min="2819" max="2819" width="24.140625" style="872" customWidth="1"/>
    <col min="2820" max="2820" width="9.140625" style="872" customWidth="1"/>
    <col min="2821" max="2821" width="9.28515625" style="872" customWidth="1"/>
    <col min="2822" max="2822" width="8.7109375" style="872" customWidth="1"/>
    <col min="2823" max="2823" width="9.140625" style="872" customWidth="1"/>
    <col min="2824" max="2824" width="9.28515625" style="872" customWidth="1"/>
    <col min="2825" max="2825" width="7.85546875" style="872" bestFit="1" customWidth="1"/>
    <col min="2826" max="2826" width="10.85546875" style="872" customWidth="1"/>
    <col min="2827" max="2827" width="8.5703125" style="872" bestFit="1" customWidth="1"/>
    <col min="2828" max="2828" width="10" style="872" customWidth="1"/>
    <col min="2829" max="2829" width="10.28515625" style="872" customWidth="1"/>
    <col min="2830" max="2831" width="9.85546875" style="872" customWidth="1"/>
    <col min="2832" max="2833" width="10.7109375" style="872" customWidth="1"/>
    <col min="2834" max="2834" width="10.5703125" style="872" customWidth="1"/>
    <col min="2835" max="2835" width="10.140625" style="872" customWidth="1"/>
    <col min="2836" max="2836" width="10.7109375" style="872" customWidth="1"/>
    <col min="2837" max="2837" width="10" style="872" customWidth="1"/>
    <col min="2838" max="2838" width="6.85546875" style="872" customWidth="1"/>
    <col min="2839" max="2839" width="11.28515625" style="872" customWidth="1"/>
    <col min="2840" max="2840" width="11.85546875" style="872" customWidth="1"/>
    <col min="2841" max="3072" width="9.7109375" style="872"/>
    <col min="3073" max="3073" width="2.140625" style="872" customWidth="1"/>
    <col min="3074" max="3074" width="2.28515625" style="872" customWidth="1"/>
    <col min="3075" max="3075" width="24.140625" style="872" customWidth="1"/>
    <col min="3076" max="3076" width="9.140625" style="872" customWidth="1"/>
    <col min="3077" max="3077" width="9.28515625" style="872" customWidth="1"/>
    <col min="3078" max="3078" width="8.7109375" style="872" customWidth="1"/>
    <col min="3079" max="3079" width="9.140625" style="872" customWidth="1"/>
    <col min="3080" max="3080" width="9.28515625" style="872" customWidth="1"/>
    <col min="3081" max="3081" width="7.85546875" style="872" bestFit="1" customWidth="1"/>
    <col min="3082" max="3082" width="10.85546875" style="872" customWidth="1"/>
    <col min="3083" max="3083" width="8.5703125" style="872" bestFit="1" customWidth="1"/>
    <col min="3084" max="3084" width="10" style="872" customWidth="1"/>
    <col min="3085" max="3085" width="10.28515625" style="872" customWidth="1"/>
    <col min="3086" max="3087" width="9.85546875" style="872" customWidth="1"/>
    <col min="3088" max="3089" width="10.7109375" style="872" customWidth="1"/>
    <col min="3090" max="3090" width="10.5703125" style="872" customWidth="1"/>
    <col min="3091" max="3091" width="10.140625" style="872" customWidth="1"/>
    <col min="3092" max="3092" width="10.7109375" style="872" customWidth="1"/>
    <col min="3093" max="3093" width="10" style="872" customWidth="1"/>
    <col min="3094" max="3094" width="6.85546875" style="872" customWidth="1"/>
    <col min="3095" max="3095" width="11.28515625" style="872" customWidth="1"/>
    <col min="3096" max="3096" width="11.85546875" style="872" customWidth="1"/>
    <col min="3097" max="3328" width="9.7109375" style="872"/>
    <col min="3329" max="3329" width="2.140625" style="872" customWidth="1"/>
    <col min="3330" max="3330" width="2.28515625" style="872" customWidth="1"/>
    <col min="3331" max="3331" width="24.140625" style="872" customWidth="1"/>
    <col min="3332" max="3332" width="9.140625" style="872" customWidth="1"/>
    <col min="3333" max="3333" width="9.28515625" style="872" customWidth="1"/>
    <col min="3334" max="3334" width="8.7109375" style="872" customWidth="1"/>
    <col min="3335" max="3335" width="9.140625" style="872" customWidth="1"/>
    <col min="3336" max="3336" width="9.28515625" style="872" customWidth="1"/>
    <col min="3337" max="3337" width="7.85546875" style="872" bestFit="1" customWidth="1"/>
    <col min="3338" max="3338" width="10.85546875" style="872" customWidth="1"/>
    <col min="3339" max="3339" width="8.5703125" style="872" bestFit="1" customWidth="1"/>
    <col min="3340" max="3340" width="10" style="872" customWidth="1"/>
    <col min="3341" max="3341" width="10.28515625" style="872" customWidth="1"/>
    <col min="3342" max="3343" width="9.85546875" style="872" customWidth="1"/>
    <col min="3344" max="3345" width="10.7109375" style="872" customWidth="1"/>
    <col min="3346" max="3346" width="10.5703125" style="872" customWidth="1"/>
    <col min="3347" max="3347" width="10.140625" style="872" customWidth="1"/>
    <col min="3348" max="3348" width="10.7109375" style="872" customWidth="1"/>
    <col min="3349" max="3349" width="10" style="872" customWidth="1"/>
    <col min="3350" max="3350" width="6.85546875" style="872" customWidth="1"/>
    <col min="3351" max="3351" width="11.28515625" style="872" customWidth="1"/>
    <col min="3352" max="3352" width="11.85546875" style="872" customWidth="1"/>
    <col min="3353" max="3584" width="9.7109375" style="872"/>
    <col min="3585" max="3585" width="2.140625" style="872" customWidth="1"/>
    <col min="3586" max="3586" width="2.28515625" style="872" customWidth="1"/>
    <col min="3587" max="3587" width="24.140625" style="872" customWidth="1"/>
    <col min="3588" max="3588" width="9.140625" style="872" customWidth="1"/>
    <col min="3589" max="3589" width="9.28515625" style="872" customWidth="1"/>
    <col min="3590" max="3590" width="8.7109375" style="872" customWidth="1"/>
    <col min="3591" max="3591" width="9.140625" style="872" customWidth="1"/>
    <col min="3592" max="3592" width="9.28515625" style="872" customWidth="1"/>
    <col min="3593" max="3593" width="7.85546875" style="872" bestFit="1" customWidth="1"/>
    <col min="3594" max="3594" width="10.85546875" style="872" customWidth="1"/>
    <col min="3595" max="3595" width="8.5703125" style="872" bestFit="1" customWidth="1"/>
    <col min="3596" max="3596" width="10" style="872" customWidth="1"/>
    <col min="3597" max="3597" width="10.28515625" style="872" customWidth="1"/>
    <col min="3598" max="3599" width="9.85546875" style="872" customWidth="1"/>
    <col min="3600" max="3601" width="10.7109375" style="872" customWidth="1"/>
    <col min="3602" max="3602" width="10.5703125" style="872" customWidth="1"/>
    <col min="3603" max="3603" width="10.140625" style="872" customWidth="1"/>
    <col min="3604" max="3604" width="10.7109375" style="872" customWidth="1"/>
    <col min="3605" max="3605" width="10" style="872" customWidth="1"/>
    <col min="3606" max="3606" width="6.85546875" style="872" customWidth="1"/>
    <col min="3607" max="3607" width="11.28515625" style="872" customWidth="1"/>
    <col min="3608" max="3608" width="11.85546875" style="872" customWidth="1"/>
    <col min="3609" max="3840" width="9.7109375" style="872"/>
    <col min="3841" max="3841" width="2.140625" style="872" customWidth="1"/>
    <col min="3842" max="3842" width="2.28515625" style="872" customWidth="1"/>
    <col min="3843" max="3843" width="24.140625" style="872" customWidth="1"/>
    <col min="3844" max="3844" width="9.140625" style="872" customWidth="1"/>
    <col min="3845" max="3845" width="9.28515625" style="872" customWidth="1"/>
    <col min="3846" max="3846" width="8.7109375" style="872" customWidth="1"/>
    <col min="3847" max="3847" width="9.140625" style="872" customWidth="1"/>
    <col min="3848" max="3848" width="9.28515625" style="872" customWidth="1"/>
    <col min="3849" max="3849" width="7.85546875" style="872" bestFit="1" customWidth="1"/>
    <col min="3850" max="3850" width="10.85546875" style="872" customWidth="1"/>
    <col min="3851" max="3851" width="8.5703125" style="872" bestFit="1" customWidth="1"/>
    <col min="3852" max="3852" width="10" style="872" customWidth="1"/>
    <col min="3853" max="3853" width="10.28515625" style="872" customWidth="1"/>
    <col min="3854" max="3855" width="9.85546875" style="872" customWidth="1"/>
    <col min="3856" max="3857" width="10.7109375" style="872" customWidth="1"/>
    <col min="3858" max="3858" width="10.5703125" style="872" customWidth="1"/>
    <col min="3859" max="3859" width="10.140625" style="872" customWidth="1"/>
    <col min="3860" max="3860" width="10.7109375" style="872" customWidth="1"/>
    <col min="3861" max="3861" width="10" style="872" customWidth="1"/>
    <col min="3862" max="3862" width="6.85546875" style="872" customWidth="1"/>
    <col min="3863" max="3863" width="11.28515625" style="872" customWidth="1"/>
    <col min="3864" max="3864" width="11.85546875" style="872" customWidth="1"/>
    <col min="3865" max="4096" width="9.7109375" style="872"/>
    <col min="4097" max="4097" width="2.140625" style="872" customWidth="1"/>
    <col min="4098" max="4098" width="2.28515625" style="872" customWidth="1"/>
    <col min="4099" max="4099" width="24.140625" style="872" customWidth="1"/>
    <col min="4100" max="4100" width="9.140625" style="872" customWidth="1"/>
    <col min="4101" max="4101" width="9.28515625" style="872" customWidth="1"/>
    <col min="4102" max="4102" width="8.7109375" style="872" customWidth="1"/>
    <col min="4103" max="4103" width="9.140625" style="872" customWidth="1"/>
    <col min="4104" max="4104" width="9.28515625" style="872" customWidth="1"/>
    <col min="4105" max="4105" width="7.85546875" style="872" bestFit="1" customWidth="1"/>
    <col min="4106" max="4106" width="10.85546875" style="872" customWidth="1"/>
    <col min="4107" max="4107" width="8.5703125" style="872" bestFit="1" customWidth="1"/>
    <col min="4108" max="4108" width="10" style="872" customWidth="1"/>
    <col min="4109" max="4109" width="10.28515625" style="872" customWidth="1"/>
    <col min="4110" max="4111" width="9.85546875" style="872" customWidth="1"/>
    <col min="4112" max="4113" width="10.7109375" style="872" customWidth="1"/>
    <col min="4114" max="4114" width="10.5703125" style="872" customWidth="1"/>
    <col min="4115" max="4115" width="10.140625" style="872" customWidth="1"/>
    <col min="4116" max="4116" width="10.7109375" style="872" customWidth="1"/>
    <col min="4117" max="4117" width="10" style="872" customWidth="1"/>
    <col min="4118" max="4118" width="6.85546875" style="872" customWidth="1"/>
    <col min="4119" max="4119" width="11.28515625" style="872" customWidth="1"/>
    <col min="4120" max="4120" width="11.85546875" style="872" customWidth="1"/>
    <col min="4121" max="4352" width="9.7109375" style="872"/>
    <col min="4353" max="4353" width="2.140625" style="872" customWidth="1"/>
    <col min="4354" max="4354" width="2.28515625" style="872" customWidth="1"/>
    <col min="4355" max="4355" width="24.140625" style="872" customWidth="1"/>
    <col min="4356" max="4356" width="9.140625" style="872" customWidth="1"/>
    <col min="4357" max="4357" width="9.28515625" style="872" customWidth="1"/>
    <col min="4358" max="4358" width="8.7109375" style="872" customWidth="1"/>
    <col min="4359" max="4359" width="9.140625" style="872" customWidth="1"/>
    <col min="4360" max="4360" width="9.28515625" style="872" customWidth="1"/>
    <col min="4361" max="4361" width="7.85546875" style="872" bestFit="1" customWidth="1"/>
    <col min="4362" max="4362" width="10.85546875" style="872" customWidth="1"/>
    <col min="4363" max="4363" width="8.5703125" style="872" bestFit="1" customWidth="1"/>
    <col min="4364" max="4364" width="10" style="872" customWidth="1"/>
    <col min="4365" max="4365" width="10.28515625" style="872" customWidth="1"/>
    <col min="4366" max="4367" width="9.85546875" style="872" customWidth="1"/>
    <col min="4368" max="4369" width="10.7109375" style="872" customWidth="1"/>
    <col min="4370" max="4370" width="10.5703125" style="872" customWidth="1"/>
    <col min="4371" max="4371" width="10.140625" style="872" customWidth="1"/>
    <col min="4372" max="4372" width="10.7109375" style="872" customWidth="1"/>
    <col min="4373" max="4373" width="10" style="872" customWidth="1"/>
    <col min="4374" max="4374" width="6.85546875" style="872" customWidth="1"/>
    <col min="4375" max="4375" width="11.28515625" style="872" customWidth="1"/>
    <col min="4376" max="4376" width="11.85546875" style="872" customWidth="1"/>
    <col min="4377" max="4608" width="9.7109375" style="872"/>
    <col min="4609" max="4609" width="2.140625" style="872" customWidth="1"/>
    <col min="4610" max="4610" width="2.28515625" style="872" customWidth="1"/>
    <col min="4611" max="4611" width="24.140625" style="872" customWidth="1"/>
    <col min="4612" max="4612" width="9.140625" style="872" customWidth="1"/>
    <col min="4613" max="4613" width="9.28515625" style="872" customWidth="1"/>
    <col min="4614" max="4614" width="8.7109375" style="872" customWidth="1"/>
    <col min="4615" max="4615" width="9.140625" style="872" customWidth="1"/>
    <col min="4616" max="4616" width="9.28515625" style="872" customWidth="1"/>
    <col min="4617" max="4617" width="7.85546875" style="872" bestFit="1" customWidth="1"/>
    <col min="4618" max="4618" width="10.85546875" style="872" customWidth="1"/>
    <col min="4619" max="4619" width="8.5703125" style="872" bestFit="1" customWidth="1"/>
    <col min="4620" max="4620" width="10" style="872" customWidth="1"/>
    <col min="4621" max="4621" width="10.28515625" style="872" customWidth="1"/>
    <col min="4622" max="4623" width="9.85546875" style="872" customWidth="1"/>
    <col min="4624" max="4625" width="10.7109375" style="872" customWidth="1"/>
    <col min="4626" max="4626" width="10.5703125" style="872" customWidth="1"/>
    <col min="4627" max="4627" width="10.140625" style="872" customWidth="1"/>
    <col min="4628" max="4628" width="10.7109375" style="872" customWidth="1"/>
    <col min="4629" max="4629" width="10" style="872" customWidth="1"/>
    <col min="4630" max="4630" width="6.85546875" style="872" customWidth="1"/>
    <col min="4631" max="4631" width="11.28515625" style="872" customWidth="1"/>
    <col min="4632" max="4632" width="11.85546875" style="872" customWidth="1"/>
    <col min="4633" max="4864" width="9.7109375" style="872"/>
    <col min="4865" max="4865" width="2.140625" style="872" customWidth="1"/>
    <col min="4866" max="4866" width="2.28515625" style="872" customWidth="1"/>
    <col min="4867" max="4867" width="24.140625" style="872" customWidth="1"/>
    <col min="4868" max="4868" width="9.140625" style="872" customWidth="1"/>
    <col min="4869" max="4869" width="9.28515625" style="872" customWidth="1"/>
    <col min="4870" max="4870" width="8.7109375" style="872" customWidth="1"/>
    <col min="4871" max="4871" width="9.140625" style="872" customWidth="1"/>
    <col min="4872" max="4872" width="9.28515625" style="872" customWidth="1"/>
    <col min="4873" max="4873" width="7.85546875" style="872" bestFit="1" customWidth="1"/>
    <col min="4874" max="4874" width="10.85546875" style="872" customWidth="1"/>
    <col min="4875" max="4875" width="8.5703125" style="872" bestFit="1" customWidth="1"/>
    <col min="4876" max="4876" width="10" style="872" customWidth="1"/>
    <col min="4877" max="4877" width="10.28515625" style="872" customWidth="1"/>
    <col min="4878" max="4879" width="9.85546875" style="872" customWidth="1"/>
    <col min="4880" max="4881" width="10.7109375" style="872" customWidth="1"/>
    <col min="4882" max="4882" width="10.5703125" style="872" customWidth="1"/>
    <col min="4883" max="4883" width="10.140625" style="872" customWidth="1"/>
    <col min="4884" max="4884" width="10.7109375" style="872" customWidth="1"/>
    <col min="4885" max="4885" width="10" style="872" customWidth="1"/>
    <col min="4886" max="4886" width="6.85546875" style="872" customWidth="1"/>
    <col min="4887" max="4887" width="11.28515625" style="872" customWidth="1"/>
    <col min="4888" max="4888" width="11.85546875" style="872" customWidth="1"/>
    <col min="4889" max="5120" width="9.7109375" style="872"/>
    <col min="5121" max="5121" width="2.140625" style="872" customWidth="1"/>
    <col min="5122" max="5122" width="2.28515625" style="872" customWidth="1"/>
    <col min="5123" max="5123" width="24.140625" style="872" customWidth="1"/>
    <col min="5124" max="5124" width="9.140625" style="872" customWidth="1"/>
    <col min="5125" max="5125" width="9.28515625" style="872" customWidth="1"/>
    <col min="5126" max="5126" width="8.7109375" style="872" customWidth="1"/>
    <col min="5127" max="5127" width="9.140625" style="872" customWidth="1"/>
    <col min="5128" max="5128" width="9.28515625" style="872" customWidth="1"/>
    <col min="5129" max="5129" width="7.85546875" style="872" bestFit="1" customWidth="1"/>
    <col min="5130" max="5130" width="10.85546875" style="872" customWidth="1"/>
    <col min="5131" max="5131" width="8.5703125" style="872" bestFit="1" customWidth="1"/>
    <col min="5132" max="5132" width="10" style="872" customWidth="1"/>
    <col min="5133" max="5133" width="10.28515625" style="872" customWidth="1"/>
    <col min="5134" max="5135" width="9.85546875" style="872" customWidth="1"/>
    <col min="5136" max="5137" width="10.7109375" style="872" customWidth="1"/>
    <col min="5138" max="5138" width="10.5703125" style="872" customWidth="1"/>
    <col min="5139" max="5139" width="10.140625" style="872" customWidth="1"/>
    <col min="5140" max="5140" width="10.7109375" style="872" customWidth="1"/>
    <col min="5141" max="5141" width="10" style="872" customWidth="1"/>
    <col min="5142" max="5142" width="6.85546875" style="872" customWidth="1"/>
    <col min="5143" max="5143" width="11.28515625" style="872" customWidth="1"/>
    <col min="5144" max="5144" width="11.85546875" style="872" customWidth="1"/>
    <col min="5145" max="5376" width="9.7109375" style="872"/>
    <col min="5377" max="5377" width="2.140625" style="872" customWidth="1"/>
    <col min="5378" max="5378" width="2.28515625" style="872" customWidth="1"/>
    <col min="5379" max="5379" width="24.140625" style="872" customWidth="1"/>
    <col min="5380" max="5380" width="9.140625" style="872" customWidth="1"/>
    <col min="5381" max="5381" width="9.28515625" style="872" customWidth="1"/>
    <col min="5382" max="5382" width="8.7109375" style="872" customWidth="1"/>
    <col min="5383" max="5383" width="9.140625" style="872" customWidth="1"/>
    <col min="5384" max="5384" width="9.28515625" style="872" customWidth="1"/>
    <col min="5385" max="5385" width="7.85546875" style="872" bestFit="1" customWidth="1"/>
    <col min="5386" max="5386" width="10.85546875" style="872" customWidth="1"/>
    <col min="5387" max="5387" width="8.5703125" style="872" bestFit="1" customWidth="1"/>
    <col min="5388" max="5388" width="10" style="872" customWidth="1"/>
    <col min="5389" max="5389" width="10.28515625" style="872" customWidth="1"/>
    <col min="5390" max="5391" width="9.85546875" style="872" customWidth="1"/>
    <col min="5392" max="5393" width="10.7109375" style="872" customWidth="1"/>
    <col min="5394" max="5394" width="10.5703125" style="872" customWidth="1"/>
    <col min="5395" max="5395" width="10.140625" style="872" customWidth="1"/>
    <col min="5396" max="5396" width="10.7109375" style="872" customWidth="1"/>
    <col min="5397" max="5397" width="10" style="872" customWidth="1"/>
    <col min="5398" max="5398" width="6.85546875" style="872" customWidth="1"/>
    <col min="5399" max="5399" width="11.28515625" style="872" customWidth="1"/>
    <col min="5400" max="5400" width="11.85546875" style="872" customWidth="1"/>
    <col min="5401" max="5632" width="9.7109375" style="872"/>
    <col min="5633" max="5633" width="2.140625" style="872" customWidth="1"/>
    <col min="5634" max="5634" width="2.28515625" style="872" customWidth="1"/>
    <col min="5635" max="5635" width="24.140625" style="872" customWidth="1"/>
    <col min="5636" max="5636" width="9.140625" style="872" customWidth="1"/>
    <col min="5637" max="5637" width="9.28515625" style="872" customWidth="1"/>
    <col min="5638" max="5638" width="8.7109375" style="872" customWidth="1"/>
    <col min="5639" max="5639" width="9.140625" style="872" customWidth="1"/>
    <col min="5640" max="5640" width="9.28515625" style="872" customWidth="1"/>
    <col min="5641" max="5641" width="7.85546875" style="872" bestFit="1" customWidth="1"/>
    <col min="5642" max="5642" width="10.85546875" style="872" customWidth="1"/>
    <col min="5643" max="5643" width="8.5703125" style="872" bestFit="1" customWidth="1"/>
    <col min="5644" max="5644" width="10" style="872" customWidth="1"/>
    <col min="5645" max="5645" width="10.28515625" style="872" customWidth="1"/>
    <col min="5646" max="5647" width="9.85546875" style="872" customWidth="1"/>
    <col min="5648" max="5649" width="10.7109375" style="872" customWidth="1"/>
    <col min="5650" max="5650" width="10.5703125" style="872" customWidth="1"/>
    <col min="5651" max="5651" width="10.140625" style="872" customWidth="1"/>
    <col min="5652" max="5652" width="10.7109375" style="872" customWidth="1"/>
    <col min="5653" max="5653" width="10" style="872" customWidth="1"/>
    <col min="5654" max="5654" width="6.85546875" style="872" customWidth="1"/>
    <col min="5655" max="5655" width="11.28515625" style="872" customWidth="1"/>
    <col min="5656" max="5656" width="11.85546875" style="872" customWidth="1"/>
    <col min="5657" max="5888" width="9.7109375" style="872"/>
    <col min="5889" max="5889" width="2.140625" style="872" customWidth="1"/>
    <col min="5890" max="5890" width="2.28515625" style="872" customWidth="1"/>
    <col min="5891" max="5891" width="24.140625" style="872" customWidth="1"/>
    <col min="5892" max="5892" width="9.140625" style="872" customWidth="1"/>
    <col min="5893" max="5893" width="9.28515625" style="872" customWidth="1"/>
    <col min="5894" max="5894" width="8.7109375" style="872" customWidth="1"/>
    <col min="5895" max="5895" width="9.140625" style="872" customWidth="1"/>
    <col min="5896" max="5896" width="9.28515625" style="872" customWidth="1"/>
    <col min="5897" max="5897" width="7.85546875" style="872" bestFit="1" customWidth="1"/>
    <col min="5898" max="5898" width="10.85546875" style="872" customWidth="1"/>
    <col min="5899" max="5899" width="8.5703125" style="872" bestFit="1" customWidth="1"/>
    <col min="5900" max="5900" width="10" style="872" customWidth="1"/>
    <col min="5901" max="5901" width="10.28515625" style="872" customWidth="1"/>
    <col min="5902" max="5903" width="9.85546875" style="872" customWidth="1"/>
    <col min="5904" max="5905" width="10.7109375" style="872" customWidth="1"/>
    <col min="5906" max="5906" width="10.5703125" style="872" customWidth="1"/>
    <col min="5907" max="5907" width="10.140625" style="872" customWidth="1"/>
    <col min="5908" max="5908" width="10.7109375" style="872" customWidth="1"/>
    <col min="5909" max="5909" width="10" style="872" customWidth="1"/>
    <col min="5910" max="5910" width="6.85546875" style="872" customWidth="1"/>
    <col min="5911" max="5911" width="11.28515625" style="872" customWidth="1"/>
    <col min="5912" max="5912" width="11.85546875" style="872" customWidth="1"/>
    <col min="5913" max="6144" width="9.7109375" style="872"/>
    <col min="6145" max="6145" width="2.140625" style="872" customWidth="1"/>
    <col min="6146" max="6146" width="2.28515625" style="872" customWidth="1"/>
    <col min="6147" max="6147" width="24.140625" style="872" customWidth="1"/>
    <col min="6148" max="6148" width="9.140625" style="872" customWidth="1"/>
    <col min="6149" max="6149" width="9.28515625" style="872" customWidth="1"/>
    <col min="6150" max="6150" width="8.7109375" style="872" customWidth="1"/>
    <col min="6151" max="6151" width="9.140625" style="872" customWidth="1"/>
    <col min="6152" max="6152" width="9.28515625" style="872" customWidth="1"/>
    <col min="6153" max="6153" width="7.85546875" style="872" bestFit="1" customWidth="1"/>
    <col min="6154" max="6154" width="10.85546875" style="872" customWidth="1"/>
    <col min="6155" max="6155" width="8.5703125" style="872" bestFit="1" customWidth="1"/>
    <col min="6156" max="6156" width="10" style="872" customWidth="1"/>
    <col min="6157" max="6157" width="10.28515625" style="872" customWidth="1"/>
    <col min="6158" max="6159" width="9.85546875" style="872" customWidth="1"/>
    <col min="6160" max="6161" width="10.7109375" style="872" customWidth="1"/>
    <col min="6162" max="6162" width="10.5703125" style="872" customWidth="1"/>
    <col min="6163" max="6163" width="10.140625" style="872" customWidth="1"/>
    <col min="6164" max="6164" width="10.7109375" style="872" customWidth="1"/>
    <col min="6165" max="6165" width="10" style="872" customWidth="1"/>
    <col min="6166" max="6166" width="6.85546875" style="872" customWidth="1"/>
    <col min="6167" max="6167" width="11.28515625" style="872" customWidth="1"/>
    <col min="6168" max="6168" width="11.85546875" style="872" customWidth="1"/>
    <col min="6169" max="6400" width="9.7109375" style="872"/>
    <col min="6401" max="6401" width="2.140625" style="872" customWidth="1"/>
    <col min="6402" max="6402" width="2.28515625" style="872" customWidth="1"/>
    <col min="6403" max="6403" width="24.140625" style="872" customWidth="1"/>
    <col min="6404" max="6404" width="9.140625" style="872" customWidth="1"/>
    <col min="6405" max="6405" width="9.28515625" style="872" customWidth="1"/>
    <col min="6406" max="6406" width="8.7109375" style="872" customWidth="1"/>
    <col min="6407" max="6407" width="9.140625" style="872" customWidth="1"/>
    <col min="6408" max="6408" width="9.28515625" style="872" customWidth="1"/>
    <col min="6409" max="6409" width="7.85546875" style="872" bestFit="1" customWidth="1"/>
    <col min="6410" max="6410" width="10.85546875" style="872" customWidth="1"/>
    <col min="6411" max="6411" width="8.5703125" style="872" bestFit="1" customWidth="1"/>
    <col min="6412" max="6412" width="10" style="872" customWidth="1"/>
    <col min="6413" max="6413" width="10.28515625" style="872" customWidth="1"/>
    <col min="6414" max="6415" width="9.85546875" style="872" customWidth="1"/>
    <col min="6416" max="6417" width="10.7109375" style="872" customWidth="1"/>
    <col min="6418" max="6418" width="10.5703125" style="872" customWidth="1"/>
    <col min="6419" max="6419" width="10.140625" style="872" customWidth="1"/>
    <col min="6420" max="6420" width="10.7109375" style="872" customWidth="1"/>
    <col min="6421" max="6421" width="10" style="872" customWidth="1"/>
    <col min="6422" max="6422" width="6.85546875" style="872" customWidth="1"/>
    <col min="6423" max="6423" width="11.28515625" style="872" customWidth="1"/>
    <col min="6424" max="6424" width="11.85546875" style="872" customWidth="1"/>
    <col min="6425" max="6656" width="9.7109375" style="872"/>
    <col min="6657" max="6657" width="2.140625" style="872" customWidth="1"/>
    <col min="6658" max="6658" width="2.28515625" style="872" customWidth="1"/>
    <col min="6659" max="6659" width="24.140625" style="872" customWidth="1"/>
    <col min="6660" max="6660" width="9.140625" style="872" customWidth="1"/>
    <col min="6661" max="6661" width="9.28515625" style="872" customWidth="1"/>
    <col min="6662" max="6662" width="8.7109375" style="872" customWidth="1"/>
    <col min="6663" max="6663" width="9.140625" style="872" customWidth="1"/>
    <col min="6664" max="6664" width="9.28515625" style="872" customWidth="1"/>
    <col min="6665" max="6665" width="7.85546875" style="872" bestFit="1" customWidth="1"/>
    <col min="6666" max="6666" width="10.85546875" style="872" customWidth="1"/>
    <col min="6667" max="6667" width="8.5703125" style="872" bestFit="1" customWidth="1"/>
    <col min="6668" max="6668" width="10" style="872" customWidth="1"/>
    <col min="6669" max="6669" width="10.28515625" style="872" customWidth="1"/>
    <col min="6670" max="6671" width="9.85546875" style="872" customWidth="1"/>
    <col min="6672" max="6673" width="10.7109375" style="872" customWidth="1"/>
    <col min="6674" max="6674" width="10.5703125" style="872" customWidth="1"/>
    <col min="6675" max="6675" width="10.140625" style="872" customWidth="1"/>
    <col min="6676" max="6676" width="10.7109375" style="872" customWidth="1"/>
    <col min="6677" max="6677" width="10" style="872" customWidth="1"/>
    <col min="6678" max="6678" width="6.85546875" style="872" customWidth="1"/>
    <col min="6679" max="6679" width="11.28515625" style="872" customWidth="1"/>
    <col min="6680" max="6680" width="11.85546875" style="872" customWidth="1"/>
    <col min="6681" max="6912" width="9.7109375" style="872"/>
    <col min="6913" max="6913" width="2.140625" style="872" customWidth="1"/>
    <col min="6914" max="6914" width="2.28515625" style="872" customWidth="1"/>
    <col min="6915" max="6915" width="24.140625" style="872" customWidth="1"/>
    <col min="6916" max="6916" width="9.140625" style="872" customWidth="1"/>
    <col min="6917" max="6917" width="9.28515625" style="872" customWidth="1"/>
    <col min="6918" max="6918" width="8.7109375" style="872" customWidth="1"/>
    <col min="6919" max="6919" width="9.140625" style="872" customWidth="1"/>
    <col min="6920" max="6920" width="9.28515625" style="872" customWidth="1"/>
    <col min="6921" max="6921" width="7.85546875" style="872" bestFit="1" customWidth="1"/>
    <col min="6922" max="6922" width="10.85546875" style="872" customWidth="1"/>
    <col min="6923" max="6923" width="8.5703125" style="872" bestFit="1" customWidth="1"/>
    <col min="6924" max="6924" width="10" style="872" customWidth="1"/>
    <col min="6925" max="6925" width="10.28515625" style="872" customWidth="1"/>
    <col min="6926" max="6927" width="9.85546875" style="872" customWidth="1"/>
    <col min="6928" max="6929" width="10.7109375" style="872" customWidth="1"/>
    <col min="6930" max="6930" width="10.5703125" style="872" customWidth="1"/>
    <col min="6931" max="6931" width="10.140625" style="872" customWidth="1"/>
    <col min="6932" max="6932" width="10.7109375" style="872" customWidth="1"/>
    <col min="6933" max="6933" width="10" style="872" customWidth="1"/>
    <col min="6934" max="6934" width="6.85546875" style="872" customWidth="1"/>
    <col min="6935" max="6935" width="11.28515625" style="872" customWidth="1"/>
    <col min="6936" max="6936" width="11.85546875" style="872" customWidth="1"/>
    <col min="6937" max="7168" width="9.7109375" style="872"/>
    <col min="7169" max="7169" width="2.140625" style="872" customWidth="1"/>
    <col min="7170" max="7170" width="2.28515625" style="872" customWidth="1"/>
    <col min="7171" max="7171" width="24.140625" style="872" customWidth="1"/>
    <col min="7172" max="7172" width="9.140625" style="872" customWidth="1"/>
    <col min="7173" max="7173" width="9.28515625" style="872" customWidth="1"/>
    <col min="7174" max="7174" width="8.7109375" style="872" customWidth="1"/>
    <col min="7175" max="7175" width="9.140625" style="872" customWidth="1"/>
    <col min="7176" max="7176" width="9.28515625" style="872" customWidth="1"/>
    <col min="7177" max="7177" width="7.85546875" style="872" bestFit="1" customWidth="1"/>
    <col min="7178" max="7178" width="10.85546875" style="872" customWidth="1"/>
    <col min="7179" max="7179" width="8.5703125" style="872" bestFit="1" customWidth="1"/>
    <col min="7180" max="7180" width="10" style="872" customWidth="1"/>
    <col min="7181" max="7181" width="10.28515625" style="872" customWidth="1"/>
    <col min="7182" max="7183" width="9.85546875" style="872" customWidth="1"/>
    <col min="7184" max="7185" width="10.7109375" style="872" customWidth="1"/>
    <col min="7186" max="7186" width="10.5703125" style="872" customWidth="1"/>
    <col min="7187" max="7187" width="10.140625" style="872" customWidth="1"/>
    <col min="7188" max="7188" width="10.7109375" style="872" customWidth="1"/>
    <col min="7189" max="7189" width="10" style="872" customWidth="1"/>
    <col min="7190" max="7190" width="6.85546875" style="872" customWidth="1"/>
    <col min="7191" max="7191" width="11.28515625" style="872" customWidth="1"/>
    <col min="7192" max="7192" width="11.85546875" style="872" customWidth="1"/>
    <col min="7193" max="7424" width="9.7109375" style="872"/>
    <col min="7425" max="7425" width="2.140625" style="872" customWidth="1"/>
    <col min="7426" max="7426" width="2.28515625" style="872" customWidth="1"/>
    <col min="7427" max="7427" width="24.140625" style="872" customWidth="1"/>
    <col min="7428" max="7428" width="9.140625" style="872" customWidth="1"/>
    <col min="7429" max="7429" width="9.28515625" style="872" customWidth="1"/>
    <col min="7430" max="7430" width="8.7109375" style="872" customWidth="1"/>
    <col min="7431" max="7431" width="9.140625" style="872" customWidth="1"/>
    <col min="7432" max="7432" width="9.28515625" style="872" customWidth="1"/>
    <col min="7433" max="7433" width="7.85546875" style="872" bestFit="1" customWidth="1"/>
    <col min="7434" max="7434" width="10.85546875" style="872" customWidth="1"/>
    <col min="7435" max="7435" width="8.5703125" style="872" bestFit="1" customWidth="1"/>
    <col min="7436" max="7436" width="10" style="872" customWidth="1"/>
    <col min="7437" max="7437" width="10.28515625" style="872" customWidth="1"/>
    <col min="7438" max="7439" width="9.85546875" style="872" customWidth="1"/>
    <col min="7440" max="7441" width="10.7109375" style="872" customWidth="1"/>
    <col min="7442" max="7442" width="10.5703125" style="872" customWidth="1"/>
    <col min="7443" max="7443" width="10.140625" style="872" customWidth="1"/>
    <col min="7444" max="7444" width="10.7109375" style="872" customWidth="1"/>
    <col min="7445" max="7445" width="10" style="872" customWidth="1"/>
    <col min="7446" max="7446" width="6.85546875" style="872" customWidth="1"/>
    <col min="7447" max="7447" width="11.28515625" style="872" customWidth="1"/>
    <col min="7448" max="7448" width="11.85546875" style="872" customWidth="1"/>
    <col min="7449" max="7680" width="9.7109375" style="872"/>
    <col min="7681" max="7681" width="2.140625" style="872" customWidth="1"/>
    <col min="7682" max="7682" width="2.28515625" style="872" customWidth="1"/>
    <col min="7683" max="7683" width="24.140625" style="872" customWidth="1"/>
    <col min="7684" max="7684" width="9.140625" style="872" customWidth="1"/>
    <col min="7685" max="7685" width="9.28515625" style="872" customWidth="1"/>
    <col min="7686" max="7686" width="8.7109375" style="872" customWidth="1"/>
    <col min="7687" max="7687" width="9.140625" style="872" customWidth="1"/>
    <col min="7688" max="7688" width="9.28515625" style="872" customWidth="1"/>
    <col min="7689" max="7689" width="7.85546875" style="872" bestFit="1" customWidth="1"/>
    <col min="7690" max="7690" width="10.85546875" style="872" customWidth="1"/>
    <col min="7691" max="7691" width="8.5703125" style="872" bestFit="1" customWidth="1"/>
    <col min="7692" max="7692" width="10" style="872" customWidth="1"/>
    <col min="7693" max="7693" width="10.28515625" style="872" customWidth="1"/>
    <col min="7694" max="7695" width="9.85546875" style="872" customWidth="1"/>
    <col min="7696" max="7697" width="10.7109375" style="872" customWidth="1"/>
    <col min="7698" max="7698" width="10.5703125" style="872" customWidth="1"/>
    <col min="7699" max="7699" width="10.140625" style="872" customWidth="1"/>
    <col min="7700" max="7700" width="10.7109375" style="872" customWidth="1"/>
    <col min="7701" max="7701" width="10" style="872" customWidth="1"/>
    <col min="7702" max="7702" width="6.85546875" style="872" customWidth="1"/>
    <col min="7703" max="7703" width="11.28515625" style="872" customWidth="1"/>
    <col min="7704" max="7704" width="11.85546875" style="872" customWidth="1"/>
    <col min="7705" max="7936" width="9.7109375" style="872"/>
    <col min="7937" max="7937" width="2.140625" style="872" customWidth="1"/>
    <col min="7938" max="7938" width="2.28515625" style="872" customWidth="1"/>
    <col min="7939" max="7939" width="24.140625" style="872" customWidth="1"/>
    <col min="7940" max="7940" width="9.140625" style="872" customWidth="1"/>
    <col min="7941" max="7941" width="9.28515625" style="872" customWidth="1"/>
    <col min="7942" max="7942" width="8.7109375" style="872" customWidth="1"/>
    <col min="7943" max="7943" width="9.140625" style="872" customWidth="1"/>
    <col min="7944" max="7944" width="9.28515625" style="872" customWidth="1"/>
    <col min="7945" max="7945" width="7.85546875" style="872" bestFit="1" customWidth="1"/>
    <col min="7946" max="7946" width="10.85546875" style="872" customWidth="1"/>
    <col min="7947" max="7947" width="8.5703125" style="872" bestFit="1" customWidth="1"/>
    <col min="7948" max="7948" width="10" style="872" customWidth="1"/>
    <col min="7949" max="7949" width="10.28515625" style="872" customWidth="1"/>
    <col min="7950" max="7951" width="9.85546875" style="872" customWidth="1"/>
    <col min="7952" max="7953" width="10.7109375" style="872" customWidth="1"/>
    <col min="7954" max="7954" width="10.5703125" style="872" customWidth="1"/>
    <col min="7955" max="7955" width="10.140625" style="872" customWidth="1"/>
    <col min="7956" max="7956" width="10.7109375" style="872" customWidth="1"/>
    <col min="7957" max="7957" width="10" style="872" customWidth="1"/>
    <col min="7958" max="7958" width="6.85546875" style="872" customWidth="1"/>
    <col min="7959" max="7959" width="11.28515625" style="872" customWidth="1"/>
    <col min="7960" max="7960" width="11.85546875" style="872" customWidth="1"/>
    <col min="7961" max="8192" width="9.7109375" style="872"/>
    <col min="8193" max="8193" width="2.140625" style="872" customWidth="1"/>
    <col min="8194" max="8194" width="2.28515625" style="872" customWidth="1"/>
    <col min="8195" max="8195" width="24.140625" style="872" customWidth="1"/>
    <col min="8196" max="8196" width="9.140625" style="872" customWidth="1"/>
    <col min="8197" max="8197" width="9.28515625" style="872" customWidth="1"/>
    <col min="8198" max="8198" width="8.7109375" style="872" customWidth="1"/>
    <col min="8199" max="8199" width="9.140625" style="872" customWidth="1"/>
    <col min="8200" max="8200" width="9.28515625" style="872" customWidth="1"/>
    <col min="8201" max="8201" width="7.85546875" style="872" bestFit="1" customWidth="1"/>
    <col min="8202" max="8202" width="10.85546875" style="872" customWidth="1"/>
    <col min="8203" max="8203" width="8.5703125" style="872" bestFit="1" customWidth="1"/>
    <col min="8204" max="8204" width="10" style="872" customWidth="1"/>
    <col min="8205" max="8205" width="10.28515625" style="872" customWidth="1"/>
    <col min="8206" max="8207" width="9.85546875" style="872" customWidth="1"/>
    <col min="8208" max="8209" width="10.7109375" style="872" customWidth="1"/>
    <col min="8210" max="8210" width="10.5703125" style="872" customWidth="1"/>
    <col min="8211" max="8211" width="10.140625" style="872" customWidth="1"/>
    <col min="8212" max="8212" width="10.7109375" style="872" customWidth="1"/>
    <col min="8213" max="8213" width="10" style="872" customWidth="1"/>
    <col min="8214" max="8214" width="6.85546875" style="872" customWidth="1"/>
    <col min="8215" max="8215" width="11.28515625" style="872" customWidth="1"/>
    <col min="8216" max="8216" width="11.85546875" style="872" customWidth="1"/>
    <col min="8217" max="8448" width="9.7109375" style="872"/>
    <col min="8449" max="8449" width="2.140625" style="872" customWidth="1"/>
    <col min="8450" max="8450" width="2.28515625" style="872" customWidth="1"/>
    <col min="8451" max="8451" width="24.140625" style="872" customWidth="1"/>
    <col min="8452" max="8452" width="9.140625" style="872" customWidth="1"/>
    <col min="8453" max="8453" width="9.28515625" style="872" customWidth="1"/>
    <col min="8454" max="8454" width="8.7109375" style="872" customWidth="1"/>
    <col min="8455" max="8455" width="9.140625" style="872" customWidth="1"/>
    <col min="8456" max="8456" width="9.28515625" style="872" customWidth="1"/>
    <col min="8457" max="8457" width="7.85546875" style="872" bestFit="1" customWidth="1"/>
    <col min="8458" max="8458" width="10.85546875" style="872" customWidth="1"/>
    <col min="8459" max="8459" width="8.5703125" style="872" bestFit="1" customWidth="1"/>
    <col min="8460" max="8460" width="10" style="872" customWidth="1"/>
    <col min="8461" max="8461" width="10.28515625" style="872" customWidth="1"/>
    <col min="8462" max="8463" width="9.85546875" style="872" customWidth="1"/>
    <col min="8464" max="8465" width="10.7109375" style="872" customWidth="1"/>
    <col min="8466" max="8466" width="10.5703125" style="872" customWidth="1"/>
    <col min="8467" max="8467" width="10.140625" style="872" customWidth="1"/>
    <col min="8468" max="8468" width="10.7109375" style="872" customWidth="1"/>
    <col min="8469" max="8469" width="10" style="872" customWidth="1"/>
    <col min="8470" max="8470" width="6.85546875" style="872" customWidth="1"/>
    <col min="8471" max="8471" width="11.28515625" style="872" customWidth="1"/>
    <col min="8472" max="8472" width="11.85546875" style="872" customWidth="1"/>
    <col min="8473" max="8704" width="9.7109375" style="872"/>
    <col min="8705" max="8705" width="2.140625" style="872" customWidth="1"/>
    <col min="8706" max="8706" width="2.28515625" style="872" customWidth="1"/>
    <col min="8707" max="8707" width="24.140625" style="872" customWidth="1"/>
    <col min="8708" max="8708" width="9.140625" style="872" customWidth="1"/>
    <col min="8709" max="8709" width="9.28515625" style="872" customWidth="1"/>
    <col min="8710" max="8710" width="8.7109375" style="872" customWidth="1"/>
    <col min="8711" max="8711" width="9.140625" style="872" customWidth="1"/>
    <col min="8712" max="8712" width="9.28515625" style="872" customWidth="1"/>
    <col min="8713" max="8713" width="7.85546875" style="872" bestFit="1" customWidth="1"/>
    <col min="8714" max="8714" width="10.85546875" style="872" customWidth="1"/>
    <col min="8715" max="8715" width="8.5703125" style="872" bestFit="1" customWidth="1"/>
    <col min="8716" max="8716" width="10" style="872" customWidth="1"/>
    <col min="8717" max="8717" width="10.28515625" style="872" customWidth="1"/>
    <col min="8718" max="8719" width="9.85546875" style="872" customWidth="1"/>
    <col min="8720" max="8721" width="10.7109375" style="872" customWidth="1"/>
    <col min="8722" max="8722" width="10.5703125" style="872" customWidth="1"/>
    <col min="8723" max="8723" width="10.140625" style="872" customWidth="1"/>
    <col min="8724" max="8724" width="10.7109375" style="872" customWidth="1"/>
    <col min="8725" max="8725" width="10" style="872" customWidth="1"/>
    <col min="8726" max="8726" width="6.85546875" style="872" customWidth="1"/>
    <col min="8727" max="8727" width="11.28515625" style="872" customWidth="1"/>
    <col min="8728" max="8728" width="11.85546875" style="872" customWidth="1"/>
    <col min="8729" max="8960" width="9.7109375" style="872"/>
    <col min="8961" max="8961" width="2.140625" style="872" customWidth="1"/>
    <col min="8962" max="8962" width="2.28515625" style="872" customWidth="1"/>
    <col min="8963" max="8963" width="24.140625" style="872" customWidth="1"/>
    <col min="8964" max="8964" width="9.140625" style="872" customWidth="1"/>
    <col min="8965" max="8965" width="9.28515625" style="872" customWidth="1"/>
    <col min="8966" max="8966" width="8.7109375" style="872" customWidth="1"/>
    <col min="8967" max="8967" width="9.140625" style="872" customWidth="1"/>
    <col min="8968" max="8968" width="9.28515625" style="872" customWidth="1"/>
    <col min="8969" max="8969" width="7.85546875" style="872" bestFit="1" customWidth="1"/>
    <col min="8970" max="8970" width="10.85546875" style="872" customWidth="1"/>
    <col min="8971" max="8971" width="8.5703125" style="872" bestFit="1" customWidth="1"/>
    <col min="8972" max="8972" width="10" style="872" customWidth="1"/>
    <col min="8973" max="8973" width="10.28515625" style="872" customWidth="1"/>
    <col min="8974" max="8975" width="9.85546875" style="872" customWidth="1"/>
    <col min="8976" max="8977" width="10.7109375" style="872" customWidth="1"/>
    <col min="8978" max="8978" width="10.5703125" style="872" customWidth="1"/>
    <col min="8979" max="8979" width="10.140625" style="872" customWidth="1"/>
    <col min="8980" max="8980" width="10.7109375" style="872" customWidth="1"/>
    <col min="8981" max="8981" width="10" style="872" customWidth="1"/>
    <col min="8982" max="8982" width="6.85546875" style="872" customWidth="1"/>
    <col min="8983" max="8983" width="11.28515625" style="872" customWidth="1"/>
    <col min="8984" max="8984" width="11.85546875" style="872" customWidth="1"/>
    <col min="8985" max="9216" width="9.7109375" style="872"/>
    <col min="9217" max="9217" width="2.140625" style="872" customWidth="1"/>
    <col min="9218" max="9218" width="2.28515625" style="872" customWidth="1"/>
    <col min="9219" max="9219" width="24.140625" style="872" customWidth="1"/>
    <col min="9220" max="9220" width="9.140625" style="872" customWidth="1"/>
    <col min="9221" max="9221" width="9.28515625" style="872" customWidth="1"/>
    <col min="9222" max="9222" width="8.7109375" style="872" customWidth="1"/>
    <col min="9223" max="9223" width="9.140625" style="872" customWidth="1"/>
    <col min="9224" max="9224" width="9.28515625" style="872" customWidth="1"/>
    <col min="9225" max="9225" width="7.85546875" style="872" bestFit="1" customWidth="1"/>
    <col min="9226" max="9226" width="10.85546875" style="872" customWidth="1"/>
    <col min="9227" max="9227" width="8.5703125" style="872" bestFit="1" customWidth="1"/>
    <col min="9228" max="9228" width="10" style="872" customWidth="1"/>
    <col min="9229" max="9229" width="10.28515625" style="872" customWidth="1"/>
    <col min="9230" max="9231" width="9.85546875" style="872" customWidth="1"/>
    <col min="9232" max="9233" width="10.7109375" style="872" customWidth="1"/>
    <col min="9234" max="9234" width="10.5703125" style="872" customWidth="1"/>
    <col min="9235" max="9235" width="10.140625" style="872" customWidth="1"/>
    <col min="9236" max="9236" width="10.7109375" style="872" customWidth="1"/>
    <col min="9237" max="9237" width="10" style="872" customWidth="1"/>
    <col min="9238" max="9238" width="6.85546875" style="872" customWidth="1"/>
    <col min="9239" max="9239" width="11.28515625" style="872" customWidth="1"/>
    <col min="9240" max="9240" width="11.85546875" style="872" customWidth="1"/>
    <col min="9241" max="9472" width="9.7109375" style="872"/>
    <col min="9473" max="9473" width="2.140625" style="872" customWidth="1"/>
    <col min="9474" max="9474" width="2.28515625" style="872" customWidth="1"/>
    <col min="9475" max="9475" width="24.140625" style="872" customWidth="1"/>
    <col min="9476" max="9476" width="9.140625" style="872" customWidth="1"/>
    <col min="9477" max="9477" width="9.28515625" style="872" customWidth="1"/>
    <col min="9478" max="9478" width="8.7109375" style="872" customWidth="1"/>
    <col min="9479" max="9479" width="9.140625" style="872" customWidth="1"/>
    <col min="9480" max="9480" width="9.28515625" style="872" customWidth="1"/>
    <col min="9481" max="9481" width="7.85546875" style="872" bestFit="1" customWidth="1"/>
    <col min="9482" max="9482" width="10.85546875" style="872" customWidth="1"/>
    <col min="9483" max="9483" width="8.5703125" style="872" bestFit="1" customWidth="1"/>
    <col min="9484" max="9484" width="10" style="872" customWidth="1"/>
    <col min="9485" max="9485" width="10.28515625" style="872" customWidth="1"/>
    <col min="9486" max="9487" width="9.85546875" style="872" customWidth="1"/>
    <col min="9488" max="9489" width="10.7109375" style="872" customWidth="1"/>
    <col min="9490" max="9490" width="10.5703125" style="872" customWidth="1"/>
    <col min="9491" max="9491" width="10.140625" style="872" customWidth="1"/>
    <col min="9492" max="9492" width="10.7109375" style="872" customWidth="1"/>
    <col min="9493" max="9493" width="10" style="872" customWidth="1"/>
    <col min="9494" max="9494" width="6.85546875" style="872" customWidth="1"/>
    <col min="9495" max="9495" width="11.28515625" style="872" customWidth="1"/>
    <col min="9496" max="9496" width="11.85546875" style="872" customWidth="1"/>
    <col min="9497" max="9728" width="9.7109375" style="872"/>
    <col min="9729" max="9729" width="2.140625" style="872" customWidth="1"/>
    <col min="9730" max="9730" width="2.28515625" style="872" customWidth="1"/>
    <col min="9731" max="9731" width="24.140625" style="872" customWidth="1"/>
    <col min="9732" max="9732" width="9.140625" style="872" customWidth="1"/>
    <col min="9733" max="9733" width="9.28515625" style="872" customWidth="1"/>
    <col min="9734" max="9734" width="8.7109375" style="872" customWidth="1"/>
    <col min="9735" max="9735" width="9.140625" style="872" customWidth="1"/>
    <col min="9736" max="9736" width="9.28515625" style="872" customWidth="1"/>
    <col min="9737" max="9737" width="7.85546875" style="872" bestFit="1" customWidth="1"/>
    <col min="9738" max="9738" width="10.85546875" style="872" customWidth="1"/>
    <col min="9739" max="9739" width="8.5703125" style="872" bestFit="1" customWidth="1"/>
    <col min="9740" max="9740" width="10" style="872" customWidth="1"/>
    <col min="9741" max="9741" width="10.28515625" style="872" customWidth="1"/>
    <col min="9742" max="9743" width="9.85546875" style="872" customWidth="1"/>
    <col min="9744" max="9745" width="10.7109375" style="872" customWidth="1"/>
    <col min="9746" max="9746" width="10.5703125" style="872" customWidth="1"/>
    <col min="9747" max="9747" width="10.140625" style="872" customWidth="1"/>
    <col min="9748" max="9748" width="10.7109375" style="872" customWidth="1"/>
    <col min="9749" max="9749" width="10" style="872" customWidth="1"/>
    <col min="9750" max="9750" width="6.85546875" style="872" customWidth="1"/>
    <col min="9751" max="9751" width="11.28515625" style="872" customWidth="1"/>
    <col min="9752" max="9752" width="11.85546875" style="872" customWidth="1"/>
    <col min="9753" max="9984" width="9.7109375" style="872"/>
    <col min="9985" max="9985" width="2.140625" style="872" customWidth="1"/>
    <col min="9986" max="9986" width="2.28515625" style="872" customWidth="1"/>
    <col min="9987" max="9987" width="24.140625" style="872" customWidth="1"/>
    <col min="9988" max="9988" width="9.140625" style="872" customWidth="1"/>
    <col min="9989" max="9989" width="9.28515625" style="872" customWidth="1"/>
    <col min="9990" max="9990" width="8.7109375" style="872" customWidth="1"/>
    <col min="9991" max="9991" width="9.140625" style="872" customWidth="1"/>
    <col min="9992" max="9992" width="9.28515625" style="872" customWidth="1"/>
    <col min="9993" max="9993" width="7.85546875" style="872" bestFit="1" customWidth="1"/>
    <col min="9994" max="9994" width="10.85546875" style="872" customWidth="1"/>
    <col min="9995" max="9995" width="8.5703125" style="872" bestFit="1" customWidth="1"/>
    <col min="9996" max="9996" width="10" style="872" customWidth="1"/>
    <col min="9997" max="9997" width="10.28515625" style="872" customWidth="1"/>
    <col min="9998" max="9999" width="9.85546875" style="872" customWidth="1"/>
    <col min="10000" max="10001" width="10.7109375" style="872" customWidth="1"/>
    <col min="10002" max="10002" width="10.5703125" style="872" customWidth="1"/>
    <col min="10003" max="10003" width="10.140625" style="872" customWidth="1"/>
    <col min="10004" max="10004" width="10.7109375" style="872" customWidth="1"/>
    <col min="10005" max="10005" width="10" style="872" customWidth="1"/>
    <col min="10006" max="10006" width="6.85546875" style="872" customWidth="1"/>
    <col min="10007" max="10007" width="11.28515625" style="872" customWidth="1"/>
    <col min="10008" max="10008" width="11.85546875" style="872" customWidth="1"/>
    <col min="10009" max="10240" width="9.7109375" style="872"/>
    <col min="10241" max="10241" width="2.140625" style="872" customWidth="1"/>
    <col min="10242" max="10242" width="2.28515625" style="872" customWidth="1"/>
    <col min="10243" max="10243" width="24.140625" style="872" customWidth="1"/>
    <col min="10244" max="10244" width="9.140625" style="872" customWidth="1"/>
    <col min="10245" max="10245" width="9.28515625" style="872" customWidth="1"/>
    <col min="10246" max="10246" width="8.7109375" style="872" customWidth="1"/>
    <col min="10247" max="10247" width="9.140625" style="872" customWidth="1"/>
    <col min="10248" max="10248" width="9.28515625" style="872" customWidth="1"/>
    <col min="10249" max="10249" width="7.85546875" style="872" bestFit="1" customWidth="1"/>
    <col min="10250" max="10250" width="10.85546875" style="872" customWidth="1"/>
    <col min="10251" max="10251" width="8.5703125" style="872" bestFit="1" customWidth="1"/>
    <col min="10252" max="10252" width="10" style="872" customWidth="1"/>
    <col min="10253" max="10253" width="10.28515625" style="872" customWidth="1"/>
    <col min="10254" max="10255" width="9.85546875" style="872" customWidth="1"/>
    <col min="10256" max="10257" width="10.7109375" style="872" customWidth="1"/>
    <col min="10258" max="10258" width="10.5703125" style="872" customWidth="1"/>
    <col min="10259" max="10259" width="10.140625" style="872" customWidth="1"/>
    <col min="10260" max="10260" width="10.7109375" style="872" customWidth="1"/>
    <col min="10261" max="10261" width="10" style="872" customWidth="1"/>
    <col min="10262" max="10262" width="6.85546875" style="872" customWidth="1"/>
    <col min="10263" max="10263" width="11.28515625" style="872" customWidth="1"/>
    <col min="10264" max="10264" width="11.85546875" style="872" customWidth="1"/>
    <col min="10265" max="10496" width="9.7109375" style="872"/>
    <col min="10497" max="10497" width="2.140625" style="872" customWidth="1"/>
    <col min="10498" max="10498" width="2.28515625" style="872" customWidth="1"/>
    <col min="10499" max="10499" width="24.140625" style="872" customWidth="1"/>
    <col min="10500" max="10500" width="9.140625" style="872" customWidth="1"/>
    <col min="10501" max="10501" width="9.28515625" style="872" customWidth="1"/>
    <col min="10502" max="10502" width="8.7109375" style="872" customWidth="1"/>
    <col min="10503" max="10503" width="9.140625" style="872" customWidth="1"/>
    <col min="10504" max="10504" width="9.28515625" style="872" customWidth="1"/>
    <col min="10505" max="10505" width="7.85546875" style="872" bestFit="1" customWidth="1"/>
    <col min="10506" max="10506" width="10.85546875" style="872" customWidth="1"/>
    <col min="10507" max="10507" width="8.5703125" style="872" bestFit="1" customWidth="1"/>
    <col min="10508" max="10508" width="10" style="872" customWidth="1"/>
    <col min="10509" max="10509" width="10.28515625" style="872" customWidth="1"/>
    <col min="10510" max="10511" width="9.85546875" style="872" customWidth="1"/>
    <col min="10512" max="10513" width="10.7109375" style="872" customWidth="1"/>
    <col min="10514" max="10514" width="10.5703125" style="872" customWidth="1"/>
    <col min="10515" max="10515" width="10.140625" style="872" customWidth="1"/>
    <col min="10516" max="10516" width="10.7109375" style="872" customWidth="1"/>
    <col min="10517" max="10517" width="10" style="872" customWidth="1"/>
    <col min="10518" max="10518" width="6.85546875" style="872" customWidth="1"/>
    <col min="10519" max="10519" width="11.28515625" style="872" customWidth="1"/>
    <col min="10520" max="10520" width="11.85546875" style="872" customWidth="1"/>
    <col min="10521" max="10752" width="9.7109375" style="872"/>
    <col min="10753" max="10753" width="2.140625" style="872" customWidth="1"/>
    <col min="10754" max="10754" width="2.28515625" style="872" customWidth="1"/>
    <col min="10755" max="10755" width="24.140625" style="872" customWidth="1"/>
    <col min="10756" max="10756" width="9.140625" style="872" customWidth="1"/>
    <col min="10757" max="10757" width="9.28515625" style="872" customWidth="1"/>
    <col min="10758" max="10758" width="8.7109375" style="872" customWidth="1"/>
    <col min="10759" max="10759" width="9.140625" style="872" customWidth="1"/>
    <col min="10760" max="10760" width="9.28515625" style="872" customWidth="1"/>
    <col min="10761" max="10761" width="7.85546875" style="872" bestFit="1" customWidth="1"/>
    <col min="10762" max="10762" width="10.85546875" style="872" customWidth="1"/>
    <col min="10763" max="10763" width="8.5703125" style="872" bestFit="1" customWidth="1"/>
    <col min="10764" max="10764" width="10" style="872" customWidth="1"/>
    <col min="10765" max="10765" width="10.28515625" style="872" customWidth="1"/>
    <col min="10766" max="10767" width="9.85546875" style="872" customWidth="1"/>
    <col min="10768" max="10769" width="10.7109375" style="872" customWidth="1"/>
    <col min="10770" max="10770" width="10.5703125" style="872" customWidth="1"/>
    <col min="10771" max="10771" width="10.140625" style="872" customWidth="1"/>
    <col min="10772" max="10772" width="10.7109375" style="872" customWidth="1"/>
    <col min="10773" max="10773" width="10" style="872" customWidth="1"/>
    <col min="10774" max="10774" width="6.85546875" style="872" customWidth="1"/>
    <col min="10775" max="10775" width="11.28515625" style="872" customWidth="1"/>
    <col min="10776" max="10776" width="11.85546875" style="872" customWidth="1"/>
    <col min="10777" max="11008" width="9.7109375" style="872"/>
    <col min="11009" max="11009" width="2.140625" style="872" customWidth="1"/>
    <col min="11010" max="11010" width="2.28515625" style="872" customWidth="1"/>
    <col min="11011" max="11011" width="24.140625" style="872" customWidth="1"/>
    <col min="11012" max="11012" width="9.140625" style="872" customWidth="1"/>
    <col min="11013" max="11013" width="9.28515625" style="872" customWidth="1"/>
    <col min="11014" max="11014" width="8.7109375" style="872" customWidth="1"/>
    <col min="11015" max="11015" width="9.140625" style="872" customWidth="1"/>
    <col min="11016" max="11016" width="9.28515625" style="872" customWidth="1"/>
    <col min="11017" max="11017" width="7.85546875" style="872" bestFit="1" customWidth="1"/>
    <col min="11018" max="11018" width="10.85546875" style="872" customWidth="1"/>
    <col min="11019" max="11019" width="8.5703125" style="872" bestFit="1" customWidth="1"/>
    <col min="11020" max="11020" width="10" style="872" customWidth="1"/>
    <col min="11021" max="11021" width="10.28515625" style="872" customWidth="1"/>
    <col min="11022" max="11023" width="9.85546875" style="872" customWidth="1"/>
    <col min="11024" max="11025" width="10.7109375" style="872" customWidth="1"/>
    <col min="11026" max="11026" width="10.5703125" style="872" customWidth="1"/>
    <col min="11027" max="11027" width="10.140625" style="872" customWidth="1"/>
    <col min="11028" max="11028" width="10.7109375" style="872" customWidth="1"/>
    <col min="11029" max="11029" width="10" style="872" customWidth="1"/>
    <col min="11030" max="11030" width="6.85546875" style="872" customWidth="1"/>
    <col min="11031" max="11031" width="11.28515625" style="872" customWidth="1"/>
    <col min="11032" max="11032" width="11.85546875" style="872" customWidth="1"/>
    <col min="11033" max="11264" width="9.7109375" style="872"/>
    <col min="11265" max="11265" width="2.140625" style="872" customWidth="1"/>
    <col min="11266" max="11266" width="2.28515625" style="872" customWidth="1"/>
    <col min="11267" max="11267" width="24.140625" style="872" customWidth="1"/>
    <col min="11268" max="11268" width="9.140625" style="872" customWidth="1"/>
    <col min="11269" max="11269" width="9.28515625" style="872" customWidth="1"/>
    <col min="11270" max="11270" width="8.7109375" style="872" customWidth="1"/>
    <col min="11271" max="11271" width="9.140625" style="872" customWidth="1"/>
    <col min="11272" max="11272" width="9.28515625" style="872" customWidth="1"/>
    <col min="11273" max="11273" width="7.85546875" style="872" bestFit="1" customWidth="1"/>
    <col min="11274" max="11274" width="10.85546875" style="872" customWidth="1"/>
    <col min="11275" max="11275" width="8.5703125" style="872" bestFit="1" customWidth="1"/>
    <col min="11276" max="11276" width="10" style="872" customWidth="1"/>
    <col min="11277" max="11277" width="10.28515625" style="872" customWidth="1"/>
    <col min="11278" max="11279" width="9.85546875" style="872" customWidth="1"/>
    <col min="11280" max="11281" width="10.7109375" style="872" customWidth="1"/>
    <col min="11282" max="11282" width="10.5703125" style="872" customWidth="1"/>
    <col min="11283" max="11283" width="10.140625" style="872" customWidth="1"/>
    <col min="11284" max="11284" width="10.7109375" style="872" customWidth="1"/>
    <col min="11285" max="11285" width="10" style="872" customWidth="1"/>
    <col min="11286" max="11286" width="6.85546875" style="872" customWidth="1"/>
    <col min="11287" max="11287" width="11.28515625" style="872" customWidth="1"/>
    <col min="11288" max="11288" width="11.85546875" style="872" customWidth="1"/>
    <col min="11289" max="11520" width="9.7109375" style="872"/>
    <col min="11521" max="11521" width="2.140625" style="872" customWidth="1"/>
    <col min="11522" max="11522" width="2.28515625" style="872" customWidth="1"/>
    <col min="11523" max="11523" width="24.140625" style="872" customWidth="1"/>
    <col min="11524" max="11524" width="9.140625" style="872" customWidth="1"/>
    <col min="11525" max="11525" width="9.28515625" style="872" customWidth="1"/>
    <col min="11526" max="11526" width="8.7109375" style="872" customWidth="1"/>
    <col min="11527" max="11527" width="9.140625" style="872" customWidth="1"/>
    <col min="11528" max="11528" width="9.28515625" style="872" customWidth="1"/>
    <col min="11529" max="11529" width="7.85546875" style="872" bestFit="1" customWidth="1"/>
    <col min="11530" max="11530" width="10.85546875" style="872" customWidth="1"/>
    <col min="11531" max="11531" width="8.5703125" style="872" bestFit="1" customWidth="1"/>
    <col min="11532" max="11532" width="10" style="872" customWidth="1"/>
    <col min="11533" max="11533" width="10.28515625" style="872" customWidth="1"/>
    <col min="11534" max="11535" width="9.85546875" style="872" customWidth="1"/>
    <col min="11536" max="11537" width="10.7109375" style="872" customWidth="1"/>
    <col min="11538" max="11538" width="10.5703125" style="872" customWidth="1"/>
    <col min="11539" max="11539" width="10.140625" style="872" customWidth="1"/>
    <col min="11540" max="11540" width="10.7109375" style="872" customWidth="1"/>
    <col min="11541" max="11541" width="10" style="872" customWidth="1"/>
    <col min="11542" max="11542" width="6.85546875" style="872" customWidth="1"/>
    <col min="11543" max="11543" width="11.28515625" style="872" customWidth="1"/>
    <col min="11544" max="11544" width="11.85546875" style="872" customWidth="1"/>
    <col min="11545" max="11776" width="9.7109375" style="872"/>
    <col min="11777" max="11777" width="2.140625" style="872" customWidth="1"/>
    <col min="11778" max="11778" width="2.28515625" style="872" customWidth="1"/>
    <col min="11779" max="11779" width="24.140625" style="872" customWidth="1"/>
    <col min="11780" max="11780" width="9.140625" style="872" customWidth="1"/>
    <col min="11781" max="11781" width="9.28515625" style="872" customWidth="1"/>
    <col min="11782" max="11782" width="8.7109375" style="872" customWidth="1"/>
    <col min="11783" max="11783" width="9.140625" style="872" customWidth="1"/>
    <col min="11784" max="11784" width="9.28515625" style="872" customWidth="1"/>
    <col min="11785" max="11785" width="7.85546875" style="872" bestFit="1" customWidth="1"/>
    <col min="11786" max="11786" width="10.85546875" style="872" customWidth="1"/>
    <col min="11787" max="11787" width="8.5703125" style="872" bestFit="1" customWidth="1"/>
    <col min="11788" max="11788" width="10" style="872" customWidth="1"/>
    <col min="11789" max="11789" width="10.28515625" style="872" customWidth="1"/>
    <col min="11790" max="11791" width="9.85546875" style="872" customWidth="1"/>
    <col min="11792" max="11793" width="10.7109375" style="872" customWidth="1"/>
    <col min="11794" max="11794" width="10.5703125" style="872" customWidth="1"/>
    <col min="11795" max="11795" width="10.140625" style="872" customWidth="1"/>
    <col min="11796" max="11796" width="10.7109375" style="872" customWidth="1"/>
    <col min="11797" max="11797" width="10" style="872" customWidth="1"/>
    <col min="11798" max="11798" width="6.85546875" style="872" customWidth="1"/>
    <col min="11799" max="11799" width="11.28515625" style="872" customWidth="1"/>
    <col min="11800" max="11800" width="11.85546875" style="872" customWidth="1"/>
    <col min="11801" max="12032" width="9.7109375" style="872"/>
    <col min="12033" max="12033" width="2.140625" style="872" customWidth="1"/>
    <col min="12034" max="12034" width="2.28515625" style="872" customWidth="1"/>
    <col min="12035" max="12035" width="24.140625" style="872" customWidth="1"/>
    <col min="12036" max="12036" width="9.140625" style="872" customWidth="1"/>
    <col min="12037" max="12037" width="9.28515625" style="872" customWidth="1"/>
    <col min="12038" max="12038" width="8.7109375" style="872" customWidth="1"/>
    <col min="12039" max="12039" width="9.140625" style="872" customWidth="1"/>
    <col min="12040" max="12040" width="9.28515625" style="872" customWidth="1"/>
    <col min="12041" max="12041" width="7.85546875" style="872" bestFit="1" customWidth="1"/>
    <col min="12042" max="12042" width="10.85546875" style="872" customWidth="1"/>
    <col min="12043" max="12043" width="8.5703125" style="872" bestFit="1" customWidth="1"/>
    <col min="12044" max="12044" width="10" style="872" customWidth="1"/>
    <col min="12045" max="12045" width="10.28515625" style="872" customWidth="1"/>
    <col min="12046" max="12047" width="9.85546875" style="872" customWidth="1"/>
    <col min="12048" max="12049" width="10.7109375" style="872" customWidth="1"/>
    <col min="12050" max="12050" width="10.5703125" style="872" customWidth="1"/>
    <col min="12051" max="12051" width="10.140625" style="872" customWidth="1"/>
    <col min="12052" max="12052" width="10.7109375" style="872" customWidth="1"/>
    <col min="12053" max="12053" width="10" style="872" customWidth="1"/>
    <col min="12054" max="12054" width="6.85546875" style="872" customWidth="1"/>
    <col min="12055" max="12055" width="11.28515625" style="872" customWidth="1"/>
    <col min="12056" max="12056" width="11.85546875" style="872" customWidth="1"/>
    <col min="12057" max="12288" width="9.7109375" style="872"/>
    <col min="12289" max="12289" width="2.140625" style="872" customWidth="1"/>
    <col min="12290" max="12290" width="2.28515625" style="872" customWidth="1"/>
    <col min="12291" max="12291" width="24.140625" style="872" customWidth="1"/>
    <col min="12292" max="12292" width="9.140625" style="872" customWidth="1"/>
    <col min="12293" max="12293" width="9.28515625" style="872" customWidth="1"/>
    <col min="12294" max="12294" width="8.7109375" style="872" customWidth="1"/>
    <col min="12295" max="12295" width="9.140625" style="872" customWidth="1"/>
    <col min="12296" max="12296" width="9.28515625" style="872" customWidth="1"/>
    <col min="12297" max="12297" width="7.85546875" style="872" bestFit="1" customWidth="1"/>
    <col min="12298" max="12298" width="10.85546875" style="872" customWidth="1"/>
    <col min="12299" max="12299" width="8.5703125" style="872" bestFit="1" customWidth="1"/>
    <col min="12300" max="12300" width="10" style="872" customWidth="1"/>
    <col min="12301" max="12301" width="10.28515625" style="872" customWidth="1"/>
    <col min="12302" max="12303" width="9.85546875" style="872" customWidth="1"/>
    <col min="12304" max="12305" width="10.7109375" style="872" customWidth="1"/>
    <col min="12306" max="12306" width="10.5703125" style="872" customWidth="1"/>
    <col min="12307" max="12307" width="10.140625" style="872" customWidth="1"/>
    <col min="12308" max="12308" width="10.7109375" style="872" customWidth="1"/>
    <col min="12309" max="12309" width="10" style="872" customWidth="1"/>
    <col min="12310" max="12310" width="6.85546875" style="872" customWidth="1"/>
    <col min="12311" max="12311" width="11.28515625" style="872" customWidth="1"/>
    <col min="12312" max="12312" width="11.85546875" style="872" customWidth="1"/>
    <col min="12313" max="12544" width="9.7109375" style="872"/>
    <col min="12545" max="12545" width="2.140625" style="872" customWidth="1"/>
    <col min="12546" max="12546" width="2.28515625" style="872" customWidth="1"/>
    <col min="12547" max="12547" width="24.140625" style="872" customWidth="1"/>
    <col min="12548" max="12548" width="9.140625" style="872" customWidth="1"/>
    <col min="12549" max="12549" width="9.28515625" style="872" customWidth="1"/>
    <col min="12550" max="12550" width="8.7109375" style="872" customWidth="1"/>
    <col min="12551" max="12551" width="9.140625" style="872" customWidth="1"/>
    <col min="12552" max="12552" width="9.28515625" style="872" customWidth="1"/>
    <col min="12553" max="12553" width="7.85546875" style="872" bestFit="1" customWidth="1"/>
    <col min="12554" max="12554" width="10.85546875" style="872" customWidth="1"/>
    <col min="12555" max="12555" width="8.5703125" style="872" bestFit="1" customWidth="1"/>
    <col min="12556" max="12556" width="10" style="872" customWidth="1"/>
    <col min="12557" max="12557" width="10.28515625" style="872" customWidth="1"/>
    <col min="12558" max="12559" width="9.85546875" style="872" customWidth="1"/>
    <col min="12560" max="12561" width="10.7109375" style="872" customWidth="1"/>
    <col min="12562" max="12562" width="10.5703125" style="872" customWidth="1"/>
    <col min="12563" max="12563" width="10.140625" style="872" customWidth="1"/>
    <col min="12564" max="12564" width="10.7109375" style="872" customWidth="1"/>
    <col min="12565" max="12565" width="10" style="872" customWidth="1"/>
    <col min="12566" max="12566" width="6.85546875" style="872" customWidth="1"/>
    <col min="12567" max="12567" width="11.28515625" style="872" customWidth="1"/>
    <col min="12568" max="12568" width="11.85546875" style="872" customWidth="1"/>
    <col min="12569" max="12800" width="9.7109375" style="872"/>
    <col min="12801" max="12801" width="2.140625" style="872" customWidth="1"/>
    <col min="12802" max="12802" width="2.28515625" style="872" customWidth="1"/>
    <col min="12803" max="12803" width="24.140625" style="872" customWidth="1"/>
    <col min="12804" max="12804" width="9.140625" style="872" customWidth="1"/>
    <col min="12805" max="12805" width="9.28515625" style="872" customWidth="1"/>
    <col min="12806" max="12806" width="8.7109375" style="872" customWidth="1"/>
    <col min="12807" max="12807" width="9.140625" style="872" customWidth="1"/>
    <col min="12808" max="12808" width="9.28515625" style="872" customWidth="1"/>
    <col min="12809" max="12809" width="7.85546875" style="872" bestFit="1" customWidth="1"/>
    <col min="12810" max="12810" width="10.85546875" style="872" customWidth="1"/>
    <col min="12811" max="12811" width="8.5703125" style="872" bestFit="1" customWidth="1"/>
    <col min="12812" max="12812" width="10" style="872" customWidth="1"/>
    <col min="12813" max="12813" width="10.28515625" style="872" customWidth="1"/>
    <col min="12814" max="12815" width="9.85546875" style="872" customWidth="1"/>
    <col min="12816" max="12817" width="10.7109375" style="872" customWidth="1"/>
    <col min="12818" max="12818" width="10.5703125" style="872" customWidth="1"/>
    <col min="12819" max="12819" width="10.140625" style="872" customWidth="1"/>
    <col min="12820" max="12820" width="10.7109375" style="872" customWidth="1"/>
    <col min="12821" max="12821" width="10" style="872" customWidth="1"/>
    <col min="12822" max="12822" width="6.85546875" style="872" customWidth="1"/>
    <col min="12823" max="12823" width="11.28515625" style="872" customWidth="1"/>
    <col min="12824" max="12824" width="11.85546875" style="872" customWidth="1"/>
    <col min="12825" max="13056" width="9.7109375" style="872"/>
    <col min="13057" max="13057" width="2.140625" style="872" customWidth="1"/>
    <col min="13058" max="13058" width="2.28515625" style="872" customWidth="1"/>
    <col min="13059" max="13059" width="24.140625" style="872" customWidth="1"/>
    <col min="13060" max="13060" width="9.140625" style="872" customWidth="1"/>
    <col min="13061" max="13061" width="9.28515625" style="872" customWidth="1"/>
    <col min="13062" max="13062" width="8.7109375" style="872" customWidth="1"/>
    <col min="13063" max="13063" width="9.140625" style="872" customWidth="1"/>
    <col min="13064" max="13064" width="9.28515625" style="872" customWidth="1"/>
    <col min="13065" max="13065" width="7.85546875" style="872" bestFit="1" customWidth="1"/>
    <col min="13066" max="13066" width="10.85546875" style="872" customWidth="1"/>
    <col min="13067" max="13067" width="8.5703125" style="872" bestFit="1" customWidth="1"/>
    <col min="13068" max="13068" width="10" style="872" customWidth="1"/>
    <col min="13069" max="13069" width="10.28515625" style="872" customWidth="1"/>
    <col min="13070" max="13071" width="9.85546875" style="872" customWidth="1"/>
    <col min="13072" max="13073" width="10.7109375" style="872" customWidth="1"/>
    <col min="13074" max="13074" width="10.5703125" style="872" customWidth="1"/>
    <col min="13075" max="13075" width="10.140625" style="872" customWidth="1"/>
    <col min="13076" max="13076" width="10.7109375" style="872" customWidth="1"/>
    <col min="13077" max="13077" width="10" style="872" customWidth="1"/>
    <col min="13078" max="13078" width="6.85546875" style="872" customWidth="1"/>
    <col min="13079" max="13079" width="11.28515625" style="872" customWidth="1"/>
    <col min="13080" max="13080" width="11.85546875" style="872" customWidth="1"/>
    <col min="13081" max="13312" width="9.7109375" style="872"/>
    <col min="13313" max="13313" width="2.140625" style="872" customWidth="1"/>
    <col min="13314" max="13314" width="2.28515625" style="872" customWidth="1"/>
    <col min="13315" max="13315" width="24.140625" style="872" customWidth="1"/>
    <col min="13316" max="13316" width="9.140625" style="872" customWidth="1"/>
    <col min="13317" max="13317" width="9.28515625" style="872" customWidth="1"/>
    <col min="13318" max="13318" width="8.7109375" style="872" customWidth="1"/>
    <col min="13319" max="13319" width="9.140625" style="872" customWidth="1"/>
    <col min="13320" max="13320" width="9.28515625" style="872" customWidth="1"/>
    <col min="13321" max="13321" width="7.85546875" style="872" bestFit="1" customWidth="1"/>
    <col min="13322" max="13322" width="10.85546875" style="872" customWidth="1"/>
    <col min="13323" max="13323" width="8.5703125" style="872" bestFit="1" customWidth="1"/>
    <col min="13324" max="13324" width="10" style="872" customWidth="1"/>
    <col min="13325" max="13325" width="10.28515625" style="872" customWidth="1"/>
    <col min="13326" max="13327" width="9.85546875" style="872" customWidth="1"/>
    <col min="13328" max="13329" width="10.7109375" style="872" customWidth="1"/>
    <col min="13330" max="13330" width="10.5703125" style="872" customWidth="1"/>
    <col min="13331" max="13331" width="10.140625" style="872" customWidth="1"/>
    <col min="13332" max="13332" width="10.7109375" style="872" customWidth="1"/>
    <col min="13333" max="13333" width="10" style="872" customWidth="1"/>
    <col min="13334" max="13334" width="6.85546875" style="872" customWidth="1"/>
    <col min="13335" max="13335" width="11.28515625" style="872" customWidth="1"/>
    <col min="13336" max="13336" width="11.85546875" style="872" customWidth="1"/>
    <col min="13337" max="13568" width="9.7109375" style="872"/>
    <col min="13569" max="13569" width="2.140625" style="872" customWidth="1"/>
    <col min="13570" max="13570" width="2.28515625" style="872" customWidth="1"/>
    <col min="13571" max="13571" width="24.140625" style="872" customWidth="1"/>
    <col min="13572" max="13572" width="9.140625" style="872" customWidth="1"/>
    <col min="13573" max="13573" width="9.28515625" style="872" customWidth="1"/>
    <col min="13574" max="13574" width="8.7109375" style="872" customWidth="1"/>
    <col min="13575" max="13575" width="9.140625" style="872" customWidth="1"/>
    <col min="13576" max="13576" width="9.28515625" style="872" customWidth="1"/>
    <col min="13577" max="13577" width="7.85546875" style="872" bestFit="1" customWidth="1"/>
    <col min="13578" max="13578" width="10.85546875" style="872" customWidth="1"/>
    <col min="13579" max="13579" width="8.5703125" style="872" bestFit="1" customWidth="1"/>
    <col min="13580" max="13580" width="10" style="872" customWidth="1"/>
    <col min="13581" max="13581" width="10.28515625" style="872" customWidth="1"/>
    <col min="13582" max="13583" width="9.85546875" style="872" customWidth="1"/>
    <col min="13584" max="13585" width="10.7109375" style="872" customWidth="1"/>
    <col min="13586" max="13586" width="10.5703125" style="872" customWidth="1"/>
    <col min="13587" max="13587" width="10.140625" style="872" customWidth="1"/>
    <col min="13588" max="13588" width="10.7109375" style="872" customWidth="1"/>
    <col min="13589" max="13589" width="10" style="872" customWidth="1"/>
    <col min="13590" max="13590" width="6.85546875" style="872" customWidth="1"/>
    <col min="13591" max="13591" width="11.28515625" style="872" customWidth="1"/>
    <col min="13592" max="13592" width="11.85546875" style="872" customWidth="1"/>
    <col min="13593" max="13824" width="9.7109375" style="872"/>
    <col min="13825" max="13825" width="2.140625" style="872" customWidth="1"/>
    <col min="13826" max="13826" width="2.28515625" style="872" customWidth="1"/>
    <col min="13827" max="13827" width="24.140625" style="872" customWidth="1"/>
    <col min="13828" max="13828" width="9.140625" style="872" customWidth="1"/>
    <col min="13829" max="13829" width="9.28515625" style="872" customWidth="1"/>
    <col min="13830" max="13830" width="8.7109375" style="872" customWidth="1"/>
    <col min="13831" max="13831" width="9.140625" style="872" customWidth="1"/>
    <col min="13832" max="13832" width="9.28515625" style="872" customWidth="1"/>
    <col min="13833" max="13833" width="7.85546875" style="872" bestFit="1" customWidth="1"/>
    <col min="13834" max="13834" width="10.85546875" style="872" customWidth="1"/>
    <col min="13835" max="13835" width="8.5703125" style="872" bestFit="1" customWidth="1"/>
    <col min="13836" max="13836" width="10" style="872" customWidth="1"/>
    <col min="13837" max="13837" width="10.28515625" style="872" customWidth="1"/>
    <col min="13838" max="13839" width="9.85546875" style="872" customWidth="1"/>
    <col min="13840" max="13841" width="10.7109375" style="872" customWidth="1"/>
    <col min="13842" max="13842" width="10.5703125" style="872" customWidth="1"/>
    <col min="13843" max="13843" width="10.140625" style="872" customWidth="1"/>
    <col min="13844" max="13844" width="10.7109375" style="872" customWidth="1"/>
    <col min="13845" max="13845" width="10" style="872" customWidth="1"/>
    <col min="13846" max="13846" width="6.85546875" style="872" customWidth="1"/>
    <col min="13847" max="13847" width="11.28515625" style="872" customWidth="1"/>
    <col min="13848" max="13848" width="11.85546875" style="872" customWidth="1"/>
    <col min="13849" max="14080" width="9.7109375" style="872"/>
    <col min="14081" max="14081" width="2.140625" style="872" customWidth="1"/>
    <col min="14082" max="14082" width="2.28515625" style="872" customWidth="1"/>
    <col min="14083" max="14083" width="24.140625" style="872" customWidth="1"/>
    <col min="14084" max="14084" width="9.140625" style="872" customWidth="1"/>
    <col min="14085" max="14085" width="9.28515625" style="872" customWidth="1"/>
    <col min="14086" max="14086" width="8.7109375" style="872" customWidth="1"/>
    <col min="14087" max="14087" width="9.140625" style="872" customWidth="1"/>
    <col min="14088" max="14088" width="9.28515625" style="872" customWidth="1"/>
    <col min="14089" max="14089" width="7.85546875" style="872" bestFit="1" customWidth="1"/>
    <col min="14090" max="14090" width="10.85546875" style="872" customWidth="1"/>
    <col min="14091" max="14091" width="8.5703125" style="872" bestFit="1" customWidth="1"/>
    <col min="14092" max="14092" width="10" style="872" customWidth="1"/>
    <col min="14093" max="14093" width="10.28515625" style="872" customWidth="1"/>
    <col min="14094" max="14095" width="9.85546875" style="872" customWidth="1"/>
    <col min="14096" max="14097" width="10.7109375" style="872" customWidth="1"/>
    <col min="14098" max="14098" width="10.5703125" style="872" customWidth="1"/>
    <col min="14099" max="14099" width="10.140625" style="872" customWidth="1"/>
    <col min="14100" max="14100" width="10.7109375" style="872" customWidth="1"/>
    <col min="14101" max="14101" width="10" style="872" customWidth="1"/>
    <col min="14102" max="14102" width="6.85546875" style="872" customWidth="1"/>
    <col min="14103" max="14103" width="11.28515625" style="872" customWidth="1"/>
    <col min="14104" max="14104" width="11.85546875" style="872" customWidth="1"/>
    <col min="14105" max="14336" width="9.7109375" style="872"/>
    <col min="14337" max="14337" width="2.140625" style="872" customWidth="1"/>
    <col min="14338" max="14338" width="2.28515625" style="872" customWidth="1"/>
    <col min="14339" max="14339" width="24.140625" style="872" customWidth="1"/>
    <col min="14340" max="14340" width="9.140625" style="872" customWidth="1"/>
    <col min="14341" max="14341" width="9.28515625" style="872" customWidth="1"/>
    <col min="14342" max="14342" width="8.7109375" style="872" customWidth="1"/>
    <col min="14343" max="14343" width="9.140625" style="872" customWidth="1"/>
    <col min="14344" max="14344" width="9.28515625" style="872" customWidth="1"/>
    <col min="14345" max="14345" width="7.85546875" style="872" bestFit="1" customWidth="1"/>
    <col min="14346" max="14346" width="10.85546875" style="872" customWidth="1"/>
    <col min="14347" max="14347" width="8.5703125" style="872" bestFit="1" customWidth="1"/>
    <col min="14348" max="14348" width="10" style="872" customWidth="1"/>
    <col min="14349" max="14349" width="10.28515625" style="872" customWidth="1"/>
    <col min="14350" max="14351" width="9.85546875" style="872" customWidth="1"/>
    <col min="14352" max="14353" width="10.7109375" style="872" customWidth="1"/>
    <col min="14354" max="14354" width="10.5703125" style="872" customWidth="1"/>
    <col min="14355" max="14355" width="10.140625" style="872" customWidth="1"/>
    <col min="14356" max="14356" width="10.7109375" style="872" customWidth="1"/>
    <col min="14357" max="14357" width="10" style="872" customWidth="1"/>
    <col min="14358" max="14358" width="6.85546875" style="872" customWidth="1"/>
    <col min="14359" max="14359" width="11.28515625" style="872" customWidth="1"/>
    <col min="14360" max="14360" width="11.85546875" style="872" customWidth="1"/>
    <col min="14361" max="14592" width="9.7109375" style="872"/>
    <col min="14593" max="14593" width="2.140625" style="872" customWidth="1"/>
    <col min="14594" max="14594" width="2.28515625" style="872" customWidth="1"/>
    <col min="14595" max="14595" width="24.140625" style="872" customWidth="1"/>
    <col min="14596" max="14596" width="9.140625" style="872" customWidth="1"/>
    <col min="14597" max="14597" width="9.28515625" style="872" customWidth="1"/>
    <col min="14598" max="14598" width="8.7109375" style="872" customWidth="1"/>
    <col min="14599" max="14599" width="9.140625" style="872" customWidth="1"/>
    <col min="14600" max="14600" width="9.28515625" style="872" customWidth="1"/>
    <col min="14601" max="14601" width="7.85546875" style="872" bestFit="1" customWidth="1"/>
    <col min="14602" max="14602" width="10.85546875" style="872" customWidth="1"/>
    <col min="14603" max="14603" width="8.5703125" style="872" bestFit="1" customWidth="1"/>
    <col min="14604" max="14604" width="10" style="872" customWidth="1"/>
    <col min="14605" max="14605" width="10.28515625" style="872" customWidth="1"/>
    <col min="14606" max="14607" width="9.85546875" style="872" customWidth="1"/>
    <col min="14608" max="14609" width="10.7109375" style="872" customWidth="1"/>
    <col min="14610" max="14610" width="10.5703125" style="872" customWidth="1"/>
    <col min="14611" max="14611" width="10.140625" style="872" customWidth="1"/>
    <col min="14612" max="14612" width="10.7109375" style="872" customWidth="1"/>
    <col min="14613" max="14613" width="10" style="872" customWidth="1"/>
    <col min="14614" max="14614" width="6.85546875" style="872" customWidth="1"/>
    <col min="14615" max="14615" width="11.28515625" style="872" customWidth="1"/>
    <col min="14616" max="14616" width="11.85546875" style="872" customWidth="1"/>
    <col min="14617" max="14848" width="9.7109375" style="872"/>
    <col min="14849" max="14849" width="2.140625" style="872" customWidth="1"/>
    <col min="14850" max="14850" width="2.28515625" style="872" customWidth="1"/>
    <col min="14851" max="14851" width="24.140625" style="872" customWidth="1"/>
    <col min="14852" max="14852" width="9.140625" style="872" customWidth="1"/>
    <col min="14853" max="14853" width="9.28515625" style="872" customWidth="1"/>
    <col min="14854" max="14854" width="8.7109375" style="872" customWidth="1"/>
    <col min="14855" max="14855" width="9.140625" style="872" customWidth="1"/>
    <col min="14856" max="14856" width="9.28515625" style="872" customWidth="1"/>
    <col min="14857" max="14857" width="7.85546875" style="872" bestFit="1" customWidth="1"/>
    <col min="14858" max="14858" width="10.85546875" style="872" customWidth="1"/>
    <col min="14859" max="14859" width="8.5703125" style="872" bestFit="1" customWidth="1"/>
    <col min="14860" max="14860" width="10" style="872" customWidth="1"/>
    <col min="14861" max="14861" width="10.28515625" style="872" customWidth="1"/>
    <col min="14862" max="14863" width="9.85546875" style="872" customWidth="1"/>
    <col min="14864" max="14865" width="10.7109375" style="872" customWidth="1"/>
    <col min="14866" max="14866" width="10.5703125" style="872" customWidth="1"/>
    <col min="14867" max="14867" width="10.140625" style="872" customWidth="1"/>
    <col min="14868" max="14868" width="10.7109375" style="872" customWidth="1"/>
    <col min="14869" max="14869" width="10" style="872" customWidth="1"/>
    <col min="14870" max="14870" width="6.85546875" style="872" customWidth="1"/>
    <col min="14871" max="14871" width="11.28515625" style="872" customWidth="1"/>
    <col min="14872" max="14872" width="11.85546875" style="872" customWidth="1"/>
    <col min="14873" max="15104" width="9.7109375" style="872"/>
    <col min="15105" max="15105" width="2.140625" style="872" customWidth="1"/>
    <col min="15106" max="15106" width="2.28515625" style="872" customWidth="1"/>
    <col min="15107" max="15107" width="24.140625" style="872" customWidth="1"/>
    <col min="15108" max="15108" width="9.140625" style="872" customWidth="1"/>
    <col min="15109" max="15109" width="9.28515625" style="872" customWidth="1"/>
    <col min="15110" max="15110" width="8.7109375" style="872" customWidth="1"/>
    <col min="15111" max="15111" width="9.140625" style="872" customWidth="1"/>
    <col min="15112" max="15112" width="9.28515625" style="872" customWidth="1"/>
    <col min="15113" max="15113" width="7.85546875" style="872" bestFit="1" customWidth="1"/>
    <col min="15114" max="15114" width="10.85546875" style="872" customWidth="1"/>
    <col min="15115" max="15115" width="8.5703125" style="872" bestFit="1" customWidth="1"/>
    <col min="15116" max="15116" width="10" style="872" customWidth="1"/>
    <col min="15117" max="15117" width="10.28515625" style="872" customWidth="1"/>
    <col min="15118" max="15119" width="9.85546875" style="872" customWidth="1"/>
    <col min="15120" max="15121" width="10.7109375" style="872" customWidth="1"/>
    <col min="15122" max="15122" width="10.5703125" style="872" customWidth="1"/>
    <col min="15123" max="15123" width="10.140625" style="872" customWidth="1"/>
    <col min="15124" max="15124" width="10.7109375" style="872" customWidth="1"/>
    <col min="15125" max="15125" width="10" style="872" customWidth="1"/>
    <col min="15126" max="15126" width="6.85546875" style="872" customWidth="1"/>
    <col min="15127" max="15127" width="11.28515625" style="872" customWidth="1"/>
    <col min="15128" max="15128" width="11.85546875" style="872" customWidth="1"/>
    <col min="15129" max="15360" width="9.7109375" style="872"/>
    <col min="15361" max="15361" width="2.140625" style="872" customWidth="1"/>
    <col min="15362" max="15362" width="2.28515625" style="872" customWidth="1"/>
    <col min="15363" max="15363" width="24.140625" style="872" customWidth="1"/>
    <col min="15364" max="15364" width="9.140625" style="872" customWidth="1"/>
    <col min="15365" max="15365" width="9.28515625" style="872" customWidth="1"/>
    <col min="15366" max="15366" width="8.7109375" style="872" customWidth="1"/>
    <col min="15367" max="15367" width="9.140625" style="872" customWidth="1"/>
    <col min="15368" max="15368" width="9.28515625" style="872" customWidth="1"/>
    <col min="15369" max="15369" width="7.85546875" style="872" bestFit="1" customWidth="1"/>
    <col min="15370" max="15370" width="10.85546875" style="872" customWidth="1"/>
    <col min="15371" max="15371" width="8.5703125" style="872" bestFit="1" customWidth="1"/>
    <col min="15372" max="15372" width="10" style="872" customWidth="1"/>
    <col min="15373" max="15373" width="10.28515625" style="872" customWidth="1"/>
    <col min="15374" max="15375" width="9.85546875" style="872" customWidth="1"/>
    <col min="15376" max="15377" width="10.7109375" style="872" customWidth="1"/>
    <col min="15378" max="15378" width="10.5703125" style="872" customWidth="1"/>
    <col min="15379" max="15379" width="10.140625" style="872" customWidth="1"/>
    <col min="15380" max="15380" width="10.7109375" style="872" customWidth="1"/>
    <col min="15381" max="15381" width="10" style="872" customWidth="1"/>
    <col min="15382" max="15382" width="6.85546875" style="872" customWidth="1"/>
    <col min="15383" max="15383" width="11.28515625" style="872" customWidth="1"/>
    <col min="15384" max="15384" width="11.85546875" style="872" customWidth="1"/>
    <col min="15385" max="15616" width="9.7109375" style="872"/>
    <col min="15617" max="15617" width="2.140625" style="872" customWidth="1"/>
    <col min="15618" max="15618" width="2.28515625" style="872" customWidth="1"/>
    <col min="15619" max="15619" width="24.140625" style="872" customWidth="1"/>
    <col min="15620" max="15620" width="9.140625" style="872" customWidth="1"/>
    <col min="15621" max="15621" width="9.28515625" style="872" customWidth="1"/>
    <col min="15622" max="15622" width="8.7109375" style="872" customWidth="1"/>
    <col min="15623" max="15623" width="9.140625" style="872" customWidth="1"/>
    <col min="15624" max="15624" width="9.28515625" style="872" customWidth="1"/>
    <col min="15625" max="15625" width="7.85546875" style="872" bestFit="1" customWidth="1"/>
    <col min="15626" max="15626" width="10.85546875" style="872" customWidth="1"/>
    <col min="15627" max="15627" width="8.5703125" style="872" bestFit="1" customWidth="1"/>
    <col min="15628" max="15628" width="10" style="872" customWidth="1"/>
    <col min="15629" max="15629" width="10.28515625" style="872" customWidth="1"/>
    <col min="15630" max="15631" width="9.85546875" style="872" customWidth="1"/>
    <col min="15632" max="15633" width="10.7109375" style="872" customWidth="1"/>
    <col min="15634" max="15634" width="10.5703125" style="872" customWidth="1"/>
    <col min="15635" max="15635" width="10.140625" style="872" customWidth="1"/>
    <col min="15636" max="15636" width="10.7109375" style="872" customWidth="1"/>
    <col min="15637" max="15637" width="10" style="872" customWidth="1"/>
    <col min="15638" max="15638" width="6.85546875" style="872" customWidth="1"/>
    <col min="15639" max="15639" width="11.28515625" style="872" customWidth="1"/>
    <col min="15640" max="15640" width="11.85546875" style="872" customWidth="1"/>
    <col min="15641" max="15872" width="9.7109375" style="872"/>
    <col min="15873" max="15873" width="2.140625" style="872" customWidth="1"/>
    <col min="15874" max="15874" width="2.28515625" style="872" customWidth="1"/>
    <col min="15875" max="15875" width="24.140625" style="872" customWidth="1"/>
    <col min="15876" max="15876" width="9.140625" style="872" customWidth="1"/>
    <col min="15877" max="15877" width="9.28515625" style="872" customWidth="1"/>
    <col min="15878" max="15878" width="8.7109375" style="872" customWidth="1"/>
    <col min="15879" max="15879" width="9.140625" style="872" customWidth="1"/>
    <col min="15880" max="15880" width="9.28515625" style="872" customWidth="1"/>
    <col min="15881" max="15881" width="7.85546875" style="872" bestFit="1" customWidth="1"/>
    <col min="15882" max="15882" width="10.85546875" style="872" customWidth="1"/>
    <col min="15883" max="15883" width="8.5703125" style="872" bestFit="1" customWidth="1"/>
    <col min="15884" max="15884" width="10" style="872" customWidth="1"/>
    <col min="15885" max="15885" width="10.28515625" style="872" customWidth="1"/>
    <col min="15886" max="15887" width="9.85546875" style="872" customWidth="1"/>
    <col min="15888" max="15889" width="10.7109375" style="872" customWidth="1"/>
    <col min="15890" max="15890" width="10.5703125" style="872" customWidth="1"/>
    <col min="15891" max="15891" width="10.140625" style="872" customWidth="1"/>
    <col min="15892" max="15892" width="10.7109375" style="872" customWidth="1"/>
    <col min="15893" max="15893" width="10" style="872" customWidth="1"/>
    <col min="15894" max="15894" width="6.85546875" style="872" customWidth="1"/>
    <col min="15895" max="15895" width="11.28515625" style="872" customWidth="1"/>
    <col min="15896" max="15896" width="11.85546875" style="872" customWidth="1"/>
    <col min="15897" max="16128" width="9.7109375" style="872"/>
    <col min="16129" max="16129" width="2.140625" style="872" customWidth="1"/>
    <col min="16130" max="16130" width="2.28515625" style="872" customWidth="1"/>
    <col min="16131" max="16131" width="24.140625" style="872" customWidth="1"/>
    <col min="16132" max="16132" width="9.140625" style="872" customWidth="1"/>
    <col min="16133" max="16133" width="9.28515625" style="872" customWidth="1"/>
    <col min="16134" max="16134" width="8.7109375" style="872" customWidth="1"/>
    <col min="16135" max="16135" width="9.140625" style="872" customWidth="1"/>
    <col min="16136" max="16136" width="9.28515625" style="872" customWidth="1"/>
    <col min="16137" max="16137" width="7.85546875" style="872" bestFit="1" customWidth="1"/>
    <col min="16138" max="16138" width="10.85546875" style="872" customWidth="1"/>
    <col min="16139" max="16139" width="8.5703125" style="872" bestFit="1" customWidth="1"/>
    <col min="16140" max="16140" width="10" style="872" customWidth="1"/>
    <col min="16141" max="16141" width="10.28515625" style="872" customWidth="1"/>
    <col min="16142" max="16143" width="9.85546875" style="872" customWidth="1"/>
    <col min="16144" max="16145" width="10.7109375" style="872" customWidth="1"/>
    <col min="16146" max="16146" width="10.5703125" style="872" customWidth="1"/>
    <col min="16147" max="16147" width="10.140625" style="872" customWidth="1"/>
    <col min="16148" max="16148" width="10.7109375" style="872" customWidth="1"/>
    <col min="16149" max="16149" width="10" style="872" customWidth="1"/>
    <col min="16150" max="16150" width="6.85546875" style="872" customWidth="1"/>
    <col min="16151" max="16151" width="11.28515625" style="872" customWidth="1"/>
    <col min="16152" max="16152" width="11.85546875" style="872" customWidth="1"/>
    <col min="16153" max="16384" width="9.7109375" style="872"/>
  </cols>
  <sheetData>
    <row r="1" spans="2:26" s="868" customFormat="1" ht="19.5" customHeight="1" thickBot="1">
      <c r="B1" s="864" t="s">
        <v>704</v>
      </c>
      <c r="C1" s="865"/>
      <c r="D1" s="865"/>
      <c r="E1" s="864"/>
      <c r="F1" s="864"/>
      <c r="G1" s="864"/>
      <c r="H1" s="864"/>
      <c r="I1" s="864"/>
      <c r="J1" s="864"/>
      <c r="K1" s="864"/>
      <c r="L1" s="864"/>
      <c r="M1" s="864"/>
      <c r="N1" s="864"/>
      <c r="O1" s="864"/>
      <c r="P1" s="864"/>
      <c r="Q1" s="864"/>
      <c r="R1" s="864"/>
      <c r="S1" s="864"/>
      <c r="T1" s="864"/>
      <c r="U1" s="864"/>
      <c r="V1" s="866"/>
      <c r="W1" s="867"/>
      <c r="X1" s="866" t="s">
        <v>705</v>
      </c>
      <c r="Z1" s="869">
        <v>2012</v>
      </c>
    </row>
    <row r="2" spans="2:26" ht="32.25" customHeight="1">
      <c r="B2" s="870" t="s">
        <v>706</v>
      </c>
      <c r="C2" s="871"/>
      <c r="D2" s="871"/>
      <c r="E2" s="871"/>
      <c r="F2" s="871"/>
      <c r="G2" s="871"/>
      <c r="H2" s="871"/>
      <c r="I2" s="871"/>
      <c r="J2" s="871"/>
      <c r="K2" s="871"/>
      <c r="L2" s="871"/>
      <c r="M2" s="871"/>
      <c r="N2" s="871"/>
      <c r="O2" s="871"/>
      <c r="P2" s="871"/>
      <c r="Q2" s="871"/>
      <c r="R2" s="871"/>
      <c r="S2" s="871"/>
      <c r="T2" s="871"/>
      <c r="U2" s="871"/>
      <c r="V2" s="871"/>
      <c r="W2" s="871"/>
      <c r="X2" s="871"/>
    </row>
    <row r="3" spans="2:26" ht="6.75" customHeight="1">
      <c r="B3" s="873"/>
      <c r="C3" s="871"/>
      <c r="D3" s="871"/>
      <c r="E3" s="871"/>
      <c r="F3" s="871"/>
      <c r="G3" s="871"/>
      <c r="H3" s="871"/>
      <c r="I3" s="871"/>
      <c r="J3" s="871"/>
      <c r="K3" s="871"/>
      <c r="L3" s="871"/>
      <c r="M3" s="871"/>
      <c r="N3" s="871"/>
      <c r="O3" s="871"/>
      <c r="P3" s="871"/>
      <c r="Q3" s="871"/>
      <c r="R3" s="871"/>
      <c r="S3" s="871"/>
      <c r="T3" s="871"/>
      <c r="U3" s="871"/>
      <c r="V3" s="871"/>
      <c r="W3" s="871"/>
      <c r="X3" s="871"/>
    </row>
    <row r="4" spans="2:26" ht="12.75" customHeight="1">
      <c r="B4" s="873" t="s">
        <v>26</v>
      </c>
      <c r="C4" s="874"/>
      <c r="D4" s="874"/>
      <c r="E4" s="871"/>
      <c r="F4" s="871"/>
      <c r="G4" s="871"/>
      <c r="H4" s="871"/>
      <c r="I4" s="871"/>
      <c r="J4" s="871"/>
      <c r="K4" s="871"/>
      <c r="L4" s="871"/>
      <c r="M4" s="871"/>
      <c r="N4" s="871"/>
      <c r="O4" s="871"/>
      <c r="P4" s="871"/>
      <c r="Q4" s="871"/>
      <c r="R4" s="871"/>
      <c r="S4" s="871"/>
      <c r="T4" s="871"/>
      <c r="U4" s="871"/>
      <c r="V4" s="875"/>
      <c r="W4" s="875"/>
      <c r="X4" s="871"/>
    </row>
    <row r="5" spans="2:26" ht="12.75" customHeight="1">
      <c r="B5" s="876"/>
      <c r="E5" s="877"/>
      <c r="F5" s="877"/>
      <c r="G5" s="877"/>
      <c r="H5" s="877"/>
      <c r="I5" s="877"/>
      <c r="J5" s="877"/>
      <c r="K5" s="877"/>
      <c r="L5" s="877"/>
      <c r="M5" s="877"/>
      <c r="N5" s="877"/>
      <c r="O5" s="877"/>
      <c r="P5" s="877"/>
      <c r="Q5" s="877"/>
      <c r="R5" s="877"/>
      <c r="S5" s="877"/>
      <c r="T5" s="877"/>
      <c r="U5" s="877"/>
      <c r="V5" s="878"/>
      <c r="W5" s="878"/>
      <c r="X5" s="877"/>
    </row>
    <row r="6" spans="2:26" ht="0.95" customHeight="1" thickBot="1">
      <c r="B6" s="879"/>
      <c r="C6" s="879"/>
      <c r="D6" s="879"/>
      <c r="E6" s="879"/>
      <c r="F6" s="879"/>
      <c r="G6" s="879"/>
      <c r="H6" s="879"/>
      <c r="I6" s="879"/>
      <c r="J6" s="879"/>
      <c r="K6" s="879"/>
      <c r="L6" s="879"/>
      <c r="M6" s="879"/>
      <c r="N6" s="879"/>
      <c r="O6" s="879"/>
      <c r="P6" s="879"/>
      <c r="Q6" s="879"/>
      <c r="R6" s="879"/>
      <c r="S6" s="879"/>
      <c r="T6" s="879"/>
      <c r="U6" s="879"/>
      <c r="V6" s="880"/>
      <c r="W6" s="880"/>
      <c r="X6" s="879"/>
    </row>
    <row r="7" spans="2:26" ht="19.5" customHeight="1">
      <c r="C7" s="881" t="s">
        <v>707</v>
      </c>
      <c r="D7" s="882" t="s">
        <v>242</v>
      </c>
      <c r="F7" s="883"/>
      <c r="G7" s="883"/>
      <c r="H7" s="884"/>
      <c r="I7" s="883"/>
      <c r="J7" s="883"/>
      <c r="K7" s="883"/>
      <c r="L7" s="883"/>
      <c r="M7" s="883"/>
      <c r="N7" s="883"/>
      <c r="O7" s="883"/>
      <c r="P7" s="883"/>
      <c r="Q7" s="883"/>
      <c r="R7" s="883"/>
      <c r="S7" s="883"/>
      <c r="T7" s="1061"/>
      <c r="U7" s="883"/>
      <c r="V7" s="885"/>
      <c r="W7" s="885"/>
      <c r="X7" s="883"/>
    </row>
    <row r="8" spans="2:26">
      <c r="B8" s="886"/>
      <c r="C8" s="876" t="s">
        <v>708</v>
      </c>
      <c r="D8" s="876"/>
      <c r="E8" s="876"/>
      <c r="F8" s="887"/>
      <c r="G8" s="876"/>
      <c r="H8" s="876"/>
      <c r="I8" s="876"/>
      <c r="J8" s="876"/>
      <c r="K8" s="876"/>
      <c r="L8" s="876"/>
      <c r="M8" s="876"/>
      <c r="N8" s="876"/>
      <c r="O8" s="876"/>
      <c r="P8" s="876"/>
      <c r="Q8" s="876"/>
      <c r="R8" s="876"/>
      <c r="S8" s="876"/>
      <c r="T8" s="876"/>
      <c r="U8" s="876"/>
      <c r="V8" s="888"/>
      <c r="W8" s="888"/>
      <c r="X8" s="876"/>
    </row>
    <row r="9" spans="2:26" ht="12" customHeight="1" thickBot="1">
      <c r="B9" s="876"/>
      <c r="C9" s="889"/>
      <c r="D9" s="889"/>
      <c r="E9" s="890"/>
      <c r="F9" s="890"/>
      <c r="G9" s="890"/>
      <c r="H9" s="890"/>
      <c r="I9" s="890"/>
      <c r="J9" s="890"/>
      <c r="K9" s="890"/>
      <c r="L9" s="890"/>
      <c r="M9" s="890"/>
      <c r="N9" s="890"/>
      <c r="O9" s="890"/>
      <c r="P9" s="890"/>
      <c r="Q9" s="890"/>
      <c r="R9" s="890"/>
      <c r="S9" s="890"/>
      <c r="T9" s="890"/>
      <c r="U9" s="890"/>
      <c r="V9" s="891"/>
      <c r="W9" s="891"/>
      <c r="X9" s="890"/>
    </row>
    <row r="10" spans="2:26" ht="12" customHeight="1">
      <c r="B10" s="892"/>
      <c r="C10" s="883"/>
      <c r="D10" s="883"/>
      <c r="E10" s="883"/>
      <c r="F10" s="883"/>
      <c r="G10" s="883"/>
      <c r="H10" s="883"/>
      <c r="I10" s="883"/>
      <c r="J10" s="883"/>
      <c r="K10" s="883"/>
      <c r="L10" s="883"/>
      <c r="M10" s="883"/>
      <c r="N10" s="883"/>
      <c r="O10" s="883"/>
      <c r="P10" s="883"/>
      <c r="Q10" s="883"/>
      <c r="R10" s="883"/>
      <c r="S10" s="883"/>
      <c r="T10" s="883"/>
      <c r="U10" s="883"/>
      <c r="V10" s="883"/>
      <c r="W10" s="883"/>
      <c r="X10" s="883"/>
    </row>
    <row r="11" spans="2:26" ht="12" customHeight="1">
      <c r="B11" s="893"/>
      <c r="C11" s="876"/>
      <c r="D11" s="876"/>
      <c r="E11" s="876"/>
      <c r="F11" s="876"/>
      <c r="G11" s="876"/>
      <c r="H11" s="876"/>
      <c r="I11" s="876"/>
      <c r="J11" s="876"/>
      <c r="K11" s="876"/>
      <c r="L11" s="876"/>
      <c r="M11" s="876"/>
      <c r="N11" s="876"/>
      <c r="O11" s="876"/>
      <c r="P11" s="876"/>
      <c r="Q11" s="876"/>
      <c r="R11" s="876"/>
      <c r="S11" s="876"/>
      <c r="T11" s="876"/>
      <c r="U11" s="876"/>
      <c r="V11" s="876"/>
      <c r="W11" s="876"/>
      <c r="X11" s="876"/>
    </row>
    <row r="12" spans="2:26">
      <c r="B12" s="894"/>
      <c r="C12" s="895" t="s">
        <v>18</v>
      </c>
      <c r="D12" s="896"/>
      <c r="E12" s="897"/>
      <c r="F12" s="897"/>
      <c r="G12" s="897"/>
      <c r="H12" s="897"/>
      <c r="I12" s="897"/>
      <c r="J12" s="897"/>
      <c r="K12" s="897"/>
      <c r="L12" s="897"/>
      <c r="M12" s="897"/>
      <c r="N12" s="897"/>
      <c r="O12" s="897"/>
      <c r="P12" s="897"/>
      <c r="Q12" s="897"/>
      <c r="R12" s="897"/>
      <c r="S12" s="898"/>
      <c r="T12" s="899"/>
      <c r="U12" s="900"/>
      <c r="V12" s="901"/>
      <c r="W12" s="902"/>
      <c r="X12" s="902"/>
    </row>
    <row r="13" spans="2:26">
      <c r="B13" s="903"/>
      <c r="C13" s="890"/>
      <c r="D13" s="904"/>
      <c r="E13" s="905"/>
      <c r="F13" s="905">
        <v>2010</v>
      </c>
      <c r="G13" s="905">
        <v>2011</v>
      </c>
      <c r="H13" s="905">
        <f>+G13</f>
        <v>2011</v>
      </c>
      <c r="I13" s="905" t="s">
        <v>709</v>
      </c>
      <c r="J13" s="905" t="s">
        <v>710</v>
      </c>
      <c r="K13" s="905"/>
      <c r="L13" s="905" t="s">
        <v>711</v>
      </c>
      <c r="M13" s="905"/>
      <c r="N13" s="905">
        <v>2012</v>
      </c>
      <c r="O13" s="905" t="s">
        <v>712</v>
      </c>
      <c r="P13" s="905"/>
      <c r="Q13" s="905">
        <v>2012</v>
      </c>
      <c r="R13" s="905" t="s">
        <v>713</v>
      </c>
      <c r="S13" s="906"/>
      <c r="T13" s="907">
        <v>2012</v>
      </c>
      <c r="U13" s="1160" t="s">
        <v>27</v>
      </c>
      <c r="V13" s="1161"/>
      <c r="W13" s="908"/>
      <c r="X13" s="908"/>
    </row>
    <row r="14" spans="2:26">
      <c r="B14" s="903"/>
      <c r="C14" s="890"/>
      <c r="D14" s="909">
        <v>2009</v>
      </c>
      <c r="E14" s="909">
        <v>2010</v>
      </c>
      <c r="F14" s="909" t="s">
        <v>28</v>
      </c>
      <c r="G14" s="909" t="s">
        <v>714</v>
      </c>
      <c r="H14" s="909" t="s">
        <v>28</v>
      </c>
      <c r="I14" s="909" t="s">
        <v>477</v>
      </c>
      <c r="J14" s="909" t="s">
        <v>715</v>
      </c>
      <c r="K14" s="909" t="s">
        <v>716</v>
      </c>
      <c r="L14" s="909" t="s">
        <v>717</v>
      </c>
      <c r="M14" s="909" t="s">
        <v>718</v>
      </c>
      <c r="N14" s="909" t="s">
        <v>719</v>
      </c>
      <c r="O14" s="909" t="s">
        <v>720</v>
      </c>
      <c r="P14" s="909" t="s">
        <v>721</v>
      </c>
      <c r="Q14" s="909" t="s">
        <v>450</v>
      </c>
      <c r="R14" s="909" t="s">
        <v>722</v>
      </c>
      <c r="S14" s="910" t="s">
        <v>471</v>
      </c>
      <c r="T14" s="911" t="s">
        <v>723</v>
      </c>
      <c r="U14" s="1162">
        <f>+T13-1</f>
        <v>2011</v>
      </c>
      <c r="V14" s="1163"/>
      <c r="W14" s="912">
        <f>+T13+1</f>
        <v>2013</v>
      </c>
      <c r="X14" s="912">
        <f>+T13+2</f>
        <v>2014</v>
      </c>
    </row>
    <row r="15" spans="2:26">
      <c r="B15" s="903"/>
      <c r="C15" s="890"/>
      <c r="D15" s="909" t="s">
        <v>724</v>
      </c>
      <c r="E15" s="909" t="s">
        <v>724</v>
      </c>
      <c r="F15" s="909" t="s">
        <v>31</v>
      </c>
      <c r="G15" s="909" t="s">
        <v>554</v>
      </c>
      <c r="H15" s="909" t="s">
        <v>31</v>
      </c>
      <c r="I15" s="909" t="s">
        <v>725</v>
      </c>
      <c r="J15" s="909" t="s">
        <v>726</v>
      </c>
      <c r="K15" s="909" t="s">
        <v>726</v>
      </c>
      <c r="L15" s="909" t="s">
        <v>727</v>
      </c>
      <c r="M15" s="909" t="s">
        <v>728</v>
      </c>
      <c r="N15" s="909" t="s">
        <v>720</v>
      </c>
      <c r="O15" s="909" t="s">
        <v>451</v>
      </c>
      <c r="P15" s="909" t="s">
        <v>451</v>
      </c>
      <c r="Q15" s="909" t="s">
        <v>720</v>
      </c>
      <c r="R15" s="909" t="s">
        <v>451</v>
      </c>
      <c r="S15" s="910" t="s">
        <v>729</v>
      </c>
      <c r="T15" s="911" t="s">
        <v>730</v>
      </c>
      <c r="U15" s="1164" t="s">
        <v>731</v>
      </c>
      <c r="V15" s="1165"/>
      <c r="W15" s="912" t="s">
        <v>33</v>
      </c>
      <c r="X15" s="912" t="s">
        <v>33</v>
      </c>
    </row>
    <row r="16" spans="2:26">
      <c r="B16" s="913"/>
      <c r="C16" s="914"/>
      <c r="D16" s="915" t="s">
        <v>732</v>
      </c>
      <c r="E16" s="915" t="s">
        <v>732</v>
      </c>
      <c r="F16" s="915" t="s">
        <v>732</v>
      </c>
      <c r="G16" s="915" t="s">
        <v>732</v>
      </c>
      <c r="H16" s="915" t="s">
        <v>732</v>
      </c>
      <c r="I16" s="915" t="s">
        <v>732</v>
      </c>
      <c r="J16" s="915" t="s">
        <v>732</v>
      </c>
      <c r="K16" s="915" t="s">
        <v>732</v>
      </c>
      <c r="L16" s="915" t="s">
        <v>732</v>
      </c>
      <c r="M16" s="915" t="s">
        <v>732</v>
      </c>
      <c r="N16" s="915" t="s">
        <v>732</v>
      </c>
      <c r="O16" s="915" t="s">
        <v>732</v>
      </c>
      <c r="P16" s="915" t="s">
        <v>732</v>
      </c>
      <c r="Q16" s="915" t="s">
        <v>732</v>
      </c>
      <c r="R16" s="915" t="s">
        <v>732</v>
      </c>
      <c r="S16" s="916" t="s">
        <v>732</v>
      </c>
      <c r="T16" s="917" t="s">
        <v>732</v>
      </c>
      <c r="U16" s="918" t="s">
        <v>732</v>
      </c>
      <c r="V16" s="919" t="s">
        <v>2</v>
      </c>
      <c r="W16" s="915" t="s">
        <v>732</v>
      </c>
      <c r="X16" s="915" t="s">
        <v>732</v>
      </c>
    </row>
    <row r="17" spans="2:24" s="929" customFormat="1">
      <c r="B17" s="920"/>
      <c r="C17" s="921"/>
      <c r="D17" s="922"/>
      <c r="E17" s="923"/>
      <c r="F17" s="923"/>
      <c r="G17" s="923"/>
      <c r="H17" s="923"/>
      <c r="I17" s="923"/>
      <c r="J17" s="923"/>
      <c r="K17" s="923"/>
      <c r="L17" s="923"/>
      <c r="M17" s="923"/>
      <c r="N17" s="923"/>
      <c r="O17" s="923"/>
      <c r="P17" s="923"/>
      <c r="Q17" s="923"/>
      <c r="R17" s="923"/>
      <c r="S17" s="924"/>
      <c r="T17" s="925"/>
      <c r="U17" s="926"/>
      <c r="V17" s="927"/>
      <c r="W17" s="928"/>
      <c r="X17" s="928"/>
    </row>
    <row r="18" spans="2:24" s="929" customFormat="1" ht="17.100000000000001" customHeight="1">
      <c r="B18" s="930" t="s">
        <v>34</v>
      </c>
      <c r="C18" s="931"/>
      <c r="D18" s="932">
        <v>6117.46</v>
      </c>
      <c r="E18" s="932">
        <v>6324.9350400000003</v>
      </c>
      <c r="F18" s="932">
        <v>6343.7362000000003</v>
      </c>
      <c r="G18" s="932">
        <v>5796.3129681602522</v>
      </c>
      <c r="H18" s="933">
        <v>6412.6445299999996</v>
      </c>
      <c r="I18" s="932">
        <v>15.760000000000002</v>
      </c>
      <c r="J18" s="932">
        <v>19.071999999999999</v>
      </c>
      <c r="K18" s="932">
        <v>11.899999999999999</v>
      </c>
      <c r="L18" s="932">
        <v>0</v>
      </c>
      <c r="M18" s="932">
        <v>59.67</v>
      </c>
      <c r="N18" s="934">
        <v>6519.0465299999996</v>
      </c>
      <c r="O18" s="932">
        <v>29.399999999999995</v>
      </c>
      <c r="P18" s="932">
        <v>0</v>
      </c>
      <c r="Q18" s="934">
        <v>6548.4465299999993</v>
      </c>
      <c r="R18" s="932">
        <v>-624.26937000000009</v>
      </c>
      <c r="S18" s="932">
        <v>0</v>
      </c>
      <c r="T18" s="935">
        <v>5924.1771599999993</v>
      </c>
      <c r="U18" s="936">
        <v>-488.4673700000003</v>
      </c>
      <c r="V18" s="937">
        <v>-7.6172531896134963</v>
      </c>
      <c r="W18" s="932">
        <v>5921.6771600000002</v>
      </c>
      <c r="X18" s="932">
        <v>5945.1211599999997</v>
      </c>
    </row>
    <row r="19" spans="2:24" s="929" customFormat="1" ht="17.100000000000001" customHeight="1">
      <c r="B19" s="930" t="s">
        <v>35</v>
      </c>
      <c r="C19" s="931"/>
      <c r="D19" s="932">
        <v>515.72800000000007</v>
      </c>
      <c r="E19" s="932">
        <v>415.97752999999994</v>
      </c>
      <c r="F19" s="932">
        <v>508.49999999999994</v>
      </c>
      <c r="G19" s="932">
        <v>466.46999999999997</v>
      </c>
      <c r="H19" s="932">
        <v>514.6</v>
      </c>
      <c r="I19" s="932">
        <v>-0.8</v>
      </c>
      <c r="J19" s="932">
        <v>0</v>
      </c>
      <c r="K19" s="932">
        <v>0</v>
      </c>
      <c r="L19" s="932">
        <v>0</v>
      </c>
      <c r="M19" s="1029">
        <v>9.5</v>
      </c>
      <c r="N19" s="934">
        <v>523.30000000000007</v>
      </c>
      <c r="O19" s="932">
        <v>2.2000000000000002</v>
      </c>
      <c r="P19" s="932">
        <v>0</v>
      </c>
      <c r="Q19" s="934">
        <v>525.50000000000011</v>
      </c>
      <c r="R19" s="932">
        <v>-28.213000000000001</v>
      </c>
      <c r="S19" s="932">
        <v>0</v>
      </c>
      <c r="T19" s="935">
        <v>497.28700000000009</v>
      </c>
      <c r="U19" s="936">
        <v>-17.312999999999931</v>
      </c>
      <c r="V19" s="937">
        <v>-3.3643606684803595</v>
      </c>
      <c r="W19" s="932">
        <v>499.08699999999999</v>
      </c>
      <c r="X19" s="932">
        <v>500.88699999999994</v>
      </c>
    </row>
    <row r="20" spans="2:24" s="929" customFormat="1" ht="17.100000000000001" customHeight="1">
      <c r="B20" s="930" t="s">
        <v>36</v>
      </c>
      <c r="C20" s="931"/>
      <c r="D20" s="932">
        <v>3.9589999999999996</v>
      </c>
      <c r="E20" s="932">
        <v>6.2676999999999996</v>
      </c>
      <c r="F20" s="932">
        <v>4.8</v>
      </c>
      <c r="G20" s="932">
        <v>3.8570000000000002</v>
      </c>
      <c r="H20" s="932">
        <v>4</v>
      </c>
      <c r="I20" s="932">
        <v>0</v>
      </c>
      <c r="J20" s="932">
        <v>0</v>
      </c>
      <c r="K20" s="932">
        <v>0</v>
      </c>
      <c r="L20" s="932">
        <v>0</v>
      </c>
      <c r="M20" s="932">
        <v>0</v>
      </c>
      <c r="N20" s="934">
        <v>4</v>
      </c>
      <c r="O20" s="932">
        <v>0</v>
      </c>
      <c r="P20" s="932">
        <v>0</v>
      </c>
      <c r="Q20" s="934">
        <v>4</v>
      </c>
      <c r="R20" s="932">
        <v>-9.2036700000000006E-3</v>
      </c>
      <c r="S20" s="932">
        <v>0</v>
      </c>
      <c r="T20" s="935">
        <v>3.9907963299999998</v>
      </c>
      <c r="U20" s="936">
        <v>-9.2036700000002192E-3</v>
      </c>
      <c r="V20" s="937">
        <v>-0.23009175000000548</v>
      </c>
      <c r="W20" s="932">
        <v>3.9907963300000002</v>
      </c>
      <c r="X20" s="932">
        <v>3.9907963300000002</v>
      </c>
    </row>
    <row r="21" spans="2:24" s="929" customFormat="1" ht="17.100000000000001" customHeight="1">
      <c r="B21" s="930" t="s">
        <v>37</v>
      </c>
      <c r="C21" s="931"/>
      <c r="D21" s="932">
        <v>710.04</v>
      </c>
      <c r="E21" s="932">
        <v>755.87896000000001</v>
      </c>
      <c r="F21" s="932">
        <v>548.19999999999993</v>
      </c>
      <c r="G21" s="932">
        <v>454.73325000000006</v>
      </c>
      <c r="H21" s="932">
        <v>508.33856000000003</v>
      </c>
      <c r="I21" s="932">
        <v>-3.98</v>
      </c>
      <c r="J21" s="932">
        <v>0</v>
      </c>
      <c r="K21" s="932">
        <v>0</v>
      </c>
      <c r="L21" s="932">
        <v>0</v>
      </c>
      <c r="M21" s="932">
        <v>0.3</v>
      </c>
      <c r="N21" s="934">
        <v>504.65856000000002</v>
      </c>
      <c r="O21" s="932">
        <v>1.3</v>
      </c>
      <c r="P21" s="932">
        <v>0</v>
      </c>
      <c r="Q21" s="934">
        <v>505.95856000000003</v>
      </c>
      <c r="R21" s="932">
        <v>-20.953000000000017</v>
      </c>
      <c r="S21" s="932">
        <v>0</v>
      </c>
      <c r="T21" s="935">
        <v>485.00556</v>
      </c>
      <c r="U21" s="936">
        <v>-23.333000000000027</v>
      </c>
      <c r="V21" s="937">
        <v>-4.5900511659001486</v>
      </c>
      <c r="W21" s="932">
        <v>485.00556</v>
      </c>
      <c r="X21" s="932">
        <v>485.00556</v>
      </c>
    </row>
    <row r="22" spans="2:24" s="929" customFormat="1" ht="17.100000000000001" customHeight="1">
      <c r="B22" s="930" t="s">
        <v>698</v>
      </c>
      <c r="C22" s="931"/>
      <c r="D22" s="932">
        <v>0</v>
      </c>
      <c r="E22" s="932">
        <v>0</v>
      </c>
      <c r="F22" s="932">
        <v>0</v>
      </c>
      <c r="G22" s="932">
        <v>0</v>
      </c>
      <c r="H22" s="932">
        <v>0</v>
      </c>
      <c r="I22" s="932">
        <v>0</v>
      </c>
      <c r="J22" s="932">
        <v>0</v>
      </c>
      <c r="K22" s="932">
        <v>0</v>
      </c>
      <c r="L22" s="932">
        <v>0</v>
      </c>
      <c r="M22" s="932">
        <v>0</v>
      </c>
      <c r="N22" s="934">
        <v>0</v>
      </c>
      <c r="O22" s="932">
        <v>0</v>
      </c>
      <c r="P22" s="932">
        <v>0</v>
      </c>
      <c r="Q22" s="934">
        <v>0</v>
      </c>
      <c r="R22" s="932">
        <v>0</v>
      </c>
      <c r="S22" s="932">
        <v>0</v>
      </c>
      <c r="T22" s="935">
        <v>0</v>
      </c>
      <c r="U22" s="936">
        <v>0</v>
      </c>
      <c r="V22" s="937">
        <v>0</v>
      </c>
      <c r="W22" s="932">
        <v>0</v>
      </c>
      <c r="X22" s="932">
        <v>0</v>
      </c>
    </row>
    <row r="23" spans="2:24" s="929" customFormat="1" ht="17.100000000000001" customHeight="1">
      <c r="B23" s="930" t="s">
        <v>699</v>
      </c>
      <c r="C23" s="931"/>
      <c r="D23" s="932">
        <v>7.5</v>
      </c>
      <c r="E23" s="932">
        <v>25.142000000000003</v>
      </c>
      <c r="F23" s="932">
        <v>24.407</v>
      </c>
      <c r="G23" s="932">
        <v>23.516560000000002</v>
      </c>
      <c r="H23" s="932">
        <v>25.146520000000002</v>
      </c>
      <c r="I23" s="932">
        <v>0</v>
      </c>
      <c r="J23" s="932">
        <v>0</v>
      </c>
      <c r="K23" s="932">
        <v>0</v>
      </c>
      <c r="L23" s="932">
        <v>0</v>
      </c>
      <c r="M23" s="932">
        <v>0</v>
      </c>
      <c r="N23" s="934">
        <v>25.146520000000002</v>
      </c>
      <c r="O23" s="932">
        <v>0</v>
      </c>
      <c r="P23" s="932">
        <v>0</v>
      </c>
      <c r="Q23" s="934">
        <v>25.146520000000002</v>
      </c>
      <c r="R23" s="932">
        <v>-9.7119999999999873E-2</v>
      </c>
      <c r="S23" s="932">
        <v>0</v>
      </c>
      <c r="T23" s="935">
        <v>25.049400000000002</v>
      </c>
      <c r="U23" s="936">
        <v>-9.7120000000000317E-2</v>
      </c>
      <c r="V23" s="937">
        <v>-0.38621646255625153</v>
      </c>
      <c r="W23" s="932">
        <v>25.049399999999999</v>
      </c>
      <c r="X23" s="932">
        <v>25.049399999999999</v>
      </c>
    </row>
    <row r="24" spans="2:24" s="929" customFormat="1" ht="17.100000000000001" customHeight="1">
      <c r="B24" s="930" t="s">
        <v>40</v>
      </c>
      <c r="C24" s="931"/>
      <c r="D24" s="932">
        <v>0</v>
      </c>
      <c r="E24" s="932">
        <v>0</v>
      </c>
      <c r="F24" s="932">
        <v>0</v>
      </c>
      <c r="G24" s="932">
        <v>6.7</v>
      </c>
      <c r="H24" s="932">
        <v>7.1000000000000005</v>
      </c>
      <c r="I24" s="932">
        <v>0</v>
      </c>
      <c r="J24" s="932">
        <v>0</v>
      </c>
      <c r="K24" s="932">
        <v>0</v>
      </c>
      <c r="L24" s="932">
        <v>0</v>
      </c>
      <c r="M24" s="932">
        <v>0</v>
      </c>
      <c r="N24" s="934">
        <v>7.1000000000000005</v>
      </c>
      <c r="O24" s="932">
        <v>0</v>
      </c>
      <c r="P24" s="932">
        <v>8.6999999999999993</v>
      </c>
      <c r="Q24" s="934">
        <v>15.8</v>
      </c>
      <c r="R24" s="932">
        <v>0</v>
      </c>
      <c r="S24" s="932">
        <v>0</v>
      </c>
      <c r="T24" s="935">
        <v>15.8</v>
      </c>
      <c r="U24" s="936">
        <v>8.6999999999999993</v>
      </c>
      <c r="V24" s="937">
        <v>122.5352112676056</v>
      </c>
      <c r="W24" s="932">
        <v>15.799999999999999</v>
      </c>
      <c r="X24" s="932">
        <v>15.799999999999999</v>
      </c>
    </row>
    <row r="25" spans="2:24" s="929" customFormat="1" ht="17.100000000000001" customHeight="1">
      <c r="B25" s="938" t="s">
        <v>41</v>
      </c>
      <c r="C25" s="931"/>
      <c r="D25" s="932">
        <v>0</v>
      </c>
      <c r="E25" s="932">
        <v>0</v>
      </c>
      <c r="F25" s="932">
        <v>0</v>
      </c>
      <c r="G25" s="932">
        <v>0</v>
      </c>
      <c r="H25" s="932">
        <v>0</v>
      </c>
      <c r="I25" s="932">
        <v>0</v>
      </c>
      <c r="J25" s="932">
        <v>0</v>
      </c>
      <c r="K25" s="932">
        <v>0</v>
      </c>
      <c r="L25" s="932">
        <v>0</v>
      </c>
      <c r="M25" s="932">
        <v>0</v>
      </c>
      <c r="N25" s="934">
        <v>0</v>
      </c>
      <c r="O25" s="932">
        <v>0</v>
      </c>
      <c r="P25" s="932">
        <v>0</v>
      </c>
      <c r="Q25" s="934">
        <v>0</v>
      </c>
      <c r="R25" s="932">
        <v>0</v>
      </c>
      <c r="S25" s="932">
        <v>0</v>
      </c>
      <c r="T25" s="935">
        <v>0</v>
      </c>
      <c r="U25" s="936">
        <v>0</v>
      </c>
      <c r="V25" s="937">
        <v>0</v>
      </c>
      <c r="W25" s="932">
        <v>0</v>
      </c>
      <c r="X25" s="932">
        <v>0</v>
      </c>
    </row>
    <row r="26" spans="2:24" s="929" customFormat="1" ht="5.25" customHeight="1">
      <c r="B26" s="939"/>
      <c r="C26" s="940"/>
      <c r="D26" s="941"/>
      <c r="E26" s="942"/>
      <c r="F26" s="942"/>
      <c r="G26" s="942"/>
      <c r="H26" s="942"/>
      <c r="I26" s="942"/>
      <c r="J26" s="942"/>
      <c r="K26" s="942"/>
      <c r="L26" s="942"/>
      <c r="M26" s="942"/>
      <c r="N26" s="943"/>
      <c r="O26" s="942"/>
      <c r="P26" s="942"/>
      <c r="Q26" s="943"/>
      <c r="R26" s="942"/>
      <c r="S26" s="944"/>
      <c r="T26" s="945"/>
      <c r="U26" s="946"/>
      <c r="V26" s="947"/>
      <c r="W26" s="948"/>
      <c r="X26" s="948"/>
    </row>
    <row r="27" spans="2:24" s="929" customFormat="1" ht="18.75" customHeight="1">
      <c r="B27" s="920" t="s">
        <v>733</v>
      </c>
      <c r="C27" s="931"/>
      <c r="D27" s="949">
        <v>7354.6869999999999</v>
      </c>
      <c r="E27" s="949">
        <v>7528.2012300000006</v>
      </c>
      <c r="F27" s="949">
        <v>7429.6432000000004</v>
      </c>
      <c r="G27" s="949">
        <v>6751.5897781602525</v>
      </c>
      <c r="H27" s="949">
        <v>7471.8296100000007</v>
      </c>
      <c r="I27" s="949">
        <v>10.98</v>
      </c>
      <c r="J27" s="949">
        <v>19.071999999999999</v>
      </c>
      <c r="K27" s="949">
        <v>11.899999999999999</v>
      </c>
      <c r="L27" s="949">
        <v>0</v>
      </c>
      <c r="M27" s="949">
        <v>69.47</v>
      </c>
      <c r="N27" s="949">
        <v>7583.2516100000003</v>
      </c>
      <c r="O27" s="949">
        <v>32.899999999999991</v>
      </c>
      <c r="P27" s="949">
        <v>8.6999999999999993</v>
      </c>
      <c r="Q27" s="949">
        <v>7624.8516099999997</v>
      </c>
      <c r="R27" s="949">
        <v>-673.54169367000009</v>
      </c>
      <c r="S27" s="950">
        <v>0</v>
      </c>
      <c r="T27" s="951">
        <v>6951.3099163299994</v>
      </c>
      <c r="U27" s="952">
        <v>-520.51969367000027</v>
      </c>
      <c r="V27" s="953">
        <v>-6.9664288512864019</v>
      </c>
      <c r="W27" s="949">
        <v>6950.6099163300005</v>
      </c>
      <c r="X27" s="949">
        <v>6975.8539163299993</v>
      </c>
    </row>
    <row r="28" spans="2:24" s="929" customFormat="1">
      <c r="B28" s="920"/>
      <c r="C28" s="921"/>
      <c r="D28" s="922"/>
      <c r="E28" s="942"/>
      <c r="F28" s="923"/>
      <c r="G28" s="923"/>
      <c r="H28" s="923"/>
      <c r="I28" s="923"/>
      <c r="J28" s="923"/>
      <c r="K28" s="923"/>
      <c r="L28" s="923"/>
      <c r="M28" s="923"/>
      <c r="N28" s="954"/>
      <c r="O28" s="923"/>
      <c r="P28" s="923"/>
      <c r="Q28" s="954"/>
      <c r="R28" s="923"/>
      <c r="S28" s="924"/>
      <c r="T28" s="925"/>
      <c r="U28" s="926"/>
      <c r="V28" s="927"/>
      <c r="W28" s="928"/>
      <c r="X28" s="928"/>
    </row>
    <row r="29" spans="2:24" s="929" customFormat="1" ht="17.100000000000001" customHeight="1">
      <c r="B29" s="938" t="s">
        <v>43</v>
      </c>
      <c r="C29" s="931"/>
      <c r="D29" s="932">
        <v>0</v>
      </c>
      <c r="E29" s="932">
        <v>0</v>
      </c>
      <c r="F29" s="932">
        <v>0</v>
      </c>
      <c r="G29" s="932">
        <v>0</v>
      </c>
      <c r="H29" s="932">
        <v>0</v>
      </c>
      <c r="I29" s="932">
        <v>0</v>
      </c>
      <c r="J29" s="932">
        <v>0</v>
      </c>
      <c r="K29" s="932">
        <v>0</v>
      </c>
      <c r="L29" s="932">
        <v>0</v>
      </c>
      <c r="M29" s="932">
        <v>0</v>
      </c>
      <c r="N29" s="934">
        <v>0</v>
      </c>
      <c r="O29" s="932">
        <v>0</v>
      </c>
      <c r="P29" s="932">
        <v>0</v>
      </c>
      <c r="Q29" s="934">
        <v>0</v>
      </c>
      <c r="R29" s="932">
        <v>0</v>
      </c>
      <c r="S29" s="932">
        <v>0</v>
      </c>
      <c r="T29" s="935">
        <v>0</v>
      </c>
      <c r="U29" s="936">
        <v>0</v>
      </c>
      <c r="V29" s="937">
        <v>0</v>
      </c>
      <c r="W29" s="932">
        <v>0</v>
      </c>
      <c r="X29" s="932">
        <v>0</v>
      </c>
    </row>
    <row r="30" spans="2:24" s="929" customFormat="1" ht="17.100000000000001" customHeight="1">
      <c r="B30" s="938" t="s">
        <v>44</v>
      </c>
      <c r="C30" s="931"/>
      <c r="D30" s="932">
        <v>0</v>
      </c>
      <c r="E30" s="932">
        <v>0</v>
      </c>
      <c r="F30" s="932">
        <v>0</v>
      </c>
      <c r="G30" s="932">
        <v>0</v>
      </c>
      <c r="H30" s="932">
        <v>0</v>
      </c>
      <c r="I30" s="932">
        <v>0</v>
      </c>
      <c r="J30" s="932">
        <v>0</v>
      </c>
      <c r="K30" s="932">
        <v>0</v>
      </c>
      <c r="L30" s="932">
        <v>0</v>
      </c>
      <c r="M30" s="932">
        <v>0</v>
      </c>
      <c r="N30" s="934">
        <v>0</v>
      </c>
      <c r="O30" s="932">
        <v>0</v>
      </c>
      <c r="P30" s="932">
        <v>0</v>
      </c>
      <c r="Q30" s="934">
        <v>0</v>
      </c>
      <c r="R30" s="932">
        <v>0</v>
      </c>
      <c r="S30" s="932">
        <v>0</v>
      </c>
      <c r="T30" s="935">
        <v>0</v>
      </c>
      <c r="U30" s="936">
        <v>0</v>
      </c>
      <c r="V30" s="937">
        <v>0</v>
      </c>
      <c r="W30" s="932">
        <v>0</v>
      </c>
      <c r="X30" s="932">
        <v>0</v>
      </c>
    </row>
    <row r="31" spans="2:24" s="929" customFormat="1" ht="17.100000000000001" customHeight="1">
      <c r="B31" s="938" t="s">
        <v>45</v>
      </c>
      <c r="C31" s="931"/>
      <c r="D31" s="932">
        <v>0</v>
      </c>
      <c r="E31" s="932">
        <v>0</v>
      </c>
      <c r="F31" s="932">
        <v>0</v>
      </c>
      <c r="G31" s="932">
        <v>0</v>
      </c>
      <c r="H31" s="932">
        <v>0</v>
      </c>
      <c r="I31" s="932">
        <v>0</v>
      </c>
      <c r="J31" s="932">
        <v>0</v>
      </c>
      <c r="K31" s="932">
        <v>0</v>
      </c>
      <c r="L31" s="932">
        <v>0</v>
      </c>
      <c r="M31" s="932">
        <v>0</v>
      </c>
      <c r="N31" s="934">
        <v>0</v>
      </c>
      <c r="O31" s="932">
        <v>0</v>
      </c>
      <c r="P31" s="932">
        <v>0</v>
      </c>
      <c r="Q31" s="934">
        <v>0</v>
      </c>
      <c r="R31" s="932">
        <v>0</v>
      </c>
      <c r="S31" s="932">
        <v>0</v>
      </c>
      <c r="T31" s="935">
        <v>0</v>
      </c>
      <c r="U31" s="936">
        <v>0</v>
      </c>
      <c r="V31" s="937">
        <v>0</v>
      </c>
      <c r="W31" s="932">
        <v>0</v>
      </c>
      <c r="X31" s="932">
        <v>0</v>
      </c>
    </row>
    <row r="32" spans="2:24" s="929" customFormat="1" ht="17.100000000000001" customHeight="1">
      <c r="B32" s="938" t="s">
        <v>46</v>
      </c>
      <c r="C32" s="931"/>
      <c r="D32" s="932">
        <v>0</v>
      </c>
      <c r="E32" s="932">
        <v>0</v>
      </c>
      <c r="F32" s="932">
        <v>0</v>
      </c>
      <c r="G32" s="932">
        <v>0</v>
      </c>
      <c r="H32" s="932">
        <v>0</v>
      </c>
      <c r="I32" s="932">
        <v>0</v>
      </c>
      <c r="J32" s="932">
        <v>0</v>
      </c>
      <c r="K32" s="932">
        <v>0</v>
      </c>
      <c r="L32" s="932">
        <v>0</v>
      </c>
      <c r="M32" s="932">
        <v>0</v>
      </c>
      <c r="N32" s="934">
        <v>0</v>
      </c>
      <c r="O32" s="932">
        <v>0</v>
      </c>
      <c r="P32" s="932">
        <v>0</v>
      </c>
      <c r="Q32" s="934">
        <v>0</v>
      </c>
      <c r="R32" s="932">
        <v>0</v>
      </c>
      <c r="S32" s="932">
        <v>0</v>
      </c>
      <c r="T32" s="935">
        <v>0</v>
      </c>
      <c r="U32" s="936">
        <v>0</v>
      </c>
      <c r="V32" s="937">
        <v>0</v>
      </c>
      <c r="W32" s="932">
        <v>0</v>
      </c>
      <c r="X32" s="932">
        <v>0</v>
      </c>
    </row>
    <row r="33" spans="2:25" s="929" customFormat="1" ht="17.100000000000001" customHeight="1">
      <c r="B33" s="938" t="s">
        <v>47</v>
      </c>
      <c r="C33" s="931"/>
      <c r="D33" s="932">
        <v>220.1</v>
      </c>
      <c r="E33" s="932">
        <v>214.20000000000002</v>
      </c>
      <c r="F33" s="932">
        <v>179.8</v>
      </c>
      <c r="G33" s="932">
        <v>192.4</v>
      </c>
      <c r="H33" s="932">
        <v>192.4</v>
      </c>
      <c r="I33" s="932">
        <v>0</v>
      </c>
      <c r="J33" s="932">
        <v>0</v>
      </c>
      <c r="K33" s="932">
        <v>0</v>
      </c>
      <c r="L33" s="932">
        <v>0</v>
      </c>
      <c r="M33" s="932">
        <v>0</v>
      </c>
      <c r="N33" s="934">
        <v>192.4</v>
      </c>
      <c r="O33" s="932">
        <v>0</v>
      </c>
      <c r="P33" s="932">
        <v>62.3</v>
      </c>
      <c r="Q33" s="934">
        <v>254.7</v>
      </c>
      <c r="R33" s="932">
        <v>0</v>
      </c>
      <c r="S33" s="932">
        <v>0</v>
      </c>
      <c r="T33" s="935">
        <v>254.7</v>
      </c>
      <c r="U33" s="936">
        <v>62.299999999999983</v>
      </c>
      <c r="V33" s="937">
        <v>32.380457380457372</v>
      </c>
      <c r="W33" s="932">
        <v>254.70000000000002</v>
      </c>
      <c r="X33" s="932">
        <v>254.70000000000002</v>
      </c>
    </row>
    <row r="34" spans="2:25" s="929" customFormat="1" ht="17.100000000000001" customHeight="1">
      <c r="B34" s="938" t="s">
        <v>48</v>
      </c>
      <c r="C34" s="931"/>
      <c r="D34" s="932">
        <v>0</v>
      </c>
      <c r="E34" s="932">
        <v>0</v>
      </c>
      <c r="F34" s="932">
        <v>0</v>
      </c>
      <c r="G34" s="932">
        <v>0</v>
      </c>
      <c r="H34" s="932">
        <v>0</v>
      </c>
      <c r="I34" s="932">
        <v>0</v>
      </c>
      <c r="J34" s="932">
        <v>0</v>
      </c>
      <c r="K34" s="932">
        <v>0</v>
      </c>
      <c r="L34" s="932">
        <v>0</v>
      </c>
      <c r="M34" s="932">
        <v>0</v>
      </c>
      <c r="N34" s="934">
        <v>0</v>
      </c>
      <c r="O34" s="932">
        <v>0</v>
      </c>
      <c r="P34" s="932">
        <v>0</v>
      </c>
      <c r="Q34" s="934">
        <v>0</v>
      </c>
      <c r="R34" s="932">
        <v>0</v>
      </c>
      <c r="S34" s="932">
        <v>0</v>
      </c>
      <c r="T34" s="935">
        <v>0</v>
      </c>
      <c r="U34" s="936">
        <v>0</v>
      </c>
      <c r="V34" s="937">
        <v>0</v>
      </c>
      <c r="W34" s="932">
        <v>0</v>
      </c>
      <c r="X34" s="932">
        <v>0</v>
      </c>
    </row>
    <row r="35" spans="2:25" s="929" customFormat="1" ht="17.100000000000001" customHeight="1">
      <c r="B35" s="938" t="s">
        <v>700</v>
      </c>
      <c r="C35" s="931"/>
      <c r="D35" s="932">
        <v>0</v>
      </c>
      <c r="E35" s="932">
        <v>0</v>
      </c>
      <c r="F35" s="932">
        <v>0</v>
      </c>
      <c r="G35" s="932">
        <v>0</v>
      </c>
      <c r="H35" s="932">
        <v>0</v>
      </c>
      <c r="I35" s="932">
        <v>0</v>
      </c>
      <c r="J35" s="932">
        <v>0</v>
      </c>
      <c r="K35" s="932">
        <v>0</v>
      </c>
      <c r="L35" s="932">
        <v>0</v>
      </c>
      <c r="M35" s="932">
        <v>0</v>
      </c>
      <c r="N35" s="934">
        <v>0</v>
      </c>
      <c r="O35" s="932">
        <v>0</v>
      </c>
      <c r="P35" s="932">
        <v>0</v>
      </c>
      <c r="Q35" s="934">
        <v>0</v>
      </c>
      <c r="R35" s="932">
        <v>0</v>
      </c>
      <c r="S35" s="932">
        <v>0</v>
      </c>
      <c r="T35" s="935">
        <v>0</v>
      </c>
      <c r="U35" s="936">
        <v>0</v>
      </c>
      <c r="V35" s="937">
        <v>0</v>
      </c>
      <c r="W35" s="932">
        <v>0</v>
      </c>
      <c r="X35" s="932">
        <v>0</v>
      </c>
    </row>
    <row r="36" spans="2:25" s="929" customFormat="1" ht="17.100000000000001" customHeight="1">
      <c r="B36" s="930" t="s">
        <v>701</v>
      </c>
      <c r="C36" s="931"/>
      <c r="D36" s="932">
        <v>8.6</v>
      </c>
      <c r="E36" s="932">
        <v>0</v>
      </c>
      <c r="F36" s="932">
        <v>9.3000000000000007</v>
      </c>
      <c r="G36" s="932">
        <v>0</v>
      </c>
      <c r="H36" s="932">
        <v>9.3000000000000007</v>
      </c>
      <c r="I36" s="932">
        <v>0</v>
      </c>
      <c r="J36" s="932">
        <v>0</v>
      </c>
      <c r="K36" s="932">
        <v>0</v>
      </c>
      <c r="L36" s="932">
        <v>0</v>
      </c>
      <c r="M36" s="932">
        <v>0</v>
      </c>
      <c r="N36" s="934">
        <v>9.3000000000000007</v>
      </c>
      <c r="O36" s="932">
        <v>0</v>
      </c>
      <c r="P36" s="932">
        <v>0</v>
      </c>
      <c r="Q36" s="934">
        <v>9.3000000000000007</v>
      </c>
      <c r="R36" s="932">
        <v>0</v>
      </c>
      <c r="S36" s="932">
        <v>0</v>
      </c>
      <c r="T36" s="935">
        <v>9.3000000000000007</v>
      </c>
      <c r="U36" s="936">
        <v>0</v>
      </c>
      <c r="V36" s="937">
        <v>0</v>
      </c>
      <c r="W36" s="932">
        <v>9.3000000000000007</v>
      </c>
      <c r="X36" s="932">
        <v>9.3000000000000007</v>
      </c>
    </row>
    <row r="37" spans="2:25" s="929" customFormat="1" ht="6.75" customHeight="1">
      <c r="B37" s="939"/>
      <c r="C37" s="931"/>
      <c r="D37" s="955"/>
      <c r="E37" s="942"/>
      <c r="F37" s="942"/>
      <c r="G37" s="942"/>
      <c r="H37" s="942"/>
      <c r="I37" s="942"/>
      <c r="J37" s="942"/>
      <c r="K37" s="942"/>
      <c r="L37" s="942"/>
      <c r="M37" s="942"/>
      <c r="N37" s="942"/>
      <c r="O37" s="942"/>
      <c r="P37" s="942"/>
      <c r="Q37" s="942"/>
      <c r="R37" s="942"/>
      <c r="S37" s="944"/>
      <c r="T37" s="945"/>
      <c r="U37" s="946"/>
      <c r="V37" s="947"/>
      <c r="W37" s="948"/>
      <c r="X37" s="948"/>
    </row>
    <row r="38" spans="2:25" s="931" customFormat="1" ht="15.75" customHeight="1">
      <c r="B38" s="939" t="s">
        <v>52</v>
      </c>
      <c r="D38" s="949">
        <v>228.7</v>
      </c>
      <c r="E38" s="949">
        <v>214.20000000000002</v>
      </c>
      <c r="F38" s="956">
        <v>189.10000000000002</v>
      </c>
      <c r="G38" s="956">
        <v>192.4</v>
      </c>
      <c r="H38" s="956">
        <v>201.70000000000002</v>
      </c>
      <c r="I38" s="956">
        <v>0</v>
      </c>
      <c r="J38" s="956">
        <v>0</v>
      </c>
      <c r="K38" s="956">
        <v>0</v>
      </c>
      <c r="L38" s="956">
        <v>0</v>
      </c>
      <c r="M38" s="956">
        <v>0</v>
      </c>
      <c r="N38" s="956">
        <v>201.70000000000002</v>
      </c>
      <c r="O38" s="956">
        <v>0</v>
      </c>
      <c r="P38" s="956">
        <v>62.3</v>
      </c>
      <c r="Q38" s="956">
        <v>264</v>
      </c>
      <c r="R38" s="956">
        <v>0</v>
      </c>
      <c r="S38" s="957">
        <v>0</v>
      </c>
      <c r="T38" s="951">
        <v>264</v>
      </c>
      <c r="U38" s="952">
        <v>62.299999999999983</v>
      </c>
      <c r="V38" s="953">
        <v>30.887456618740693</v>
      </c>
      <c r="W38" s="958">
        <v>264</v>
      </c>
      <c r="X38" s="958">
        <v>264</v>
      </c>
    </row>
    <row r="39" spans="2:25" s="929" customFormat="1" ht="21" customHeight="1">
      <c r="B39" s="920"/>
      <c r="C39" s="931"/>
      <c r="D39" s="959"/>
      <c r="E39" s="923"/>
      <c r="F39" s="923"/>
      <c r="G39" s="942"/>
      <c r="H39" s="942"/>
      <c r="I39" s="942"/>
      <c r="J39" s="942"/>
      <c r="K39" s="942"/>
      <c r="L39" s="942"/>
      <c r="M39" s="942"/>
      <c r="N39" s="942"/>
      <c r="O39" s="942"/>
      <c r="P39" s="942"/>
      <c r="Q39" s="942"/>
      <c r="R39" s="942"/>
      <c r="S39" s="944"/>
      <c r="T39" s="925"/>
      <c r="U39" s="926"/>
      <c r="V39" s="927"/>
      <c r="W39" s="928"/>
      <c r="X39" s="928"/>
    </row>
    <row r="40" spans="2:25" s="931" customFormat="1">
      <c r="B40" s="920"/>
      <c r="D40" s="959"/>
      <c r="E40" s="959"/>
      <c r="F40" s="923"/>
      <c r="G40" s="923"/>
      <c r="H40" s="923"/>
      <c r="I40" s="923"/>
      <c r="J40" s="923"/>
      <c r="K40" s="923"/>
      <c r="L40" s="923"/>
      <c r="M40" s="923"/>
      <c r="N40" s="923"/>
      <c r="O40" s="923"/>
      <c r="P40" s="923"/>
      <c r="Q40" s="923"/>
      <c r="R40" s="923"/>
      <c r="S40" s="924"/>
      <c r="T40" s="925"/>
      <c r="U40" s="926"/>
      <c r="V40" s="927"/>
      <c r="W40" s="928"/>
      <c r="X40" s="928"/>
    </row>
    <row r="41" spans="2:25" s="929" customFormat="1" ht="17.25" customHeight="1">
      <c r="B41" s="920" t="s">
        <v>734</v>
      </c>
      <c r="C41" s="931"/>
      <c r="D41" s="949">
        <v>7125.9870000000001</v>
      </c>
      <c r="E41" s="949">
        <v>7314.0012300000008</v>
      </c>
      <c r="F41" s="956">
        <v>7240.5432000000001</v>
      </c>
      <c r="G41" s="956">
        <v>6559.1897781602529</v>
      </c>
      <c r="H41" s="956">
        <v>7270.1296100000009</v>
      </c>
      <c r="I41" s="956">
        <v>10.98</v>
      </c>
      <c r="J41" s="956">
        <v>19.071999999999999</v>
      </c>
      <c r="K41" s="956">
        <v>11.899999999999999</v>
      </c>
      <c r="L41" s="956">
        <v>0</v>
      </c>
      <c r="M41" s="956">
        <v>69.47</v>
      </c>
      <c r="N41" s="956">
        <v>7381.5516100000004</v>
      </c>
      <c r="O41" s="956">
        <v>32.899999999999991</v>
      </c>
      <c r="P41" s="956">
        <v>-53.599999999999994</v>
      </c>
      <c r="Q41" s="956">
        <v>7360.8516099999997</v>
      </c>
      <c r="R41" s="956">
        <v>-673.54169367000009</v>
      </c>
      <c r="S41" s="957">
        <v>0</v>
      </c>
      <c r="T41" s="951">
        <v>6687.3099163299994</v>
      </c>
      <c r="U41" s="960">
        <v>-582.81969367000022</v>
      </c>
      <c r="V41" s="961">
        <v>-8.0166341583283014</v>
      </c>
      <c r="W41" s="958">
        <v>6686.6099163300005</v>
      </c>
      <c r="X41" s="958">
        <v>6711.8539163299993</v>
      </c>
    </row>
    <row r="42" spans="2:25" s="929" customFormat="1">
      <c r="B42" s="962"/>
      <c r="C42" s="921"/>
      <c r="D42" s="922"/>
      <c r="E42" s="963"/>
      <c r="F42" s="964"/>
      <c r="G42" s="965"/>
      <c r="H42" s="965"/>
      <c r="I42" s="965"/>
      <c r="J42" s="965"/>
      <c r="K42" s="965"/>
      <c r="L42" s="965"/>
      <c r="M42" s="965"/>
      <c r="N42" s="965"/>
      <c r="O42" s="965"/>
      <c r="P42" s="965"/>
      <c r="Q42" s="965"/>
      <c r="R42" s="965"/>
      <c r="S42" s="965"/>
      <c r="T42" s="966"/>
      <c r="U42" s="964"/>
      <c r="V42" s="967"/>
      <c r="W42" s="928"/>
      <c r="X42" s="928"/>
      <c r="Y42" s="968"/>
    </row>
    <row r="43" spans="2:25" s="929" customFormat="1">
      <c r="B43" s="969"/>
      <c r="C43" s="970"/>
      <c r="D43" s="971"/>
      <c r="E43" s="942"/>
      <c r="F43" s="942"/>
      <c r="G43" s="942"/>
      <c r="H43" s="942"/>
      <c r="I43" s="942"/>
      <c r="J43" s="942"/>
      <c r="K43" s="942"/>
      <c r="L43" s="942"/>
      <c r="M43" s="942"/>
      <c r="N43" s="942"/>
      <c r="O43" s="942"/>
      <c r="P43" s="942"/>
      <c r="Q43" s="942"/>
      <c r="R43" s="942"/>
      <c r="S43" s="944"/>
      <c r="T43" s="945"/>
      <c r="U43" s="946"/>
      <c r="V43" s="947"/>
      <c r="W43" s="948"/>
      <c r="X43" s="948"/>
    </row>
    <row r="44" spans="2:25" s="929" customFormat="1" ht="17.25" customHeight="1">
      <c r="B44" s="920" t="s">
        <v>54</v>
      </c>
      <c r="C44" s="931"/>
      <c r="D44" s="959"/>
      <c r="E44" s="923"/>
      <c r="F44" s="923"/>
      <c r="G44" s="923"/>
      <c r="H44" s="923"/>
      <c r="I44" s="923"/>
      <c r="J44" s="923"/>
      <c r="K44" s="923"/>
      <c r="L44" s="923"/>
      <c r="M44" s="923"/>
      <c r="N44" s="923"/>
      <c r="O44" s="923"/>
      <c r="P44" s="923"/>
      <c r="Q44" s="923"/>
      <c r="R44" s="923"/>
      <c r="S44" s="924"/>
      <c r="T44" s="925"/>
      <c r="U44" s="926"/>
      <c r="V44" s="927"/>
      <c r="W44" s="928"/>
      <c r="X44" s="928"/>
    </row>
    <row r="45" spans="2:25" s="929" customFormat="1" ht="17.100000000000001" customHeight="1">
      <c r="B45" s="938"/>
      <c r="C45" s="972" t="s">
        <v>735</v>
      </c>
      <c r="D45" s="932">
        <v>0</v>
      </c>
      <c r="E45" s="932">
        <v>87.199999999999989</v>
      </c>
      <c r="F45" s="932">
        <v>87.199999999999989</v>
      </c>
      <c r="G45" s="932">
        <v>87.199999999999989</v>
      </c>
      <c r="H45" s="932">
        <v>87.199999999999989</v>
      </c>
      <c r="I45" s="932">
        <v>0</v>
      </c>
      <c r="J45" s="932">
        <v>0</v>
      </c>
      <c r="K45" s="932">
        <v>0</v>
      </c>
      <c r="L45" s="932">
        <v>0</v>
      </c>
      <c r="M45" s="932">
        <v>0</v>
      </c>
      <c r="N45" s="934">
        <v>87.199999999999989</v>
      </c>
      <c r="O45" s="932">
        <v>0</v>
      </c>
      <c r="P45" s="932">
        <v>0</v>
      </c>
      <c r="Q45" s="934">
        <v>87.199999999999989</v>
      </c>
      <c r="R45" s="932">
        <v>-10.702500000000001</v>
      </c>
      <c r="S45" s="932">
        <v>0</v>
      </c>
      <c r="T45" s="973">
        <v>76.497499999999988</v>
      </c>
      <c r="U45" s="974">
        <v>-10.702500000000001</v>
      </c>
      <c r="V45" s="937">
        <v>-12.273509174311929</v>
      </c>
      <c r="W45" s="932">
        <v>87.199999999999989</v>
      </c>
      <c r="X45" s="932">
        <v>87.199999999999989</v>
      </c>
    </row>
    <row r="46" spans="2:25" s="929" customFormat="1" ht="17.100000000000001" customHeight="1">
      <c r="B46" s="975"/>
      <c r="C46" s="976" t="s">
        <v>736</v>
      </c>
      <c r="D46" s="977">
        <v>0</v>
      </c>
      <c r="E46" s="977">
        <v>4.8</v>
      </c>
      <c r="F46" s="977">
        <v>4</v>
      </c>
      <c r="G46" s="977">
        <v>4</v>
      </c>
      <c r="H46" s="977">
        <v>4</v>
      </c>
      <c r="I46" s="977">
        <v>0</v>
      </c>
      <c r="J46" s="977">
        <v>0</v>
      </c>
      <c r="K46" s="977">
        <v>0</v>
      </c>
      <c r="L46" s="977">
        <v>0</v>
      </c>
      <c r="M46" s="977">
        <v>0</v>
      </c>
      <c r="N46" s="956">
        <v>4</v>
      </c>
      <c r="O46" s="977">
        <v>0</v>
      </c>
      <c r="P46" s="977">
        <v>0</v>
      </c>
      <c r="Q46" s="956">
        <v>4</v>
      </c>
      <c r="R46" s="977">
        <v>0</v>
      </c>
      <c r="S46" s="977">
        <v>0</v>
      </c>
      <c r="T46" s="978">
        <v>4</v>
      </c>
      <c r="U46" s="979">
        <v>0</v>
      </c>
      <c r="V46" s="980">
        <v>0</v>
      </c>
      <c r="W46" s="977">
        <v>4</v>
      </c>
      <c r="X46" s="977">
        <v>4</v>
      </c>
    </row>
    <row r="47" spans="2:25" s="929" customFormat="1" ht="12" customHeight="1">
      <c r="B47" s="920"/>
      <c r="C47" s="931"/>
      <c r="D47" s="931"/>
      <c r="E47" s="981"/>
      <c r="F47" s="981"/>
      <c r="G47" s="965"/>
      <c r="H47" s="965"/>
      <c r="I47" s="965"/>
      <c r="J47" s="965"/>
      <c r="K47" s="965"/>
      <c r="L47" s="965"/>
      <c r="M47" s="965"/>
      <c r="N47" s="965"/>
      <c r="O47" s="965"/>
      <c r="P47" s="965"/>
      <c r="Q47" s="965"/>
      <c r="R47" s="965"/>
      <c r="S47" s="965"/>
      <c r="T47" s="981"/>
      <c r="U47" s="981"/>
      <c r="V47" s="982"/>
      <c r="W47" s="964"/>
      <c r="X47" s="928"/>
    </row>
    <row r="48" spans="2:25" s="929" customFormat="1" ht="17.100000000000001" customHeight="1">
      <c r="B48" s="969" t="s">
        <v>737</v>
      </c>
      <c r="C48" s="983"/>
      <c r="D48" s="983"/>
      <c r="E48" s="984"/>
      <c r="F48" s="984"/>
      <c r="G48" s="984"/>
      <c r="H48" s="984"/>
      <c r="I48" s="984"/>
      <c r="J48" s="984"/>
      <c r="K48" s="984"/>
      <c r="L48" s="984"/>
      <c r="M48" s="984"/>
      <c r="N48" s="984"/>
      <c r="O48" s="984"/>
      <c r="P48" s="984"/>
      <c r="Q48" s="984"/>
      <c r="R48" s="984"/>
      <c r="S48" s="984"/>
      <c r="T48" s="984"/>
      <c r="U48" s="984"/>
      <c r="V48" s="985"/>
      <c r="W48" s="984"/>
      <c r="X48" s="948"/>
    </row>
    <row r="49" spans="2:29" s="929" customFormat="1" ht="17.100000000000001" customHeight="1">
      <c r="B49" s="986" t="s">
        <v>738</v>
      </c>
      <c r="C49" s="931"/>
      <c r="D49" s="931"/>
      <c r="E49" s="987"/>
      <c r="F49" s="987"/>
      <c r="G49" s="987"/>
      <c r="H49" s="987"/>
      <c r="I49" s="987"/>
      <c r="J49" s="987"/>
      <c r="K49" s="987"/>
      <c r="L49" s="987"/>
      <c r="M49" s="987"/>
      <c r="N49" s="965"/>
      <c r="O49" s="987"/>
      <c r="P49" s="987"/>
      <c r="Q49" s="965"/>
      <c r="R49" s="987"/>
      <c r="S49" s="987"/>
      <c r="T49" s="965"/>
      <c r="U49" s="965"/>
      <c r="V49" s="988"/>
      <c r="W49" s="987"/>
      <c r="X49" s="989"/>
    </row>
    <row r="50" spans="2:29" s="929" customFormat="1" ht="17.100000000000001" customHeight="1">
      <c r="B50" s="990" t="s">
        <v>739</v>
      </c>
      <c r="C50" s="991"/>
      <c r="D50" s="991"/>
      <c r="E50" s="992"/>
      <c r="F50" s="992"/>
      <c r="G50" s="992"/>
      <c r="H50" s="992"/>
      <c r="I50" s="992"/>
      <c r="J50" s="992"/>
      <c r="K50" s="992"/>
      <c r="L50" s="992"/>
      <c r="M50" s="992"/>
      <c r="N50" s="992"/>
      <c r="O50" s="992"/>
      <c r="P50" s="992"/>
      <c r="Q50" s="992"/>
      <c r="R50" s="992"/>
      <c r="S50" s="992"/>
      <c r="T50" s="992"/>
      <c r="U50" s="992"/>
      <c r="V50" s="993"/>
      <c r="W50" s="992"/>
      <c r="X50" s="994"/>
    </row>
    <row r="51" spans="2:29" s="929" customFormat="1" ht="17.100000000000001" customHeight="1">
      <c r="B51" s="995"/>
      <c r="C51" s="931"/>
      <c r="D51" s="931"/>
      <c r="E51" s="996"/>
      <c r="F51" s="996"/>
      <c r="G51" s="996"/>
      <c r="H51" s="996"/>
      <c r="I51" s="996"/>
      <c r="J51" s="996"/>
      <c r="K51" s="996"/>
      <c r="L51" s="996"/>
      <c r="M51" s="996"/>
      <c r="N51" s="996"/>
      <c r="O51" s="996"/>
      <c r="P51" s="996"/>
      <c r="Q51" s="996"/>
      <c r="R51" s="996"/>
      <c r="S51" s="996"/>
      <c r="T51" s="996"/>
      <c r="U51" s="996"/>
      <c r="V51" s="997"/>
      <c r="W51" s="996"/>
      <c r="X51" s="996"/>
    </row>
    <row r="52" spans="2:29" s="929" customFormat="1" ht="17.100000000000001" customHeight="1">
      <c r="B52" s="995"/>
      <c r="C52" s="931"/>
      <c r="D52" s="931"/>
      <c r="E52" s="996"/>
      <c r="F52" s="996"/>
      <c r="G52" s="996"/>
      <c r="H52" s="996"/>
      <c r="I52" s="996"/>
      <c r="J52" s="996"/>
      <c r="K52" s="996"/>
      <c r="L52" s="996"/>
      <c r="M52" s="996"/>
      <c r="N52" s="996"/>
      <c r="O52" s="996"/>
      <c r="P52" s="996"/>
      <c r="Q52" s="996"/>
      <c r="R52" s="996"/>
      <c r="S52" s="996"/>
      <c r="T52" s="996"/>
      <c r="U52" s="996"/>
      <c r="V52" s="997"/>
      <c r="W52" s="996"/>
      <c r="X52" s="996"/>
    </row>
    <row r="53" spans="2:29" s="929" customFormat="1" ht="17.100000000000001" customHeight="1">
      <c r="B53" s="995"/>
      <c r="C53" s="931"/>
      <c r="D53" s="931"/>
      <c r="E53" s="996"/>
      <c r="F53" s="996"/>
      <c r="G53" s="996"/>
      <c r="H53" s="996"/>
      <c r="I53" s="996"/>
      <c r="J53" s="996"/>
      <c r="K53" s="996"/>
      <c r="L53" s="996"/>
      <c r="M53" s="996"/>
      <c r="N53" s="996"/>
      <c r="O53" s="996"/>
      <c r="P53" s="996"/>
      <c r="Q53" s="996"/>
      <c r="R53" s="996"/>
      <c r="S53" s="996"/>
      <c r="T53" s="996"/>
      <c r="U53" s="996"/>
      <c r="V53" s="997"/>
      <c r="W53" s="996"/>
      <c r="X53" s="996"/>
    </row>
    <row r="54" spans="2:29" s="929" customFormat="1" ht="17.100000000000001" customHeight="1">
      <c r="B54" s="995"/>
      <c r="C54" s="931"/>
      <c r="D54" s="931"/>
      <c r="E54" s="996"/>
      <c r="F54" s="996"/>
      <c r="G54" s="996"/>
      <c r="H54" s="996"/>
      <c r="I54" s="996"/>
      <c r="J54" s="996"/>
      <c r="K54" s="996"/>
      <c r="L54" s="996"/>
      <c r="M54" s="996"/>
      <c r="N54" s="996"/>
      <c r="O54" s="996"/>
      <c r="P54" s="996"/>
      <c r="Q54" s="996"/>
      <c r="R54" s="996"/>
      <c r="S54" s="996"/>
      <c r="T54" s="996"/>
      <c r="U54" s="996"/>
      <c r="V54" s="997"/>
      <c r="W54" s="996"/>
      <c r="X54" s="996"/>
    </row>
    <row r="55" spans="2:29" s="929" customFormat="1" ht="17.100000000000001" customHeight="1">
      <c r="B55" s="995"/>
      <c r="C55" s="931"/>
      <c r="D55" s="931"/>
      <c r="E55" s="996"/>
      <c r="F55" s="996"/>
      <c r="G55" s="996"/>
      <c r="H55" s="996"/>
      <c r="I55" s="996"/>
      <c r="J55" s="996"/>
      <c r="K55" s="996"/>
      <c r="L55" s="996"/>
      <c r="M55" s="996"/>
      <c r="N55" s="996"/>
      <c r="O55" s="996"/>
      <c r="P55" s="996"/>
      <c r="Q55" s="996"/>
      <c r="R55" s="996"/>
      <c r="S55" s="996"/>
      <c r="T55" s="996"/>
      <c r="U55" s="996"/>
      <c r="V55" s="997"/>
      <c r="W55" s="996"/>
      <c r="X55" s="996"/>
    </row>
    <row r="56" spans="2:29" s="929" customFormat="1" ht="17.100000000000001" customHeight="1">
      <c r="B56" s="995"/>
      <c r="C56" s="931"/>
      <c r="D56" s="931"/>
      <c r="E56" s="996"/>
      <c r="F56" s="996"/>
      <c r="G56" s="996"/>
      <c r="H56" s="996"/>
      <c r="I56" s="996"/>
      <c r="J56" s="996"/>
      <c r="K56" s="996"/>
      <c r="L56" s="996"/>
      <c r="M56" s="996"/>
      <c r="N56" s="996"/>
      <c r="O56" s="996"/>
      <c r="P56" s="996"/>
      <c r="Q56" s="996"/>
      <c r="R56" s="996"/>
      <c r="S56" s="996"/>
      <c r="T56" s="996"/>
      <c r="U56" s="996"/>
      <c r="V56" s="997"/>
      <c r="W56" s="996"/>
      <c r="X56" s="996"/>
    </row>
    <row r="57" spans="2:29" s="929" customFormat="1" ht="17.100000000000001" customHeight="1">
      <c r="B57" s="995"/>
      <c r="C57" s="931"/>
      <c r="D57" s="931"/>
      <c r="E57" s="996"/>
      <c r="F57" s="996"/>
      <c r="G57" s="996"/>
      <c r="H57" s="996"/>
      <c r="I57" s="996"/>
      <c r="J57" s="996"/>
      <c r="K57" s="996"/>
      <c r="L57" s="996"/>
      <c r="M57" s="996"/>
      <c r="N57" s="996"/>
      <c r="O57" s="996"/>
      <c r="P57" s="996"/>
      <c r="Q57" s="996"/>
      <c r="R57" s="996"/>
      <c r="S57" s="996"/>
      <c r="T57" s="996"/>
      <c r="U57" s="996"/>
      <c r="V57" s="997"/>
      <c r="W57" s="996"/>
      <c r="X57" s="996"/>
    </row>
    <row r="58" spans="2:29" s="929" customFormat="1" ht="17.100000000000001" customHeight="1">
      <c r="B58" s="995"/>
      <c r="C58" s="931"/>
      <c r="D58" s="931"/>
      <c r="E58" s="996"/>
      <c r="F58" s="996"/>
      <c r="G58" s="996"/>
      <c r="H58" s="996"/>
      <c r="I58" s="996"/>
      <c r="J58" s="996"/>
      <c r="K58" s="996"/>
      <c r="L58" s="996"/>
      <c r="M58" s="996"/>
      <c r="N58" s="996"/>
      <c r="O58" s="996"/>
      <c r="P58" s="996"/>
      <c r="Q58" s="996"/>
      <c r="R58" s="996"/>
      <c r="S58" s="996"/>
      <c r="T58" s="996"/>
      <c r="U58" s="996"/>
      <c r="V58" s="997"/>
      <c r="W58" s="996"/>
      <c r="X58" s="996"/>
    </row>
    <row r="59" spans="2:29" s="929" customFormat="1" ht="17.100000000000001" customHeight="1">
      <c r="B59" s="995"/>
      <c r="C59" s="931"/>
      <c r="D59" s="931"/>
      <c r="E59" s="996"/>
      <c r="F59" s="996"/>
      <c r="G59" s="996"/>
      <c r="H59" s="996"/>
      <c r="I59" s="996"/>
      <c r="J59" s="996"/>
      <c r="K59" s="996"/>
      <c r="L59" s="996"/>
      <c r="M59" s="996"/>
      <c r="N59" s="996"/>
      <c r="O59" s="996"/>
      <c r="P59" s="996"/>
      <c r="Q59" s="996"/>
      <c r="R59" s="996"/>
      <c r="S59" s="996"/>
      <c r="T59" s="996"/>
      <c r="U59" s="996"/>
      <c r="V59" s="997"/>
      <c r="W59" s="996"/>
      <c r="X59" s="996"/>
    </row>
    <row r="60" spans="2:29" s="929" customFormat="1" ht="17.100000000000001" customHeight="1">
      <c r="B60" s="995"/>
      <c r="C60" s="931"/>
      <c r="D60" s="931"/>
      <c r="E60" s="996"/>
      <c r="F60" s="996"/>
      <c r="G60" s="996"/>
      <c r="H60" s="996"/>
      <c r="I60" s="996"/>
      <c r="J60" s="996"/>
      <c r="K60" s="996"/>
      <c r="L60" s="996"/>
      <c r="M60" s="996"/>
      <c r="N60" s="996"/>
      <c r="O60" s="996"/>
      <c r="P60" s="996"/>
      <c r="Q60" s="996"/>
      <c r="R60" s="996"/>
      <c r="S60" s="996"/>
      <c r="T60" s="996"/>
      <c r="U60" s="996"/>
      <c r="V60" s="997"/>
      <c r="W60" s="996"/>
      <c r="X60" s="996"/>
    </row>
    <row r="62" spans="2:29">
      <c r="C62" s="998" t="s">
        <v>740</v>
      </c>
      <c r="D62" s="998"/>
    </row>
    <row r="63" spans="2:29">
      <c r="B63" s="1000"/>
      <c r="C63" s="1000" t="s">
        <v>741</v>
      </c>
      <c r="D63" s="1000" t="e">
        <f>#REF!+#REF!+#REF!+#REF!+#REF!+#REF!+#REF!+#REF!+#REF!+#REF!+#REF!</f>
        <v>#REF!</v>
      </c>
      <c r="E63" s="1000" t="e">
        <f>#REF!+#REF!+#REF!+#REF!+#REF!+#REF!+#REF!+#REF!+#REF!+#REF!+#REF!</f>
        <v>#REF!</v>
      </c>
      <c r="F63" s="1000" t="e">
        <f>#REF!+#REF!+#REF!+#REF!+#REF!+#REF!+#REF!+#REF!+#REF!+#REF!+#REF!</f>
        <v>#REF!</v>
      </c>
      <c r="G63" s="1000" t="e">
        <f>#REF!+#REF!+#REF!+#REF!+#REF!+#REF!+#REF!+#REF!+#REF!+#REF!+#REF!</f>
        <v>#REF!</v>
      </c>
      <c r="H63" s="1001" t="e">
        <f>#REF!+#REF!+#REF!+#REF!+#REF!+#REF!+#REF!+#REF!+#REF!+#REF!+#REF!</f>
        <v>#REF!</v>
      </c>
      <c r="I63" s="1000" t="e">
        <f>#REF!+#REF!+#REF!+#REF!+#REF!+#REF!+#REF!+#REF!+#REF!+#REF!+#REF!</f>
        <v>#REF!</v>
      </c>
      <c r="J63" s="1000" t="e">
        <f>#REF!+#REF!+#REF!+#REF!+#REF!+#REF!+#REF!+#REF!+#REF!+#REF!+#REF!</f>
        <v>#REF!</v>
      </c>
      <c r="K63" s="1000"/>
      <c r="L63" s="1000" t="e">
        <f>#REF!+#REF!+#REF!+#REF!+#REF!+#REF!+#REF!+#REF!+#REF!+#REF!+#REF!</f>
        <v>#REF!</v>
      </c>
      <c r="M63" s="1000" t="e">
        <f>#REF!+#REF!+#REF!+#REF!+#REF!+#REF!+#REF!+#REF!+#REF!+#REF!+#REF!</f>
        <v>#REF!</v>
      </c>
      <c r="N63" s="1000" t="e">
        <f>#REF!+#REF!+#REF!+#REF!+#REF!+#REF!+#REF!+#REF!+#REF!+#REF!+#REF!</f>
        <v>#REF!</v>
      </c>
      <c r="O63" s="1000" t="e">
        <f>#REF!+#REF!+#REF!+#REF!+#REF!+#REF!+#REF!+#REF!+#REF!+#REF!+#REF!</f>
        <v>#REF!</v>
      </c>
      <c r="P63" s="1000" t="e">
        <f>#REF!+#REF!+#REF!+#REF!+#REF!+#REF!+#REF!+#REF!+#REF!+#REF!+#REF!</f>
        <v>#REF!</v>
      </c>
      <c r="Q63" s="1000" t="e">
        <f>#REF!+#REF!+#REF!+#REF!+#REF!+#REF!+#REF!+#REF!+#REF!+#REF!+#REF!</f>
        <v>#REF!</v>
      </c>
      <c r="R63" s="1000" t="e">
        <f>#REF!+#REF!+#REF!+#REF!+#REF!+#REF!+#REF!+#REF!+#REF!+#REF!+#REF!</f>
        <v>#REF!</v>
      </c>
      <c r="S63" s="1000" t="e">
        <f>#REF!+#REF!+#REF!+#REF!+#REF!+#REF!+#REF!+#REF!+#REF!+#REF!+#REF!</f>
        <v>#REF!</v>
      </c>
      <c r="T63" s="1000" t="e">
        <f>#REF!+#REF!+#REF!+#REF!+#REF!+#REF!+#REF!+#REF!+#REF!+#REF!+#REF!</f>
        <v>#REF!</v>
      </c>
      <c r="U63" s="1000" t="e">
        <f>#REF!+#REF!+#REF!+#REF!+#REF!+#REF!+#REF!+#REF!+#REF!+#REF!+#REF!</f>
        <v>#REF!</v>
      </c>
      <c r="V63" s="937" t="e">
        <f>IF(H63=0,0,U63/H63*100)</f>
        <v>#REF!</v>
      </c>
      <c r="W63" s="1000" t="e">
        <f>#REF!+#REF!+#REF!+#REF!+#REF!+#REF!+#REF!+#REF!+#REF!+#REF!+#REF!</f>
        <v>#REF!</v>
      </c>
      <c r="X63" s="1000" t="e">
        <f>#REF!+#REF!+#REF!+#REF!+#REF!+#REF!+#REF!+#REF!+#REF!+#REF!+#REF!</f>
        <v>#REF!</v>
      </c>
      <c r="Y63" s="1000" t="e">
        <f>#REF!+#REF!+#REF!+#REF!+#REF!+#REF!+#REF!+#REF!+#REF!+#REF!+#REF!</f>
        <v>#REF!</v>
      </c>
      <c r="Z63" s="1000"/>
      <c r="AA63" s="1000"/>
      <c r="AB63" s="1000"/>
      <c r="AC63" s="1000"/>
    </row>
    <row r="64" spans="2:29">
      <c r="B64" s="1000"/>
      <c r="C64" s="1000" t="s">
        <v>742</v>
      </c>
      <c r="D64" s="1000" t="e">
        <f>#REF!+#REF!+#REF!+#REF!+#REF!+#REF!+#REF!+#REF!+#REF!+#REF!+#REF!</f>
        <v>#REF!</v>
      </c>
      <c r="E64" s="1000" t="e">
        <f>#REF!+#REF!+#REF!+#REF!+#REF!+#REF!+#REF!+#REF!+#REF!+#REF!+#REF!</f>
        <v>#REF!</v>
      </c>
      <c r="F64" s="1000" t="e">
        <f>#REF!+#REF!+#REF!+#REF!+#REF!+#REF!+#REF!+#REF!+#REF!+#REF!+#REF!</f>
        <v>#REF!</v>
      </c>
      <c r="G64" s="1000" t="e">
        <f>#REF!+#REF!+#REF!+#REF!+#REF!+#REF!+#REF!+#REF!+#REF!+#REF!+#REF!</f>
        <v>#REF!</v>
      </c>
      <c r="H64" s="1000" t="e">
        <f>#REF!+#REF!+#REF!+#REF!+#REF!+#REF!+#REF!+#REF!+#REF!+#REF!+#REF!</f>
        <v>#REF!</v>
      </c>
      <c r="I64" s="1000" t="e">
        <f>#REF!+#REF!+#REF!+#REF!+#REF!+#REF!+#REF!+#REF!+#REF!+#REF!+#REF!</f>
        <v>#REF!</v>
      </c>
      <c r="J64" s="1000" t="e">
        <f>#REF!+#REF!+#REF!+#REF!+#REF!+#REF!+#REF!+#REF!+#REF!+#REF!+#REF!</f>
        <v>#REF!</v>
      </c>
      <c r="K64" s="1000"/>
      <c r="L64" s="1000" t="e">
        <f>#REF!+#REF!+#REF!+#REF!+#REF!+#REF!+#REF!+#REF!+#REF!+#REF!+#REF!</f>
        <v>#REF!</v>
      </c>
      <c r="M64" s="1000" t="e">
        <f>#REF!+#REF!+#REF!+#REF!+#REF!+#REF!+#REF!+#REF!+#REF!+#REF!+#REF!</f>
        <v>#REF!</v>
      </c>
      <c r="N64" s="1000" t="e">
        <f>#REF!+#REF!+#REF!+#REF!+#REF!+#REF!+#REF!+#REF!+#REF!+#REF!+#REF!</f>
        <v>#REF!</v>
      </c>
      <c r="O64" s="1000" t="e">
        <f>#REF!+#REF!+#REF!+#REF!+#REF!+#REF!+#REF!+#REF!+#REF!+#REF!+#REF!</f>
        <v>#REF!</v>
      </c>
      <c r="P64" s="1000" t="e">
        <f>#REF!+#REF!+#REF!+#REF!+#REF!+#REF!+#REF!+#REF!+#REF!+#REF!+#REF!</f>
        <v>#REF!</v>
      </c>
      <c r="Q64" s="1000" t="e">
        <f>#REF!+#REF!+#REF!+#REF!+#REF!+#REF!+#REF!+#REF!+#REF!+#REF!+#REF!</f>
        <v>#REF!</v>
      </c>
      <c r="R64" s="1000" t="e">
        <f>#REF!+#REF!+#REF!+#REF!+#REF!+#REF!+#REF!+#REF!+#REF!+#REF!+#REF!</f>
        <v>#REF!</v>
      </c>
      <c r="S64" s="1000" t="e">
        <f>#REF!+#REF!+#REF!+#REF!+#REF!+#REF!+#REF!+#REF!+#REF!+#REF!+#REF!</f>
        <v>#REF!</v>
      </c>
      <c r="T64" s="1000" t="e">
        <f>#REF!+#REF!+#REF!+#REF!+#REF!+#REF!+#REF!+#REF!+#REF!+#REF!+#REF!</f>
        <v>#REF!</v>
      </c>
      <c r="U64" s="1000" t="e">
        <f>#REF!+#REF!+#REF!+#REF!+#REF!+#REF!+#REF!+#REF!+#REF!+#REF!+#REF!</f>
        <v>#REF!</v>
      </c>
      <c r="V64" s="937" t="e">
        <f>IF(H64=0,0,U64/H64*100)</f>
        <v>#REF!</v>
      </c>
      <c r="W64" s="1000" t="e">
        <f>#REF!+#REF!+#REF!+#REF!+#REF!+#REF!+#REF!+#REF!+#REF!+#REF!+#REF!</f>
        <v>#REF!</v>
      </c>
      <c r="X64" s="1000" t="e">
        <f>#REF!+#REF!+#REF!+#REF!+#REF!+#REF!+#REF!+#REF!+#REF!+#REF!+#REF!</f>
        <v>#REF!</v>
      </c>
      <c r="Y64" s="1000"/>
      <c r="Z64" s="1000"/>
      <c r="AA64" s="1000"/>
      <c r="AB64" s="1000"/>
      <c r="AC64" s="1000"/>
    </row>
    <row r="66" spans="1:29">
      <c r="B66" s="1002"/>
      <c r="C66" s="1002" t="s">
        <v>743</v>
      </c>
      <c r="D66" s="1002" t="e">
        <f>#REF!+#REF!+#REF!+#REF!+#REF!+#REF!+#REF!+#REF!+#REF!+#REF!+#REF!</f>
        <v>#REF!</v>
      </c>
      <c r="E66" s="1002" t="e">
        <f>#REF!+#REF!+#REF!+#REF!+#REF!+#REF!+#REF!+#REF!+#REF!+#REF!+#REF!</f>
        <v>#REF!</v>
      </c>
      <c r="F66" s="1002" t="e">
        <f>#REF!+#REF!+#REF!+#REF!+#REF!+#REF!+#REF!+#REF!+#REF!+#REF!+#REF!</f>
        <v>#REF!</v>
      </c>
      <c r="G66" s="1002" t="e">
        <f>#REF!+#REF!+#REF!+#REF!+#REF!+#REF!+#REF!+#REF!+#REF!+#REF!+#REF!</f>
        <v>#REF!</v>
      </c>
      <c r="H66" s="1002" t="e">
        <f>#REF!+#REF!+#REF!+#REF!+#REF!+#REF!+#REF!+#REF!+#REF!+#REF!+#REF!</f>
        <v>#REF!</v>
      </c>
      <c r="I66" s="1002" t="e">
        <f>#REF!+#REF!+#REF!+#REF!+#REF!+#REF!+#REF!+#REF!+#REF!+#REF!+#REF!</f>
        <v>#REF!</v>
      </c>
      <c r="J66" s="1002" t="e">
        <f>#REF!+#REF!+#REF!+#REF!+#REF!+#REF!+#REF!+#REF!+#REF!+#REF!+#REF!</f>
        <v>#REF!</v>
      </c>
      <c r="K66" s="1002"/>
      <c r="L66" s="1002" t="e">
        <f>#REF!+#REF!+#REF!+#REF!+#REF!+#REF!+#REF!+#REF!+#REF!+#REF!+#REF!</f>
        <v>#REF!</v>
      </c>
      <c r="M66" s="1002" t="e">
        <f>#REF!+#REF!+#REF!+#REF!+#REF!+#REF!+#REF!+#REF!+#REF!+#REF!+#REF!</f>
        <v>#REF!</v>
      </c>
      <c r="N66" s="1002" t="e">
        <f>#REF!+#REF!+#REF!+#REF!+#REF!+#REF!+#REF!+#REF!+#REF!+#REF!+#REF!</f>
        <v>#REF!</v>
      </c>
      <c r="O66" s="1002" t="e">
        <f>#REF!+#REF!+#REF!+#REF!+#REF!+#REF!+#REF!+#REF!+#REF!+#REF!+#REF!</f>
        <v>#REF!</v>
      </c>
      <c r="P66" s="1002" t="e">
        <f>#REF!+#REF!+#REF!+#REF!+#REF!+#REF!+#REF!+#REF!+#REF!+#REF!+#REF!</f>
        <v>#REF!</v>
      </c>
      <c r="Q66" s="1002" t="e">
        <f>#REF!+#REF!+#REF!+#REF!+#REF!+#REF!+#REF!+#REF!+#REF!+#REF!+#REF!</f>
        <v>#REF!</v>
      </c>
      <c r="R66" s="1002" t="e">
        <f>#REF!+#REF!+#REF!+#REF!+#REF!+#REF!+#REF!+#REF!+#REF!+#REF!+#REF!</f>
        <v>#REF!</v>
      </c>
      <c r="S66" s="1002" t="e">
        <f>#REF!+#REF!+#REF!+#REF!+#REF!+#REF!+#REF!+#REF!+#REF!+#REF!+#REF!</f>
        <v>#REF!</v>
      </c>
      <c r="T66" s="1002" t="e">
        <f>#REF!+#REF!+#REF!+#REF!+#REF!+#REF!+#REF!+#REF!+#REF!+#REF!+#REF!</f>
        <v>#REF!</v>
      </c>
      <c r="U66" s="1002" t="e">
        <f>#REF!+#REF!+#REF!+#REF!+#REF!+#REF!+#REF!+#REF!+#REF!+#REF!+#REF!</f>
        <v>#REF!</v>
      </c>
      <c r="V66" s="937" t="e">
        <f>IF(H66=0,0,U66/H66*100)</f>
        <v>#REF!</v>
      </c>
      <c r="W66" s="1002" t="e">
        <f>#REF!+#REF!+#REF!+#REF!+#REF!+#REF!+#REF!+#REF!+#REF!+#REF!+#REF!</f>
        <v>#REF!</v>
      </c>
      <c r="X66" s="1002" t="e">
        <f>#REF!+#REF!+#REF!+#REF!+#REF!+#REF!+#REF!+#REF!+#REF!+#REF!+#REF!</f>
        <v>#REF!</v>
      </c>
      <c r="Y66" s="1002"/>
    </row>
    <row r="67" spans="1:29">
      <c r="B67" s="1002"/>
      <c r="C67" s="1002"/>
      <c r="D67" s="1002"/>
      <c r="E67" s="1002"/>
      <c r="F67" s="1002"/>
      <c r="G67" s="1002"/>
      <c r="H67" s="1002"/>
      <c r="I67" s="1002"/>
      <c r="J67" s="1002"/>
      <c r="K67" s="1002"/>
      <c r="L67" s="1002"/>
      <c r="M67" s="1002"/>
      <c r="N67" s="1002"/>
      <c r="O67" s="1002"/>
      <c r="P67" s="1002"/>
      <c r="Q67" s="1002"/>
      <c r="R67" s="1002"/>
      <c r="S67" s="1002"/>
      <c r="T67" s="1002"/>
      <c r="U67" s="1002"/>
      <c r="V67" s="1003"/>
      <c r="W67" s="1003"/>
      <c r="X67" s="1002"/>
      <c r="Y67" s="1002"/>
    </row>
    <row r="68" spans="1:29">
      <c r="B68" s="1002"/>
      <c r="C68" s="1002"/>
      <c r="D68" s="1002"/>
      <c r="E68" s="1002"/>
      <c r="F68" s="1002"/>
      <c r="G68" s="1002"/>
      <c r="H68" s="1002"/>
      <c r="I68" s="1002"/>
      <c r="J68" s="1002"/>
      <c r="K68" s="1002"/>
      <c r="L68" s="1002"/>
      <c r="M68" s="1002"/>
      <c r="N68" s="1002"/>
      <c r="O68" s="1002"/>
      <c r="P68" s="1002"/>
      <c r="Q68" s="1002"/>
      <c r="R68" s="1002"/>
      <c r="S68" s="1002"/>
      <c r="T68" s="1002"/>
      <c r="U68" s="1002"/>
      <c r="V68" s="1003"/>
      <c r="W68" s="1003"/>
      <c r="X68" s="1002"/>
      <c r="Y68" s="1002"/>
    </row>
    <row r="69" spans="1:29">
      <c r="B69" s="1002"/>
      <c r="C69" s="1002" t="s">
        <v>744</v>
      </c>
      <c r="D69" s="1002" t="e">
        <f>#REF!+#REF!+#REF!+#REF!+#REF!+#REF!+#REF!+#REF!+#REF!+#REF!+#REF!</f>
        <v>#REF!</v>
      </c>
      <c r="E69" s="1002" t="e">
        <f>#REF!+#REF!+#REF!+#REF!+#REF!+#REF!+#REF!+#REF!+#REF!+#REF!+#REF!</f>
        <v>#REF!</v>
      </c>
      <c r="F69" s="1002" t="e">
        <f>#REF!+#REF!+#REF!+#REF!+#REF!+#REF!+#REF!+#REF!+#REF!+#REF!+#REF!</f>
        <v>#REF!</v>
      </c>
      <c r="G69" s="1002" t="e">
        <f>#REF!+#REF!+#REF!+#REF!+#REF!+#REF!+#REF!+#REF!+#REF!+#REF!+#REF!</f>
        <v>#REF!</v>
      </c>
      <c r="H69" s="1002" t="e">
        <f>#REF!+#REF!+#REF!+#REF!+#REF!+#REF!+#REF!+#REF!+#REF!+#REF!+#REF!</f>
        <v>#REF!</v>
      </c>
      <c r="I69" s="1002" t="e">
        <f>#REF!+#REF!+#REF!+#REF!+#REF!+#REF!+#REF!+#REF!+#REF!+#REF!+#REF!</f>
        <v>#REF!</v>
      </c>
      <c r="J69" s="1002" t="e">
        <f>#REF!+#REF!+#REF!+#REF!+#REF!+#REF!+#REF!+#REF!+#REF!+#REF!+#REF!</f>
        <v>#REF!</v>
      </c>
      <c r="K69" s="1002"/>
      <c r="L69" s="1002" t="e">
        <f>#REF!+#REF!+#REF!+#REF!+#REF!+#REF!+#REF!+#REF!+#REF!+#REF!+#REF!</f>
        <v>#REF!</v>
      </c>
      <c r="M69" s="1002" t="e">
        <f>#REF!+#REF!+#REF!+#REF!+#REF!+#REF!+#REF!+#REF!+#REF!+#REF!+#REF!</f>
        <v>#REF!</v>
      </c>
      <c r="N69" s="1002" t="e">
        <f>#REF!+#REF!+#REF!+#REF!+#REF!+#REF!+#REF!+#REF!+#REF!+#REF!+#REF!</f>
        <v>#REF!</v>
      </c>
      <c r="O69" s="1002" t="e">
        <f>#REF!+#REF!+#REF!+#REF!+#REF!+#REF!+#REF!+#REF!+#REF!+#REF!+#REF!</f>
        <v>#REF!</v>
      </c>
      <c r="P69" s="1002" t="e">
        <f>#REF!+#REF!+#REF!+#REF!+#REF!+#REF!+#REF!+#REF!+#REF!+#REF!+#REF!</f>
        <v>#REF!</v>
      </c>
      <c r="Q69" s="1002" t="e">
        <f>#REF!+#REF!+#REF!+#REF!+#REF!+#REF!+#REF!+#REF!+#REF!+#REF!+#REF!</f>
        <v>#REF!</v>
      </c>
      <c r="R69" s="1002" t="e">
        <f>#REF!+#REF!+#REF!+#REF!+#REF!+#REF!+#REF!+#REF!+#REF!+#REF!+#REF!</f>
        <v>#REF!</v>
      </c>
      <c r="S69" s="1002" t="e">
        <f>#REF!+#REF!+#REF!+#REF!+#REF!+#REF!+#REF!+#REF!+#REF!+#REF!+#REF!</f>
        <v>#REF!</v>
      </c>
      <c r="T69" s="1002" t="e">
        <f>#REF!+#REF!+#REF!+#REF!+#REF!+#REF!+#REF!+#REF!+#REF!+#REF!+#REF!</f>
        <v>#REF!</v>
      </c>
      <c r="U69" s="1002" t="e">
        <f>#REF!+#REF!+#REF!+#REF!+#REF!+#REF!+#REF!+#REF!+#REF!+#REF!+#REF!</f>
        <v>#REF!</v>
      </c>
      <c r="V69" s="937" t="e">
        <f>IF(H69=0,0,U69/H69*100)</f>
        <v>#REF!</v>
      </c>
      <c r="W69" s="1002" t="e">
        <f>#REF!+#REF!+#REF!+#REF!+#REF!+#REF!+#REF!+#REF!+#REF!+#REF!+#REF!</f>
        <v>#REF!</v>
      </c>
      <c r="X69" s="1002" t="e">
        <f>#REF!+#REF!+#REF!+#REF!+#REF!+#REF!+#REF!+#REF!+#REF!+#REF!+#REF!</f>
        <v>#REF!</v>
      </c>
      <c r="Y69" s="1002"/>
    </row>
    <row r="70" spans="1:29">
      <c r="B70" s="1002"/>
      <c r="C70" s="1002"/>
      <c r="D70" s="1002"/>
      <c r="E70" s="1002"/>
      <c r="F70" s="1002"/>
      <c r="G70" s="1002"/>
      <c r="H70" s="1002"/>
      <c r="I70" s="1002"/>
      <c r="J70" s="1002"/>
      <c r="K70" s="1002"/>
      <c r="L70" s="1002"/>
      <c r="M70" s="1002"/>
      <c r="N70" s="1002"/>
      <c r="O70" s="1002"/>
      <c r="P70" s="1002"/>
      <c r="Q70" s="1002"/>
      <c r="R70" s="1002"/>
      <c r="S70" s="1002"/>
      <c r="T70" s="1002"/>
      <c r="U70" s="1002"/>
      <c r="V70" s="1003"/>
      <c r="W70" s="1003"/>
      <c r="X70" s="1002"/>
      <c r="Y70" s="1002"/>
    </row>
    <row r="71" spans="1:29">
      <c r="B71" s="1002"/>
      <c r="C71" s="1002"/>
      <c r="D71" s="1002"/>
      <c r="E71" s="1002"/>
      <c r="F71" s="1002"/>
      <c r="G71" s="1002"/>
      <c r="H71" s="1002"/>
      <c r="I71" s="1002"/>
      <c r="J71" s="1002"/>
      <c r="K71" s="1002"/>
      <c r="L71" s="1002"/>
      <c r="M71" s="1002"/>
      <c r="N71" s="1002"/>
      <c r="O71" s="1002"/>
      <c r="P71" s="1002"/>
      <c r="Q71" s="1002"/>
      <c r="R71" s="1002"/>
      <c r="S71" s="1002"/>
      <c r="T71" s="1002"/>
      <c r="U71" s="1002"/>
      <c r="V71" s="1003"/>
      <c r="W71" s="1003"/>
      <c r="X71" s="1002"/>
      <c r="Y71" s="1002"/>
    </row>
    <row r="72" spans="1:29">
      <c r="B72" s="1002"/>
      <c r="C72" s="1002"/>
      <c r="D72" s="1002"/>
      <c r="E72" s="1002"/>
      <c r="F72" s="1002"/>
      <c r="G72" s="1002"/>
      <c r="H72" s="1002"/>
      <c r="I72" s="1002"/>
      <c r="J72" s="1002"/>
      <c r="K72" s="1002"/>
      <c r="L72" s="1002"/>
      <c r="M72" s="1002"/>
      <c r="N72" s="1002"/>
      <c r="O72" s="1002"/>
      <c r="P72" s="1002"/>
      <c r="Q72" s="1002"/>
      <c r="R72" s="1002"/>
      <c r="S72" s="1002"/>
      <c r="T72" s="1002"/>
      <c r="U72" s="1002"/>
      <c r="V72" s="1003"/>
      <c r="W72" s="1003"/>
      <c r="X72" s="1002"/>
      <c r="Y72" s="1002"/>
    </row>
    <row r="73" spans="1:29">
      <c r="B73" s="1002"/>
      <c r="C73" s="1002"/>
      <c r="D73" s="1002"/>
      <c r="E73" s="1002"/>
      <c r="F73" s="1002"/>
      <c r="G73" s="1002"/>
      <c r="H73" s="1002"/>
      <c r="I73" s="1002"/>
      <c r="J73" s="1002"/>
      <c r="K73" s="1002"/>
      <c r="L73" s="1002"/>
      <c r="M73" s="1002"/>
      <c r="N73" s="1002"/>
      <c r="O73" s="1002"/>
      <c r="P73" s="1002"/>
      <c r="Q73" s="1002"/>
      <c r="R73" s="1002"/>
      <c r="S73" s="1002"/>
      <c r="T73" s="1002"/>
      <c r="U73" s="1002"/>
      <c r="V73" s="1003"/>
      <c r="W73" s="1003"/>
      <c r="X73" s="1002"/>
      <c r="Y73" s="1002"/>
    </row>
    <row r="74" spans="1:29">
      <c r="B74" s="1002"/>
      <c r="C74" s="1002"/>
      <c r="D74" s="1002"/>
      <c r="E74" s="1002"/>
      <c r="F74" s="1002"/>
      <c r="G74" s="1002"/>
      <c r="H74" s="1002"/>
      <c r="I74" s="1002"/>
      <c r="J74" s="1002"/>
      <c r="K74" s="1002"/>
      <c r="L74" s="1002"/>
      <c r="M74" s="1002"/>
      <c r="N74" s="1002"/>
      <c r="O74" s="1002"/>
      <c r="P74" s="1002"/>
      <c r="Q74" s="1002"/>
      <c r="R74" s="1002"/>
      <c r="S74" s="1002"/>
      <c r="T74" s="1002"/>
      <c r="U74" s="1002"/>
      <c r="V74" s="1003"/>
      <c r="W74" s="1003"/>
      <c r="X74" s="1002"/>
      <c r="Y74" s="1002"/>
    </row>
    <row r="75" spans="1:29">
      <c r="B75" s="1002"/>
      <c r="C75" s="1002"/>
      <c r="D75" s="1002"/>
      <c r="E75" s="1002"/>
      <c r="F75" s="1002"/>
      <c r="G75" s="1002"/>
      <c r="H75" s="1002"/>
      <c r="I75" s="1002"/>
      <c r="J75" s="1002"/>
      <c r="K75" s="1002"/>
      <c r="L75" s="1002"/>
      <c r="M75" s="1002"/>
      <c r="N75" s="1002"/>
      <c r="O75" s="1002"/>
      <c r="P75" s="1002"/>
      <c r="Q75" s="1002"/>
      <c r="R75" s="1002"/>
      <c r="S75" s="1002"/>
      <c r="T75" s="1002"/>
      <c r="U75" s="1002"/>
      <c r="V75" s="1003"/>
      <c r="W75" s="1003"/>
      <c r="X75" s="1002"/>
      <c r="Y75" s="1002"/>
    </row>
    <row r="76" spans="1:29" s="929" customFormat="1" ht="10.9" customHeight="1">
      <c r="A76" s="1004"/>
      <c r="B76" s="1004"/>
      <c r="C76" s="1004"/>
      <c r="D76" s="1004"/>
      <c r="E76" s="1004"/>
      <c r="F76" s="1004"/>
      <c r="G76" s="1004"/>
      <c r="H76" s="1004"/>
      <c r="I76" s="1004"/>
      <c r="J76" s="1004"/>
      <c r="K76" s="1004"/>
      <c r="L76" s="1004"/>
      <c r="M76" s="1004"/>
      <c r="N76" s="1004"/>
      <c r="O76" s="1004"/>
      <c r="P76" s="1004"/>
      <c r="Q76" s="1004"/>
      <c r="R76" s="1004"/>
      <c r="S76" s="1004"/>
      <c r="T76" s="1004"/>
      <c r="U76" s="1004"/>
      <c r="V76" s="1004"/>
      <c r="W76" s="1004"/>
      <c r="X76" s="1004"/>
      <c r="Y76" s="1004"/>
      <c r="Z76" s="1004"/>
      <c r="AA76" s="1004"/>
      <c r="AB76" s="1004"/>
      <c r="AC76" s="1004"/>
    </row>
    <row r="77" spans="1:29" s="929" customFormat="1" ht="10.9" customHeight="1">
      <c r="A77" s="1004"/>
      <c r="B77" s="1004"/>
      <c r="C77" s="1004"/>
      <c r="D77" s="1004"/>
      <c r="E77" s="1004"/>
      <c r="F77" s="1004"/>
      <c r="G77" s="1004"/>
      <c r="H77" s="1004"/>
      <c r="I77" s="1004"/>
      <c r="J77" s="1004"/>
      <c r="K77" s="1004"/>
      <c r="L77" s="1004"/>
      <c r="M77" s="1004"/>
      <c r="N77" s="1004"/>
      <c r="O77" s="1004"/>
      <c r="P77" s="1004"/>
      <c r="Q77" s="1004"/>
      <c r="R77" s="1004"/>
      <c r="S77" s="1004"/>
      <c r="T77" s="1004"/>
      <c r="U77" s="1004"/>
      <c r="V77" s="1004"/>
      <c r="W77" s="1004"/>
      <c r="X77" s="1004"/>
      <c r="Y77" s="1004"/>
      <c r="Z77" s="1004"/>
      <c r="AA77" s="1004"/>
      <c r="AB77" s="1004"/>
      <c r="AC77" s="1004"/>
    </row>
    <row r="78" spans="1:29" s="929" customFormat="1" ht="10.9" customHeight="1">
      <c r="A78" s="1004"/>
      <c r="B78" s="1004"/>
      <c r="C78" s="1004"/>
      <c r="D78" s="1004"/>
      <c r="E78" s="1004"/>
      <c r="F78" s="1004"/>
      <c r="G78" s="1004"/>
      <c r="H78" s="1004"/>
      <c r="I78" s="1004"/>
      <c r="J78" s="1004"/>
      <c r="K78" s="1004"/>
      <c r="L78" s="1004"/>
      <c r="M78" s="1004"/>
      <c r="N78" s="1004"/>
      <c r="O78" s="1004"/>
      <c r="P78" s="1004"/>
      <c r="Q78" s="1004"/>
      <c r="R78" s="1004"/>
      <c r="S78" s="1004"/>
      <c r="T78" s="1004"/>
      <c r="U78" s="1004"/>
      <c r="V78" s="1004"/>
      <c r="W78" s="1004"/>
      <c r="X78" s="1004"/>
      <c r="Y78" s="1004"/>
      <c r="Z78" s="1004"/>
      <c r="AA78" s="1004"/>
      <c r="AB78" s="1004"/>
      <c r="AC78" s="1004"/>
    </row>
    <row r="79" spans="1:29" s="929" customFormat="1" ht="10.9" customHeight="1">
      <c r="A79" s="1004"/>
      <c r="B79" s="1004"/>
      <c r="C79" s="1004"/>
      <c r="D79" s="1004"/>
      <c r="E79" s="1004"/>
      <c r="F79" s="1004"/>
      <c r="G79" s="1004"/>
      <c r="H79" s="1004"/>
      <c r="I79" s="1004"/>
      <c r="J79" s="1004"/>
      <c r="K79" s="1004"/>
      <c r="L79" s="1004"/>
      <c r="M79" s="1004"/>
      <c r="N79" s="1004"/>
      <c r="O79" s="1004"/>
      <c r="P79" s="1004"/>
      <c r="Q79" s="1004"/>
      <c r="R79" s="1004"/>
      <c r="S79" s="1004"/>
      <c r="T79" s="1004"/>
      <c r="U79" s="1004"/>
      <c r="V79" s="1004"/>
      <c r="W79" s="1004"/>
      <c r="X79" s="1004"/>
      <c r="Y79" s="1004"/>
      <c r="Z79" s="1004"/>
      <c r="AA79" s="1004"/>
      <c r="AB79" s="1004"/>
      <c r="AC79" s="1004"/>
    </row>
    <row r="80" spans="1:29" s="929" customFormat="1" ht="10.9" customHeight="1">
      <c r="A80" s="1004"/>
      <c r="B80" s="1004"/>
      <c r="C80" s="1004"/>
      <c r="D80" s="1004"/>
      <c r="E80" s="1004"/>
      <c r="F80" s="1004"/>
      <c r="G80" s="1004"/>
      <c r="H80" s="1004"/>
      <c r="I80" s="1004"/>
      <c r="J80" s="1004"/>
      <c r="K80" s="1004"/>
      <c r="L80" s="1004"/>
      <c r="M80" s="1004"/>
      <c r="N80" s="1004"/>
      <c r="O80" s="1004"/>
      <c r="P80" s="1004"/>
      <c r="Q80" s="1004"/>
      <c r="R80" s="1004"/>
      <c r="S80" s="1004"/>
      <c r="T80" s="1004"/>
      <c r="U80" s="1004"/>
      <c r="V80" s="1004"/>
      <c r="W80" s="1004"/>
      <c r="X80" s="1004"/>
      <c r="Y80" s="1004"/>
      <c r="Z80" s="1004"/>
      <c r="AA80" s="1004"/>
      <c r="AB80" s="1004"/>
      <c r="AC80" s="1004"/>
    </row>
    <row r="81" spans="1:29" s="929" customFormat="1" ht="10.9" customHeight="1">
      <c r="A81" s="1004"/>
      <c r="B81" s="1004"/>
      <c r="C81" s="1004"/>
      <c r="D81" s="1004"/>
      <c r="E81" s="1004"/>
      <c r="F81" s="1004"/>
      <c r="G81" s="1004"/>
      <c r="H81" s="1004"/>
      <c r="I81" s="1004"/>
      <c r="J81" s="1004"/>
      <c r="K81" s="1004"/>
      <c r="L81" s="1004"/>
      <c r="M81" s="1004"/>
      <c r="N81" s="1004"/>
      <c r="O81" s="1004"/>
      <c r="P81" s="1004"/>
      <c r="Q81" s="1004"/>
      <c r="R81" s="1004"/>
      <c r="S81" s="1004"/>
      <c r="T81" s="1004"/>
      <c r="U81" s="1004"/>
      <c r="V81" s="1004"/>
      <c r="W81" s="1004"/>
      <c r="X81" s="1004"/>
      <c r="Y81" s="1004"/>
      <c r="Z81" s="1004"/>
      <c r="AA81" s="1004"/>
      <c r="AB81" s="1004"/>
      <c r="AC81" s="1004"/>
    </row>
    <row r="82" spans="1:29" s="929" customFormat="1" ht="10.9" customHeight="1">
      <c r="A82" s="1004"/>
      <c r="B82" s="1004"/>
      <c r="C82" s="1004"/>
      <c r="D82" s="1004"/>
      <c r="E82" s="1004"/>
      <c r="F82" s="1004"/>
      <c r="G82" s="1004"/>
      <c r="H82" s="1004"/>
      <c r="I82" s="1004"/>
      <c r="J82" s="1004"/>
      <c r="K82" s="1004"/>
      <c r="L82" s="1004"/>
      <c r="M82" s="1004"/>
      <c r="N82" s="1004"/>
      <c r="O82" s="1004"/>
      <c r="P82" s="1004"/>
      <c r="Q82" s="1004"/>
      <c r="R82" s="1004"/>
      <c r="S82" s="1004"/>
      <c r="T82" s="1004"/>
      <c r="U82" s="1004"/>
      <c r="V82" s="1004"/>
      <c r="W82" s="1004"/>
      <c r="X82" s="1004"/>
      <c r="Y82" s="1004"/>
      <c r="Z82" s="1004"/>
      <c r="AA82" s="1004"/>
      <c r="AB82" s="1004"/>
      <c r="AC82" s="1004"/>
    </row>
    <row r="83" spans="1:29" s="929" customFormat="1" ht="10.9" customHeight="1">
      <c r="A83" s="1004"/>
      <c r="B83" s="1004"/>
      <c r="C83" s="1004"/>
      <c r="D83" s="1004"/>
      <c r="E83" s="1004"/>
      <c r="F83" s="1004"/>
      <c r="G83" s="1004"/>
      <c r="H83" s="1004"/>
      <c r="I83" s="1004"/>
      <c r="J83" s="1004"/>
      <c r="K83" s="1004"/>
      <c r="L83" s="1004"/>
      <c r="M83" s="1004"/>
      <c r="N83" s="1004"/>
      <c r="O83" s="1004"/>
      <c r="P83" s="1004"/>
      <c r="Q83" s="1004"/>
      <c r="R83" s="1004"/>
      <c r="S83" s="1004"/>
      <c r="T83" s="1004"/>
      <c r="U83" s="1004"/>
      <c r="V83" s="1004"/>
      <c r="W83" s="1004"/>
      <c r="X83" s="1004"/>
      <c r="Y83" s="1004"/>
      <c r="Z83" s="1004"/>
      <c r="AA83" s="1004"/>
      <c r="AB83" s="1004"/>
      <c r="AC83" s="1004"/>
    </row>
    <row r="84" spans="1:29" s="929" customFormat="1" ht="10.9" customHeight="1">
      <c r="A84" s="1004"/>
      <c r="B84" s="1004"/>
      <c r="C84" s="1004"/>
      <c r="D84" s="1004"/>
      <c r="E84" s="1004"/>
      <c r="F84" s="1004"/>
      <c r="G84" s="1004"/>
      <c r="H84" s="1004"/>
      <c r="I84" s="1004"/>
      <c r="J84" s="1004"/>
      <c r="K84" s="1004"/>
      <c r="L84" s="1004"/>
      <c r="M84" s="1004"/>
      <c r="N84" s="1004"/>
      <c r="O84" s="1004"/>
      <c r="P84" s="1004"/>
      <c r="Q84" s="1004"/>
      <c r="R84" s="1004"/>
      <c r="S84" s="1004"/>
      <c r="T84" s="1004"/>
      <c r="U84" s="1004"/>
      <c r="V84" s="1004"/>
      <c r="W84" s="1004"/>
      <c r="X84" s="1004"/>
      <c r="Y84" s="1004"/>
      <c r="Z84" s="1004"/>
      <c r="AA84" s="1004"/>
      <c r="AB84" s="1004"/>
      <c r="AC84" s="1004"/>
    </row>
    <row r="85" spans="1:29" s="929" customFormat="1" ht="10.9" customHeight="1">
      <c r="A85" s="1004"/>
      <c r="B85" s="1004"/>
      <c r="C85" s="1004"/>
      <c r="D85" s="1004"/>
      <c r="E85" s="1004"/>
      <c r="F85" s="1004"/>
      <c r="G85" s="1004"/>
      <c r="H85" s="1004"/>
      <c r="I85" s="1004"/>
      <c r="J85" s="1004"/>
      <c r="K85" s="1004"/>
      <c r="L85" s="1004"/>
      <c r="M85" s="1004"/>
      <c r="N85" s="1004"/>
      <c r="O85" s="1004"/>
      <c r="P85" s="1004"/>
      <c r="Q85" s="1004"/>
      <c r="R85" s="1004"/>
      <c r="S85" s="1004"/>
      <c r="T85" s="1004"/>
      <c r="U85" s="1004"/>
      <c r="V85" s="1004"/>
      <c r="W85" s="1004"/>
      <c r="X85" s="1004"/>
      <c r="Y85" s="1004"/>
      <c r="Z85" s="1004"/>
      <c r="AA85" s="1004"/>
      <c r="AB85" s="1004"/>
      <c r="AC85" s="1004"/>
    </row>
    <row r="86" spans="1:29" s="929" customFormat="1" ht="10.9" customHeight="1">
      <c r="A86" s="1004"/>
      <c r="B86" s="1004"/>
      <c r="C86" s="1004"/>
      <c r="D86" s="1004"/>
      <c r="E86" s="1004"/>
      <c r="F86" s="1004"/>
      <c r="G86" s="1004"/>
      <c r="H86" s="1004"/>
      <c r="I86" s="1004"/>
      <c r="J86" s="1004"/>
      <c r="K86" s="1004"/>
      <c r="L86" s="1004"/>
      <c r="M86" s="1004"/>
      <c r="N86" s="1004"/>
      <c r="O86" s="1004"/>
      <c r="P86" s="1004"/>
      <c r="Q86" s="1004"/>
      <c r="R86" s="1004"/>
      <c r="S86" s="1004"/>
      <c r="T86" s="1004"/>
      <c r="U86" s="1004"/>
      <c r="V86" s="1004"/>
      <c r="W86" s="1004"/>
      <c r="X86" s="1004"/>
      <c r="Y86" s="1004"/>
      <c r="Z86" s="1004"/>
      <c r="AA86" s="1004"/>
      <c r="AB86" s="1004"/>
      <c r="AC86" s="1004"/>
    </row>
    <row r="87" spans="1:29" s="929" customFormat="1" ht="10.9" customHeight="1">
      <c r="A87" s="1004"/>
      <c r="B87" s="1004"/>
      <c r="C87" s="1004"/>
      <c r="D87" s="1004"/>
      <c r="E87" s="1004"/>
      <c r="F87" s="1004"/>
      <c r="G87" s="1004"/>
      <c r="H87" s="1004"/>
      <c r="I87" s="1004"/>
      <c r="J87" s="1004"/>
      <c r="K87" s="1004"/>
      <c r="L87" s="1004"/>
      <c r="M87" s="1004"/>
      <c r="N87" s="1004"/>
      <c r="O87" s="1004"/>
      <c r="P87" s="1004"/>
      <c r="Q87" s="1004"/>
      <c r="R87" s="1004"/>
      <c r="S87" s="1004"/>
      <c r="T87" s="1004"/>
      <c r="U87" s="1004"/>
      <c r="V87" s="1004"/>
      <c r="W87" s="1004"/>
      <c r="X87" s="1004"/>
      <c r="Y87" s="1004"/>
      <c r="Z87" s="1004"/>
      <c r="AA87" s="1004"/>
      <c r="AB87" s="1004"/>
      <c r="AC87" s="1004"/>
    </row>
    <row r="88" spans="1:29" s="929" customFormat="1" ht="10.9" customHeight="1">
      <c r="A88" s="1004"/>
      <c r="B88" s="1004"/>
      <c r="C88" s="1004"/>
      <c r="D88" s="1004"/>
      <c r="E88" s="1004"/>
      <c r="F88" s="1004"/>
      <c r="G88" s="1004"/>
      <c r="H88" s="1004"/>
      <c r="I88" s="1004"/>
      <c r="J88" s="1004"/>
      <c r="K88" s="1004"/>
      <c r="L88" s="1004"/>
      <c r="M88" s="1004"/>
      <c r="N88" s="1004"/>
      <c r="O88" s="1004"/>
      <c r="P88" s="1004"/>
      <c r="Q88" s="1004"/>
      <c r="R88" s="1004"/>
      <c r="S88" s="1004"/>
      <c r="T88" s="1004"/>
      <c r="U88" s="1004"/>
      <c r="V88" s="1004"/>
      <c r="W88" s="1004"/>
      <c r="X88" s="1004"/>
      <c r="Y88" s="1004"/>
      <c r="Z88" s="1004"/>
      <c r="AA88" s="1004"/>
      <c r="AB88" s="1004"/>
      <c r="AC88" s="1004"/>
    </row>
    <row r="89" spans="1:29" s="929" customFormat="1" ht="10.9" customHeight="1">
      <c r="A89" s="1004"/>
      <c r="B89" s="1004"/>
      <c r="C89" s="1004"/>
      <c r="D89" s="1004"/>
      <c r="E89" s="1004"/>
      <c r="F89" s="1004"/>
      <c r="G89" s="1004"/>
      <c r="H89" s="1004"/>
      <c r="I89" s="1004"/>
      <c r="J89" s="1004"/>
      <c r="K89" s="1004"/>
      <c r="L89" s="1004"/>
      <c r="M89" s="1004"/>
      <c r="N89" s="1004"/>
      <c r="O89" s="1004"/>
      <c r="P89" s="1004"/>
      <c r="Q89" s="1004"/>
      <c r="R89" s="1004"/>
      <c r="S89" s="1004"/>
      <c r="T89" s="1004"/>
      <c r="U89" s="1004"/>
      <c r="V89" s="1004"/>
      <c r="W89" s="1004"/>
      <c r="X89" s="1004"/>
      <c r="Y89" s="1004"/>
      <c r="Z89" s="1004"/>
      <c r="AA89" s="1004"/>
      <c r="AB89" s="1004"/>
      <c r="AC89" s="1004"/>
    </row>
    <row r="90" spans="1:29" s="929" customFormat="1" ht="10.9" customHeight="1">
      <c r="A90" s="1004"/>
      <c r="B90" s="1004"/>
      <c r="C90" s="1004"/>
      <c r="D90" s="1004"/>
      <c r="E90" s="1004"/>
      <c r="F90" s="1004"/>
      <c r="G90" s="1004"/>
      <c r="H90" s="1004"/>
      <c r="I90" s="1004"/>
      <c r="J90" s="1004"/>
      <c r="K90" s="1004"/>
      <c r="L90" s="1004"/>
      <c r="M90" s="1004"/>
      <c r="N90" s="1004"/>
      <c r="O90" s="1004"/>
      <c r="P90" s="1004"/>
      <c r="Q90" s="1004"/>
      <c r="R90" s="1004"/>
      <c r="S90" s="1004"/>
      <c r="T90" s="1004"/>
      <c r="U90" s="1004"/>
      <c r="V90" s="1004"/>
      <c r="W90" s="1004"/>
      <c r="X90" s="1004"/>
      <c r="Y90" s="1004"/>
      <c r="Z90" s="1004"/>
      <c r="AA90" s="1004"/>
      <c r="AB90" s="1004"/>
      <c r="AC90" s="1004"/>
    </row>
    <row r="91" spans="1:29" s="929" customFormat="1" ht="10.9" customHeight="1">
      <c r="A91" s="1004"/>
      <c r="B91" s="1004"/>
      <c r="C91" s="1004"/>
      <c r="D91" s="1004"/>
      <c r="E91" s="1004"/>
      <c r="F91" s="1004"/>
      <c r="G91" s="1004"/>
      <c r="H91" s="1004"/>
      <c r="I91" s="1004"/>
      <c r="J91" s="1004"/>
      <c r="K91" s="1004"/>
      <c r="L91" s="1004"/>
      <c r="M91" s="1004"/>
      <c r="N91" s="1004"/>
      <c r="O91" s="1004"/>
      <c r="P91" s="1004"/>
      <c r="Q91" s="1004"/>
      <c r="R91" s="1004"/>
      <c r="S91" s="1004"/>
      <c r="T91" s="1004"/>
      <c r="U91" s="1004"/>
      <c r="V91" s="1004"/>
      <c r="W91" s="1004"/>
      <c r="X91" s="1004"/>
      <c r="Y91" s="1004"/>
      <c r="Z91" s="1004"/>
      <c r="AA91" s="1004"/>
      <c r="AB91" s="1004"/>
      <c r="AC91" s="1004"/>
    </row>
    <row r="92" spans="1:29" s="929" customFormat="1" ht="10.9" customHeight="1">
      <c r="A92" s="1004"/>
      <c r="B92" s="1004"/>
      <c r="C92" s="1004"/>
      <c r="D92" s="1004"/>
      <c r="E92" s="1004"/>
      <c r="F92" s="1004"/>
      <c r="G92" s="1004"/>
      <c r="H92" s="1004"/>
      <c r="I92" s="1004"/>
      <c r="J92" s="1004"/>
      <c r="K92" s="1004"/>
      <c r="L92" s="1004"/>
      <c r="M92" s="1004"/>
      <c r="N92" s="1004"/>
      <c r="O92" s="1004"/>
      <c r="P92" s="1004"/>
      <c r="Q92" s="1004"/>
      <c r="R92" s="1004"/>
      <c r="S92" s="1004"/>
      <c r="T92" s="1004"/>
      <c r="U92" s="1004"/>
      <c r="V92" s="1004"/>
      <c r="W92" s="1004"/>
      <c r="X92" s="1004"/>
      <c r="Y92" s="1004"/>
      <c r="Z92" s="1004"/>
      <c r="AA92" s="1004"/>
      <c r="AB92" s="1004"/>
      <c r="AC92" s="1004"/>
    </row>
    <row r="93" spans="1:29" s="929" customFormat="1" ht="10.9" customHeight="1">
      <c r="A93" s="1004"/>
      <c r="B93" s="1004"/>
      <c r="C93" s="1004"/>
      <c r="D93" s="1004"/>
      <c r="E93" s="1004"/>
      <c r="F93" s="1004"/>
      <c r="G93" s="1004"/>
      <c r="H93" s="1004"/>
      <c r="I93" s="1004"/>
      <c r="J93" s="1004"/>
      <c r="K93" s="1004"/>
      <c r="L93" s="1004"/>
      <c r="M93" s="1004"/>
      <c r="N93" s="1004"/>
      <c r="O93" s="1004"/>
      <c r="P93" s="1004"/>
      <c r="Q93" s="1004"/>
      <c r="R93" s="1004"/>
      <c r="S93" s="1004"/>
      <c r="T93" s="1004"/>
      <c r="U93" s="1004"/>
      <c r="V93" s="1004"/>
      <c r="W93" s="1004"/>
      <c r="X93" s="1004"/>
      <c r="Y93" s="1004"/>
      <c r="Z93" s="1004"/>
      <c r="AA93" s="1004"/>
      <c r="AB93" s="1004"/>
      <c r="AC93" s="1004"/>
    </row>
    <row r="94" spans="1:29" s="929" customFormat="1" ht="10.9" customHeight="1">
      <c r="A94" s="1004"/>
      <c r="B94" s="1004"/>
      <c r="C94" s="1004"/>
      <c r="D94" s="1004"/>
      <c r="E94" s="1004"/>
      <c r="F94" s="1004"/>
      <c r="G94" s="1004"/>
      <c r="H94" s="1004"/>
      <c r="I94" s="1004"/>
      <c r="J94" s="1004"/>
      <c r="K94" s="1004"/>
      <c r="L94" s="1004"/>
      <c r="M94" s="1004"/>
      <c r="N94" s="1004"/>
      <c r="O94" s="1004"/>
      <c r="P94" s="1004"/>
      <c r="Q94" s="1004"/>
      <c r="R94" s="1004"/>
      <c r="S94" s="1004"/>
      <c r="T94" s="1004"/>
      <c r="U94" s="1004"/>
      <c r="V94" s="1004"/>
      <c r="W94" s="1004"/>
      <c r="X94" s="1004"/>
      <c r="Y94" s="1004"/>
      <c r="Z94" s="1004"/>
      <c r="AA94" s="1004"/>
      <c r="AB94" s="1004"/>
      <c r="AC94" s="1004"/>
    </row>
    <row r="95" spans="1:29" s="929" customFormat="1" ht="10.9" customHeight="1">
      <c r="A95" s="1004"/>
      <c r="B95" s="1004"/>
      <c r="C95" s="1004"/>
      <c r="D95" s="1004"/>
      <c r="E95" s="1004"/>
      <c r="F95" s="1004"/>
      <c r="G95" s="1004"/>
      <c r="H95" s="1004"/>
      <c r="I95" s="1004"/>
      <c r="J95" s="1004"/>
      <c r="K95" s="1004"/>
      <c r="L95" s="1004"/>
      <c r="M95" s="1004"/>
      <c r="N95" s="1004"/>
      <c r="O95" s="1004"/>
      <c r="P95" s="1004"/>
      <c r="Q95" s="1004"/>
      <c r="R95" s="1004"/>
      <c r="S95" s="1004"/>
      <c r="T95" s="1004"/>
      <c r="U95" s="1004"/>
      <c r="V95" s="1004"/>
      <c r="W95" s="1004"/>
      <c r="X95" s="1004"/>
      <c r="Y95" s="1004"/>
      <c r="Z95" s="1004"/>
      <c r="AA95" s="1004"/>
      <c r="AB95" s="1004"/>
      <c r="AC95" s="1004"/>
    </row>
    <row r="96" spans="1:29" s="929" customFormat="1" ht="10.9" customHeight="1">
      <c r="A96" s="1004"/>
      <c r="B96" s="1004"/>
      <c r="C96" s="1004"/>
      <c r="D96" s="1004"/>
      <c r="E96" s="1004"/>
      <c r="F96" s="1004"/>
      <c r="G96" s="1004"/>
      <c r="H96" s="1004"/>
      <c r="I96" s="1004"/>
      <c r="J96" s="1004"/>
      <c r="K96" s="1004"/>
      <c r="L96" s="1004"/>
      <c r="M96" s="1004"/>
      <c r="N96" s="1004"/>
      <c r="O96" s="1004"/>
      <c r="P96" s="1004"/>
      <c r="Q96" s="1004"/>
      <c r="R96" s="1004"/>
      <c r="S96" s="1004"/>
      <c r="T96" s="1004"/>
      <c r="U96" s="1004"/>
      <c r="V96" s="1004"/>
      <c r="W96" s="1004"/>
      <c r="X96" s="1004"/>
      <c r="Y96" s="1004"/>
      <c r="Z96" s="1004"/>
      <c r="AA96" s="1004"/>
      <c r="AB96" s="1004"/>
      <c r="AC96" s="1004"/>
    </row>
    <row r="97" spans="1:29" s="929" customFormat="1" ht="10.9" customHeight="1">
      <c r="A97" s="1004"/>
      <c r="B97" s="1004"/>
      <c r="C97" s="1004"/>
      <c r="D97" s="1004"/>
      <c r="E97" s="1004"/>
      <c r="F97" s="1004"/>
      <c r="G97" s="1004"/>
      <c r="H97" s="1004"/>
      <c r="I97" s="1004"/>
      <c r="J97" s="1004"/>
      <c r="K97" s="1004"/>
      <c r="L97" s="1004"/>
      <c r="M97" s="1004"/>
      <c r="N97" s="1004"/>
      <c r="O97" s="1004"/>
      <c r="P97" s="1004"/>
      <c r="Q97" s="1004"/>
      <c r="R97" s="1004"/>
      <c r="S97" s="1004"/>
      <c r="T97" s="1004"/>
      <c r="U97" s="1004"/>
      <c r="V97" s="1004"/>
      <c r="W97" s="1004"/>
      <c r="X97" s="1004"/>
      <c r="Y97" s="1004"/>
      <c r="Z97" s="1004"/>
      <c r="AA97" s="1004"/>
      <c r="AB97" s="1004"/>
      <c r="AC97" s="1004"/>
    </row>
    <row r="98" spans="1:29" s="929" customFormat="1" ht="10.9" customHeight="1">
      <c r="A98" s="1004"/>
      <c r="B98" s="1004"/>
      <c r="C98" s="1004"/>
      <c r="D98" s="1004"/>
      <c r="E98" s="1004"/>
      <c r="F98" s="1004"/>
      <c r="G98" s="1004"/>
      <c r="H98" s="1004"/>
      <c r="I98" s="1004"/>
      <c r="J98" s="1004"/>
      <c r="K98" s="1004"/>
      <c r="L98" s="1004"/>
      <c r="M98" s="1004"/>
      <c r="N98" s="1004"/>
      <c r="O98" s="1004"/>
      <c r="P98" s="1004"/>
      <c r="Q98" s="1004"/>
      <c r="R98" s="1004"/>
      <c r="S98" s="1004"/>
      <c r="T98" s="1004"/>
      <c r="U98" s="1004"/>
      <c r="V98" s="1004"/>
      <c r="W98" s="1004"/>
      <c r="X98" s="1004"/>
      <c r="Y98" s="1004"/>
      <c r="Z98" s="1004"/>
      <c r="AA98" s="1004"/>
      <c r="AB98" s="1004"/>
      <c r="AC98" s="1004"/>
    </row>
    <row r="99" spans="1:29" s="929" customFormat="1" ht="10.9" customHeight="1">
      <c r="A99" s="1004"/>
      <c r="B99" s="1004"/>
      <c r="C99" s="1004"/>
      <c r="D99" s="1004"/>
      <c r="E99" s="1004"/>
      <c r="F99" s="1004"/>
      <c r="G99" s="1004"/>
      <c r="H99" s="1004"/>
      <c r="I99" s="1004"/>
      <c r="J99" s="1004"/>
      <c r="K99" s="1004"/>
      <c r="L99" s="1004"/>
      <c r="M99" s="1004"/>
      <c r="N99" s="1004"/>
      <c r="O99" s="1004"/>
      <c r="P99" s="1004"/>
      <c r="Q99" s="1004"/>
      <c r="R99" s="1004"/>
      <c r="S99" s="1004"/>
      <c r="T99" s="1004"/>
      <c r="U99" s="1004"/>
      <c r="V99" s="1004"/>
      <c r="W99" s="1004"/>
      <c r="X99" s="1004"/>
      <c r="Y99" s="1004"/>
      <c r="Z99" s="1004"/>
      <c r="AA99" s="1004"/>
      <c r="AB99" s="1004"/>
      <c r="AC99" s="1004"/>
    </row>
    <row r="100" spans="1:29" s="929" customFormat="1" ht="10.9" customHeight="1">
      <c r="A100" s="1004"/>
      <c r="B100" s="1004"/>
      <c r="C100" s="1004"/>
      <c r="D100" s="1004"/>
      <c r="E100" s="1004"/>
      <c r="F100" s="1004"/>
      <c r="G100" s="1004"/>
      <c r="H100" s="1004"/>
      <c r="I100" s="1004"/>
      <c r="J100" s="1004"/>
      <c r="K100" s="1004"/>
      <c r="L100" s="1004"/>
      <c r="M100" s="1004"/>
      <c r="N100" s="1004"/>
      <c r="O100" s="1004"/>
      <c r="P100" s="1004"/>
      <c r="Q100" s="1004"/>
      <c r="R100" s="1004"/>
      <c r="S100" s="1004"/>
      <c r="T100" s="1004"/>
      <c r="U100" s="1004"/>
      <c r="V100" s="1004"/>
      <c r="W100" s="1004"/>
      <c r="X100" s="1004"/>
      <c r="Y100" s="1004"/>
      <c r="Z100" s="1004"/>
      <c r="AA100" s="1004"/>
      <c r="AB100" s="1004"/>
      <c r="AC100" s="1004"/>
    </row>
    <row r="101" spans="1:29" s="929" customFormat="1" ht="10.9" customHeight="1">
      <c r="A101" s="1004"/>
      <c r="B101" s="1004"/>
      <c r="C101" s="1004"/>
      <c r="D101" s="1004"/>
      <c r="E101" s="1004"/>
      <c r="F101" s="1004"/>
      <c r="G101" s="1004"/>
      <c r="H101" s="1004"/>
      <c r="I101" s="1004"/>
      <c r="J101" s="1004"/>
      <c r="K101" s="1004"/>
      <c r="L101" s="1004"/>
      <c r="M101" s="1004"/>
      <c r="N101" s="1004"/>
      <c r="O101" s="1004"/>
      <c r="P101" s="1004"/>
      <c r="Q101" s="1004"/>
      <c r="R101" s="1004"/>
      <c r="S101" s="1004"/>
      <c r="T101" s="1004"/>
      <c r="U101" s="1004"/>
      <c r="V101" s="1004"/>
      <c r="W101" s="1004"/>
      <c r="X101" s="1004"/>
      <c r="Y101" s="1004"/>
      <c r="Z101" s="1004"/>
      <c r="AA101" s="1004"/>
      <c r="AB101" s="1004"/>
      <c r="AC101" s="1004"/>
    </row>
    <row r="102" spans="1:29" s="929" customFormat="1" ht="10.9" customHeight="1">
      <c r="A102" s="1004"/>
      <c r="B102" s="1004"/>
      <c r="C102" s="1004"/>
      <c r="D102" s="1004"/>
      <c r="E102" s="1004"/>
      <c r="F102" s="1004"/>
      <c r="G102" s="1004"/>
      <c r="H102" s="1004"/>
      <c r="I102" s="1004"/>
      <c r="J102" s="1004"/>
      <c r="K102" s="1004"/>
      <c r="L102" s="1004"/>
      <c r="M102" s="1004"/>
      <c r="N102" s="1004"/>
      <c r="O102" s="1004"/>
      <c r="P102" s="1004"/>
      <c r="Q102" s="1004"/>
      <c r="R102" s="1004"/>
      <c r="S102" s="1004"/>
      <c r="T102" s="1004"/>
      <c r="U102" s="1004"/>
      <c r="V102" s="1004"/>
      <c r="W102" s="1004"/>
      <c r="X102" s="1004"/>
      <c r="Y102" s="1004"/>
      <c r="Z102" s="1004"/>
      <c r="AA102" s="1004"/>
      <c r="AB102" s="1004"/>
      <c r="AC102" s="1004"/>
    </row>
    <row r="103" spans="1:29" s="929" customFormat="1" ht="10.9" customHeight="1">
      <c r="A103" s="1004"/>
      <c r="B103" s="1004"/>
      <c r="C103" s="1004"/>
      <c r="D103" s="1004"/>
      <c r="E103" s="1004"/>
      <c r="F103" s="1004"/>
      <c r="G103" s="1004"/>
      <c r="H103" s="1004"/>
      <c r="I103" s="1004"/>
      <c r="J103" s="1004"/>
      <c r="K103" s="1004"/>
      <c r="L103" s="1004"/>
      <c r="M103" s="1004"/>
      <c r="N103" s="1004"/>
      <c r="O103" s="1004"/>
      <c r="P103" s="1004"/>
      <c r="Q103" s="1004"/>
      <c r="R103" s="1004"/>
      <c r="S103" s="1004"/>
      <c r="T103" s="1004"/>
      <c r="U103" s="1004"/>
      <c r="V103" s="1004"/>
      <c r="W103" s="1004"/>
      <c r="X103" s="1004"/>
      <c r="Y103" s="1004"/>
      <c r="Z103" s="1004"/>
      <c r="AA103" s="1004"/>
      <c r="AB103" s="1004"/>
      <c r="AC103" s="1004"/>
    </row>
    <row r="104" spans="1:29" s="929" customFormat="1" ht="10.9" customHeight="1">
      <c r="A104" s="1004"/>
      <c r="B104" s="1004"/>
      <c r="C104" s="1004"/>
      <c r="D104" s="1004"/>
      <c r="E104" s="1004"/>
      <c r="F104" s="1004"/>
      <c r="G104" s="1004"/>
      <c r="H104" s="1004"/>
      <c r="I104" s="1004"/>
      <c r="J104" s="1004"/>
      <c r="K104" s="1004"/>
      <c r="L104" s="1004"/>
      <c r="M104" s="1004"/>
      <c r="N104" s="1004"/>
      <c r="O104" s="1004"/>
      <c r="P104" s="1004"/>
      <c r="Q104" s="1004"/>
      <c r="R104" s="1004"/>
      <c r="S104" s="1004"/>
      <c r="T104" s="1004"/>
      <c r="U104" s="1004"/>
      <c r="V104" s="1004"/>
      <c r="W104" s="1004"/>
      <c r="X104" s="1004"/>
      <c r="Y104" s="1004"/>
      <c r="Z104" s="1004"/>
      <c r="AA104" s="1004"/>
      <c r="AB104" s="1004"/>
      <c r="AC104" s="1004"/>
    </row>
    <row r="105" spans="1:29" s="929" customFormat="1" ht="10.9" customHeight="1">
      <c r="A105" s="1004"/>
      <c r="B105" s="1004"/>
      <c r="C105" s="1004"/>
      <c r="D105" s="1004"/>
      <c r="E105" s="1004"/>
      <c r="F105" s="1004"/>
      <c r="G105" s="1004"/>
      <c r="H105" s="1004"/>
      <c r="I105" s="1004"/>
      <c r="J105" s="1004"/>
      <c r="K105" s="1004"/>
      <c r="L105" s="1004"/>
      <c r="M105" s="1004"/>
      <c r="N105" s="1004"/>
      <c r="O105" s="1004"/>
      <c r="P105" s="1004"/>
      <c r="Q105" s="1004"/>
      <c r="R105" s="1004"/>
      <c r="S105" s="1004"/>
      <c r="T105" s="1004"/>
      <c r="U105" s="1004"/>
      <c r="V105" s="1004"/>
      <c r="W105" s="1004"/>
      <c r="X105" s="1004"/>
      <c r="Y105" s="1004"/>
      <c r="Z105" s="1004"/>
      <c r="AA105" s="1004"/>
      <c r="AB105" s="1004"/>
      <c r="AC105" s="1004"/>
    </row>
    <row r="106" spans="1:29" s="929" customFormat="1" ht="10.9" customHeight="1">
      <c r="A106" s="1004"/>
      <c r="B106" s="1004"/>
      <c r="C106" s="1004"/>
      <c r="D106" s="1004"/>
      <c r="E106" s="1004"/>
      <c r="F106" s="1004"/>
      <c r="G106" s="1004"/>
      <c r="H106" s="1004"/>
      <c r="I106" s="1004"/>
      <c r="J106" s="1004"/>
      <c r="K106" s="1004"/>
      <c r="L106" s="1004"/>
      <c r="M106" s="1004"/>
      <c r="N106" s="1004"/>
      <c r="O106" s="1004"/>
      <c r="P106" s="1004"/>
      <c r="Q106" s="1004"/>
      <c r="R106" s="1004"/>
      <c r="S106" s="1004"/>
      <c r="T106" s="1004"/>
      <c r="U106" s="1004"/>
      <c r="V106" s="1004"/>
      <c r="W106" s="1004"/>
      <c r="X106" s="1004"/>
      <c r="Y106" s="1004"/>
      <c r="Z106" s="1004"/>
      <c r="AA106" s="1004"/>
      <c r="AB106" s="1004"/>
      <c r="AC106" s="1004"/>
    </row>
    <row r="107" spans="1:29" s="929" customFormat="1" ht="10.9" customHeight="1">
      <c r="A107" s="1004"/>
      <c r="B107" s="1004"/>
      <c r="C107" s="1004"/>
      <c r="D107" s="1004"/>
      <c r="E107" s="1004"/>
      <c r="F107" s="1004"/>
      <c r="G107" s="1004"/>
      <c r="H107" s="1004"/>
      <c r="I107" s="1004"/>
      <c r="J107" s="1004"/>
      <c r="K107" s="1004"/>
      <c r="L107" s="1004"/>
      <c r="M107" s="1004"/>
      <c r="N107" s="1004"/>
      <c r="O107" s="1004"/>
      <c r="P107" s="1004"/>
      <c r="Q107" s="1004"/>
      <c r="R107" s="1004"/>
      <c r="S107" s="1004"/>
      <c r="T107" s="1004"/>
      <c r="U107" s="1004"/>
      <c r="V107" s="1004"/>
      <c r="W107" s="1004"/>
      <c r="X107" s="1004"/>
      <c r="Y107" s="1004"/>
      <c r="Z107" s="1004"/>
      <c r="AA107" s="1004"/>
      <c r="AB107" s="1004"/>
      <c r="AC107" s="1004"/>
    </row>
    <row r="108" spans="1:29" s="929" customFormat="1" ht="10.9" customHeight="1">
      <c r="A108" s="1004"/>
      <c r="B108" s="1004"/>
      <c r="C108" s="1004"/>
      <c r="D108" s="1004"/>
      <c r="E108" s="1004"/>
      <c r="F108" s="1004"/>
      <c r="G108" s="1004"/>
      <c r="H108" s="1004"/>
      <c r="I108" s="1004"/>
      <c r="J108" s="1004"/>
      <c r="K108" s="1004"/>
      <c r="L108" s="1004"/>
      <c r="M108" s="1004"/>
      <c r="N108" s="1004"/>
      <c r="O108" s="1004"/>
      <c r="P108" s="1004"/>
      <c r="Q108" s="1004"/>
      <c r="R108" s="1004"/>
      <c r="S108" s="1004"/>
      <c r="T108" s="1004"/>
      <c r="U108" s="1004"/>
      <c r="V108" s="1004"/>
      <c r="W108" s="1004"/>
      <c r="X108" s="1004"/>
      <c r="Y108" s="1004"/>
      <c r="Z108" s="1004"/>
      <c r="AA108" s="1004"/>
      <c r="AB108" s="1004"/>
      <c r="AC108" s="1004"/>
    </row>
    <row r="109" spans="1:29" s="929" customFormat="1" ht="10.9" customHeight="1">
      <c r="A109" s="1004"/>
      <c r="B109" s="1004"/>
      <c r="C109" s="1004"/>
      <c r="D109" s="1004"/>
      <c r="E109" s="1004"/>
      <c r="F109" s="1004"/>
      <c r="G109" s="1004"/>
      <c r="H109" s="1004"/>
      <c r="I109" s="1004"/>
      <c r="J109" s="1004"/>
      <c r="K109" s="1004"/>
      <c r="L109" s="1004"/>
      <c r="M109" s="1004"/>
      <c r="N109" s="1004"/>
      <c r="O109" s="1004"/>
      <c r="P109" s="1004"/>
      <c r="Q109" s="1004"/>
      <c r="R109" s="1004"/>
      <c r="S109" s="1004"/>
      <c r="T109" s="1004"/>
      <c r="U109" s="1004"/>
      <c r="V109" s="1004"/>
      <c r="W109" s="1004"/>
      <c r="X109" s="1004"/>
      <c r="Y109" s="1004"/>
      <c r="Z109" s="1004"/>
      <c r="AA109" s="1004"/>
      <c r="AB109" s="1004"/>
      <c r="AC109" s="1004"/>
    </row>
    <row r="110" spans="1:29" s="929" customFormat="1" ht="10.9" customHeight="1">
      <c r="A110" s="1004"/>
      <c r="B110" s="1004"/>
      <c r="C110" s="1004"/>
      <c r="D110" s="1004"/>
      <c r="E110" s="1004"/>
      <c r="F110" s="1004"/>
      <c r="G110" s="1004"/>
      <c r="H110" s="1004"/>
      <c r="I110" s="1004"/>
      <c r="J110" s="1004"/>
      <c r="K110" s="1004"/>
      <c r="L110" s="1004"/>
      <c r="M110" s="1004"/>
      <c r="N110" s="1004"/>
      <c r="O110" s="1004"/>
      <c r="P110" s="1004"/>
      <c r="Q110" s="1004"/>
      <c r="R110" s="1004"/>
      <c r="S110" s="1004"/>
      <c r="T110" s="1004"/>
      <c r="U110" s="1004"/>
      <c r="V110" s="1004"/>
      <c r="W110" s="1004"/>
      <c r="X110" s="1004"/>
      <c r="Y110" s="1004"/>
      <c r="Z110" s="1004"/>
      <c r="AA110" s="1004"/>
      <c r="AB110" s="1004"/>
      <c r="AC110" s="1004"/>
    </row>
    <row r="111" spans="1:29" s="929" customFormat="1" ht="10.9" customHeight="1">
      <c r="A111" s="1004"/>
      <c r="B111" s="1004"/>
      <c r="C111" s="1004"/>
      <c r="D111" s="1004"/>
      <c r="E111" s="1004"/>
      <c r="F111" s="1004"/>
      <c r="G111" s="1004"/>
      <c r="H111" s="1004"/>
      <c r="I111" s="1004"/>
      <c r="J111" s="1004"/>
      <c r="K111" s="1004"/>
      <c r="L111" s="1004"/>
      <c r="M111" s="1004"/>
      <c r="N111" s="1004"/>
      <c r="O111" s="1004"/>
      <c r="P111" s="1004"/>
      <c r="Q111" s="1004"/>
      <c r="R111" s="1004"/>
      <c r="S111" s="1004"/>
      <c r="T111" s="1004"/>
      <c r="U111" s="1004"/>
      <c r="V111" s="1004"/>
      <c r="W111" s="1004"/>
      <c r="X111" s="1004"/>
      <c r="Y111" s="1004"/>
      <c r="Z111" s="1004"/>
      <c r="AA111" s="1004"/>
      <c r="AB111" s="1004"/>
      <c r="AC111" s="1004"/>
    </row>
    <row r="112" spans="1:29" s="929" customFormat="1" ht="10.9" customHeight="1">
      <c r="A112" s="1004"/>
      <c r="B112" s="1004"/>
      <c r="C112" s="1004"/>
      <c r="D112" s="1004"/>
      <c r="E112" s="1004"/>
      <c r="F112" s="1004"/>
      <c r="G112" s="1004"/>
      <c r="H112" s="1004"/>
      <c r="I112" s="1004"/>
      <c r="J112" s="1004"/>
      <c r="K112" s="1004"/>
      <c r="L112" s="1004"/>
      <c r="M112" s="1004"/>
      <c r="N112" s="1004"/>
      <c r="O112" s="1004"/>
      <c r="P112" s="1004"/>
      <c r="Q112" s="1004"/>
      <c r="R112" s="1004"/>
      <c r="S112" s="1004"/>
      <c r="T112" s="1004"/>
      <c r="U112" s="1004"/>
      <c r="V112" s="1004"/>
      <c r="W112" s="1004"/>
      <c r="X112" s="1004"/>
      <c r="Y112" s="1004"/>
      <c r="Z112" s="1004"/>
      <c r="AA112" s="1004"/>
      <c r="AB112" s="1004"/>
      <c r="AC112" s="1004"/>
    </row>
    <row r="113" spans="1:29" s="929" customFormat="1" ht="10.9" customHeight="1">
      <c r="A113" s="1004"/>
      <c r="B113" s="1004"/>
      <c r="C113" s="1004"/>
      <c r="D113" s="1004"/>
      <c r="E113" s="1004"/>
      <c r="F113" s="1004"/>
      <c r="G113" s="1004"/>
      <c r="H113" s="1004"/>
      <c r="I113" s="1004"/>
      <c r="J113" s="1004"/>
      <c r="K113" s="1004"/>
      <c r="L113" s="1004"/>
      <c r="M113" s="1004"/>
      <c r="N113" s="1004"/>
      <c r="O113" s="1004"/>
      <c r="P113" s="1004"/>
      <c r="Q113" s="1004"/>
      <c r="R113" s="1004"/>
      <c r="S113" s="1004"/>
      <c r="T113" s="1004"/>
      <c r="U113" s="1004"/>
      <c r="V113" s="1004"/>
      <c r="W113" s="1004"/>
      <c r="X113" s="1004"/>
      <c r="Y113" s="1004"/>
      <c r="Z113" s="1004"/>
      <c r="AA113" s="1004"/>
      <c r="AB113" s="1004"/>
      <c r="AC113" s="1004"/>
    </row>
    <row r="114" spans="1:29" s="929" customFormat="1" ht="10.9" customHeight="1">
      <c r="A114" s="1004"/>
      <c r="B114" s="1004"/>
      <c r="C114" s="1004"/>
      <c r="D114" s="1004"/>
      <c r="E114" s="1004"/>
      <c r="F114" s="1004"/>
      <c r="G114" s="1004"/>
      <c r="H114" s="1004"/>
      <c r="I114" s="1004"/>
      <c r="J114" s="1004"/>
      <c r="K114" s="1004"/>
      <c r="L114" s="1004"/>
      <c r="M114" s="1004"/>
      <c r="N114" s="1004"/>
      <c r="O114" s="1004"/>
      <c r="P114" s="1004"/>
      <c r="Q114" s="1004"/>
      <c r="R114" s="1004"/>
      <c r="S114" s="1004"/>
      <c r="T114" s="1004"/>
      <c r="U114" s="1004"/>
      <c r="V114" s="1004"/>
      <c r="W114" s="1004"/>
      <c r="X114" s="1004"/>
      <c r="Y114" s="1004"/>
      <c r="Z114" s="1004"/>
      <c r="AA114" s="1004"/>
      <c r="AB114" s="1004"/>
      <c r="AC114" s="1004"/>
    </row>
    <row r="115" spans="1:29" s="929" customFormat="1" ht="10.9" customHeight="1">
      <c r="A115" s="1004"/>
      <c r="B115" s="1004"/>
      <c r="C115" s="1004"/>
      <c r="D115" s="1004"/>
      <c r="E115" s="1004"/>
      <c r="F115" s="1004"/>
      <c r="G115" s="1004"/>
      <c r="H115" s="1004"/>
      <c r="I115" s="1004"/>
      <c r="J115" s="1004"/>
      <c r="K115" s="1004"/>
      <c r="L115" s="1004"/>
      <c r="M115" s="1004"/>
      <c r="N115" s="1004"/>
      <c r="O115" s="1004"/>
      <c r="P115" s="1004"/>
      <c r="Q115" s="1004"/>
      <c r="R115" s="1004"/>
      <c r="S115" s="1004"/>
      <c r="T115" s="1004"/>
      <c r="U115" s="1004"/>
      <c r="V115" s="1004"/>
      <c r="W115" s="1004"/>
      <c r="X115" s="1004"/>
      <c r="Y115" s="1004"/>
      <c r="Z115" s="1004"/>
      <c r="AA115" s="1004"/>
      <c r="AB115" s="1004"/>
      <c r="AC115" s="1004"/>
    </row>
    <row r="116" spans="1:29" s="929" customFormat="1" ht="10.9" customHeight="1">
      <c r="A116" s="1004"/>
      <c r="B116" s="1004"/>
      <c r="C116" s="1004"/>
      <c r="D116" s="1004"/>
      <c r="E116" s="1004"/>
      <c r="F116" s="1004"/>
      <c r="G116" s="1004"/>
      <c r="H116" s="1004"/>
      <c r="I116" s="1004"/>
      <c r="J116" s="1004"/>
      <c r="K116" s="1004"/>
      <c r="L116" s="1004"/>
      <c r="M116" s="1004"/>
      <c r="N116" s="1004"/>
      <c r="O116" s="1004"/>
      <c r="P116" s="1004"/>
      <c r="Q116" s="1004"/>
      <c r="R116" s="1004"/>
      <c r="S116" s="1004"/>
      <c r="T116" s="1004"/>
      <c r="U116" s="1004"/>
      <c r="V116" s="1004"/>
      <c r="W116" s="1004"/>
      <c r="X116" s="1004"/>
      <c r="Y116" s="1004"/>
      <c r="Z116" s="1004"/>
      <c r="AA116" s="1004"/>
      <c r="AB116" s="1004"/>
      <c r="AC116" s="1004"/>
    </row>
    <row r="117" spans="1:29" s="929" customFormat="1" ht="10.9" customHeight="1">
      <c r="A117" s="1004"/>
      <c r="B117" s="1004"/>
      <c r="C117" s="1004"/>
      <c r="D117" s="1004"/>
      <c r="E117" s="1004"/>
      <c r="F117" s="1004"/>
      <c r="G117" s="1004"/>
      <c r="H117" s="1004"/>
      <c r="I117" s="1004"/>
      <c r="J117" s="1004"/>
      <c r="K117" s="1004"/>
      <c r="L117" s="1004"/>
      <c r="M117" s="1004"/>
      <c r="N117" s="1004"/>
      <c r="O117" s="1004"/>
      <c r="P117" s="1004"/>
      <c r="Q117" s="1004"/>
      <c r="R117" s="1004"/>
      <c r="S117" s="1004"/>
      <c r="T117" s="1004"/>
      <c r="U117" s="1004"/>
      <c r="V117" s="1004"/>
      <c r="W117" s="1004"/>
      <c r="X117" s="1004"/>
      <c r="Y117" s="1004"/>
      <c r="Z117" s="1004"/>
      <c r="AA117" s="1004"/>
      <c r="AB117" s="1004"/>
      <c r="AC117" s="1004"/>
    </row>
    <row r="118" spans="1:29" s="929" customFormat="1" ht="10.9" customHeight="1">
      <c r="A118" s="1004"/>
      <c r="B118" s="1004"/>
      <c r="C118" s="1004"/>
      <c r="D118" s="1004"/>
      <c r="E118" s="1004"/>
      <c r="F118" s="1004"/>
      <c r="G118" s="1004"/>
      <c r="H118" s="1004"/>
      <c r="I118" s="1004"/>
      <c r="J118" s="1004"/>
      <c r="K118" s="1004"/>
      <c r="L118" s="1004"/>
      <c r="M118" s="1004"/>
      <c r="N118" s="1004"/>
      <c r="O118" s="1004"/>
      <c r="P118" s="1004"/>
      <c r="Q118" s="1004"/>
      <c r="R118" s="1004"/>
      <c r="S118" s="1004"/>
      <c r="T118" s="1004"/>
      <c r="U118" s="1004"/>
      <c r="V118" s="1004"/>
      <c r="W118" s="1004"/>
      <c r="X118" s="1004"/>
      <c r="Y118" s="1004"/>
      <c r="Z118" s="1004"/>
      <c r="AA118" s="1004"/>
      <c r="AB118" s="1004"/>
      <c r="AC118" s="1004"/>
    </row>
    <row r="119" spans="1:29" s="929" customFormat="1" ht="10.9" customHeight="1">
      <c r="A119" s="1004"/>
      <c r="B119" s="1004"/>
      <c r="C119" s="1004"/>
      <c r="D119" s="1004"/>
      <c r="E119" s="1004"/>
      <c r="F119" s="1004"/>
      <c r="G119" s="1004"/>
      <c r="H119" s="1004"/>
      <c r="I119" s="1004"/>
      <c r="J119" s="1004"/>
      <c r="K119" s="1004"/>
      <c r="L119" s="1004"/>
      <c r="M119" s="1004"/>
      <c r="N119" s="1004"/>
      <c r="O119" s="1004"/>
      <c r="P119" s="1004"/>
      <c r="Q119" s="1004"/>
      <c r="R119" s="1004"/>
      <c r="S119" s="1004"/>
      <c r="T119" s="1004"/>
      <c r="U119" s="1004"/>
      <c r="V119" s="1004"/>
      <c r="W119" s="1004"/>
      <c r="X119" s="1004"/>
      <c r="Y119" s="1004"/>
      <c r="Z119" s="1004"/>
      <c r="AA119" s="1004"/>
      <c r="AB119" s="1004"/>
      <c r="AC119" s="1004"/>
    </row>
    <row r="120" spans="1:29" s="929" customFormat="1" ht="10.9" customHeight="1">
      <c r="A120" s="1004"/>
      <c r="B120" s="1004"/>
      <c r="C120" s="1004"/>
      <c r="D120" s="1004"/>
      <c r="E120" s="1004"/>
      <c r="F120" s="1004"/>
      <c r="G120" s="1004"/>
      <c r="H120" s="1004"/>
      <c r="I120" s="1004"/>
      <c r="J120" s="1004"/>
      <c r="K120" s="1004"/>
      <c r="L120" s="1004"/>
      <c r="M120" s="1004"/>
      <c r="N120" s="1004"/>
      <c r="O120" s="1004"/>
      <c r="P120" s="1004"/>
      <c r="Q120" s="1004"/>
      <c r="R120" s="1004"/>
      <c r="S120" s="1004"/>
      <c r="T120" s="1004"/>
      <c r="U120" s="1004"/>
      <c r="V120" s="1004"/>
      <c r="W120" s="1004"/>
      <c r="X120" s="1004"/>
      <c r="Y120" s="1004"/>
      <c r="Z120" s="1004"/>
      <c r="AA120" s="1004"/>
      <c r="AB120" s="1004"/>
      <c r="AC120" s="1004"/>
    </row>
    <row r="121" spans="1:29" s="929" customFormat="1" ht="10.9" customHeight="1">
      <c r="A121" s="1004"/>
      <c r="B121" s="1004"/>
      <c r="C121" s="1004"/>
      <c r="D121" s="1004"/>
      <c r="E121" s="1004"/>
      <c r="F121" s="1004"/>
      <c r="G121" s="1004"/>
      <c r="H121" s="1004"/>
      <c r="I121" s="1004"/>
      <c r="J121" s="1004"/>
      <c r="K121" s="1004"/>
      <c r="L121" s="1004"/>
      <c r="M121" s="1004"/>
      <c r="N121" s="1004"/>
      <c r="O121" s="1004"/>
      <c r="P121" s="1004"/>
      <c r="Q121" s="1004"/>
      <c r="R121" s="1004"/>
      <c r="S121" s="1004"/>
      <c r="T121" s="1004"/>
      <c r="U121" s="1004"/>
      <c r="V121" s="1004"/>
      <c r="W121" s="1004"/>
      <c r="X121" s="1004"/>
      <c r="Y121" s="1004"/>
      <c r="Z121" s="1004"/>
      <c r="AA121" s="1004"/>
      <c r="AB121" s="1004"/>
      <c r="AC121" s="1004"/>
    </row>
    <row r="122" spans="1:29" s="929" customFormat="1" ht="10.9" customHeight="1">
      <c r="A122" s="1004"/>
      <c r="B122" s="1004"/>
      <c r="C122" s="1004"/>
      <c r="D122" s="1004"/>
      <c r="E122" s="1004"/>
      <c r="F122" s="1004"/>
      <c r="G122" s="1004"/>
      <c r="H122" s="1004"/>
      <c r="I122" s="1004"/>
      <c r="J122" s="1004"/>
      <c r="K122" s="1004"/>
      <c r="L122" s="1004"/>
      <c r="M122" s="1004"/>
      <c r="N122" s="1004"/>
      <c r="O122" s="1004"/>
      <c r="P122" s="1004"/>
      <c r="Q122" s="1004"/>
      <c r="R122" s="1004"/>
      <c r="S122" s="1004"/>
      <c r="T122" s="1004"/>
      <c r="U122" s="1004"/>
      <c r="V122" s="1004"/>
      <c r="W122" s="1004"/>
      <c r="X122" s="1004"/>
      <c r="Y122" s="1004"/>
      <c r="Z122" s="1004"/>
      <c r="AA122" s="1004"/>
      <c r="AB122" s="1004"/>
      <c r="AC122" s="1004"/>
    </row>
    <row r="123" spans="1:29" s="929" customFormat="1" ht="10.9" customHeight="1">
      <c r="A123" s="1004"/>
      <c r="B123" s="1004"/>
      <c r="C123" s="1004"/>
      <c r="D123" s="1004"/>
      <c r="E123" s="1004"/>
      <c r="F123" s="1004"/>
      <c r="G123" s="1004"/>
      <c r="H123" s="1004"/>
      <c r="I123" s="1004"/>
      <c r="J123" s="1004"/>
      <c r="K123" s="1004"/>
      <c r="L123" s="1004"/>
      <c r="M123" s="1004"/>
      <c r="N123" s="1004"/>
      <c r="O123" s="1004"/>
      <c r="P123" s="1004"/>
      <c r="Q123" s="1004"/>
      <c r="R123" s="1004"/>
      <c r="S123" s="1004"/>
      <c r="T123" s="1004"/>
      <c r="U123" s="1004"/>
      <c r="V123" s="1004"/>
      <c r="W123" s="1004"/>
      <c r="X123" s="1004"/>
      <c r="Y123" s="1004"/>
      <c r="Z123" s="1004"/>
      <c r="AA123" s="1004"/>
      <c r="AB123" s="1004"/>
      <c r="AC123" s="1004"/>
    </row>
    <row r="124" spans="1:29" s="929" customFormat="1" ht="10.9" customHeight="1">
      <c r="A124" s="1004"/>
      <c r="B124" s="1004"/>
      <c r="C124" s="1004"/>
      <c r="D124" s="1004"/>
      <c r="E124" s="1004"/>
      <c r="F124" s="1004"/>
      <c r="G124" s="1004"/>
      <c r="H124" s="1004"/>
      <c r="I124" s="1004"/>
      <c r="J124" s="1004"/>
      <c r="K124" s="1004"/>
      <c r="L124" s="1004"/>
      <c r="M124" s="1004"/>
      <c r="N124" s="1004"/>
      <c r="O124" s="1004"/>
      <c r="P124" s="1004"/>
      <c r="Q124" s="1004"/>
      <c r="R124" s="1004"/>
      <c r="S124" s="1004"/>
      <c r="T124" s="1004"/>
      <c r="U124" s="1004"/>
      <c r="V124" s="1004"/>
      <c r="W124" s="1004"/>
      <c r="X124" s="1004"/>
      <c r="Y124" s="1004"/>
      <c r="Z124" s="1004"/>
      <c r="AA124" s="1004"/>
      <c r="AB124" s="1004"/>
      <c r="AC124" s="1004"/>
    </row>
    <row r="125" spans="1:29" s="929" customFormat="1" ht="10.9" customHeight="1">
      <c r="A125" s="1004"/>
      <c r="B125" s="1004"/>
      <c r="C125" s="1004"/>
      <c r="D125" s="1004"/>
      <c r="E125" s="1004"/>
      <c r="F125" s="1004"/>
      <c r="G125" s="1004"/>
      <c r="H125" s="1004"/>
      <c r="I125" s="1004"/>
      <c r="J125" s="1004"/>
      <c r="K125" s="1004"/>
      <c r="L125" s="1004"/>
      <c r="M125" s="1004"/>
      <c r="N125" s="1004"/>
      <c r="O125" s="1004"/>
      <c r="P125" s="1004"/>
      <c r="Q125" s="1004"/>
      <c r="R125" s="1004"/>
      <c r="S125" s="1004"/>
      <c r="T125" s="1004"/>
      <c r="U125" s="1004"/>
      <c r="V125" s="1004"/>
      <c r="W125" s="1004"/>
      <c r="X125" s="1004"/>
      <c r="Y125" s="1004"/>
      <c r="Z125" s="1004"/>
      <c r="AA125" s="1004"/>
      <c r="AB125" s="1004"/>
      <c r="AC125" s="1004"/>
    </row>
    <row r="126" spans="1:29" s="929" customFormat="1" ht="10.9" customHeight="1">
      <c r="A126" s="1004"/>
      <c r="B126" s="1004"/>
      <c r="C126" s="1004"/>
      <c r="D126" s="1004"/>
      <c r="E126" s="1004"/>
      <c r="F126" s="1004"/>
      <c r="G126" s="1004"/>
      <c r="H126" s="1004"/>
      <c r="I126" s="1004"/>
      <c r="J126" s="1004"/>
      <c r="K126" s="1004"/>
      <c r="L126" s="1004"/>
      <c r="M126" s="1004"/>
      <c r="N126" s="1004"/>
      <c r="O126" s="1004"/>
      <c r="P126" s="1004"/>
      <c r="Q126" s="1004"/>
      <c r="R126" s="1004"/>
      <c r="S126" s="1004"/>
      <c r="T126" s="1004"/>
      <c r="U126" s="1004"/>
      <c r="V126" s="1004"/>
      <c r="W126" s="1004"/>
      <c r="X126" s="1004"/>
      <c r="Y126" s="1004"/>
      <c r="Z126" s="1004"/>
      <c r="AA126" s="1004"/>
      <c r="AB126" s="1004"/>
      <c r="AC126" s="1004"/>
    </row>
    <row r="127" spans="1:29" s="929" customFormat="1" ht="10.9" customHeight="1">
      <c r="A127" s="1004"/>
      <c r="B127" s="1004"/>
      <c r="C127" s="1004"/>
      <c r="D127" s="1004"/>
      <c r="E127" s="1004"/>
      <c r="F127" s="1004"/>
      <c r="G127" s="1004"/>
      <c r="H127" s="1004"/>
      <c r="I127" s="1004"/>
      <c r="J127" s="1004"/>
      <c r="K127" s="1004"/>
      <c r="L127" s="1004"/>
      <c r="M127" s="1004"/>
      <c r="N127" s="1004"/>
      <c r="O127" s="1004"/>
      <c r="P127" s="1004"/>
      <c r="Q127" s="1004"/>
      <c r="R127" s="1004"/>
      <c r="S127" s="1004"/>
      <c r="T127" s="1004"/>
      <c r="U127" s="1004"/>
      <c r="V127" s="1004"/>
      <c r="W127" s="1004"/>
      <c r="X127" s="1004"/>
      <c r="Y127" s="1004"/>
      <c r="Z127" s="1004"/>
      <c r="AA127" s="1004"/>
      <c r="AB127" s="1004"/>
      <c r="AC127" s="1004"/>
    </row>
    <row r="128" spans="1:29" s="929" customFormat="1" ht="10.9" customHeight="1">
      <c r="A128" s="1004"/>
      <c r="B128" s="1004"/>
      <c r="C128" s="1004"/>
      <c r="D128" s="1004"/>
      <c r="E128" s="1004"/>
      <c r="F128" s="1004"/>
      <c r="G128" s="1004"/>
      <c r="H128" s="1004"/>
      <c r="I128" s="1004"/>
      <c r="J128" s="1004"/>
      <c r="K128" s="1004"/>
      <c r="L128" s="1004"/>
      <c r="M128" s="1004"/>
      <c r="N128" s="1004"/>
      <c r="O128" s="1004"/>
      <c r="P128" s="1004"/>
      <c r="Q128" s="1004"/>
      <c r="R128" s="1004"/>
      <c r="S128" s="1004"/>
      <c r="T128" s="1004"/>
      <c r="U128" s="1004"/>
      <c r="V128" s="1004"/>
      <c r="W128" s="1004"/>
      <c r="X128" s="1004"/>
      <c r="Y128" s="1004"/>
      <c r="Z128" s="1004"/>
      <c r="AA128" s="1004"/>
      <c r="AB128" s="1004"/>
      <c r="AC128" s="1004"/>
    </row>
    <row r="129" spans="1:29" s="929" customFormat="1" ht="10.9" customHeight="1">
      <c r="A129" s="1004"/>
      <c r="B129" s="1004"/>
      <c r="C129" s="1004"/>
      <c r="D129" s="1004"/>
      <c r="E129" s="1004"/>
      <c r="F129" s="1004"/>
      <c r="G129" s="1004"/>
      <c r="H129" s="1004"/>
      <c r="I129" s="1004"/>
      <c r="J129" s="1004"/>
      <c r="K129" s="1004"/>
      <c r="L129" s="1004"/>
      <c r="M129" s="1004"/>
      <c r="N129" s="1004"/>
      <c r="O129" s="1004"/>
      <c r="P129" s="1004"/>
      <c r="Q129" s="1004"/>
      <c r="R129" s="1004"/>
      <c r="S129" s="1004"/>
      <c r="T129" s="1004"/>
      <c r="U129" s="1004"/>
      <c r="V129" s="1004"/>
      <c r="W129" s="1004"/>
      <c r="X129" s="1004"/>
      <c r="Y129" s="1004"/>
      <c r="Z129" s="1004"/>
      <c r="AA129" s="1004"/>
      <c r="AB129" s="1004"/>
      <c r="AC129" s="1004"/>
    </row>
    <row r="130" spans="1:29" s="929" customFormat="1" ht="10.9" customHeight="1">
      <c r="V130" s="1005"/>
      <c r="W130" s="1005"/>
    </row>
    <row r="131" spans="1:29" s="929" customFormat="1" ht="10.9" customHeight="1">
      <c r="V131" s="1005"/>
      <c r="W131" s="1005"/>
    </row>
    <row r="132" spans="1:29" s="929" customFormat="1" ht="10.9" customHeight="1">
      <c r="V132" s="1005"/>
      <c r="W132" s="1005"/>
    </row>
    <row r="133" spans="1:29" s="929" customFormat="1" ht="10.9" customHeight="1">
      <c r="V133" s="1005"/>
      <c r="W133" s="1005"/>
    </row>
    <row r="134" spans="1:29" s="929" customFormat="1" ht="10.9" customHeight="1">
      <c r="V134" s="1005"/>
      <c r="W134" s="1005"/>
    </row>
    <row r="135" spans="1:29" s="929" customFormat="1" ht="10.9" customHeight="1">
      <c r="V135" s="1005"/>
      <c r="W135" s="1005"/>
      <c r="Y135" s="1006"/>
      <c r="Z135" s="1006"/>
      <c r="AA135" s="1006"/>
      <c r="AB135" s="1006"/>
      <c r="AC135" s="1006"/>
    </row>
    <row r="136" spans="1:29" ht="0.95" customHeight="1"/>
    <row r="137" spans="1:29">
      <c r="B137" s="1007"/>
    </row>
  </sheetData>
  <mergeCells count="3">
    <mergeCell ref="U13:V13"/>
    <mergeCell ref="U14:V14"/>
    <mergeCell ref="U15:V15"/>
  </mergeCells>
  <pageMargins left="0.75" right="0.75" top="1" bottom="1" header="0.5" footer="0.5"/>
  <pageSetup scale="53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B1:I18"/>
  <sheetViews>
    <sheetView showGridLines="0" workbookViewId="0">
      <selection activeCell="G16" sqref="A3:G16"/>
    </sheetView>
  </sheetViews>
  <sheetFormatPr defaultRowHeight="12.75"/>
  <cols>
    <col min="1" max="1" width="1.85546875" customWidth="1"/>
    <col min="2" max="2" width="37.42578125" customWidth="1"/>
    <col min="3" max="3" width="14" customWidth="1"/>
    <col min="4" max="4" width="15.140625" customWidth="1"/>
    <col min="5" max="6" width="14.7109375" customWidth="1"/>
    <col min="7" max="7" width="10.42578125" customWidth="1"/>
  </cols>
  <sheetData>
    <row r="1" spans="2:9" ht="9.75" customHeight="1"/>
    <row r="2" spans="2:9">
      <c r="B2" s="1168"/>
      <c r="C2" s="1169"/>
      <c r="D2" s="1169"/>
      <c r="E2" s="1169"/>
      <c r="F2" s="1169"/>
      <c r="G2" s="848"/>
      <c r="H2" s="848"/>
      <c r="I2" s="848"/>
    </row>
    <row r="3" spans="2:9">
      <c r="B3" s="1168" t="s">
        <v>756</v>
      </c>
      <c r="C3" s="1169"/>
      <c r="D3" s="1169"/>
      <c r="E3" s="1169"/>
      <c r="F3" s="1169"/>
      <c r="G3" s="1017"/>
      <c r="H3" s="1017"/>
      <c r="I3" s="1017"/>
    </row>
    <row r="4" spans="2:9" s="224" customFormat="1" ht="38.25" customHeight="1">
      <c r="B4" s="1044" t="s">
        <v>745</v>
      </c>
      <c r="C4" s="1172" t="s">
        <v>757</v>
      </c>
      <c r="D4" s="1172" t="s">
        <v>758</v>
      </c>
      <c r="E4" s="1170" t="s">
        <v>759</v>
      </c>
      <c r="F4" s="1171"/>
      <c r="G4" s="1166" t="s">
        <v>762</v>
      </c>
      <c r="H4" s="1010"/>
      <c r="I4" s="1010"/>
    </row>
    <row r="5" spans="2:9" s="224" customFormat="1" ht="12.75" customHeight="1">
      <c r="B5" s="1048"/>
      <c r="C5" s="1173"/>
      <c r="D5" s="1173"/>
      <c r="E5" s="1049" t="s">
        <v>1</v>
      </c>
      <c r="F5" s="1050" t="s">
        <v>2</v>
      </c>
      <c r="G5" s="1167"/>
      <c r="H5" s="1010"/>
      <c r="I5" s="1010"/>
    </row>
    <row r="6" spans="2:9" s="224" customFormat="1" ht="12.75" customHeight="1">
      <c r="B6" s="1045" t="s">
        <v>747</v>
      </c>
      <c r="C6" s="1046">
        <v>1256.0999999999999</v>
      </c>
      <c r="D6" s="1046">
        <v>1145.8</v>
      </c>
      <c r="E6" s="1047">
        <f>D6-C6</f>
        <v>-110.29999999999995</v>
      </c>
      <c r="F6" s="1051">
        <f>+E6/C6</f>
        <v>-8.7811479977708745E-2</v>
      </c>
      <c r="G6" s="1057">
        <f>-Budget!AD25</f>
        <v>8.4459669129457127E-2</v>
      </c>
      <c r="H6" s="1010"/>
      <c r="I6" s="1010"/>
    </row>
    <row r="7" spans="2:9">
      <c r="B7" s="1009" t="s">
        <v>748</v>
      </c>
      <c r="C7" s="1013">
        <v>375.1</v>
      </c>
      <c r="D7" s="1013">
        <v>336.5</v>
      </c>
      <c r="E7" s="1013">
        <f>D7-C7</f>
        <v>-38.600000000000023</v>
      </c>
      <c r="F7" s="1052">
        <f>+E7/C7</f>
        <v>-0.10290589176219681</v>
      </c>
      <c r="G7" s="1057">
        <f>-Budget!AD26</f>
        <v>0.11623439000960616</v>
      </c>
    </row>
    <row r="8" spans="2:9">
      <c r="B8" s="1009" t="s">
        <v>639</v>
      </c>
      <c r="C8" s="1013">
        <v>718.7</v>
      </c>
      <c r="D8" s="1013">
        <v>674.1</v>
      </c>
      <c r="E8" s="1013">
        <f t="shared" ref="E8:E15" si="0">D8-C8</f>
        <v>-44.600000000000023</v>
      </c>
      <c r="F8" s="1052">
        <f t="shared" ref="F8:F15" si="1">+E8/C8</f>
        <v>-6.2056490886322556E-2</v>
      </c>
      <c r="G8" s="1057">
        <f>-Budget!AD27</f>
        <v>0.10104580939755486</v>
      </c>
    </row>
    <row r="9" spans="2:9">
      <c r="B9" s="1009" t="s">
        <v>749</v>
      </c>
      <c r="C9" s="1013">
        <v>685.6</v>
      </c>
      <c r="D9" s="1013">
        <v>636.29999999999995</v>
      </c>
      <c r="E9" s="1013">
        <f t="shared" si="0"/>
        <v>-49.300000000000068</v>
      </c>
      <c r="F9" s="1052">
        <f t="shared" si="1"/>
        <v>-7.1907817969661711E-2</v>
      </c>
      <c r="G9" s="1057">
        <f>-Budget!AD28</f>
        <v>0.10050251256281408</v>
      </c>
    </row>
    <row r="10" spans="2:9">
      <c r="B10" s="1009" t="s">
        <v>750</v>
      </c>
      <c r="C10" s="1013">
        <v>605.79999999999995</v>
      </c>
      <c r="D10" s="1013">
        <v>552.20000000000005</v>
      </c>
      <c r="E10" s="1013">
        <f t="shared" si="0"/>
        <v>-53.599999999999909</v>
      </c>
      <c r="F10" s="1052">
        <f t="shared" si="1"/>
        <v>-8.8478045559590476E-2</v>
      </c>
      <c r="G10" s="1057">
        <f>-Budget!AD29</f>
        <v>8.4788732394366198E-2</v>
      </c>
    </row>
    <row r="11" spans="2:9">
      <c r="B11" s="1009" t="s">
        <v>751</v>
      </c>
      <c r="C11" s="1013">
        <v>551.79999999999995</v>
      </c>
      <c r="D11" s="1013">
        <v>529.4</v>
      </c>
      <c r="E11" s="1013">
        <f t="shared" si="0"/>
        <v>-22.399999999999977</v>
      </c>
      <c r="F11" s="1052">
        <f t="shared" si="1"/>
        <v>-4.0594418267488185E-2</v>
      </c>
      <c r="G11" s="1057">
        <f>-Budget!AD30</f>
        <v>0.12221198156682027</v>
      </c>
    </row>
    <row r="12" spans="2:9">
      <c r="B12" s="1009" t="s">
        <v>752</v>
      </c>
      <c r="C12" s="1013">
        <v>1231.5</v>
      </c>
      <c r="D12" s="1013">
        <v>1119.0999999999999</v>
      </c>
      <c r="E12" s="1013">
        <f t="shared" si="0"/>
        <v>-112.40000000000009</v>
      </c>
      <c r="F12" s="1052">
        <f t="shared" si="1"/>
        <v>-9.1270807957775146E-2</v>
      </c>
      <c r="G12" s="1057">
        <f>-Budget!AD31</f>
        <v>0.10154816892114812</v>
      </c>
    </row>
    <row r="13" spans="2:9">
      <c r="B13" s="1009" t="s">
        <v>642</v>
      </c>
      <c r="C13" s="1013">
        <v>663.4</v>
      </c>
      <c r="D13" s="1013">
        <v>615.9</v>
      </c>
      <c r="E13" s="1013">
        <f t="shared" si="0"/>
        <v>-47.5</v>
      </c>
      <c r="F13" s="1052">
        <f t="shared" si="1"/>
        <v>-7.1600844136267716E-2</v>
      </c>
      <c r="G13" s="1057">
        <f>-Budget!AD32</f>
        <v>9.8634544256979276E-2</v>
      </c>
    </row>
    <row r="14" spans="2:9">
      <c r="B14" s="1009" t="s">
        <v>753</v>
      </c>
      <c r="C14" s="1013">
        <v>885</v>
      </c>
      <c r="D14" s="1013">
        <v>828.74</v>
      </c>
      <c r="E14" s="1013">
        <f t="shared" si="0"/>
        <v>-56.259999999999991</v>
      </c>
      <c r="F14" s="1052">
        <f t="shared" si="1"/>
        <v>-6.3570621468926544E-2</v>
      </c>
      <c r="G14" s="1057">
        <f>-Budget!AD33</f>
        <v>8.0247621231227792E-2</v>
      </c>
    </row>
    <row r="15" spans="2:9">
      <c r="B15" s="331" t="s">
        <v>754</v>
      </c>
      <c r="C15" s="1014">
        <v>297.2</v>
      </c>
      <c r="D15" s="1014">
        <v>249.34</v>
      </c>
      <c r="E15" s="1014">
        <f t="shared" si="0"/>
        <v>-47.859999999999985</v>
      </c>
      <c r="F15" s="1053">
        <f t="shared" si="1"/>
        <v>-0.16103633916554505</v>
      </c>
      <c r="G15" s="1059">
        <f>-Budget!AD34</f>
        <v>0.18638087368894174</v>
      </c>
    </row>
    <row r="16" spans="2:9">
      <c r="B16" s="1015" t="s">
        <v>696</v>
      </c>
      <c r="C16" s="1016">
        <f>SUM(C6:C15)</f>
        <v>7270.1999999999989</v>
      </c>
      <c r="D16" s="1016">
        <f>SUM(D6:D15)</f>
        <v>6687.3799999999992</v>
      </c>
      <c r="E16" s="1016">
        <f>SUM(E6:E15)</f>
        <v>-582.82000000000005</v>
      </c>
      <c r="F16" s="1054">
        <f>E16/C16</f>
        <v>-8.0165607548623161E-2</v>
      </c>
      <c r="G16" s="1058">
        <v>0.1</v>
      </c>
    </row>
    <row r="17" spans="3:6">
      <c r="C17" s="1011"/>
      <c r="D17" s="1011"/>
      <c r="E17" s="1011"/>
      <c r="F17" s="1011"/>
    </row>
    <row r="18" spans="3:6">
      <c r="C18" s="1012"/>
      <c r="D18" s="1012"/>
      <c r="E18" s="1012"/>
      <c r="F18" s="1012"/>
    </row>
  </sheetData>
  <mergeCells count="6">
    <mergeCell ref="G4:G5"/>
    <mergeCell ref="B2:F2"/>
    <mergeCell ref="B3:F3"/>
    <mergeCell ref="E4:F4"/>
    <mergeCell ref="C4:C5"/>
    <mergeCell ref="D4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548"/>
  <sheetViews>
    <sheetView showGridLines="0" workbookViewId="0">
      <selection activeCell="K13" sqref="B3:K13"/>
    </sheetView>
  </sheetViews>
  <sheetFormatPr defaultRowHeight="12.75"/>
  <cols>
    <col min="1" max="2" width="2.28515625" style="461" customWidth="1"/>
    <col min="3" max="3" width="24" style="461" customWidth="1"/>
    <col min="4" max="4" width="12.42578125" style="461" customWidth="1"/>
    <col min="5" max="6" width="12.42578125" style="461" hidden="1" customWidth="1"/>
    <col min="7" max="7" width="12.140625" style="461" customWidth="1"/>
    <col min="8" max="8" width="14" style="461" customWidth="1"/>
    <col min="9" max="9" width="12.28515625" style="461" customWidth="1"/>
    <col min="10" max="11" width="12.140625" style="463" customWidth="1"/>
    <col min="12" max="12" width="3" style="461" customWidth="1"/>
    <col min="13" max="256" width="9.140625" style="461"/>
    <col min="257" max="258" width="2.28515625" style="461" customWidth="1"/>
    <col min="259" max="259" width="37.7109375" style="461" customWidth="1"/>
    <col min="260" max="260" width="12.42578125" style="461" customWidth="1"/>
    <col min="261" max="262" width="0" style="461" hidden="1" customWidth="1"/>
    <col min="263" max="263" width="12.140625" style="461" customWidth="1"/>
    <col min="264" max="264" width="11" style="461" customWidth="1"/>
    <col min="265" max="265" width="9.140625" style="461"/>
    <col min="266" max="267" width="12.140625" style="461" customWidth="1"/>
    <col min="268" max="268" width="3" style="461" customWidth="1"/>
    <col min="269" max="512" width="9.140625" style="461"/>
    <col min="513" max="514" width="2.28515625" style="461" customWidth="1"/>
    <col min="515" max="515" width="37.7109375" style="461" customWidth="1"/>
    <col min="516" max="516" width="12.42578125" style="461" customWidth="1"/>
    <col min="517" max="518" width="0" style="461" hidden="1" customWidth="1"/>
    <col min="519" max="519" width="12.140625" style="461" customWidth="1"/>
    <col min="520" max="520" width="11" style="461" customWidth="1"/>
    <col min="521" max="521" width="9.140625" style="461"/>
    <col min="522" max="523" width="12.140625" style="461" customWidth="1"/>
    <col min="524" max="524" width="3" style="461" customWidth="1"/>
    <col min="525" max="768" width="9.140625" style="461"/>
    <col min="769" max="770" width="2.28515625" style="461" customWidth="1"/>
    <col min="771" max="771" width="37.7109375" style="461" customWidth="1"/>
    <col min="772" max="772" width="12.42578125" style="461" customWidth="1"/>
    <col min="773" max="774" width="0" style="461" hidden="1" customWidth="1"/>
    <col min="775" max="775" width="12.140625" style="461" customWidth="1"/>
    <col min="776" max="776" width="11" style="461" customWidth="1"/>
    <col min="777" max="777" width="9.140625" style="461"/>
    <col min="778" max="779" width="12.140625" style="461" customWidth="1"/>
    <col min="780" max="780" width="3" style="461" customWidth="1"/>
    <col min="781" max="1024" width="9.140625" style="461"/>
    <col min="1025" max="1026" width="2.28515625" style="461" customWidth="1"/>
    <col min="1027" max="1027" width="37.7109375" style="461" customWidth="1"/>
    <col min="1028" max="1028" width="12.42578125" style="461" customWidth="1"/>
    <col min="1029" max="1030" width="0" style="461" hidden="1" customWidth="1"/>
    <col min="1031" max="1031" width="12.140625" style="461" customWidth="1"/>
    <col min="1032" max="1032" width="11" style="461" customWidth="1"/>
    <col min="1033" max="1033" width="9.140625" style="461"/>
    <col min="1034" max="1035" width="12.140625" style="461" customWidth="1"/>
    <col min="1036" max="1036" width="3" style="461" customWidth="1"/>
    <col min="1037" max="1280" width="9.140625" style="461"/>
    <col min="1281" max="1282" width="2.28515625" style="461" customWidth="1"/>
    <col min="1283" max="1283" width="37.7109375" style="461" customWidth="1"/>
    <col min="1284" max="1284" width="12.42578125" style="461" customWidth="1"/>
    <col min="1285" max="1286" width="0" style="461" hidden="1" customWidth="1"/>
    <col min="1287" max="1287" width="12.140625" style="461" customWidth="1"/>
    <col min="1288" max="1288" width="11" style="461" customWidth="1"/>
    <col min="1289" max="1289" width="9.140625" style="461"/>
    <col min="1290" max="1291" width="12.140625" style="461" customWidth="1"/>
    <col min="1292" max="1292" width="3" style="461" customWidth="1"/>
    <col min="1293" max="1536" width="9.140625" style="461"/>
    <col min="1537" max="1538" width="2.28515625" style="461" customWidth="1"/>
    <col min="1539" max="1539" width="37.7109375" style="461" customWidth="1"/>
    <col min="1540" max="1540" width="12.42578125" style="461" customWidth="1"/>
    <col min="1541" max="1542" width="0" style="461" hidden="1" customWidth="1"/>
    <col min="1543" max="1543" width="12.140625" style="461" customWidth="1"/>
    <col min="1544" max="1544" width="11" style="461" customWidth="1"/>
    <col min="1545" max="1545" width="9.140625" style="461"/>
    <col min="1546" max="1547" width="12.140625" style="461" customWidth="1"/>
    <col min="1548" max="1548" width="3" style="461" customWidth="1"/>
    <col min="1549" max="1792" width="9.140625" style="461"/>
    <col min="1793" max="1794" width="2.28515625" style="461" customWidth="1"/>
    <col min="1795" max="1795" width="37.7109375" style="461" customWidth="1"/>
    <col min="1796" max="1796" width="12.42578125" style="461" customWidth="1"/>
    <col min="1797" max="1798" width="0" style="461" hidden="1" customWidth="1"/>
    <col min="1799" max="1799" width="12.140625" style="461" customWidth="1"/>
    <col min="1800" max="1800" width="11" style="461" customWidth="1"/>
    <col min="1801" max="1801" width="9.140625" style="461"/>
    <col min="1802" max="1803" width="12.140625" style="461" customWidth="1"/>
    <col min="1804" max="1804" width="3" style="461" customWidth="1"/>
    <col min="1805" max="2048" width="9.140625" style="461"/>
    <col min="2049" max="2050" width="2.28515625" style="461" customWidth="1"/>
    <col min="2051" max="2051" width="37.7109375" style="461" customWidth="1"/>
    <col min="2052" max="2052" width="12.42578125" style="461" customWidth="1"/>
    <col min="2053" max="2054" width="0" style="461" hidden="1" customWidth="1"/>
    <col min="2055" max="2055" width="12.140625" style="461" customWidth="1"/>
    <col min="2056" max="2056" width="11" style="461" customWidth="1"/>
    <col min="2057" max="2057" width="9.140625" style="461"/>
    <col min="2058" max="2059" width="12.140625" style="461" customWidth="1"/>
    <col min="2060" max="2060" width="3" style="461" customWidth="1"/>
    <col min="2061" max="2304" width="9.140625" style="461"/>
    <col min="2305" max="2306" width="2.28515625" style="461" customWidth="1"/>
    <col min="2307" max="2307" width="37.7109375" style="461" customWidth="1"/>
    <col min="2308" max="2308" width="12.42578125" style="461" customWidth="1"/>
    <col min="2309" max="2310" width="0" style="461" hidden="1" customWidth="1"/>
    <col min="2311" max="2311" width="12.140625" style="461" customWidth="1"/>
    <col min="2312" max="2312" width="11" style="461" customWidth="1"/>
    <col min="2313" max="2313" width="9.140625" style="461"/>
    <col min="2314" max="2315" width="12.140625" style="461" customWidth="1"/>
    <col min="2316" max="2316" width="3" style="461" customWidth="1"/>
    <col min="2317" max="2560" width="9.140625" style="461"/>
    <col min="2561" max="2562" width="2.28515625" style="461" customWidth="1"/>
    <col min="2563" max="2563" width="37.7109375" style="461" customWidth="1"/>
    <col min="2564" max="2564" width="12.42578125" style="461" customWidth="1"/>
    <col min="2565" max="2566" width="0" style="461" hidden="1" customWidth="1"/>
    <col min="2567" max="2567" width="12.140625" style="461" customWidth="1"/>
    <col min="2568" max="2568" width="11" style="461" customWidth="1"/>
    <col min="2569" max="2569" width="9.140625" style="461"/>
    <col min="2570" max="2571" width="12.140625" style="461" customWidth="1"/>
    <col min="2572" max="2572" width="3" style="461" customWidth="1"/>
    <col min="2573" max="2816" width="9.140625" style="461"/>
    <col min="2817" max="2818" width="2.28515625" style="461" customWidth="1"/>
    <col min="2819" max="2819" width="37.7109375" style="461" customWidth="1"/>
    <col min="2820" max="2820" width="12.42578125" style="461" customWidth="1"/>
    <col min="2821" max="2822" width="0" style="461" hidden="1" customWidth="1"/>
    <col min="2823" max="2823" width="12.140625" style="461" customWidth="1"/>
    <col min="2824" max="2824" width="11" style="461" customWidth="1"/>
    <col min="2825" max="2825" width="9.140625" style="461"/>
    <col min="2826" max="2827" width="12.140625" style="461" customWidth="1"/>
    <col min="2828" max="2828" width="3" style="461" customWidth="1"/>
    <col min="2829" max="3072" width="9.140625" style="461"/>
    <col min="3073" max="3074" width="2.28515625" style="461" customWidth="1"/>
    <col min="3075" max="3075" width="37.7109375" style="461" customWidth="1"/>
    <col min="3076" max="3076" width="12.42578125" style="461" customWidth="1"/>
    <col min="3077" max="3078" width="0" style="461" hidden="1" customWidth="1"/>
    <col min="3079" max="3079" width="12.140625" style="461" customWidth="1"/>
    <col min="3080" max="3080" width="11" style="461" customWidth="1"/>
    <col min="3081" max="3081" width="9.140625" style="461"/>
    <col min="3082" max="3083" width="12.140625" style="461" customWidth="1"/>
    <col min="3084" max="3084" width="3" style="461" customWidth="1"/>
    <col min="3085" max="3328" width="9.140625" style="461"/>
    <col min="3329" max="3330" width="2.28515625" style="461" customWidth="1"/>
    <col min="3331" max="3331" width="37.7109375" style="461" customWidth="1"/>
    <col min="3332" max="3332" width="12.42578125" style="461" customWidth="1"/>
    <col min="3333" max="3334" width="0" style="461" hidden="1" customWidth="1"/>
    <col min="3335" max="3335" width="12.140625" style="461" customWidth="1"/>
    <col min="3336" max="3336" width="11" style="461" customWidth="1"/>
    <col min="3337" max="3337" width="9.140625" style="461"/>
    <col min="3338" max="3339" width="12.140625" style="461" customWidth="1"/>
    <col min="3340" max="3340" width="3" style="461" customWidth="1"/>
    <col min="3341" max="3584" width="9.140625" style="461"/>
    <col min="3585" max="3586" width="2.28515625" style="461" customWidth="1"/>
    <col min="3587" max="3587" width="37.7109375" style="461" customWidth="1"/>
    <col min="3588" max="3588" width="12.42578125" style="461" customWidth="1"/>
    <col min="3589" max="3590" width="0" style="461" hidden="1" customWidth="1"/>
    <col min="3591" max="3591" width="12.140625" style="461" customWidth="1"/>
    <col min="3592" max="3592" width="11" style="461" customWidth="1"/>
    <col min="3593" max="3593" width="9.140625" style="461"/>
    <col min="3594" max="3595" width="12.140625" style="461" customWidth="1"/>
    <col min="3596" max="3596" width="3" style="461" customWidth="1"/>
    <col min="3597" max="3840" width="9.140625" style="461"/>
    <col min="3841" max="3842" width="2.28515625" style="461" customWidth="1"/>
    <col min="3843" max="3843" width="37.7109375" style="461" customWidth="1"/>
    <col min="3844" max="3844" width="12.42578125" style="461" customWidth="1"/>
    <col min="3845" max="3846" width="0" style="461" hidden="1" customWidth="1"/>
    <col min="3847" max="3847" width="12.140625" style="461" customWidth="1"/>
    <col min="3848" max="3848" width="11" style="461" customWidth="1"/>
    <col min="3849" max="3849" width="9.140625" style="461"/>
    <col min="3850" max="3851" width="12.140625" style="461" customWidth="1"/>
    <col min="3852" max="3852" width="3" style="461" customWidth="1"/>
    <col min="3853" max="4096" width="9.140625" style="461"/>
    <col min="4097" max="4098" width="2.28515625" style="461" customWidth="1"/>
    <col min="4099" max="4099" width="37.7109375" style="461" customWidth="1"/>
    <col min="4100" max="4100" width="12.42578125" style="461" customWidth="1"/>
    <col min="4101" max="4102" width="0" style="461" hidden="1" customWidth="1"/>
    <col min="4103" max="4103" width="12.140625" style="461" customWidth="1"/>
    <col min="4104" max="4104" width="11" style="461" customWidth="1"/>
    <col min="4105" max="4105" width="9.140625" style="461"/>
    <col min="4106" max="4107" width="12.140625" style="461" customWidth="1"/>
    <col min="4108" max="4108" width="3" style="461" customWidth="1"/>
    <col min="4109" max="4352" width="9.140625" style="461"/>
    <col min="4353" max="4354" width="2.28515625" style="461" customWidth="1"/>
    <col min="4355" max="4355" width="37.7109375" style="461" customWidth="1"/>
    <col min="4356" max="4356" width="12.42578125" style="461" customWidth="1"/>
    <col min="4357" max="4358" width="0" style="461" hidden="1" customWidth="1"/>
    <col min="4359" max="4359" width="12.140625" style="461" customWidth="1"/>
    <col min="4360" max="4360" width="11" style="461" customWidth="1"/>
    <col min="4361" max="4361" width="9.140625" style="461"/>
    <col min="4362" max="4363" width="12.140625" style="461" customWidth="1"/>
    <col min="4364" max="4364" width="3" style="461" customWidth="1"/>
    <col min="4365" max="4608" width="9.140625" style="461"/>
    <col min="4609" max="4610" width="2.28515625" style="461" customWidth="1"/>
    <col min="4611" max="4611" width="37.7109375" style="461" customWidth="1"/>
    <col min="4612" max="4612" width="12.42578125" style="461" customWidth="1"/>
    <col min="4613" max="4614" width="0" style="461" hidden="1" customWidth="1"/>
    <col min="4615" max="4615" width="12.140625" style="461" customWidth="1"/>
    <col min="4616" max="4616" width="11" style="461" customWidth="1"/>
    <col min="4617" max="4617" width="9.140625" style="461"/>
    <col min="4618" max="4619" width="12.140625" style="461" customWidth="1"/>
    <col min="4620" max="4620" width="3" style="461" customWidth="1"/>
    <col min="4621" max="4864" width="9.140625" style="461"/>
    <col min="4865" max="4866" width="2.28515625" style="461" customWidth="1"/>
    <col min="4867" max="4867" width="37.7109375" style="461" customWidth="1"/>
    <col min="4868" max="4868" width="12.42578125" style="461" customWidth="1"/>
    <col min="4869" max="4870" width="0" style="461" hidden="1" customWidth="1"/>
    <col min="4871" max="4871" width="12.140625" style="461" customWidth="1"/>
    <col min="4872" max="4872" width="11" style="461" customWidth="1"/>
    <col min="4873" max="4873" width="9.140625" style="461"/>
    <col min="4874" max="4875" width="12.140625" style="461" customWidth="1"/>
    <col min="4876" max="4876" width="3" style="461" customWidth="1"/>
    <col min="4877" max="5120" width="9.140625" style="461"/>
    <col min="5121" max="5122" width="2.28515625" style="461" customWidth="1"/>
    <col min="5123" max="5123" width="37.7109375" style="461" customWidth="1"/>
    <col min="5124" max="5124" width="12.42578125" style="461" customWidth="1"/>
    <col min="5125" max="5126" width="0" style="461" hidden="1" customWidth="1"/>
    <col min="5127" max="5127" width="12.140625" style="461" customWidth="1"/>
    <col min="5128" max="5128" width="11" style="461" customWidth="1"/>
    <col min="5129" max="5129" width="9.140625" style="461"/>
    <col min="5130" max="5131" width="12.140625" style="461" customWidth="1"/>
    <col min="5132" max="5132" width="3" style="461" customWidth="1"/>
    <col min="5133" max="5376" width="9.140625" style="461"/>
    <col min="5377" max="5378" width="2.28515625" style="461" customWidth="1"/>
    <col min="5379" max="5379" width="37.7109375" style="461" customWidth="1"/>
    <col min="5380" max="5380" width="12.42578125" style="461" customWidth="1"/>
    <col min="5381" max="5382" width="0" style="461" hidden="1" customWidth="1"/>
    <col min="5383" max="5383" width="12.140625" style="461" customWidth="1"/>
    <col min="5384" max="5384" width="11" style="461" customWidth="1"/>
    <col min="5385" max="5385" width="9.140625" style="461"/>
    <col min="5386" max="5387" width="12.140625" style="461" customWidth="1"/>
    <col min="5388" max="5388" width="3" style="461" customWidth="1"/>
    <col min="5389" max="5632" width="9.140625" style="461"/>
    <col min="5633" max="5634" width="2.28515625" style="461" customWidth="1"/>
    <col min="5635" max="5635" width="37.7109375" style="461" customWidth="1"/>
    <col min="5636" max="5636" width="12.42578125" style="461" customWidth="1"/>
    <col min="5637" max="5638" width="0" style="461" hidden="1" customWidth="1"/>
    <col min="5639" max="5639" width="12.140625" style="461" customWidth="1"/>
    <col min="5640" max="5640" width="11" style="461" customWidth="1"/>
    <col min="5641" max="5641" width="9.140625" style="461"/>
    <col min="5642" max="5643" width="12.140625" style="461" customWidth="1"/>
    <col min="5644" max="5644" width="3" style="461" customWidth="1"/>
    <col min="5645" max="5888" width="9.140625" style="461"/>
    <col min="5889" max="5890" width="2.28515625" style="461" customWidth="1"/>
    <col min="5891" max="5891" width="37.7109375" style="461" customWidth="1"/>
    <col min="5892" max="5892" width="12.42578125" style="461" customWidth="1"/>
    <col min="5893" max="5894" width="0" style="461" hidden="1" customWidth="1"/>
    <col min="5895" max="5895" width="12.140625" style="461" customWidth="1"/>
    <col min="5896" max="5896" width="11" style="461" customWidth="1"/>
    <col min="5897" max="5897" width="9.140625" style="461"/>
    <col min="5898" max="5899" width="12.140625" style="461" customWidth="1"/>
    <col min="5900" max="5900" width="3" style="461" customWidth="1"/>
    <col min="5901" max="6144" width="9.140625" style="461"/>
    <col min="6145" max="6146" width="2.28515625" style="461" customWidth="1"/>
    <col min="6147" max="6147" width="37.7109375" style="461" customWidth="1"/>
    <col min="6148" max="6148" width="12.42578125" style="461" customWidth="1"/>
    <col min="6149" max="6150" width="0" style="461" hidden="1" customWidth="1"/>
    <col min="6151" max="6151" width="12.140625" style="461" customWidth="1"/>
    <col min="6152" max="6152" width="11" style="461" customWidth="1"/>
    <col min="6153" max="6153" width="9.140625" style="461"/>
    <col min="6154" max="6155" width="12.140625" style="461" customWidth="1"/>
    <col min="6156" max="6156" width="3" style="461" customWidth="1"/>
    <col min="6157" max="6400" width="9.140625" style="461"/>
    <col min="6401" max="6402" width="2.28515625" style="461" customWidth="1"/>
    <col min="6403" max="6403" width="37.7109375" style="461" customWidth="1"/>
    <col min="6404" max="6404" width="12.42578125" style="461" customWidth="1"/>
    <col min="6405" max="6406" width="0" style="461" hidden="1" customWidth="1"/>
    <col min="6407" max="6407" width="12.140625" style="461" customWidth="1"/>
    <col min="6408" max="6408" width="11" style="461" customWidth="1"/>
    <col min="6409" max="6409" width="9.140625" style="461"/>
    <col min="6410" max="6411" width="12.140625" style="461" customWidth="1"/>
    <col min="6412" max="6412" width="3" style="461" customWidth="1"/>
    <col min="6413" max="6656" width="9.140625" style="461"/>
    <col min="6657" max="6658" width="2.28515625" style="461" customWidth="1"/>
    <col min="6659" max="6659" width="37.7109375" style="461" customWidth="1"/>
    <col min="6660" max="6660" width="12.42578125" style="461" customWidth="1"/>
    <col min="6661" max="6662" width="0" style="461" hidden="1" customWidth="1"/>
    <col min="6663" max="6663" width="12.140625" style="461" customWidth="1"/>
    <col min="6664" max="6664" width="11" style="461" customWidth="1"/>
    <col min="6665" max="6665" width="9.140625" style="461"/>
    <col min="6666" max="6667" width="12.140625" style="461" customWidth="1"/>
    <col min="6668" max="6668" width="3" style="461" customWidth="1"/>
    <col min="6669" max="6912" width="9.140625" style="461"/>
    <col min="6913" max="6914" width="2.28515625" style="461" customWidth="1"/>
    <col min="6915" max="6915" width="37.7109375" style="461" customWidth="1"/>
    <col min="6916" max="6916" width="12.42578125" style="461" customWidth="1"/>
    <col min="6917" max="6918" width="0" style="461" hidden="1" customWidth="1"/>
    <col min="6919" max="6919" width="12.140625" style="461" customWidth="1"/>
    <col min="6920" max="6920" width="11" style="461" customWidth="1"/>
    <col min="6921" max="6921" width="9.140625" style="461"/>
    <col min="6922" max="6923" width="12.140625" style="461" customWidth="1"/>
    <col min="6924" max="6924" width="3" style="461" customWidth="1"/>
    <col min="6925" max="7168" width="9.140625" style="461"/>
    <col min="7169" max="7170" width="2.28515625" style="461" customWidth="1"/>
    <col min="7171" max="7171" width="37.7109375" style="461" customWidth="1"/>
    <col min="7172" max="7172" width="12.42578125" style="461" customWidth="1"/>
    <col min="7173" max="7174" width="0" style="461" hidden="1" customWidth="1"/>
    <col min="7175" max="7175" width="12.140625" style="461" customWidth="1"/>
    <col min="7176" max="7176" width="11" style="461" customWidth="1"/>
    <col min="7177" max="7177" width="9.140625" style="461"/>
    <col min="7178" max="7179" width="12.140625" style="461" customWidth="1"/>
    <col min="7180" max="7180" width="3" style="461" customWidth="1"/>
    <col min="7181" max="7424" width="9.140625" style="461"/>
    <col min="7425" max="7426" width="2.28515625" style="461" customWidth="1"/>
    <col min="7427" max="7427" width="37.7109375" style="461" customWidth="1"/>
    <col min="7428" max="7428" width="12.42578125" style="461" customWidth="1"/>
    <col min="7429" max="7430" width="0" style="461" hidden="1" customWidth="1"/>
    <col min="7431" max="7431" width="12.140625" style="461" customWidth="1"/>
    <col min="7432" max="7432" width="11" style="461" customWidth="1"/>
    <col min="7433" max="7433" width="9.140625" style="461"/>
    <col min="7434" max="7435" width="12.140625" style="461" customWidth="1"/>
    <col min="7436" max="7436" width="3" style="461" customWidth="1"/>
    <col min="7437" max="7680" width="9.140625" style="461"/>
    <col min="7681" max="7682" width="2.28515625" style="461" customWidth="1"/>
    <col min="7683" max="7683" width="37.7109375" style="461" customWidth="1"/>
    <col min="7684" max="7684" width="12.42578125" style="461" customWidth="1"/>
    <col min="7685" max="7686" width="0" style="461" hidden="1" customWidth="1"/>
    <col min="7687" max="7687" width="12.140625" style="461" customWidth="1"/>
    <col min="7688" max="7688" width="11" style="461" customWidth="1"/>
    <col min="7689" max="7689" width="9.140625" style="461"/>
    <col min="7690" max="7691" width="12.140625" style="461" customWidth="1"/>
    <col min="7692" max="7692" width="3" style="461" customWidth="1"/>
    <col min="7693" max="7936" width="9.140625" style="461"/>
    <col min="7937" max="7938" width="2.28515625" style="461" customWidth="1"/>
    <col min="7939" max="7939" width="37.7109375" style="461" customWidth="1"/>
    <col min="7940" max="7940" width="12.42578125" style="461" customWidth="1"/>
    <col min="7941" max="7942" width="0" style="461" hidden="1" customWidth="1"/>
    <col min="7943" max="7943" width="12.140625" style="461" customWidth="1"/>
    <col min="7944" max="7944" width="11" style="461" customWidth="1"/>
    <col min="7945" max="7945" width="9.140625" style="461"/>
    <col min="7946" max="7947" width="12.140625" style="461" customWidth="1"/>
    <col min="7948" max="7948" width="3" style="461" customWidth="1"/>
    <col min="7949" max="8192" width="9.140625" style="461"/>
    <col min="8193" max="8194" width="2.28515625" style="461" customWidth="1"/>
    <col min="8195" max="8195" width="37.7109375" style="461" customWidth="1"/>
    <col min="8196" max="8196" width="12.42578125" style="461" customWidth="1"/>
    <col min="8197" max="8198" width="0" style="461" hidden="1" customWidth="1"/>
    <col min="8199" max="8199" width="12.140625" style="461" customWidth="1"/>
    <col min="8200" max="8200" width="11" style="461" customWidth="1"/>
    <col min="8201" max="8201" width="9.140625" style="461"/>
    <col min="8202" max="8203" width="12.140625" style="461" customWidth="1"/>
    <col min="8204" max="8204" width="3" style="461" customWidth="1"/>
    <col min="8205" max="8448" width="9.140625" style="461"/>
    <col min="8449" max="8450" width="2.28515625" style="461" customWidth="1"/>
    <col min="8451" max="8451" width="37.7109375" style="461" customWidth="1"/>
    <col min="8452" max="8452" width="12.42578125" style="461" customWidth="1"/>
    <col min="8453" max="8454" width="0" style="461" hidden="1" customWidth="1"/>
    <col min="8455" max="8455" width="12.140625" style="461" customWidth="1"/>
    <col min="8456" max="8456" width="11" style="461" customWidth="1"/>
    <col min="8457" max="8457" width="9.140625" style="461"/>
    <col min="8458" max="8459" width="12.140625" style="461" customWidth="1"/>
    <col min="8460" max="8460" width="3" style="461" customWidth="1"/>
    <col min="8461" max="8704" width="9.140625" style="461"/>
    <col min="8705" max="8706" width="2.28515625" style="461" customWidth="1"/>
    <col min="8707" max="8707" width="37.7109375" style="461" customWidth="1"/>
    <col min="8708" max="8708" width="12.42578125" style="461" customWidth="1"/>
    <col min="8709" max="8710" width="0" style="461" hidden="1" customWidth="1"/>
    <col min="8711" max="8711" width="12.140625" style="461" customWidth="1"/>
    <col min="8712" max="8712" width="11" style="461" customWidth="1"/>
    <col min="8713" max="8713" width="9.140625" style="461"/>
    <col min="8714" max="8715" width="12.140625" style="461" customWidth="1"/>
    <col min="8716" max="8716" width="3" style="461" customWidth="1"/>
    <col min="8717" max="8960" width="9.140625" style="461"/>
    <col min="8961" max="8962" width="2.28515625" style="461" customWidth="1"/>
    <col min="8963" max="8963" width="37.7109375" style="461" customWidth="1"/>
    <col min="8964" max="8964" width="12.42578125" style="461" customWidth="1"/>
    <col min="8965" max="8966" width="0" style="461" hidden="1" customWidth="1"/>
    <col min="8967" max="8967" width="12.140625" style="461" customWidth="1"/>
    <col min="8968" max="8968" width="11" style="461" customWidth="1"/>
    <col min="8969" max="8969" width="9.140625" style="461"/>
    <col min="8970" max="8971" width="12.140625" style="461" customWidth="1"/>
    <col min="8972" max="8972" width="3" style="461" customWidth="1"/>
    <col min="8973" max="9216" width="9.140625" style="461"/>
    <col min="9217" max="9218" width="2.28515625" style="461" customWidth="1"/>
    <col min="9219" max="9219" width="37.7109375" style="461" customWidth="1"/>
    <col min="9220" max="9220" width="12.42578125" style="461" customWidth="1"/>
    <col min="9221" max="9222" width="0" style="461" hidden="1" customWidth="1"/>
    <col min="9223" max="9223" width="12.140625" style="461" customWidth="1"/>
    <col min="9224" max="9224" width="11" style="461" customWidth="1"/>
    <col min="9225" max="9225" width="9.140625" style="461"/>
    <col min="9226" max="9227" width="12.140625" style="461" customWidth="1"/>
    <col min="9228" max="9228" width="3" style="461" customWidth="1"/>
    <col min="9229" max="9472" width="9.140625" style="461"/>
    <col min="9473" max="9474" width="2.28515625" style="461" customWidth="1"/>
    <col min="9475" max="9475" width="37.7109375" style="461" customWidth="1"/>
    <col min="9476" max="9476" width="12.42578125" style="461" customWidth="1"/>
    <col min="9477" max="9478" width="0" style="461" hidden="1" customWidth="1"/>
    <col min="9479" max="9479" width="12.140625" style="461" customWidth="1"/>
    <col min="9480" max="9480" width="11" style="461" customWidth="1"/>
    <col min="9481" max="9481" width="9.140625" style="461"/>
    <col min="9482" max="9483" width="12.140625" style="461" customWidth="1"/>
    <col min="9484" max="9484" width="3" style="461" customWidth="1"/>
    <col min="9485" max="9728" width="9.140625" style="461"/>
    <col min="9729" max="9730" width="2.28515625" style="461" customWidth="1"/>
    <col min="9731" max="9731" width="37.7109375" style="461" customWidth="1"/>
    <col min="9732" max="9732" width="12.42578125" style="461" customWidth="1"/>
    <col min="9733" max="9734" width="0" style="461" hidden="1" customWidth="1"/>
    <col min="9735" max="9735" width="12.140625" style="461" customWidth="1"/>
    <col min="9736" max="9736" width="11" style="461" customWidth="1"/>
    <col min="9737" max="9737" width="9.140625" style="461"/>
    <col min="9738" max="9739" width="12.140625" style="461" customWidth="1"/>
    <col min="9740" max="9740" width="3" style="461" customWidth="1"/>
    <col min="9741" max="9984" width="9.140625" style="461"/>
    <col min="9985" max="9986" width="2.28515625" style="461" customWidth="1"/>
    <col min="9987" max="9987" width="37.7109375" style="461" customWidth="1"/>
    <col min="9988" max="9988" width="12.42578125" style="461" customWidth="1"/>
    <col min="9989" max="9990" width="0" style="461" hidden="1" customWidth="1"/>
    <col min="9991" max="9991" width="12.140625" style="461" customWidth="1"/>
    <col min="9992" max="9992" width="11" style="461" customWidth="1"/>
    <col min="9993" max="9993" width="9.140625" style="461"/>
    <col min="9994" max="9995" width="12.140625" style="461" customWidth="1"/>
    <col min="9996" max="9996" width="3" style="461" customWidth="1"/>
    <col min="9997" max="10240" width="9.140625" style="461"/>
    <col min="10241" max="10242" width="2.28515625" style="461" customWidth="1"/>
    <col min="10243" max="10243" width="37.7109375" style="461" customWidth="1"/>
    <col min="10244" max="10244" width="12.42578125" style="461" customWidth="1"/>
    <col min="10245" max="10246" width="0" style="461" hidden="1" customWidth="1"/>
    <col min="10247" max="10247" width="12.140625" style="461" customWidth="1"/>
    <col min="10248" max="10248" width="11" style="461" customWidth="1"/>
    <col min="10249" max="10249" width="9.140625" style="461"/>
    <col min="10250" max="10251" width="12.140625" style="461" customWidth="1"/>
    <col min="10252" max="10252" width="3" style="461" customWidth="1"/>
    <col min="10253" max="10496" width="9.140625" style="461"/>
    <col min="10497" max="10498" width="2.28515625" style="461" customWidth="1"/>
    <col min="10499" max="10499" width="37.7109375" style="461" customWidth="1"/>
    <col min="10500" max="10500" width="12.42578125" style="461" customWidth="1"/>
    <col min="10501" max="10502" width="0" style="461" hidden="1" customWidth="1"/>
    <col min="10503" max="10503" width="12.140625" style="461" customWidth="1"/>
    <col min="10504" max="10504" width="11" style="461" customWidth="1"/>
    <col min="10505" max="10505" width="9.140625" style="461"/>
    <col min="10506" max="10507" width="12.140625" style="461" customWidth="1"/>
    <col min="10508" max="10508" width="3" style="461" customWidth="1"/>
    <col min="10509" max="10752" width="9.140625" style="461"/>
    <col min="10753" max="10754" width="2.28515625" style="461" customWidth="1"/>
    <col min="10755" max="10755" width="37.7109375" style="461" customWidth="1"/>
    <col min="10756" max="10756" width="12.42578125" style="461" customWidth="1"/>
    <col min="10757" max="10758" width="0" style="461" hidden="1" customWidth="1"/>
    <col min="10759" max="10759" width="12.140625" style="461" customWidth="1"/>
    <col min="10760" max="10760" width="11" style="461" customWidth="1"/>
    <col min="10761" max="10761" width="9.140625" style="461"/>
    <col min="10762" max="10763" width="12.140625" style="461" customWidth="1"/>
    <col min="10764" max="10764" width="3" style="461" customWidth="1"/>
    <col min="10765" max="11008" width="9.140625" style="461"/>
    <col min="11009" max="11010" width="2.28515625" style="461" customWidth="1"/>
    <col min="11011" max="11011" width="37.7109375" style="461" customWidth="1"/>
    <col min="11012" max="11012" width="12.42578125" style="461" customWidth="1"/>
    <col min="11013" max="11014" width="0" style="461" hidden="1" customWidth="1"/>
    <col min="11015" max="11015" width="12.140625" style="461" customWidth="1"/>
    <col min="11016" max="11016" width="11" style="461" customWidth="1"/>
    <col min="11017" max="11017" width="9.140625" style="461"/>
    <col min="11018" max="11019" width="12.140625" style="461" customWidth="1"/>
    <col min="11020" max="11020" width="3" style="461" customWidth="1"/>
    <col min="11021" max="11264" width="9.140625" style="461"/>
    <col min="11265" max="11266" width="2.28515625" style="461" customWidth="1"/>
    <col min="11267" max="11267" width="37.7109375" style="461" customWidth="1"/>
    <col min="11268" max="11268" width="12.42578125" style="461" customWidth="1"/>
    <col min="11269" max="11270" width="0" style="461" hidden="1" customWidth="1"/>
    <col min="11271" max="11271" width="12.140625" style="461" customWidth="1"/>
    <col min="11272" max="11272" width="11" style="461" customWidth="1"/>
    <col min="11273" max="11273" width="9.140625" style="461"/>
    <col min="11274" max="11275" width="12.140625" style="461" customWidth="1"/>
    <col min="11276" max="11276" width="3" style="461" customWidth="1"/>
    <col min="11277" max="11520" width="9.140625" style="461"/>
    <col min="11521" max="11522" width="2.28515625" style="461" customWidth="1"/>
    <col min="11523" max="11523" width="37.7109375" style="461" customWidth="1"/>
    <col min="11524" max="11524" width="12.42578125" style="461" customWidth="1"/>
    <col min="11525" max="11526" width="0" style="461" hidden="1" customWidth="1"/>
    <col min="11527" max="11527" width="12.140625" style="461" customWidth="1"/>
    <col min="11528" max="11528" width="11" style="461" customWidth="1"/>
    <col min="11529" max="11529" width="9.140625" style="461"/>
    <col min="11530" max="11531" width="12.140625" style="461" customWidth="1"/>
    <col min="11532" max="11532" width="3" style="461" customWidth="1"/>
    <col min="11533" max="11776" width="9.140625" style="461"/>
    <col min="11777" max="11778" width="2.28515625" style="461" customWidth="1"/>
    <col min="11779" max="11779" width="37.7109375" style="461" customWidth="1"/>
    <col min="11780" max="11780" width="12.42578125" style="461" customWidth="1"/>
    <col min="11781" max="11782" width="0" style="461" hidden="1" customWidth="1"/>
    <col min="11783" max="11783" width="12.140625" style="461" customWidth="1"/>
    <col min="11784" max="11784" width="11" style="461" customWidth="1"/>
    <col min="11785" max="11785" width="9.140625" style="461"/>
    <col min="11786" max="11787" width="12.140625" style="461" customWidth="1"/>
    <col min="11788" max="11788" width="3" style="461" customWidth="1"/>
    <col min="11789" max="12032" width="9.140625" style="461"/>
    <col min="12033" max="12034" width="2.28515625" style="461" customWidth="1"/>
    <col min="12035" max="12035" width="37.7109375" style="461" customWidth="1"/>
    <col min="12036" max="12036" width="12.42578125" style="461" customWidth="1"/>
    <col min="12037" max="12038" width="0" style="461" hidden="1" customWidth="1"/>
    <col min="12039" max="12039" width="12.140625" style="461" customWidth="1"/>
    <col min="12040" max="12040" width="11" style="461" customWidth="1"/>
    <col min="12041" max="12041" width="9.140625" style="461"/>
    <col min="12042" max="12043" width="12.140625" style="461" customWidth="1"/>
    <col min="12044" max="12044" width="3" style="461" customWidth="1"/>
    <col min="12045" max="12288" width="9.140625" style="461"/>
    <col min="12289" max="12290" width="2.28515625" style="461" customWidth="1"/>
    <col min="12291" max="12291" width="37.7109375" style="461" customWidth="1"/>
    <col min="12292" max="12292" width="12.42578125" style="461" customWidth="1"/>
    <col min="12293" max="12294" width="0" style="461" hidden="1" customWidth="1"/>
    <col min="12295" max="12295" width="12.140625" style="461" customWidth="1"/>
    <col min="12296" max="12296" width="11" style="461" customWidth="1"/>
    <col min="12297" max="12297" width="9.140625" style="461"/>
    <col min="12298" max="12299" width="12.140625" style="461" customWidth="1"/>
    <col min="12300" max="12300" width="3" style="461" customWidth="1"/>
    <col min="12301" max="12544" width="9.140625" style="461"/>
    <col min="12545" max="12546" width="2.28515625" style="461" customWidth="1"/>
    <col min="12547" max="12547" width="37.7109375" style="461" customWidth="1"/>
    <col min="12548" max="12548" width="12.42578125" style="461" customWidth="1"/>
    <col min="12549" max="12550" width="0" style="461" hidden="1" customWidth="1"/>
    <col min="12551" max="12551" width="12.140625" style="461" customWidth="1"/>
    <col min="12552" max="12552" width="11" style="461" customWidth="1"/>
    <col min="12553" max="12553" width="9.140625" style="461"/>
    <col min="12554" max="12555" width="12.140625" style="461" customWidth="1"/>
    <col min="12556" max="12556" width="3" style="461" customWidth="1"/>
    <col min="12557" max="12800" width="9.140625" style="461"/>
    <col min="12801" max="12802" width="2.28515625" style="461" customWidth="1"/>
    <col min="12803" max="12803" width="37.7109375" style="461" customWidth="1"/>
    <col min="12804" max="12804" width="12.42578125" style="461" customWidth="1"/>
    <col min="12805" max="12806" width="0" style="461" hidden="1" customWidth="1"/>
    <col min="12807" max="12807" width="12.140625" style="461" customWidth="1"/>
    <col min="12808" max="12808" width="11" style="461" customWidth="1"/>
    <col min="12809" max="12809" width="9.140625" style="461"/>
    <col min="12810" max="12811" width="12.140625" style="461" customWidth="1"/>
    <col min="12812" max="12812" width="3" style="461" customWidth="1"/>
    <col min="12813" max="13056" width="9.140625" style="461"/>
    <col min="13057" max="13058" width="2.28515625" style="461" customWidth="1"/>
    <col min="13059" max="13059" width="37.7109375" style="461" customWidth="1"/>
    <col min="13060" max="13060" width="12.42578125" style="461" customWidth="1"/>
    <col min="13061" max="13062" width="0" style="461" hidden="1" customWidth="1"/>
    <col min="13063" max="13063" width="12.140625" style="461" customWidth="1"/>
    <col min="13064" max="13064" width="11" style="461" customWidth="1"/>
    <col min="13065" max="13065" width="9.140625" style="461"/>
    <col min="13066" max="13067" width="12.140625" style="461" customWidth="1"/>
    <col min="13068" max="13068" width="3" style="461" customWidth="1"/>
    <col min="13069" max="13312" width="9.140625" style="461"/>
    <col min="13313" max="13314" width="2.28515625" style="461" customWidth="1"/>
    <col min="13315" max="13315" width="37.7109375" style="461" customWidth="1"/>
    <col min="13316" max="13316" width="12.42578125" style="461" customWidth="1"/>
    <col min="13317" max="13318" width="0" style="461" hidden="1" customWidth="1"/>
    <col min="13319" max="13319" width="12.140625" style="461" customWidth="1"/>
    <col min="13320" max="13320" width="11" style="461" customWidth="1"/>
    <col min="13321" max="13321" width="9.140625" style="461"/>
    <col min="13322" max="13323" width="12.140625" style="461" customWidth="1"/>
    <col min="13324" max="13324" width="3" style="461" customWidth="1"/>
    <col min="13325" max="13568" width="9.140625" style="461"/>
    <col min="13569" max="13570" width="2.28515625" style="461" customWidth="1"/>
    <col min="13571" max="13571" width="37.7109375" style="461" customWidth="1"/>
    <col min="13572" max="13572" width="12.42578125" style="461" customWidth="1"/>
    <col min="13573" max="13574" width="0" style="461" hidden="1" customWidth="1"/>
    <col min="13575" max="13575" width="12.140625" style="461" customWidth="1"/>
    <col min="13576" max="13576" width="11" style="461" customWidth="1"/>
    <col min="13577" max="13577" width="9.140625" style="461"/>
    <col min="13578" max="13579" width="12.140625" style="461" customWidth="1"/>
    <col min="13580" max="13580" width="3" style="461" customWidth="1"/>
    <col min="13581" max="13824" width="9.140625" style="461"/>
    <col min="13825" max="13826" width="2.28515625" style="461" customWidth="1"/>
    <col min="13827" max="13827" width="37.7109375" style="461" customWidth="1"/>
    <col min="13828" max="13828" width="12.42578125" style="461" customWidth="1"/>
    <col min="13829" max="13830" width="0" style="461" hidden="1" customWidth="1"/>
    <col min="13831" max="13831" width="12.140625" style="461" customWidth="1"/>
    <col min="13832" max="13832" width="11" style="461" customWidth="1"/>
    <col min="13833" max="13833" width="9.140625" style="461"/>
    <col min="13834" max="13835" width="12.140625" style="461" customWidth="1"/>
    <col min="13836" max="13836" width="3" style="461" customWidth="1"/>
    <col min="13837" max="14080" width="9.140625" style="461"/>
    <col min="14081" max="14082" width="2.28515625" style="461" customWidth="1"/>
    <col min="14083" max="14083" width="37.7109375" style="461" customWidth="1"/>
    <col min="14084" max="14084" width="12.42578125" style="461" customWidth="1"/>
    <col min="14085" max="14086" width="0" style="461" hidden="1" customWidth="1"/>
    <col min="14087" max="14087" width="12.140625" style="461" customWidth="1"/>
    <col min="14088" max="14088" width="11" style="461" customWidth="1"/>
    <col min="14089" max="14089" width="9.140625" style="461"/>
    <col min="14090" max="14091" width="12.140625" style="461" customWidth="1"/>
    <col min="14092" max="14092" width="3" style="461" customWidth="1"/>
    <col min="14093" max="14336" width="9.140625" style="461"/>
    <col min="14337" max="14338" width="2.28515625" style="461" customWidth="1"/>
    <col min="14339" max="14339" width="37.7109375" style="461" customWidth="1"/>
    <col min="14340" max="14340" width="12.42578125" style="461" customWidth="1"/>
    <col min="14341" max="14342" width="0" style="461" hidden="1" customWidth="1"/>
    <col min="14343" max="14343" width="12.140625" style="461" customWidth="1"/>
    <col min="14344" max="14344" width="11" style="461" customWidth="1"/>
    <col min="14345" max="14345" width="9.140625" style="461"/>
    <col min="14346" max="14347" width="12.140625" style="461" customWidth="1"/>
    <col min="14348" max="14348" width="3" style="461" customWidth="1"/>
    <col min="14349" max="14592" width="9.140625" style="461"/>
    <col min="14593" max="14594" width="2.28515625" style="461" customWidth="1"/>
    <col min="14595" max="14595" width="37.7109375" style="461" customWidth="1"/>
    <col min="14596" max="14596" width="12.42578125" style="461" customWidth="1"/>
    <col min="14597" max="14598" width="0" style="461" hidden="1" customWidth="1"/>
    <col min="14599" max="14599" width="12.140625" style="461" customWidth="1"/>
    <col min="14600" max="14600" width="11" style="461" customWidth="1"/>
    <col min="14601" max="14601" width="9.140625" style="461"/>
    <col min="14602" max="14603" width="12.140625" style="461" customWidth="1"/>
    <col min="14604" max="14604" width="3" style="461" customWidth="1"/>
    <col min="14605" max="14848" width="9.140625" style="461"/>
    <col min="14849" max="14850" width="2.28515625" style="461" customWidth="1"/>
    <col min="14851" max="14851" width="37.7109375" style="461" customWidth="1"/>
    <col min="14852" max="14852" width="12.42578125" style="461" customWidth="1"/>
    <col min="14853" max="14854" width="0" style="461" hidden="1" customWidth="1"/>
    <col min="14855" max="14855" width="12.140625" style="461" customWidth="1"/>
    <col min="14856" max="14856" width="11" style="461" customWidth="1"/>
    <col min="14857" max="14857" width="9.140625" style="461"/>
    <col min="14858" max="14859" width="12.140625" style="461" customWidth="1"/>
    <col min="14860" max="14860" width="3" style="461" customWidth="1"/>
    <col min="14861" max="15104" width="9.140625" style="461"/>
    <col min="15105" max="15106" width="2.28515625" style="461" customWidth="1"/>
    <col min="15107" max="15107" width="37.7109375" style="461" customWidth="1"/>
    <col min="15108" max="15108" width="12.42578125" style="461" customWidth="1"/>
    <col min="15109" max="15110" width="0" style="461" hidden="1" customWidth="1"/>
    <col min="15111" max="15111" width="12.140625" style="461" customWidth="1"/>
    <col min="15112" max="15112" width="11" style="461" customWidth="1"/>
    <col min="15113" max="15113" width="9.140625" style="461"/>
    <col min="15114" max="15115" width="12.140625" style="461" customWidth="1"/>
    <col min="15116" max="15116" width="3" style="461" customWidth="1"/>
    <col min="15117" max="15360" width="9.140625" style="461"/>
    <col min="15361" max="15362" width="2.28515625" style="461" customWidth="1"/>
    <col min="15363" max="15363" width="37.7109375" style="461" customWidth="1"/>
    <col min="15364" max="15364" width="12.42578125" style="461" customWidth="1"/>
    <col min="15365" max="15366" width="0" style="461" hidden="1" customWidth="1"/>
    <col min="15367" max="15367" width="12.140625" style="461" customWidth="1"/>
    <col min="15368" max="15368" width="11" style="461" customWidth="1"/>
    <col min="15369" max="15369" width="9.140625" style="461"/>
    <col min="15370" max="15371" width="12.140625" style="461" customWidth="1"/>
    <col min="15372" max="15372" width="3" style="461" customWidth="1"/>
    <col min="15373" max="15616" width="9.140625" style="461"/>
    <col min="15617" max="15618" width="2.28515625" style="461" customWidth="1"/>
    <col min="15619" max="15619" width="37.7109375" style="461" customWidth="1"/>
    <col min="15620" max="15620" width="12.42578125" style="461" customWidth="1"/>
    <col min="15621" max="15622" width="0" style="461" hidden="1" customWidth="1"/>
    <col min="15623" max="15623" width="12.140625" style="461" customWidth="1"/>
    <col min="15624" max="15624" width="11" style="461" customWidth="1"/>
    <col min="15625" max="15625" width="9.140625" style="461"/>
    <col min="15626" max="15627" width="12.140625" style="461" customWidth="1"/>
    <col min="15628" max="15628" width="3" style="461" customWidth="1"/>
    <col min="15629" max="15872" width="9.140625" style="461"/>
    <col min="15873" max="15874" width="2.28515625" style="461" customWidth="1"/>
    <col min="15875" max="15875" width="37.7109375" style="461" customWidth="1"/>
    <col min="15876" max="15876" width="12.42578125" style="461" customWidth="1"/>
    <col min="15877" max="15878" width="0" style="461" hidden="1" customWidth="1"/>
    <col min="15879" max="15879" width="12.140625" style="461" customWidth="1"/>
    <col min="15880" max="15880" width="11" style="461" customWidth="1"/>
    <col min="15881" max="15881" width="9.140625" style="461"/>
    <col min="15882" max="15883" width="12.140625" style="461" customWidth="1"/>
    <col min="15884" max="15884" width="3" style="461" customWidth="1"/>
    <col min="15885" max="16128" width="9.140625" style="461"/>
    <col min="16129" max="16130" width="2.28515625" style="461" customWidth="1"/>
    <col min="16131" max="16131" width="37.7109375" style="461" customWidth="1"/>
    <col min="16132" max="16132" width="12.42578125" style="461" customWidth="1"/>
    <col min="16133" max="16134" width="0" style="461" hidden="1" customWidth="1"/>
    <col min="16135" max="16135" width="12.140625" style="461" customWidth="1"/>
    <col min="16136" max="16136" width="11" style="461" customWidth="1"/>
    <col min="16137" max="16137" width="9.140625" style="461"/>
    <col min="16138" max="16139" width="12.140625" style="461" customWidth="1"/>
    <col min="16140" max="16140" width="3" style="461" customWidth="1"/>
    <col min="16141" max="16384" width="9.140625" style="461"/>
  </cols>
  <sheetData>
    <row r="1" spans="1:18" s="460" customFormat="1" ht="17.25" customHeight="1">
      <c r="A1" s="489"/>
      <c r="B1" s="489"/>
      <c r="C1" s="517" t="s">
        <v>602</v>
      </c>
      <c r="D1" s="520"/>
      <c r="E1" s="520"/>
      <c r="F1" s="520"/>
      <c r="G1" s="520"/>
      <c r="H1" s="520"/>
      <c r="I1" s="520"/>
      <c r="J1" s="520"/>
      <c r="K1" s="520"/>
      <c r="L1" s="521"/>
      <c r="M1" s="521"/>
      <c r="N1" s="521"/>
      <c r="O1" s="490"/>
      <c r="P1" s="516"/>
      <c r="Q1" s="516"/>
      <c r="R1" s="516"/>
    </row>
    <row r="2" spans="1:18" ht="17.25" customHeight="1">
      <c r="A2" s="491"/>
      <c r="B2" s="491"/>
      <c r="C2" s="1077" t="s">
        <v>611</v>
      </c>
      <c r="D2" s="1077"/>
      <c r="E2" s="1077"/>
      <c r="F2" s="1077"/>
      <c r="G2" s="1077"/>
      <c r="H2" s="1077"/>
      <c r="I2" s="1077"/>
      <c r="J2" s="1077"/>
      <c r="K2" s="1077"/>
      <c r="L2" s="492"/>
      <c r="M2" s="492"/>
      <c r="N2" s="492"/>
      <c r="O2" s="492"/>
      <c r="P2" s="466"/>
      <c r="Q2" s="466"/>
      <c r="R2" s="466"/>
    </row>
    <row r="3" spans="1:18" ht="9.75" customHeight="1" thickBot="1">
      <c r="A3" s="466"/>
      <c r="B3" s="466"/>
      <c r="C3" s="467"/>
      <c r="D3" s="468"/>
      <c r="E3" s="468"/>
      <c r="F3" s="468"/>
      <c r="G3" s="469" t="s">
        <v>551</v>
      </c>
      <c r="H3" s="468"/>
      <c r="I3" s="497"/>
      <c r="J3" s="497"/>
      <c r="K3" s="497"/>
      <c r="L3" s="466"/>
      <c r="M3" s="466"/>
      <c r="N3" s="466"/>
      <c r="O3" s="466"/>
      <c r="P3" s="466"/>
      <c r="Q3" s="466"/>
      <c r="R3" s="466"/>
    </row>
    <row r="4" spans="1:18" s="186" customFormat="1" ht="36" customHeight="1">
      <c r="A4" s="470"/>
      <c r="B4" s="470"/>
      <c r="C4" s="471"/>
      <c r="D4" s="1078" t="s">
        <v>565</v>
      </c>
      <c r="E4" s="1080" t="s">
        <v>552</v>
      </c>
      <c r="F4" s="1080" t="s">
        <v>553</v>
      </c>
      <c r="G4" s="1082" t="s">
        <v>566</v>
      </c>
      <c r="H4" s="1084" t="s">
        <v>567</v>
      </c>
      <c r="I4" s="1085"/>
      <c r="J4" s="472" t="s">
        <v>8</v>
      </c>
      <c r="K4" s="473"/>
      <c r="L4" s="470"/>
      <c r="M4" s="470"/>
      <c r="N4" s="470"/>
      <c r="O4" s="470"/>
      <c r="P4" s="470"/>
      <c r="Q4" s="470"/>
      <c r="R4" s="470"/>
    </row>
    <row r="5" spans="1:18" s="462" customFormat="1" ht="15" customHeight="1">
      <c r="A5" s="474"/>
      <c r="B5" s="474"/>
      <c r="C5" s="475"/>
      <c r="D5" s="1079"/>
      <c r="E5" s="1081"/>
      <c r="F5" s="1081"/>
      <c r="G5" s="1083"/>
      <c r="H5" s="1086"/>
      <c r="I5" s="1087"/>
      <c r="J5" s="476">
        <v>2013</v>
      </c>
      <c r="K5" s="477">
        <f>J5+1</f>
        <v>2014</v>
      </c>
      <c r="L5" s="474"/>
      <c r="M5" s="474"/>
      <c r="N5" s="474"/>
      <c r="O5" s="474"/>
      <c r="P5" s="474"/>
      <c r="Q5" s="474"/>
      <c r="R5" s="474"/>
    </row>
    <row r="6" spans="1:18" ht="18.75" customHeight="1">
      <c r="A6" s="466"/>
      <c r="B6" s="466"/>
      <c r="C6" s="478" t="s">
        <v>0</v>
      </c>
      <c r="D6" s="479" t="s">
        <v>1</v>
      </c>
      <c r="E6" s="519" t="s">
        <v>1</v>
      </c>
      <c r="F6" s="519" t="s">
        <v>1</v>
      </c>
      <c r="G6" s="480" t="s">
        <v>1</v>
      </c>
      <c r="H6" s="482" t="s">
        <v>1</v>
      </c>
      <c r="I6" s="481" t="s">
        <v>2</v>
      </c>
      <c r="J6" s="482" t="s">
        <v>1</v>
      </c>
      <c r="K6" s="483" t="s">
        <v>1</v>
      </c>
      <c r="L6" s="466"/>
      <c r="M6" s="466"/>
      <c r="N6" s="466"/>
      <c r="O6" s="466"/>
      <c r="P6" s="466"/>
      <c r="Q6" s="466"/>
      <c r="R6" s="466"/>
    </row>
    <row r="7" spans="1:18" ht="21" customHeight="1">
      <c r="A7" s="466"/>
      <c r="B7" s="466"/>
      <c r="C7" s="485" t="s">
        <v>3</v>
      </c>
      <c r="D7" s="691" t="e">
        <f>'Table 1-2012 Rec'' Budget'!C6</f>
        <v>#REF!</v>
      </c>
      <c r="E7" s="692" t="e">
        <f>SUM(#REF!)+SUM(#REF!)+SUM(#REF!)</f>
        <v>#REF!</v>
      </c>
      <c r="F7" s="692"/>
      <c r="G7" s="693" t="e">
        <f>D7+E7+F7</f>
        <v>#REF!</v>
      </c>
      <c r="H7" s="693" t="e">
        <f>G7-D7</f>
        <v>#REF!</v>
      </c>
      <c r="I7" s="694" t="e">
        <f>IF(D7=0,"NA",H7/D7*100)</f>
        <v>#REF!</v>
      </c>
      <c r="J7" s="693" t="e">
        <f>'Table 1-2012 Rec'' Budget'!J6</f>
        <v>#REF!</v>
      </c>
      <c r="K7" s="695" t="e">
        <f>'Table 1-2012 Rec'' Budget'!K6</f>
        <v>#REF!</v>
      </c>
      <c r="L7" s="466"/>
      <c r="M7" s="505"/>
      <c r="N7" s="466"/>
      <c r="O7" s="466"/>
      <c r="P7" s="466"/>
      <c r="Q7" s="466"/>
      <c r="R7" s="466"/>
    </row>
    <row r="8" spans="1:18" ht="21" customHeight="1">
      <c r="A8" s="466"/>
      <c r="B8" s="466"/>
      <c r="C8" s="484" t="s">
        <v>4</v>
      </c>
      <c r="D8" s="696" t="e">
        <f>'Table 1-2012 Rec'' Budget'!C7</f>
        <v>#REF!</v>
      </c>
      <c r="E8" s="697" t="e">
        <f>SUM(#REF!)+SUM(#REF!)+SUM(#REF!)</f>
        <v>#REF!</v>
      </c>
      <c r="F8" s="697" t="e">
        <f>#REF!-#REF!</f>
        <v>#REF!</v>
      </c>
      <c r="G8" s="698" t="e">
        <f>D8+E8+F8</f>
        <v>#REF!</v>
      </c>
      <c r="H8" s="699" t="e">
        <f>G8-D8</f>
        <v>#REF!</v>
      </c>
      <c r="I8" s="700" t="e">
        <f>IF(D8=0,"NA",H8/D8*100)</f>
        <v>#REF!</v>
      </c>
      <c r="J8" s="698"/>
      <c r="K8" s="701"/>
      <c r="L8" s="466"/>
      <c r="M8" s="505"/>
      <c r="N8" s="466"/>
      <c r="O8" s="466"/>
      <c r="P8" s="466"/>
      <c r="Q8" s="466"/>
      <c r="R8" s="466"/>
    </row>
    <row r="9" spans="1:18" ht="21" customHeight="1">
      <c r="A9" s="466"/>
      <c r="B9" s="466"/>
      <c r="C9" s="485" t="s">
        <v>25</v>
      </c>
      <c r="D9" s="691" t="e">
        <f>D7-D8</f>
        <v>#REF!</v>
      </c>
      <c r="E9" s="692" t="e">
        <f>E7-E8</f>
        <v>#REF!</v>
      </c>
      <c r="F9" s="692" t="e">
        <f>F7-F8</f>
        <v>#REF!</v>
      </c>
      <c r="G9" s="693" t="e">
        <f>G7-G8</f>
        <v>#REF!</v>
      </c>
      <c r="H9" s="693" t="e">
        <f>G9-D9</f>
        <v>#REF!</v>
      </c>
      <c r="I9" s="694" t="e">
        <f>IF(D9=0,"NA",H9/D9*100)</f>
        <v>#REF!</v>
      </c>
      <c r="J9" s="693" t="e">
        <f>J7-J8</f>
        <v>#REF!</v>
      </c>
      <c r="K9" s="695" t="e">
        <f>K7-K8</f>
        <v>#REF!</v>
      </c>
      <c r="L9" s="466"/>
      <c r="M9" s="466"/>
      <c r="N9" s="466"/>
      <c r="O9" s="466"/>
      <c r="P9" s="466"/>
      <c r="Q9" s="466"/>
      <c r="R9" s="466"/>
    </row>
    <row r="10" spans="1:18" ht="28.5" customHeight="1" thickBot="1">
      <c r="A10" s="466"/>
      <c r="B10" s="466"/>
      <c r="C10" s="486" t="s">
        <v>5</v>
      </c>
      <c r="D10" s="702" t="e">
        <f>'Table 1-2012 Rec'' Budget'!C9</f>
        <v>#REF!</v>
      </c>
      <c r="E10" s="703" t="e">
        <f>#REF!+#REF!+#REF!+#REF!+#REF!+#REF!</f>
        <v>#REF!</v>
      </c>
      <c r="F10" s="703" t="e">
        <f>#REF!</f>
        <v>#REF!</v>
      </c>
      <c r="G10" s="704" t="e">
        <f>D10+E10+F10</f>
        <v>#REF!</v>
      </c>
      <c r="H10" s="704" t="e">
        <f>G10-D10</f>
        <v>#REF!</v>
      </c>
      <c r="I10" s="705" t="e">
        <f>IF(D10=0,"NA",H10/D10*100)</f>
        <v>#REF!</v>
      </c>
      <c r="J10" s="704">
        <f>'Table 1-2012 Rec'' Budget'!J9</f>
        <v>82.7</v>
      </c>
      <c r="K10" s="706">
        <f>'Table 1-2012 Rec'' Budget'!K9</f>
        <v>82.7</v>
      </c>
      <c r="L10" s="466"/>
      <c r="M10" s="505"/>
      <c r="N10" s="466"/>
      <c r="O10" s="466"/>
      <c r="P10" s="466"/>
      <c r="Q10" s="466"/>
      <c r="R10" s="466"/>
    </row>
    <row r="11" spans="1:18" ht="10.5" customHeight="1" thickBot="1">
      <c r="A11" s="466"/>
      <c r="B11" s="466"/>
      <c r="C11" s="487"/>
      <c r="D11" s="465"/>
      <c r="E11" s="465"/>
      <c r="F11" s="465"/>
      <c r="G11" s="465"/>
      <c r="H11" s="465"/>
      <c r="I11" s="465"/>
      <c r="J11" s="465"/>
      <c r="K11" s="465"/>
      <c r="L11" s="466"/>
      <c r="M11" s="466"/>
      <c r="N11" s="466"/>
      <c r="O11" s="466"/>
      <c r="P11" s="466"/>
      <c r="Q11" s="466"/>
      <c r="R11" s="466"/>
    </row>
    <row r="12" spans="1:18" ht="68.25" customHeight="1">
      <c r="A12" s="466"/>
      <c r="B12" s="466"/>
      <c r="C12" s="599" t="s">
        <v>597</v>
      </c>
      <c r="D12" s="653" t="s">
        <v>598</v>
      </c>
      <c r="E12" s="474"/>
      <c r="F12" s="474"/>
      <c r="G12" s="654" t="s">
        <v>600</v>
      </c>
      <c r="H12" s="646" t="s">
        <v>612</v>
      </c>
      <c r="I12" s="669" t="s">
        <v>610</v>
      </c>
      <c r="J12" s="1076"/>
      <c r="K12" s="1076"/>
      <c r="L12" s="466"/>
      <c r="M12" s="466"/>
      <c r="N12" s="466"/>
      <c r="O12" s="466"/>
      <c r="P12" s="466"/>
      <c r="Q12" s="466"/>
      <c r="R12" s="466"/>
    </row>
    <row r="13" spans="1:18" ht="26.25" customHeight="1" thickBot="1">
      <c r="A13" s="466"/>
      <c r="B13" s="466"/>
      <c r="C13" s="647" t="s">
        <v>599</v>
      </c>
      <c r="D13" s="651">
        <f>'Table 1-2012 Rec'' Budget'!C12</f>
        <v>-722.6</v>
      </c>
      <c r="E13" s="474"/>
      <c r="F13" s="474"/>
      <c r="G13" s="652" t="e">
        <f>'Table 1-2012 Rec'' Budget'!D12</f>
        <v>#REF!</v>
      </c>
      <c r="H13" s="649" t="e">
        <f>D13-G13</f>
        <v>#REF!</v>
      </c>
      <c r="I13" s="648" t="e">
        <f>G13/D13/10</f>
        <v>#REF!</v>
      </c>
      <c r="J13" s="466"/>
      <c r="K13" s="466"/>
      <c r="L13" s="466"/>
      <c r="M13" s="1075"/>
      <c r="N13" s="1075"/>
      <c r="O13" s="466"/>
      <c r="P13" s="466"/>
      <c r="Q13" s="466"/>
      <c r="R13" s="466"/>
    </row>
    <row r="14" spans="1:18" ht="9.75" customHeight="1">
      <c r="A14" s="466"/>
      <c r="B14" s="466"/>
      <c r="C14" s="497"/>
      <c r="D14" s="497"/>
      <c r="E14" s="497"/>
      <c r="F14" s="497"/>
      <c r="G14" s="497"/>
      <c r="H14" s="497"/>
      <c r="I14" s="497"/>
      <c r="J14" s="497"/>
      <c r="K14" s="497"/>
      <c r="L14" s="466"/>
      <c r="M14" s="466"/>
      <c r="N14" s="466"/>
      <c r="O14" s="466"/>
      <c r="P14" s="466"/>
      <c r="Q14" s="466"/>
      <c r="R14" s="466"/>
    </row>
    <row r="15" spans="1:18">
      <c r="A15" s="466"/>
      <c r="B15" s="466"/>
      <c r="C15" s="497"/>
      <c r="D15" s="497"/>
      <c r="E15" s="497"/>
      <c r="F15" s="497"/>
      <c r="G15" s="497"/>
      <c r="H15" s="497"/>
      <c r="I15" s="497"/>
      <c r="J15" s="497"/>
      <c r="K15" s="497"/>
      <c r="L15" s="466"/>
      <c r="M15" s="466"/>
      <c r="N15" s="466"/>
      <c r="O15" s="466"/>
      <c r="P15" s="466"/>
      <c r="Q15" s="466"/>
      <c r="R15" s="466"/>
    </row>
    <row r="16" spans="1:18">
      <c r="A16" s="466"/>
      <c r="B16" s="466"/>
      <c r="C16" s="497"/>
      <c r="D16" s="497"/>
      <c r="E16" s="497"/>
      <c r="F16" s="497"/>
      <c r="G16" s="497"/>
      <c r="H16" s="498"/>
      <c r="I16" s="497"/>
      <c r="J16" s="497"/>
      <c r="K16" s="497"/>
      <c r="L16" s="466"/>
      <c r="M16" s="466"/>
      <c r="N16" s="466"/>
      <c r="O16" s="466"/>
      <c r="P16" s="466"/>
      <c r="Q16" s="466"/>
      <c r="R16" s="466"/>
    </row>
    <row r="17" spans="1:18">
      <c r="A17" s="466"/>
      <c r="B17" s="466"/>
      <c r="C17" s="497"/>
      <c r="D17" s="497"/>
      <c r="E17" s="497"/>
      <c r="F17" s="497"/>
      <c r="G17" s="497"/>
      <c r="H17" s="497"/>
      <c r="I17" s="497"/>
      <c r="J17" s="497"/>
      <c r="K17" s="497"/>
      <c r="L17" s="466"/>
      <c r="M17" s="466"/>
      <c r="N17" s="466"/>
      <c r="O17" s="466"/>
      <c r="P17" s="466"/>
      <c r="Q17" s="466"/>
      <c r="R17" s="466"/>
    </row>
    <row r="18" spans="1:18">
      <c r="A18" s="466"/>
      <c r="B18" s="466"/>
      <c r="C18" s="497"/>
      <c r="D18" s="497"/>
      <c r="E18" s="497"/>
      <c r="F18" s="497"/>
      <c r="G18" s="497"/>
      <c r="H18" s="498"/>
      <c r="I18" s="497"/>
      <c r="J18" s="497"/>
      <c r="K18" s="497"/>
      <c r="L18" s="466"/>
      <c r="M18" s="466"/>
      <c r="N18" s="466"/>
      <c r="O18" s="466"/>
      <c r="P18" s="466"/>
      <c r="Q18" s="466"/>
      <c r="R18" s="466"/>
    </row>
    <row r="19" spans="1:18">
      <c r="A19" s="466"/>
      <c r="B19" s="466"/>
      <c r="C19" s="497"/>
      <c r="D19" s="497"/>
      <c r="E19" s="497"/>
      <c r="F19" s="497"/>
      <c r="G19" s="497"/>
      <c r="H19" s="497"/>
      <c r="I19" s="497"/>
      <c r="J19" s="497"/>
      <c r="K19" s="497"/>
      <c r="L19" s="466"/>
      <c r="M19" s="466"/>
      <c r="N19" s="466"/>
      <c r="O19" s="466"/>
      <c r="P19" s="466"/>
      <c r="Q19" s="466"/>
      <c r="R19" s="466"/>
    </row>
    <row r="20" spans="1:18">
      <c r="A20" s="466"/>
      <c r="B20" s="466"/>
      <c r="C20" s="466"/>
      <c r="D20" s="466"/>
      <c r="E20" s="466"/>
      <c r="F20" s="466"/>
      <c r="G20" s="466"/>
      <c r="H20" s="466"/>
      <c r="I20" s="466"/>
      <c r="J20" s="466"/>
      <c r="K20" s="466"/>
      <c r="L20" s="466"/>
      <c r="M20" s="466"/>
      <c r="N20" s="466"/>
      <c r="O20" s="466"/>
      <c r="P20" s="466"/>
      <c r="Q20" s="466"/>
      <c r="R20" s="466"/>
    </row>
    <row r="21" spans="1:18">
      <c r="A21" s="466"/>
      <c r="B21" s="466"/>
      <c r="C21" s="466"/>
      <c r="D21" s="466"/>
      <c r="E21" s="466"/>
      <c r="F21" s="466"/>
      <c r="G21" s="466"/>
      <c r="H21" s="466"/>
      <c r="I21" s="466"/>
      <c r="J21" s="466"/>
      <c r="K21" s="466"/>
      <c r="L21" s="466"/>
      <c r="M21" s="466"/>
      <c r="N21" s="466"/>
      <c r="O21" s="466"/>
      <c r="P21" s="466"/>
      <c r="Q21" s="466"/>
      <c r="R21" s="466"/>
    </row>
    <row r="22" spans="1:18">
      <c r="A22" s="466"/>
      <c r="B22" s="466"/>
      <c r="C22" s="466"/>
      <c r="D22" s="466"/>
      <c r="E22" s="466"/>
      <c r="F22" s="466"/>
      <c r="G22" s="466"/>
      <c r="H22" s="466"/>
      <c r="I22" s="466"/>
      <c r="J22" s="466"/>
      <c r="K22" s="466"/>
      <c r="L22" s="466"/>
      <c r="M22" s="466"/>
      <c r="N22" s="466"/>
      <c r="O22" s="466"/>
      <c r="P22" s="466"/>
      <c r="Q22" s="466"/>
      <c r="R22" s="466"/>
    </row>
    <row r="23" spans="1:18">
      <c r="A23" s="466"/>
      <c r="B23" s="466"/>
      <c r="C23" s="466"/>
      <c r="D23" s="466"/>
      <c r="E23" s="466"/>
      <c r="F23" s="466"/>
      <c r="G23" s="466"/>
      <c r="H23" s="466"/>
      <c r="I23" s="466"/>
      <c r="J23" s="466"/>
      <c r="K23" s="466"/>
      <c r="L23" s="466"/>
      <c r="M23" s="466"/>
      <c r="N23" s="466"/>
      <c r="O23" s="466"/>
      <c r="P23" s="466"/>
      <c r="Q23" s="466"/>
      <c r="R23" s="466"/>
    </row>
    <row r="24" spans="1:18">
      <c r="A24" s="466"/>
      <c r="B24" s="466"/>
      <c r="C24" s="466"/>
      <c r="D24" s="466"/>
      <c r="E24" s="466"/>
      <c r="F24" s="466"/>
      <c r="G24" s="466"/>
      <c r="H24" s="466"/>
      <c r="I24" s="466"/>
      <c r="J24" s="466"/>
      <c r="K24" s="466"/>
      <c r="L24" s="466"/>
      <c r="M24" s="466"/>
      <c r="N24" s="466"/>
      <c r="O24" s="466"/>
      <c r="P24" s="466"/>
      <c r="Q24" s="466"/>
      <c r="R24" s="466"/>
    </row>
    <row r="25" spans="1:18">
      <c r="A25" s="466"/>
      <c r="B25" s="466"/>
      <c r="C25" s="466"/>
      <c r="D25" s="466"/>
      <c r="E25" s="466"/>
      <c r="F25" s="466"/>
      <c r="G25" s="466"/>
      <c r="H25" s="466"/>
      <c r="I25" s="466"/>
      <c r="J25" s="466"/>
      <c r="K25" s="466"/>
      <c r="L25" s="466"/>
      <c r="M25" s="466"/>
      <c r="N25" s="466"/>
      <c r="O25" s="466"/>
      <c r="P25" s="466"/>
      <c r="Q25" s="466"/>
      <c r="R25" s="466"/>
    </row>
    <row r="26" spans="1:18">
      <c r="A26" s="466"/>
      <c r="B26" s="466"/>
      <c r="C26" s="466"/>
      <c r="D26" s="466"/>
      <c r="E26" s="466"/>
      <c r="F26" s="466"/>
      <c r="G26" s="466"/>
      <c r="H26" s="466"/>
      <c r="I26" s="466"/>
      <c r="J26" s="466"/>
      <c r="K26" s="466"/>
      <c r="L26" s="466"/>
      <c r="M26" s="466"/>
      <c r="N26" s="466"/>
      <c r="O26" s="466"/>
      <c r="P26" s="466"/>
      <c r="Q26" s="466"/>
      <c r="R26" s="466"/>
    </row>
    <row r="27" spans="1:18">
      <c r="A27" s="466"/>
      <c r="B27" s="466"/>
      <c r="C27" s="466"/>
      <c r="D27" s="466"/>
      <c r="E27" s="466"/>
      <c r="F27" s="466"/>
      <c r="G27" s="466"/>
      <c r="H27" s="466"/>
      <c r="I27" s="466"/>
      <c r="J27" s="466"/>
      <c r="K27" s="466"/>
      <c r="L27" s="466"/>
      <c r="M27" s="466"/>
      <c r="N27" s="466"/>
      <c r="O27" s="466"/>
      <c r="P27" s="466"/>
      <c r="Q27" s="466"/>
      <c r="R27" s="466"/>
    </row>
    <row r="28" spans="1:18">
      <c r="A28" s="466"/>
      <c r="B28" s="466"/>
      <c r="C28" s="466"/>
      <c r="D28" s="466"/>
      <c r="E28" s="466"/>
      <c r="F28" s="466"/>
      <c r="G28" s="466"/>
      <c r="H28" s="466"/>
      <c r="I28" s="466"/>
      <c r="J28" s="466"/>
      <c r="K28" s="466"/>
      <c r="L28" s="466"/>
      <c r="M28" s="466"/>
      <c r="N28" s="466"/>
      <c r="O28" s="466"/>
      <c r="P28" s="466"/>
      <c r="Q28" s="466"/>
      <c r="R28" s="466"/>
    </row>
    <row r="29" spans="1:18">
      <c r="A29" s="466"/>
      <c r="B29" s="466"/>
      <c r="C29" s="466"/>
      <c r="D29" s="466"/>
      <c r="E29" s="466"/>
      <c r="F29" s="466"/>
      <c r="G29" s="466"/>
      <c r="H29" s="466"/>
      <c r="I29" s="466"/>
      <c r="J29" s="466"/>
      <c r="K29" s="466"/>
      <c r="L29" s="466"/>
      <c r="M29" s="466"/>
      <c r="N29" s="466"/>
      <c r="O29" s="466"/>
      <c r="P29" s="466"/>
      <c r="Q29" s="466"/>
      <c r="R29" s="466"/>
    </row>
    <row r="30" spans="1:18">
      <c r="A30" s="466"/>
      <c r="B30" s="466"/>
      <c r="C30" s="466"/>
      <c r="D30" s="466"/>
      <c r="E30" s="466"/>
      <c r="F30" s="466"/>
      <c r="G30" s="466"/>
      <c r="H30" s="466"/>
      <c r="I30" s="466"/>
      <c r="J30" s="466"/>
      <c r="K30" s="466"/>
      <c r="L30" s="466"/>
      <c r="M30" s="466"/>
      <c r="N30" s="466"/>
      <c r="O30" s="466"/>
      <c r="P30" s="466"/>
      <c r="Q30" s="466"/>
      <c r="R30" s="466"/>
    </row>
    <row r="31" spans="1:18">
      <c r="A31" s="466"/>
      <c r="B31" s="466"/>
      <c r="C31" s="466"/>
      <c r="D31" s="466"/>
      <c r="E31" s="466"/>
      <c r="F31" s="466"/>
      <c r="G31" s="466"/>
      <c r="H31" s="466"/>
      <c r="I31" s="466"/>
      <c r="J31" s="466"/>
      <c r="K31" s="466"/>
      <c r="L31" s="466"/>
      <c r="M31" s="466"/>
      <c r="N31" s="466"/>
      <c r="O31" s="466"/>
      <c r="P31" s="466"/>
      <c r="Q31" s="466"/>
      <c r="R31" s="466"/>
    </row>
    <row r="32" spans="1:18">
      <c r="A32" s="466"/>
      <c r="B32" s="466"/>
      <c r="C32" s="466"/>
      <c r="D32" s="466"/>
      <c r="E32" s="466"/>
      <c r="F32" s="466"/>
      <c r="G32" s="466"/>
      <c r="H32" s="466"/>
      <c r="I32" s="466"/>
      <c r="J32" s="466"/>
      <c r="K32" s="466"/>
      <c r="L32" s="466"/>
      <c r="M32" s="466"/>
      <c r="N32" s="466"/>
      <c r="O32" s="466"/>
      <c r="P32" s="466"/>
      <c r="Q32" s="466"/>
      <c r="R32" s="466"/>
    </row>
    <row r="33" spans="1:18">
      <c r="A33" s="466"/>
      <c r="B33" s="466"/>
      <c r="C33" s="466"/>
      <c r="D33" s="466"/>
      <c r="E33" s="466"/>
      <c r="F33" s="466"/>
      <c r="G33" s="466"/>
      <c r="H33" s="466"/>
      <c r="I33" s="466"/>
      <c r="J33" s="466"/>
      <c r="K33" s="466"/>
      <c r="L33" s="466"/>
      <c r="M33" s="466"/>
      <c r="N33" s="466"/>
      <c r="O33" s="466"/>
      <c r="P33" s="466"/>
      <c r="Q33" s="466"/>
      <c r="R33" s="466"/>
    </row>
    <row r="34" spans="1:18">
      <c r="A34" s="466"/>
      <c r="B34" s="466"/>
      <c r="C34" s="466"/>
      <c r="D34" s="466"/>
      <c r="E34" s="466"/>
      <c r="F34" s="466"/>
      <c r="G34" s="466"/>
      <c r="H34" s="466"/>
      <c r="I34" s="466"/>
      <c r="J34" s="466"/>
      <c r="K34" s="466"/>
      <c r="L34" s="466"/>
      <c r="M34" s="466"/>
      <c r="N34" s="466"/>
      <c r="O34" s="466"/>
      <c r="P34" s="466"/>
      <c r="Q34" s="466"/>
      <c r="R34" s="466"/>
    </row>
    <row r="35" spans="1:18">
      <c r="A35" s="466"/>
      <c r="B35" s="466"/>
      <c r="C35" s="466"/>
      <c r="D35" s="466"/>
      <c r="E35" s="466"/>
      <c r="F35" s="466"/>
      <c r="G35" s="466"/>
      <c r="H35" s="466"/>
      <c r="I35" s="466"/>
      <c r="J35" s="466"/>
      <c r="K35" s="466"/>
      <c r="L35" s="466"/>
      <c r="M35" s="466"/>
      <c r="N35" s="466"/>
      <c r="O35" s="466"/>
      <c r="P35" s="466"/>
      <c r="Q35" s="466"/>
      <c r="R35" s="466"/>
    </row>
    <row r="36" spans="1:18">
      <c r="A36" s="466"/>
      <c r="B36" s="466"/>
      <c r="C36" s="466"/>
      <c r="D36" s="466"/>
      <c r="E36" s="466"/>
      <c r="F36" s="466"/>
      <c r="G36" s="466"/>
      <c r="H36" s="466"/>
      <c r="I36" s="466"/>
      <c r="J36" s="466"/>
      <c r="K36" s="466"/>
      <c r="L36" s="466"/>
      <c r="M36" s="466"/>
      <c r="N36" s="466"/>
      <c r="O36" s="466"/>
      <c r="P36" s="466"/>
      <c r="Q36" s="466"/>
      <c r="R36" s="466"/>
    </row>
    <row r="37" spans="1:18">
      <c r="A37" s="466"/>
      <c r="B37" s="466"/>
      <c r="C37" s="466"/>
      <c r="D37" s="466"/>
      <c r="E37" s="466"/>
      <c r="F37" s="466"/>
      <c r="G37" s="466"/>
      <c r="H37" s="466"/>
      <c r="I37" s="466"/>
      <c r="J37" s="466"/>
      <c r="K37" s="466"/>
      <c r="L37" s="466"/>
      <c r="M37" s="466"/>
      <c r="N37" s="466"/>
      <c r="O37" s="466"/>
      <c r="P37" s="466"/>
      <c r="Q37" s="466"/>
      <c r="R37" s="466"/>
    </row>
    <row r="38" spans="1:18">
      <c r="A38" s="466"/>
      <c r="B38" s="466"/>
      <c r="C38" s="466"/>
      <c r="D38" s="466"/>
      <c r="E38" s="466"/>
      <c r="F38" s="466"/>
      <c r="G38" s="466"/>
      <c r="H38" s="466"/>
      <c r="I38" s="466"/>
      <c r="J38" s="466"/>
      <c r="K38" s="466"/>
      <c r="L38" s="466"/>
      <c r="M38" s="466"/>
      <c r="N38" s="466"/>
      <c r="O38" s="466"/>
      <c r="P38" s="466"/>
      <c r="Q38" s="466"/>
      <c r="R38" s="466"/>
    </row>
    <row r="39" spans="1:18">
      <c r="A39" s="466"/>
      <c r="B39" s="466"/>
      <c r="C39" s="466"/>
      <c r="D39" s="466"/>
      <c r="E39" s="466"/>
      <c r="F39" s="466"/>
      <c r="G39" s="466"/>
      <c r="H39" s="466"/>
      <c r="I39" s="466"/>
      <c r="J39" s="466"/>
      <c r="K39" s="466"/>
      <c r="L39" s="466"/>
      <c r="M39" s="466"/>
      <c r="N39" s="466"/>
      <c r="O39" s="466"/>
      <c r="P39" s="466"/>
      <c r="Q39" s="466"/>
      <c r="R39" s="466"/>
    </row>
    <row r="40" spans="1:18">
      <c r="A40" s="466"/>
      <c r="B40" s="466"/>
      <c r="C40" s="466"/>
      <c r="D40" s="466"/>
      <c r="E40" s="466"/>
      <c r="F40" s="466"/>
      <c r="G40" s="466"/>
      <c r="H40" s="466"/>
      <c r="I40" s="466"/>
      <c r="J40" s="466"/>
      <c r="K40" s="466"/>
      <c r="L40" s="466"/>
      <c r="M40" s="466"/>
      <c r="N40" s="466"/>
      <c r="O40" s="466"/>
      <c r="P40" s="466"/>
      <c r="Q40" s="466"/>
      <c r="R40" s="466"/>
    </row>
    <row r="41" spans="1:18">
      <c r="A41" s="466"/>
      <c r="B41" s="466"/>
      <c r="C41" s="466"/>
      <c r="D41" s="466"/>
      <c r="E41" s="466"/>
      <c r="F41" s="466"/>
      <c r="G41" s="466"/>
      <c r="H41" s="466"/>
      <c r="I41" s="466"/>
      <c r="J41" s="466"/>
      <c r="K41" s="466"/>
      <c r="L41" s="466"/>
      <c r="M41" s="466"/>
      <c r="N41" s="466"/>
      <c r="O41" s="466"/>
      <c r="P41" s="466"/>
      <c r="Q41" s="466"/>
      <c r="R41" s="466"/>
    </row>
    <row r="42" spans="1:18">
      <c r="A42" s="466"/>
      <c r="B42" s="466"/>
      <c r="C42" s="466"/>
      <c r="D42" s="466"/>
      <c r="E42" s="466"/>
      <c r="F42" s="466"/>
      <c r="G42" s="466"/>
      <c r="H42" s="466"/>
      <c r="I42" s="466"/>
      <c r="J42" s="466"/>
      <c r="K42" s="466"/>
      <c r="L42" s="466"/>
      <c r="M42" s="466"/>
      <c r="N42" s="466"/>
      <c r="O42" s="466"/>
      <c r="P42" s="466"/>
      <c r="Q42" s="466"/>
      <c r="R42" s="466"/>
    </row>
    <row r="43" spans="1:18">
      <c r="A43" s="466"/>
      <c r="B43" s="466"/>
      <c r="C43" s="466"/>
      <c r="D43" s="466"/>
      <c r="E43" s="466"/>
      <c r="F43" s="466"/>
      <c r="G43" s="466"/>
      <c r="H43" s="466"/>
      <c r="I43" s="466"/>
      <c r="J43" s="466"/>
      <c r="K43" s="466"/>
      <c r="L43" s="466"/>
      <c r="M43" s="466"/>
      <c r="N43" s="466"/>
      <c r="O43" s="466"/>
      <c r="P43" s="466"/>
      <c r="Q43" s="466"/>
      <c r="R43" s="466"/>
    </row>
    <row r="44" spans="1:18">
      <c r="A44" s="466"/>
      <c r="B44" s="466"/>
      <c r="C44" s="466"/>
      <c r="D44" s="466"/>
      <c r="E44" s="466"/>
      <c r="F44" s="466"/>
      <c r="G44" s="466"/>
      <c r="H44" s="466"/>
      <c r="I44" s="466"/>
      <c r="J44" s="466"/>
      <c r="K44" s="466"/>
      <c r="L44" s="466"/>
      <c r="M44" s="466"/>
      <c r="N44" s="466"/>
      <c r="O44" s="466"/>
      <c r="P44" s="466"/>
      <c r="Q44" s="466"/>
      <c r="R44" s="466"/>
    </row>
    <row r="45" spans="1:18">
      <c r="A45" s="466"/>
      <c r="B45" s="466"/>
      <c r="C45" s="466"/>
      <c r="D45" s="466"/>
      <c r="E45" s="466"/>
      <c r="F45" s="466"/>
      <c r="G45" s="466"/>
      <c r="H45" s="466"/>
      <c r="I45" s="466"/>
      <c r="J45" s="466"/>
      <c r="K45" s="466"/>
      <c r="L45" s="466"/>
      <c r="M45" s="466"/>
      <c r="N45" s="466"/>
      <c r="O45" s="466"/>
      <c r="P45" s="466"/>
      <c r="Q45" s="466"/>
      <c r="R45" s="466"/>
    </row>
    <row r="46" spans="1:18">
      <c r="A46" s="466"/>
      <c r="B46" s="466"/>
      <c r="C46" s="466"/>
      <c r="D46" s="466"/>
      <c r="E46" s="466"/>
      <c r="F46" s="466"/>
      <c r="G46" s="466"/>
      <c r="H46" s="466"/>
      <c r="I46" s="466"/>
      <c r="J46" s="466"/>
      <c r="K46" s="466"/>
      <c r="L46" s="466"/>
      <c r="M46" s="466"/>
      <c r="N46" s="466"/>
      <c r="O46" s="466"/>
      <c r="P46" s="466"/>
      <c r="Q46" s="466"/>
      <c r="R46" s="466"/>
    </row>
    <row r="47" spans="1:18">
      <c r="A47" s="466"/>
      <c r="B47" s="466"/>
      <c r="C47" s="466"/>
      <c r="D47" s="466"/>
      <c r="E47" s="466"/>
      <c r="F47" s="466"/>
      <c r="G47" s="466"/>
      <c r="H47" s="466"/>
      <c r="I47" s="466"/>
      <c r="J47" s="466"/>
      <c r="K47" s="466"/>
      <c r="L47" s="466"/>
      <c r="M47" s="466"/>
      <c r="N47" s="466"/>
      <c r="O47" s="466"/>
      <c r="P47" s="466"/>
      <c r="Q47" s="466"/>
      <c r="R47" s="466"/>
    </row>
    <row r="48" spans="1:18">
      <c r="A48" s="466"/>
      <c r="B48" s="466"/>
      <c r="C48" s="466"/>
      <c r="D48" s="466"/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466"/>
      <c r="P48" s="466"/>
      <c r="Q48" s="466"/>
      <c r="R48" s="466"/>
    </row>
    <row r="49" spans="1:18">
      <c r="A49" s="466"/>
      <c r="B49" s="466"/>
      <c r="C49" s="466"/>
      <c r="D49" s="466"/>
      <c r="E49" s="466"/>
      <c r="F49" s="466"/>
      <c r="G49" s="466"/>
      <c r="H49" s="466"/>
      <c r="I49" s="466"/>
      <c r="J49" s="466"/>
      <c r="K49" s="466"/>
      <c r="L49" s="466"/>
      <c r="M49" s="466"/>
      <c r="N49" s="466"/>
      <c r="O49" s="466"/>
      <c r="P49" s="466"/>
      <c r="Q49" s="466"/>
      <c r="R49" s="466"/>
    </row>
    <row r="50" spans="1:18">
      <c r="A50" s="466"/>
      <c r="B50" s="466"/>
      <c r="C50" s="466"/>
      <c r="D50" s="466"/>
      <c r="E50" s="466"/>
      <c r="F50" s="466"/>
      <c r="G50" s="466"/>
      <c r="H50" s="466"/>
      <c r="I50" s="466"/>
      <c r="J50" s="466"/>
      <c r="K50" s="466"/>
      <c r="L50" s="466"/>
      <c r="M50" s="466"/>
      <c r="N50" s="466"/>
      <c r="O50" s="466"/>
      <c r="P50" s="466"/>
      <c r="Q50" s="466"/>
      <c r="R50" s="466"/>
    </row>
    <row r="51" spans="1:18">
      <c r="A51" s="466"/>
      <c r="B51" s="466"/>
      <c r="C51" s="466"/>
      <c r="D51" s="466"/>
      <c r="E51" s="466"/>
      <c r="F51" s="466"/>
      <c r="G51" s="466"/>
      <c r="H51" s="466"/>
      <c r="I51" s="466"/>
      <c r="J51" s="466"/>
      <c r="K51" s="466"/>
      <c r="L51" s="466"/>
      <c r="M51" s="466"/>
      <c r="N51" s="466"/>
      <c r="O51" s="466"/>
      <c r="P51" s="466"/>
      <c r="Q51" s="466"/>
      <c r="R51" s="466"/>
    </row>
    <row r="52" spans="1:18">
      <c r="A52" s="466"/>
      <c r="B52" s="466"/>
      <c r="C52" s="466"/>
      <c r="D52" s="466"/>
      <c r="E52" s="466"/>
      <c r="F52" s="466"/>
      <c r="G52" s="466"/>
      <c r="H52" s="466"/>
      <c r="I52" s="466"/>
      <c r="J52" s="466"/>
      <c r="K52" s="466"/>
      <c r="L52" s="466"/>
      <c r="M52" s="466"/>
      <c r="N52" s="466"/>
      <c r="O52" s="466"/>
      <c r="P52" s="466"/>
      <c r="Q52" s="466"/>
      <c r="R52" s="466"/>
    </row>
    <row r="53" spans="1:18">
      <c r="A53" s="466"/>
      <c r="B53" s="466"/>
      <c r="C53" s="466"/>
      <c r="D53" s="466"/>
      <c r="E53" s="466"/>
      <c r="F53" s="466"/>
      <c r="G53" s="466"/>
      <c r="H53" s="466"/>
      <c r="I53" s="466"/>
      <c r="J53" s="466"/>
      <c r="K53" s="466"/>
      <c r="L53" s="466"/>
      <c r="M53" s="466"/>
      <c r="N53" s="466"/>
      <c r="O53" s="466"/>
      <c r="P53" s="466"/>
      <c r="Q53" s="466"/>
      <c r="R53" s="466"/>
    </row>
    <row r="54" spans="1:18">
      <c r="A54" s="466"/>
      <c r="B54" s="466"/>
      <c r="C54" s="466"/>
      <c r="D54" s="466"/>
      <c r="E54" s="466"/>
      <c r="F54" s="466"/>
      <c r="G54" s="466"/>
      <c r="H54" s="466"/>
      <c r="I54" s="466"/>
      <c r="J54" s="466"/>
      <c r="K54" s="466"/>
      <c r="L54" s="466"/>
      <c r="M54" s="466"/>
      <c r="N54" s="466"/>
      <c r="O54" s="466"/>
      <c r="P54" s="466"/>
      <c r="Q54" s="466"/>
      <c r="R54" s="466"/>
    </row>
    <row r="55" spans="1:18">
      <c r="A55" s="466"/>
      <c r="B55" s="466"/>
      <c r="C55" s="466"/>
      <c r="D55" s="466"/>
      <c r="E55" s="466"/>
      <c r="F55" s="466"/>
      <c r="G55" s="466"/>
      <c r="H55" s="466"/>
      <c r="I55" s="466"/>
      <c r="J55" s="466"/>
      <c r="K55" s="466"/>
      <c r="L55" s="466"/>
      <c r="M55" s="466"/>
      <c r="N55" s="466"/>
      <c r="O55" s="466"/>
      <c r="P55" s="466"/>
      <c r="Q55" s="466"/>
      <c r="R55" s="466"/>
    </row>
    <row r="56" spans="1:18">
      <c r="A56" s="466"/>
      <c r="B56" s="466"/>
      <c r="C56" s="466"/>
      <c r="D56" s="466"/>
      <c r="E56" s="466"/>
      <c r="F56" s="466"/>
      <c r="G56" s="466"/>
      <c r="H56" s="466"/>
      <c r="I56" s="466"/>
      <c r="J56" s="466"/>
      <c r="K56" s="466"/>
      <c r="L56" s="466"/>
      <c r="M56" s="466"/>
      <c r="N56" s="466"/>
      <c r="O56" s="466"/>
      <c r="P56" s="466"/>
      <c r="Q56" s="466"/>
      <c r="R56" s="466"/>
    </row>
    <row r="57" spans="1:18">
      <c r="A57" s="466"/>
      <c r="B57" s="466"/>
      <c r="C57" s="466"/>
      <c r="D57" s="466"/>
      <c r="E57" s="466"/>
      <c r="F57" s="466"/>
      <c r="G57" s="466"/>
      <c r="H57" s="466"/>
      <c r="I57" s="466"/>
      <c r="J57" s="466"/>
      <c r="K57" s="466"/>
      <c r="L57" s="466"/>
      <c r="M57" s="466"/>
      <c r="N57" s="466"/>
      <c r="O57" s="466"/>
      <c r="P57" s="466"/>
      <c r="Q57" s="466"/>
      <c r="R57" s="466"/>
    </row>
    <row r="58" spans="1:18">
      <c r="A58" s="466"/>
      <c r="B58" s="466"/>
      <c r="C58" s="466"/>
      <c r="D58" s="466"/>
      <c r="E58" s="466"/>
      <c r="F58" s="466"/>
      <c r="G58" s="466"/>
      <c r="H58" s="466"/>
      <c r="I58" s="466"/>
      <c r="J58" s="466"/>
      <c r="K58" s="466"/>
      <c r="L58" s="466"/>
      <c r="M58" s="466"/>
      <c r="N58" s="466"/>
      <c r="O58" s="466"/>
      <c r="P58" s="466"/>
      <c r="Q58" s="466"/>
      <c r="R58" s="466"/>
    </row>
    <row r="59" spans="1:18">
      <c r="A59" s="466"/>
      <c r="B59" s="466"/>
      <c r="C59" s="466"/>
      <c r="D59" s="466"/>
      <c r="E59" s="466"/>
      <c r="F59" s="466"/>
      <c r="G59" s="466"/>
      <c r="H59" s="466"/>
      <c r="I59" s="466"/>
      <c r="J59" s="466"/>
      <c r="K59" s="466"/>
      <c r="L59" s="466"/>
      <c r="M59" s="466"/>
      <c r="N59" s="466"/>
      <c r="O59" s="466"/>
      <c r="P59" s="466"/>
      <c r="Q59" s="466"/>
      <c r="R59" s="466"/>
    </row>
    <row r="60" spans="1:18">
      <c r="A60" s="466"/>
      <c r="B60" s="466"/>
      <c r="C60" s="466"/>
      <c r="D60" s="466"/>
      <c r="E60" s="466"/>
      <c r="F60" s="466"/>
      <c r="G60" s="466"/>
      <c r="H60" s="466"/>
      <c r="I60" s="466"/>
      <c r="J60" s="466"/>
      <c r="K60" s="466"/>
      <c r="L60" s="466"/>
      <c r="M60" s="466"/>
      <c r="N60" s="466"/>
      <c r="O60" s="466"/>
      <c r="P60" s="466"/>
      <c r="Q60" s="466"/>
      <c r="R60" s="466"/>
    </row>
    <row r="61" spans="1:18">
      <c r="A61" s="466"/>
      <c r="B61" s="466"/>
      <c r="C61" s="466"/>
      <c r="D61" s="466"/>
      <c r="E61" s="466"/>
      <c r="F61" s="466"/>
      <c r="G61" s="466"/>
      <c r="H61" s="466"/>
      <c r="I61" s="466"/>
      <c r="J61" s="466"/>
      <c r="K61" s="466"/>
      <c r="L61" s="466"/>
      <c r="M61" s="466"/>
      <c r="N61" s="466"/>
      <c r="O61" s="466"/>
      <c r="P61" s="466"/>
      <c r="Q61" s="466"/>
      <c r="R61" s="466"/>
    </row>
    <row r="62" spans="1:18">
      <c r="A62" s="466"/>
      <c r="B62" s="466"/>
      <c r="C62" s="466"/>
      <c r="D62" s="466"/>
      <c r="E62" s="466"/>
      <c r="F62" s="466"/>
      <c r="G62" s="466"/>
      <c r="H62" s="466"/>
      <c r="I62" s="466"/>
      <c r="J62" s="466"/>
      <c r="K62" s="466"/>
      <c r="L62" s="466"/>
      <c r="M62" s="466"/>
      <c r="N62" s="466"/>
      <c r="O62" s="466"/>
      <c r="P62" s="466"/>
      <c r="Q62" s="466"/>
      <c r="R62" s="466"/>
    </row>
    <row r="63" spans="1:18">
      <c r="A63" s="466"/>
      <c r="B63" s="466"/>
      <c r="C63" s="466"/>
      <c r="D63" s="466"/>
      <c r="E63" s="466"/>
      <c r="F63" s="466"/>
      <c r="G63" s="466"/>
      <c r="H63" s="466"/>
      <c r="I63" s="466"/>
      <c r="J63" s="466"/>
      <c r="K63" s="466"/>
      <c r="L63" s="466"/>
      <c r="M63" s="466"/>
      <c r="N63" s="466"/>
      <c r="O63" s="466"/>
      <c r="P63" s="466"/>
      <c r="Q63" s="466"/>
      <c r="R63" s="466"/>
    </row>
    <row r="64" spans="1:18">
      <c r="A64" s="466"/>
      <c r="B64" s="466"/>
      <c r="C64" s="466"/>
      <c r="D64" s="466"/>
      <c r="E64" s="466"/>
      <c r="F64" s="466"/>
      <c r="G64" s="466"/>
      <c r="H64" s="466"/>
      <c r="I64" s="466"/>
      <c r="J64" s="466"/>
      <c r="K64" s="466"/>
      <c r="L64" s="466"/>
      <c r="M64" s="466"/>
      <c r="N64" s="466"/>
      <c r="O64" s="466"/>
      <c r="P64" s="466"/>
      <c r="Q64" s="466"/>
      <c r="R64" s="466"/>
    </row>
    <row r="65" spans="1:18">
      <c r="A65" s="466"/>
      <c r="B65" s="466"/>
      <c r="C65" s="466"/>
      <c r="D65" s="466"/>
      <c r="E65" s="466"/>
      <c r="F65" s="466"/>
      <c r="G65" s="466"/>
      <c r="H65" s="466"/>
      <c r="I65" s="466"/>
      <c r="J65" s="466"/>
      <c r="K65" s="466"/>
      <c r="L65" s="466"/>
      <c r="M65" s="466"/>
      <c r="N65" s="466"/>
      <c r="O65" s="466"/>
      <c r="P65" s="466"/>
      <c r="Q65" s="466"/>
      <c r="R65" s="466"/>
    </row>
    <row r="66" spans="1:18">
      <c r="A66" s="466"/>
      <c r="B66" s="466"/>
      <c r="C66" s="466"/>
      <c r="D66" s="466"/>
      <c r="E66" s="466"/>
      <c r="F66" s="466"/>
      <c r="G66" s="466"/>
      <c r="H66" s="466"/>
      <c r="I66" s="466"/>
      <c r="J66" s="466"/>
      <c r="K66" s="466"/>
      <c r="L66" s="466"/>
      <c r="M66" s="466"/>
      <c r="N66" s="466"/>
      <c r="O66" s="466"/>
      <c r="P66" s="466"/>
      <c r="Q66" s="466"/>
      <c r="R66" s="466"/>
    </row>
    <row r="67" spans="1:18">
      <c r="A67" s="466"/>
      <c r="B67" s="466"/>
      <c r="C67" s="466"/>
      <c r="D67" s="466"/>
      <c r="E67" s="466"/>
      <c r="F67" s="466"/>
      <c r="G67" s="466"/>
      <c r="H67" s="466"/>
      <c r="I67" s="466"/>
      <c r="J67" s="466"/>
      <c r="K67" s="466"/>
      <c r="L67" s="466"/>
      <c r="M67" s="466"/>
      <c r="N67" s="466"/>
      <c r="O67" s="466"/>
      <c r="P67" s="466"/>
      <c r="Q67" s="466"/>
      <c r="R67" s="466"/>
    </row>
    <row r="68" spans="1:18">
      <c r="A68" s="466"/>
      <c r="B68" s="466"/>
      <c r="C68" s="466"/>
      <c r="D68" s="466"/>
      <c r="E68" s="466"/>
      <c r="F68" s="466"/>
      <c r="G68" s="466"/>
      <c r="H68" s="466"/>
      <c r="I68" s="466"/>
      <c r="J68" s="466"/>
      <c r="K68" s="466"/>
      <c r="L68" s="466"/>
      <c r="M68" s="466"/>
      <c r="N68" s="466"/>
      <c r="O68" s="466"/>
      <c r="P68" s="466"/>
      <c r="Q68" s="466"/>
      <c r="R68" s="466"/>
    </row>
    <row r="69" spans="1:18">
      <c r="A69" s="466"/>
      <c r="B69" s="466"/>
      <c r="C69" s="466"/>
      <c r="D69" s="466"/>
      <c r="E69" s="466"/>
      <c r="F69" s="466"/>
      <c r="G69" s="466"/>
      <c r="H69" s="466"/>
      <c r="I69" s="466"/>
      <c r="J69" s="466"/>
      <c r="K69" s="466"/>
      <c r="L69" s="466"/>
      <c r="M69" s="466"/>
      <c r="N69" s="466"/>
      <c r="O69" s="466"/>
      <c r="P69" s="466"/>
      <c r="Q69" s="466"/>
      <c r="R69" s="466"/>
    </row>
    <row r="70" spans="1:18">
      <c r="A70" s="466"/>
      <c r="B70" s="466"/>
      <c r="C70" s="466"/>
      <c r="D70" s="466"/>
      <c r="E70" s="466"/>
      <c r="F70" s="466"/>
      <c r="G70" s="466"/>
      <c r="H70" s="466"/>
      <c r="I70" s="466"/>
      <c r="J70" s="466"/>
      <c r="K70" s="466"/>
      <c r="L70" s="466"/>
      <c r="M70" s="466"/>
      <c r="N70" s="466"/>
      <c r="O70" s="466"/>
      <c r="P70" s="466"/>
      <c r="Q70" s="466"/>
      <c r="R70" s="466"/>
    </row>
    <row r="71" spans="1:18">
      <c r="A71" s="466"/>
      <c r="B71" s="466"/>
      <c r="C71" s="466"/>
      <c r="D71" s="466"/>
      <c r="E71" s="466"/>
      <c r="F71" s="466"/>
      <c r="G71" s="466"/>
      <c r="H71" s="466"/>
      <c r="I71" s="466"/>
      <c r="J71" s="466"/>
      <c r="K71" s="466"/>
      <c r="L71" s="466"/>
      <c r="M71" s="466"/>
      <c r="N71" s="466"/>
      <c r="O71" s="466"/>
      <c r="P71" s="466"/>
      <c r="Q71" s="466"/>
      <c r="R71" s="466"/>
    </row>
    <row r="72" spans="1:18">
      <c r="A72" s="466"/>
      <c r="B72" s="466"/>
      <c r="C72" s="466"/>
      <c r="D72" s="466"/>
      <c r="E72" s="466"/>
      <c r="F72" s="466"/>
      <c r="G72" s="466"/>
      <c r="H72" s="466"/>
      <c r="I72" s="466"/>
      <c r="J72" s="466"/>
      <c r="K72" s="466"/>
      <c r="L72" s="466"/>
      <c r="M72" s="466"/>
      <c r="N72" s="466"/>
      <c r="O72" s="466"/>
      <c r="P72" s="466"/>
      <c r="Q72" s="466"/>
      <c r="R72" s="466"/>
    </row>
    <row r="73" spans="1:18">
      <c r="A73" s="466"/>
      <c r="B73" s="466"/>
      <c r="C73" s="466"/>
      <c r="D73" s="466"/>
      <c r="E73" s="466"/>
      <c r="F73" s="466"/>
      <c r="G73" s="466"/>
      <c r="H73" s="466"/>
      <c r="I73" s="466"/>
      <c r="J73" s="466"/>
      <c r="K73" s="466"/>
      <c r="L73" s="466"/>
      <c r="M73" s="466"/>
      <c r="N73" s="466"/>
      <c r="O73" s="466"/>
      <c r="P73" s="466"/>
      <c r="Q73" s="466"/>
      <c r="R73" s="466"/>
    </row>
    <row r="74" spans="1:18">
      <c r="A74" s="466"/>
      <c r="B74" s="466"/>
      <c r="C74" s="466"/>
      <c r="D74" s="466"/>
      <c r="E74" s="466"/>
      <c r="F74" s="466"/>
      <c r="G74" s="466"/>
      <c r="H74" s="466"/>
      <c r="I74" s="466"/>
      <c r="J74" s="466"/>
      <c r="K74" s="466"/>
      <c r="L74" s="466"/>
      <c r="M74" s="466"/>
      <c r="N74" s="466"/>
      <c r="O74" s="466"/>
      <c r="P74" s="466"/>
      <c r="Q74" s="466"/>
      <c r="R74" s="466"/>
    </row>
    <row r="75" spans="1:18">
      <c r="A75" s="466"/>
      <c r="B75" s="466"/>
      <c r="C75" s="466"/>
      <c r="D75" s="466"/>
      <c r="E75" s="466"/>
      <c r="F75" s="466"/>
      <c r="G75" s="466"/>
      <c r="H75" s="466"/>
      <c r="I75" s="466"/>
      <c r="J75" s="466"/>
      <c r="K75" s="466"/>
      <c r="L75" s="466"/>
      <c r="M75" s="466"/>
      <c r="N75" s="466"/>
      <c r="O75" s="466"/>
      <c r="P75" s="466"/>
      <c r="Q75" s="466"/>
      <c r="R75" s="466"/>
    </row>
    <row r="76" spans="1:18">
      <c r="A76" s="466"/>
      <c r="B76" s="466"/>
      <c r="C76" s="466"/>
      <c r="D76" s="466"/>
      <c r="E76" s="466"/>
      <c r="F76" s="466"/>
      <c r="G76" s="466"/>
      <c r="H76" s="466"/>
      <c r="I76" s="466"/>
      <c r="J76" s="466"/>
      <c r="K76" s="466"/>
      <c r="L76" s="466"/>
      <c r="M76" s="466"/>
      <c r="N76" s="466"/>
      <c r="O76" s="466"/>
      <c r="P76" s="466"/>
      <c r="Q76" s="466"/>
      <c r="R76" s="466"/>
    </row>
    <row r="77" spans="1:18">
      <c r="A77" s="466"/>
      <c r="B77" s="466"/>
      <c r="C77" s="466"/>
      <c r="D77" s="466"/>
      <c r="E77" s="466"/>
      <c r="F77" s="466"/>
      <c r="G77" s="466"/>
      <c r="H77" s="466"/>
      <c r="I77" s="466"/>
      <c r="J77" s="466"/>
      <c r="K77" s="466"/>
      <c r="L77" s="466"/>
      <c r="M77" s="466"/>
      <c r="N77" s="466"/>
      <c r="O77" s="466"/>
      <c r="P77" s="466"/>
      <c r="Q77" s="466"/>
      <c r="R77" s="466"/>
    </row>
    <row r="78" spans="1:18">
      <c r="A78" s="466"/>
      <c r="B78" s="466"/>
      <c r="C78" s="466"/>
      <c r="D78" s="466"/>
      <c r="E78" s="466"/>
      <c r="F78" s="466"/>
      <c r="G78" s="466"/>
      <c r="H78" s="466"/>
      <c r="I78" s="466"/>
      <c r="J78" s="466"/>
      <c r="K78" s="466"/>
      <c r="L78" s="466"/>
      <c r="M78" s="466"/>
      <c r="N78" s="466"/>
      <c r="O78" s="466"/>
      <c r="P78" s="466"/>
      <c r="Q78" s="466"/>
      <c r="R78" s="466"/>
    </row>
    <row r="79" spans="1:18">
      <c r="A79" s="466"/>
      <c r="B79" s="466"/>
      <c r="C79" s="466"/>
      <c r="D79" s="466"/>
      <c r="E79" s="466"/>
      <c r="F79" s="466"/>
      <c r="G79" s="466"/>
      <c r="H79" s="466"/>
      <c r="I79" s="466"/>
      <c r="J79" s="466"/>
      <c r="K79" s="466"/>
      <c r="L79" s="466"/>
      <c r="M79" s="466"/>
      <c r="N79" s="466"/>
      <c r="O79" s="466"/>
      <c r="P79" s="466"/>
      <c r="Q79" s="466"/>
      <c r="R79" s="466"/>
    </row>
    <row r="80" spans="1:18">
      <c r="A80" s="466"/>
      <c r="B80" s="466"/>
      <c r="C80" s="466"/>
      <c r="D80" s="466"/>
      <c r="E80" s="466"/>
      <c r="F80" s="466"/>
      <c r="G80" s="466"/>
      <c r="H80" s="466"/>
      <c r="I80" s="466"/>
      <c r="J80" s="466"/>
      <c r="K80" s="466"/>
      <c r="L80" s="466"/>
      <c r="M80" s="466"/>
      <c r="N80" s="466"/>
      <c r="O80" s="466"/>
      <c r="P80" s="466"/>
      <c r="Q80" s="466"/>
      <c r="R80" s="466"/>
    </row>
    <row r="81" spans="1:18">
      <c r="A81" s="466"/>
      <c r="B81" s="466"/>
      <c r="C81" s="466"/>
      <c r="D81" s="466"/>
      <c r="E81" s="466"/>
      <c r="F81" s="466"/>
      <c r="G81" s="466"/>
      <c r="H81" s="466"/>
      <c r="I81" s="466"/>
      <c r="J81" s="466"/>
      <c r="K81" s="466"/>
      <c r="L81" s="466"/>
      <c r="M81" s="466"/>
      <c r="N81" s="466"/>
      <c r="O81" s="466"/>
      <c r="P81" s="466"/>
      <c r="Q81" s="466"/>
      <c r="R81" s="466"/>
    </row>
    <row r="82" spans="1:18">
      <c r="A82" s="466"/>
      <c r="B82" s="466"/>
      <c r="C82" s="466"/>
      <c r="D82" s="466"/>
      <c r="E82" s="466"/>
      <c r="F82" s="466"/>
      <c r="G82" s="466"/>
      <c r="H82" s="466"/>
      <c r="I82" s="466"/>
      <c r="J82" s="466"/>
      <c r="K82" s="466"/>
      <c r="L82" s="466"/>
      <c r="M82" s="466"/>
      <c r="N82" s="466"/>
      <c r="O82" s="466"/>
      <c r="P82" s="466"/>
      <c r="Q82" s="466"/>
      <c r="R82" s="466"/>
    </row>
    <row r="83" spans="1:18">
      <c r="A83" s="466"/>
      <c r="B83" s="466"/>
      <c r="C83" s="466"/>
      <c r="D83" s="466"/>
      <c r="E83" s="466"/>
      <c r="F83" s="466"/>
      <c r="G83" s="466"/>
      <c r="H83" s="466"/>
      <c r="I83" s="466"/>
      <c r="J83" s="466"/>
      <c r="K83" s="466"/>
      <c r="L83" s="466"/>
      <c r="M83" s="466"/>
      <c r="N83" s="466"/>
      <c r="O83" s="466"/>
      <c r="P83" s="466"/>
      <c r="Q83" s="466"/>
      <c r="R83" s="466"/>
    </row>
    <row r="84" spans="1:18">
      <c r="J84" s="461"/>
      <c r="K84" s="461"/>
    </row>
    <row r="85" spans="1:18">
      <c r="J85" s="461"/>
      <c r="K85" s="461"/>
    </row>
    <row r="86" spans="1:18">
      <c r="J86" s="461"/>
      <c r="K86" s="461"/>
    </row>
    <row r="87" spans="1:18">
      <c r="J87" s="461"/>
      <c r="K87" s="461"/>
    </row>
    <row r="88" spans="1:18">
      <c r="J88" s="461"/>
      <c r="K88" s="461"/>
    </row>
    <row r="89" spans="1:18">
      <c r="J89" s="461"/>
      <c r="K89" s="461"/>
    </row>
    <row r="90" spans="1:18">
      <c r="J90" s="461"/>
      <c r="K90" s="461"/>
    </row>
    <row r="91" spans="1:18">
      <c r="J91" s="461"/>
      <c r="K91" s="461"/>
    </row>
    <row r="92" spans="1:18">
      <c r="J92" s="461"/>
      <c r="K92" s="461"/>
    </row>
    <row r="93" spans="1:18">
      <c r="J93" s="461"/>
      <c r="K93" s="461"/>
    </row>
    <row r="94" spans="1:18">
      <c r="J94" s="461"/>
      <c r="K94" s="461"/>
    </row>
    <row r="95" spans="1:18">
      <c r="J95" s="461"/>
      <c r="K95" s="461"/>
    </row>
    <row r="96" spans="1:18">
      <c r="J96" s="461"/>
      <c r="K96" s="461"/>
    </row>
    <row r="97" spans="10:11">
      <c r="J97" s="461"/>
      <c r="K97" s="461"/>
    </row>
    <row r="98" spans="10:11">
      <c r="J98" s="461"/>
      <c r="K98" s="461"/>
    </row>
    <row r="99" spans="10:11">
      <c r="J99" s="461"/>
      <c r="K99" s="461"/>
    </row>
    <row r="100" spans="10:11">
      <c r="J100" s="461"/>
      <c r="K100" s="461"/>
    </row>
    <row r="101" spans="10:11">
      <c r="J101" s="461"/>
      <c r="K101" s="461"/>
    </row>
    <row r="102" spans="10:11">
      <c r="J102" s="461"/>
      <c r="K102" s="461"/>
    </row>
    <row r="103" spans="10:11">
      <c r="J103" s="461"/>
      <c r="K103" s="461"/>
    </row>
    <row r="104" spans="10:11">
      <c r="J104" s="461"/>
      <c r="K104" s="461"/>
    </row>
    <row r="105" spans="10:11">
      <c r="J105" s="461"/>
      <c r="K105" s="461"/>
    </row>
    <row r="106" spans="10:11">
      <c r="J106" s="461"/>
      <c r="K106" s="461"/>
    </row>
    <row r="107" spans="10:11">
      <c r="J107" s="461"/>
      <c r="K107" s="461"/>
    </row>
    <row r="108" spans="10:11">
      <c r="J108" s="461"/>
      <c r="K108" s="461"/>
    </row>
    <row r="109" spans="10:11">
      <c r="J109" s="461"/>
      <c r="K109" s="461"/>
    </row>
    <row r="110" spans="10:11">
      <c r="J110" s="461"/>
      <c r="K110" s="461"/>
    </row>
    <row r="111" spans="10:11">
      <c r="J111" s="461"/>
      <c r="K111" s="461"/>
    </row>
    <row r="112" spans="10:11">
      <c r="J112" s="461"/>
      <c r="K112" s="461"/>
    </row>
    <row r="113" spans="10:11">
      <c r="J113" s="461"/>
      <c r="K113" s="461"/>
    </row>
    <row r="114" spans="10:11">
      <c r="J114" s="461"/>
      <c r="K114" s="461"/>
    </row>
    <row r="115" spans="10:11">
      <c r="J115" s="461"/>
      <c r="K115" s="461"/>
    </row>
    <row r="116" spans="10:11">
      <c r="J116" s="461"/>
      <c r="K116" s="461"/>
    </row>
    <row r="117" spans="10:11">
      <c r="J117" s="461"/>
      <c r="K117" s="461"/>
    </row>
    <row r="118" spans="10:11">
      <c r="J118" s="461"/>
      <c r="K118" s="461"/>
    </row>
    <row r="119" spans="10:11">
      <c r="J119" s="461"/>
      <c r="K119" s="461"/>
    </row>
    <row r="120" spans="10:11">
      <c r="J120" s="461"/>
      <c r="K120" s="461"/>
    </row>
    <row r="121" spans="10:11">
      <c r="J121" s="461"/>
      <c r="K121" s="461"/>
    </row>
    <row r="122" spans="10:11">
      <c r="J122" s="461"/>
      <c r="K122" s="461"/>
    </row>
    <row r="123" spans="10:11">
      <c r="J123" s="461"/>
      <c r="K123" s="461"/>
    </row>
    <row r="124" spans="10:11">
      <c r="J124" s="461"/>
      <c r="K124" s="461"/>
    </row>
    <row r="125" spans="10:11">
      <c r="J125" s="461"/>
      <c r="K125" s="461"/>
    </row>
    <row r="126" spans="10:11">
      <c r="J126" s="461"/>
      <c r="K126" s="461"/>
    </row>
    <row r="127" spans="10:11">
      <c r="J127" s="461"/>
      <c r="K127" s="461"/>
    </row>
    <row r="128" spans="10:11">
      <c r="J128" s="461"/>
      <c r="K128" s="461"/>
    </row>
    <row r="129" spans="10:11">
      <c r="J129" s="461"/>
      <c r="K129" s="461"/>
    </row>
    <row r="130" spans="10:11">
      <c r="J130" s="461"/>
      <c r="K130" s="461"/>
    </row>
    <row r="131" spans="10:11">
      <c r="J131" s="461"/>
      <c r="K131" s="461"/>
    </row>
    <row r="132" spans="10:11">
      <c r="J132" s="461"/>
      <c r="K132" s="461"/>
    </row>
    <row r="133" spans="10:11">
      <c r="J133" s="461"/>
      <c r="K133" s="461"/>
    </row>
    <row r="134" spans="10:11">
      <c r="J134" s="461"/>
      <c r="K134" s="461"/>
    </row>
    <row r="135" spans="10:11">
      <c r="J135" s="461"/>
      <c r="K135" s="461"/>
    </row>
    <row r="136" spans="10:11">
      <c r="J136" s="461"/>
      <c r="K136" s="461"/>
    </row>
    <row r="137" spans="10:11">
      <c r="J137" s="461"/>
      <c r="K137" s="461"/>
    </row>
    <row r="138" spans="10:11">
      <c r="J138" s="461"/>
      <c r="K138" s="461"/>
    </row>
    <row r="139" spans="10:11">
      <c r="J139" s="461"/>
      <c r="K139" s="461"/>
    </row>
    <row r="140" spans="10:11">
      <c r="J140" s="461"/>
      <c r="K140" s="461"/>
    </row>
    <row r="141" spans="10:11">
      <c r="J141" s="461"/>
      <c r="K141" s="461"/>
    </row>
    <row r="142" spans="10:11">
      <c r="J142" s="461"/>
      <c r="K142" s="461"/>
    </row>
    <row r="143" spans="10:11">
      <c r="J143" s="461"/>
      <c r="K143" s="461"/>
    </row>
    <row r="144" spans="10:11">
      <c r="J144" s="461"/>
      <c r="K144" s="461"/>
    </row>
    <row r="145" spans="10:11">
      <c r="J145" s="461"/>
      <c r="K145" s="461"/>
    </row>
    <row r="146" spans="10:11">
      <c r="J146" s="461"/>
      <c r="K146" s="461"/>
    </row>
    <row r="147" spans="10:11">
      <c r="J147" s="461"/>
      <c r="K147" s="461"/>
    </row>
    <row r="148" spans="10:11">
      <c r="J148" s="461"/>
      <c r="K148" s="461"/>
    </row>
    <row r="149" spans="10:11">
      <c r="J149" s="461"/>
      <c r="K149" s="461"/>
    </row>
    <row r="150" spans="10:11">
      <c r="J150" s="461"/>
      <c r="K150" s="461"/>
    </row>
    <row r="151" spans="10:11">
      <c r="J151" s="461"/>
      <c r="K151" s="461"/>
    </row>
    <row r="152" spans="10:11">
      <c r="J152" s="461"/>
      <c r="K152" s="461"/>
    </row>
    <row r="153" spans="10:11">
      <c r="J153" s="461"/>
      <c r="K153" s="461"/>
    </row>
    <row r="154" spans="10:11">
      <c r="J154" s="461"/>
      <c r="K154" s="461"/>
    </row>
    <row r="155" spans="10:11">
      <c r="J155" s="461"/>
      <c r="K155" s="461"/>
    </row>
    <row r="156" spans="10:11">
      <c r="J156" s="461"/>
      <c r="K156" s="461"/>
    </row>
    <row r="157" spans="10:11">
      <c r="J157" s="461"/>
      <c r="K157" s="461"/>
    </row>
    <row r="158" spans="10:11">
      <c r="J158" s="461"/>
      <c r="K158" s="461"/>
    </row>
    <row r="159" spans="10:11">
      <c r="J159" s="461"/>
      <c r="K159" s="461"/>
    </row>
    <row r="160" spans="10:11">
      <c r="J160" s="461"/>
      <c r="K160" s="461"/>
    </row>
    <row r="161" spans="10:11">
      <c r="J161" s="461"/>
      <c r="K161" s="461"/>
    </row>
    <row r="162" spans="10:11">
      <c r="J162" s="461"/>
      <c r="K162" s="461"/>
    </row>
    <row r="163" spans="10:11">
      <c r="J163" s="461"/>
      <c r="K163" s="461"/>
    </row>
    <row r="164" spans="10:11">
      <c r="J164" s="461"/>
      <c r="K164" s="461"/>
    </row>
    <row r="165" spans="10:11">
      <c r="J165" s="461"/>
      <c r="K165" s="461"/>
    </row>
    <row r="166" spans="10:11">
      <c r="J166" s="461"/>
      <c r="K166" s="461"/>
    </row>
    <row r="167" spans="10:11">
      <c r="J167" s="461"/>
      <c r="K167" s="461"/>
    </row>
    <row r="168" spans="10:11">
      <c r="J168" s="461"/>
      <c r="K168" s="461"/>
    </row>
    <row r="169" spans="10:11">
      <c r="J169" s="461"/>
      <c r="K169" s="461"/>
    </row>
    <row r="170" spans="10:11">
      <c r="J170" s="461"/>
      <c r="K170" s="461"/>
    </row>
    <row r="171" spans="10:11">
      <c r="J171" s="461"/>
      <c r="K171" s="461"/>
    </row>
    <row r="172" spans="10:11">
      <c r="J172" s="461"/>
      <c r="K172" s="461"/>
    </row>
    <row r="173" spans="10:11">
      <c r="J173" s="461"/>
      <c r="K173" s="461"/>
    </row>
    <row r="174" spans="10:11">
      <c r="J174" s="461"/>
      <c r="K174" s="461"/>
    </row>
    <row r="175" spans="10:11">
      <c r="J175" s="461"/>
      <c r="K175" s="461"/>
    </row>
    <row r="176" spans="10:11">
      <c r="J176" s="461"/>
      <c r="K176" s="461"/>
    </row>
    <row r="177" spans="10:11">
      <c r="J177" s="461"/>
      <c r="K177" s="461"/>
    </row>
    <row r="178" spans="10:11">
      <c r="J178" s="461"/>
      <c r="K178" s="461"/>
    </row>
    <row r="179" spans="10:11">
      <c r="J179" s="461"/>
      <c r="K179" s="461"/>
    </row>
    <row r="180" spans="10:11">
      <c r="J180" s="461"/>
      <c r="K180" s="461"/>
    </row>
    <row r="181" spans="10:11">
      <c r="J181" s="461"/>
      <c r="K181" s="461"/>
    </row>
    <row r="182" spans="10:11">
      <c r="J182" s="461"/>
      <c r="K182" s="461"/>
    </row>
    <row r="183" spans="10:11">
      <c r="J183" s="461"/>
      <c r="K183" s="461"/>
    </row>
    <row r="184" spans="10:11">
      <c r="J184" s="461"/>
      <c r="K184" s="461"/>
    </row>
    <row r="185" spans="10:11">
      <c r="J185" s="461"/>
      <c r="K185" s="461"/>
    </row>
    <row r="186" spans="10:11">
      <c r="J186" s="461"/>
      <c r="K186" s="461"/>
    </row>
    <row r="187" spans="10:11">
      <c r="J187" s="461"/>
      <c r="K187" s="461"/>
    </row>
    <row r="188" spans="10:11">
      <c r="J188" s="461"/>
      <c r="K188" s="461"/>
    </row>
    <row r="189" spans="10:11">
      <c r="J189" s="461"/>
      <c r="K189" s="461"/>
    </row>
    <row r="190" spans="10:11">
      <c r="J190" s="461"/>
      <c r="K190" s="461"/>
    </row>
    <row r="191" spans="10:11">
      <c r="J191" s="461"/>
      <c r="K191" s="461"/>
    </row>
    <row r="192" spans="10:11">
      <c r="J192" s="461"/>
      <c r="K192" s="461"/>
    </row>
    <row r="193" spans="10:11">
      <c r="J193" s="461"/>
      <c r="K193" s="461"/>
    </row>
    <row r="194" spans="10:11">
      <c r="J194" s="461"/>
      <c r="K194" s="461"/>
    </row>
    <row r="195" spans="10:11">
      <c r="J195" s="461"/>
      <c r="K195" s="461"/>
    </row>
    <row r="196" spans="10:11">
      <c r="J196" s="461"/>
      <c r="K196" s="461"/>
    </row>
    <row r="197" spans="10:11">
      <c r="J197" s="461"/>
      <c r="K197" s="461"/>
    </row>
    <row r="198" spans="10:11">
      <c r="J198" s="461"/>
      <c r="K198" s="461"/>
    </row>
    <row r="199" spans="10:11">
      <c r="J199" s="461"/>
      <c r="K199" s="461"/>
    </row>
    <row r="200" spans="10:11">
      <c r="J200" s="461"/>
      <c r="K200" s="461"/>
    </row>
    <row r="201" spans="10:11">
      <c r="J201" s="461"/>
      <c r="K201" s="461"/>
    </row>
    <row r="202" spans="10:11">
      <c r="J202" s="461"/>
      <c r="K202" s="461"/>
    </row>
    <row r="203" spans="10:11">
      <c r="J203" s="461"/>
      <c r="K203" s="461"/>
    </row>
    <row r="204" spans="10:11">
      <c r="J204" s="461"/>
      <c r="K204" s="461"/>
    </row>
    <row r="205" spans="10:11">
      <c r="J205" s="461"/>
      <c r="K205" s="461"/>
    </row>
    <row r="206" spans="10:11">
      <c r="J206" s="461"/>
      <c r="K206" s="461"/>
    </row>
    <row r="207" spans="10:11">
      <c r="J207" s="461"/>
      <c r="K207" s="461"/>
    </row>
    <row r="208" spans="10:11">
      <c r="J208" s="461"/>
      <c r="K208" s="461"/>
    </row>
    <row r="209" spans="10:11">
      <c r="J209" s="461"/>
      <c r="K209" s="461"/>
    </row>
    <row r="210" spans="10:11">
      <c r="J210" s="461"/>
      <c r="K210" s="461"/>
    </row>
    <row r="211" spans="10:11">
      <c r="J211" s="461"/>
      <c r="K211" s="461"/>
    </row>
    <row r="212" spans="10:11">
      <c r="J212" s="461"/>
      <c r="K212" s="461"/>
    </row>
    <row r="213" spans="10:11">
      <c r="J213" s="461"/>
      <c r="K213" s="461"/>
    </row>
    <row r="214" spans="10:11">
      <c r="J214" s="461"/>
      <c r="K214" s="461"/>
    </row>
    <row r="215" spans="10:11">
      <c r="J215" s="461"/>
      <c r="K215" s="461"/>
    </row>
    <row r="216" spans="10:11">
      <c r="J216" s="461"/>
      <c r="K216" s="461"/>
    </row>
    <row r="217" spans="10:11">
      <c r="J217" s="461"/>
      <c r="K217" s="461"/>
    </row>
    <row r="218" spans="10:11">
      <c r="J218" s="461"/>
      <c r="K218" s="461"/>
    </row>
    <row r="219" spans="10:11">
      <c r="J219" s="461"/>
      <c r="K219" s="461"/>
    </row>
    <row r="220" spans="10:11">
      <c r="J220" s="461"/>
      <c r="K220" s="461"/>
    </row>
    <row r="221" spans="10:11">
      <c r="J221" s="461"/>
      <c r="K221" s="461"/>
    </row>
    <row r="222" spans="10:11">
      <c r="J222" s="461"/>
      <c r="K222" s="461"/>
    </row>
    <row r="223" spans="10:11">
      <c r="J223" s="461"/>
      <c r="K223" s="461"/>
    </row>
    <row r="224" spans="10:11">
      <c r="J224" s="461"/>
      <c r="K224" s="461"/>
    </row>
    <row r="225" spans="10:11">
      <c r="J225" s="461"/>
      <c r="K225" s="461"/>
    </row>
    <row r="226" spans="10:11">
      <c r="J226" s="461"/>
      <c r="K226" s="461"/>
    </row>
    <row r="227" spans="10:11">
      <c r="J227" s="461"/>
      <c r="K227" s="461"/>
    </row>
    <row r="228" spans="10:11">
      <c r="J228" s="461"/>
      <c r="K228" s="461"/>
    </row>
    <row r="229" spans="10:11">
      <c r="J229" s="461"/>
      <c r="K229" s="461"/>
    </row>
    <row r="230" spans="10:11">
      <c r="J230" s="461"/>
      <c r="K230" s="461"/>
    </row>
    <row r="231" spans="10:11">
      <c r="J231" s="461"/>
      <c r="K231" s="461"/>
    </row>
    <row r="232" spans="10:11">
      <c r="J232" s="461"/>
      <c r="K232" s="461"/>
    </row>
    <row r="233" spans="10:11">
      <c r="J233" s="461"/>
      <c r="K233" s="461"/>
    </row>
    <row r="234" spans="10:11">
      <c r="J234" s="461"/>
      <c r="K234" s="461"/>
    </row>
    <row r="235" spans="10:11">
      <c r="J235" s="461"/>
      <c r="K235" s="461"/>
    </row>
    <row r="236" spans="10:11">
      <c r="J236" s="461"/>
      <c r="K236" s="461"/>
    </row>
    <row r="237" spans="10:11">
      <c r="J237" s="461"/>
      <c r="K237" s="461"/>
    </row>
    <row r="238" spans="10:11">
      <c r="J238" s="461"/>
      <c r="K238" s="461"/>
    </row>
    <row r="239" spans="10:11">
      <c r="J239" s="461"/>
      <c r="K239" s="461"/>
    </row>
    <row r="240" spans="10:11">
      <c r="J240" s="461"/>
      <c r="K240" s="461"/>
    </row>
    <row r="241" spans="10:11">
      <c r="J241" s="461"/>
      <c r="K241" s="461"/>
    </row>
    <row r="242" spans="10:11">
      <c r="J242" s="461"/>
      <c r="K242" s="461"/>
    </row>
    <row r="243" spans="10:11">
      <c r="J243" s="461"/>
      <c r="K243" s="461"/>
    </row>
    <row r="244" spans="10:11">
      <c r="J244" s="461"/>
      <c r="K244" s="461"/>
    </row>
    <row r="245" spans="10:11">
      <c r="J245" s="461"/>
      <c r="K245" s="461"/>
    </row>
    <row r="246" spans="10:11">
      <c r="J246" s="461"/>
      <c r="K246" s="461"/>
    </row>
    <row r="247" spans="10:11">
      <c r="J247" s="461"/>
      <c r="K247" s="461"/>
    </row>
    <row r="248" spans="10:11">
      <c r="J248" s="461"/>
      <c r="K248" s="461"/>
    </row>
    <row r="249" spans="10:11">
      <c r="J249" s="461"/>
      <c r="K249" s="461"/>
    </row>
    <row r="250" spans="10:11">
      <c r="J250" s="461"/>
      <c r="K250" s="461"/>
    </row>
    <row r="251" spans="10:11">
      <c r="J251" s="461"/>
      <c r="K251" s="461"/>
    </row>
    <row r="252" spans="10:11">
      <c r="J252" s="461"/>
      <c r="K252" s="461"/>
    </row>
    <row r="253" spans="10:11">
      <c r="J253" s="461"/>
      <c r="K253" s="461"/>
    </row>
    <row r="254" spans="10:11">
      <c r="J254" s="461"/>
      <c r="K254" s="461"/>
    </row>
    <row r="255" spans="10:11">
      <c r="J255" s="461"/>
      <c r="K255" s="461"/>
    </row>
    <row r="256" spans="10:11">
      <c r="J256" s="461"/>
      <c r="K256" s="461"/>
    </row>
    <row r="257" spans="10:11">
      <c r="J257" s="461"/>
      <c r="K257" s="461"/>
    </row>
    <row r="258" spans="10:11">
      <c r="J258" s="461"/>
      <c r="K258" s="461"/>
    </row>
    <row r="259" spans="10:11">
      <c r="J259" s="461"/>
      <c r="K259" s="461"/>
    </row>
    <row r="260" spans="10:11">
      <c r="J260" s="461"/>
      <c r="K260" s="461"/>
    </row>
    <row r="261" spans="10:11">
      <c r="J261" s="461"/>
      <c r="K261" s="461"/>
    </row>
    <row r="262" spans="10:11">
      <c r="J262" s="461"/>
      <c r="K262" s="461"/>
    </row>
    <row r="263" spans="10:11">
      <c r="J263" s="461"/>
      <c r="K263" s="461"/>
    </row>
    <row r="264" spans="10:11">
      <c r="J264" s="461"/>
      <c r="K264" s="461"/>
    </row>
    <row r="265" spans="10:11">
      <c r="J265" s="461"/>
      <c r="K265" s="461"/>
    </row>
    <row r="266" spans="10:11">
      <c r="J266" s="461"/>
      <c r="K266" s="461"/>
    </row>
    <row r="267" spans="10:11">
      <c r="J267" s="461"/>
      <c r="K267" s="461"/>
    </row>
    <row r="268" spans="10:11">
      <c r="J268" s="461"/>
      <c r="K268" s="461"/>
    </row>
    <row r="269" spans="10:11">
      <c r="J269" s="461"/>
      <c r="K269" s="461"/>
    </row>
    <row r="270" spans="10:11">
      <c r="J270" s="461"/>
      <c r="K270" s="461"/>
    </row>
    <row r="271" spans="10:11">
      <c r="J271" s="461"/>
      <c r="K271" s="461"/>
    </row>
    <row r="272" spans="10:11">
      <c r="J272" s="461"/>
      <c r="K272" s="461"/>
    </row>
    <row r="273" spans="10:11">
      <c r="J273" s="461"/>
      <c r="K273" s="461"/>
    </row>
    <row r="274" spans="10:11">
      <c r="J274" s="461"/>
      <c r="K274" s="461"/>
    </row>
    <row r="275" spans="10:11">
      <c r="J275" s="461"/>
      <c r="K275" s="461"/>
    </row>
    <row r="276" spans="10:11">
      <c r="J276" s="461"/>
      <c r="K276" s="461"/>
    </row>
    <row r="277" spans="10:11">
      <c r="J277" s="461"/>
      <c r="K277" s="461"/>
    </row>
    <row r="278" spans="10:11">
      <c r="J278" s="461"/>
      <c r="K278" s="461"/>
    </row>
    <row r="279" spans="10:11">
      <c r="J279" s="461"/>
      <c r="K279" s="461"/>
    </row>
    <row r="280" spans="10:11">
      <c r="J280" s="461"/>
      <c r="K280" s="461"/>
    </row>
    <row r="281" spans="10:11">
      <c r="J281" s="461"/>
      <c r="K281" s="461"/>
    </row>
    <row r="282" spans="10:11">
      <c r="J282" s="461"/>
      <c r="K282" s="461"/>
    </row>
    <row r="283" spans="10:11">
      <c r="J283" s="461"/>
      <c r="K283" s="461"/>
    </row>
    <row r="284" spans="10:11">
      <c r="J284" s="461"/>
      <c r="K284" s="461"/>
    </row>
    <row r="285" spans="10:11">
      <c r="J285" s="461"/>
      <c r="K285" s="461"/>
    </row>
    <row r="286" spans="10:11">
      <c r="J286" s="461"/>
      <c r="K286" s="461"/>
    </row>
    <row r="287" spans="10:11">
      <c r="J287" s="461"/>
      <c r="K287" s="461"/>
    </row>
    <row r="288" spans="10:11">
      <c r="J288" s="461"/>
      <c r="K288" s="461"/>
    </row>
    <row r="289" spans="10:11">
      <c r="J289" s="461"/>
      <c r="K289" s="461"/>
    </row>
    <row r="290" spans="10:11">
      <c r="J290" s="461"/>
      <c r="K290" s="461"/>
    </row>
    <row r="291" spans="10:11">
      <c r="J291" s="461"/>
      <c r="K291" s="461"/>
    </row>
    <row r="292" spans="10:11">
      <c r="J292" s="461"/>
      <c r="K292" s="461"/>
    </row>
    <row r="293" spans="10:11">
      <c r="J293" s="461"/>
      <c r="K293" s="461"/>
    </row>
    <row r="294" spans="10:11">
      <c r="J294" s="461"/>
      <c r="K294" s="461"/>
    </row>
    <row r="295" spans="10:11">
      <c r="J295" s="461"/>
      <c r="K295" s="461"/>
    </row>
    <row r="296" spans="10:11">
      <c r="J296" s="461"/>
      <c r="K296" s="461"/>
    </row>
    <row r="297" spans="10:11">
      <c r="J297" s="461"/>
      <c r="K297" s="461"/>
    </row>
    <row r="298" spans="10:11">
      <c r="J298" s="461"/>
      <c r="K298" s="461"/>
    </row>
    <row r="299" spans="10:11">
      <c r="J299" s="461"/>
      <c r="K299" s="461"/>
    </row>
    <row r="300" spans="10:11">
      <c r="J300" s="461"/>
      <c r="K300" s="461"/>
    </row>
    <row r="301" spans="10:11">
      <c r="J301" s="461"/>
      <c r="K301" s="461"/>
    </row>
    <row r="302" spans="10:11">
      <c r="J302" s="461"/>
      <c r="K302" s="461"/>
    </row>
    <row r="303" spans="10:11">
      <c r="J303" s="461"/>
      <c r="K303" s="461"/>
    </row>
    <row r="304" spans="10:11">
      <c r="J304" s="461"/>
      <c r="K304" s="461"/>
    </row>
    <row r="305" spans="10:11">
      <c r="J305" s="461"/>
      <c r="K305" s="461"/>
    </row>
    <row r="306" spans="10:11">
      <c r="J306" s="461"/>
      <c r="K306" s="461"/>
    </row>
    <row r="307" spans="10:11">
      <c r="J307" s="461"/>
      <c r="K307" s="461"/>
    </row>
    <row r="308" spans="10:11">
      <c r="J308" s="461"/>
      <c r="K308" s="461"/>
    </row>
    <row r="309" spans="10:11">
      <c r="J309" s="461"/>
      <c r="K309" s="461"/>
    </row>
    <row r="310" spans="10:11">
      <c r="J310" s="461"/>
      <c r="K310" s="461"/>
    </row>
    <row r="311" spans="10:11">
      <c r="J311" s="461"/>
      <c r="K311" s="461"/>
    </row>
    <row r="312" spans="10:11">
      <c r="J312" s="461"/>
      <c r="K312" s="461"/>
    </row>
    <row r="313" spans="10:11">
      <c r="J313" s="461"/>
      <c r="K313" s="461"/>
    </row>
    <row r="314" spans="10:11">
      <c r="J314" s="461"/>
      <c r="K314" s="461"/>
    </row>
    <row r="315" spans="10:11">
      <c r="J315" s="461"/>
      <c r="K315" s="461"/>
    </row>
    <row r="316" spans="10:11">
      <c r="J316" s="461"/>
      <c r="K316" s="461"/>
    </row>
    <row r="317" spans="10:11">
      <c r="J317" s="461"/>
      <c r="K317" s="461"/>
    </row>
    <row r="318" spans="10:11">
      <c r="J318" s="461"/>
      <c r="K318" s="461"/>
    </row>
    <row r="319" spans="10:11">
      <c r="J319" s="461"/>
      <c r="K319" s="461"/>
    </row>
    <row r="320" spans="10:11">
      <c r="J320" s="461"/>
      <c r="K320" s="461"/>
    </row>
    <row r="321" spans="10:11">
      <c r="J321" s="461"/>
      <c r="K321" s="461"/>
    </row>
    <row r="322" spans="10:11">
      <c r="J322" s="461"/>
      <c r="K322" s="461"/>
    </row>
    <row r="323" spans="10:11">
      <c r="J323" s="461"/>
      <c r="K323" s="461"/>
    </row>
    <row r="324" spans="10:11">
      <c r="J324" s="461"/>
      <c r="K324" s="461"/>
    </row>
    <row r="325" spans="10:11">
      <c r="J325" s="461"/>
      <c r="K325" s="461"/>
    </row>
    <row r="326" spans="10:11">
      <c r="J326" s="461"/>
      <c r="K326" s="461"/>
    </row>
    <row r="327" spans="10:11">
      <c r="J327" s="461"/>
      <c r="K327" s="461"/>
    </row>
    <row r="328" spans="10:11">
      <c r="J328" s="461"/>
      <c r="K328" s="461"/>
    </row>
    <row r="329" spans="10:11">
      <c r="J329" s="461"/>
      <c r="K329" s="461"/>
    </row>
    <row r="330" spans="10:11">
      <c r="J330" s="461"/>
      <c r="K330" s="461"/>
    </row>
    <row r="331" spans="10:11">
      <c r="J331" s="461"/>
      <c r="K331" s="461"/>
    </row>
    <row r="332" spans="10:11">
      <c r="J332" s="461"/>
      <c r="K332" s="461"/>
    </row>
    <row r="333" spans="10:11">
      <c r="J333" s="461"/>
      <c r="K333" s="461"/>
    </row>
    <row r="334" spans="10:11">
      <c r="J334" s="461"/>
      <c r="K334" s="461"/>
    </row>
    <row r="335" spans="10:11">
      <c r="J335" s="461"/>
      <c r="K335" s="461"/>
    </row>
    <row r="336" spans="10:11">
      <c r="J336" s="461"/>
      <c r="K336" s="461"/>
    </row>
    <row r="337" spans="10:11">
      <c r="J337" s="461"/>
      <c r="K337" s="461"/>
    </row>
    <row r="338" spans="10:11">
      <c r="J338" s="461"/>
      <c r="K338" s="461"/>
    </row>
    <row r="339" spans="10:11">
      <c r="J339" s="461"/>
      <c r="K339" s="461"/>
    </row>
    <row r="340" spans="10:11">
      <c r="J340" s="461"/>
      <c r="K340" s="461"/>
    </row>
    <row r="341" spans="10:11">
      <c r="J341" s="461"/>
      <c r="K341" s="461"/>
    </row>
    <row r="342" spans="10:11">
      <c r="J342" s="461"/>
      <c r="K342" s="461"/>
    </row>
    <row r="343" spans="10:11">
      <c r="J343" s="461"/>
      <c r="K343" s="461"/>
    </row>
    <row r="344" spans="10:11">
      <c r="J344" s="461"/>
      <c r="K344" s="461"/>
    </row>
    <row r="345" spans="10:11">
      <c r="J345" s="461"/>
      <c r="K345" s="461"/>
    </row>
    <row r="346" spans="10:11">
      <c r="J346" s="461"/>
      <c r="K346" s="461"/>
    </row>
    <row r="347" spans="10:11">
      <c r="J347" s="461"/>
      <c r="K347" s="461"/>
    </row>
    <row r="348" spans="10:11">
      <c r="J348" s="461"/>
      <c r="K348" s="461"/>
    </row>
    <row r="349" spans="10:11">
      <c r="J349" s="461"/>
      <c r="K349" s="461"/>
    </row>
    <row r="350" spans="10:11">
      <c r="J350" s="461"/>
      <c r="K350" s="461"/>
    </row>
    <row r="351" spans="10:11">
      <c r="J351" s="461"/>
      <c r="K351" s="461"/>
    </row>
    <row r="352" spans="10:11">
      <c r="J352" s="461"/>
      <c r="K352" s="461"/>
    </row>
    <row r="353" spans="10:11">
      <c r="J353" s="461"/>
      <c r="K353" s="461"/>
    </row>
    <row r="354" spans="10:11">
      <c r="J354" s="461"/>
      <c r="K354" s="461"/>
    </row>
    <row r="355" spans="10:11">
      <c r="J355" s="461"/>
      <c r="K355" s="461"/>
    </row>
    <row r="356" spans="10:11">
      <c r="J356" s="461"/>
      <c r="K356" s="461"/>
    </row>
    <row r="357" spans="10:11">
      <c r="J357" s="461"/>
      <c r="K357" s="461"/>
    </row>
    <row r="358" spans="10:11">
      <c r="J358" s="461"/>
      <c r="K358" s="461"/>
    </row>
    <row r="359" spans="10:11">
      <c r="J359" s="461"/>
      <c r="K359" s="461"/>
    </row>
    <row r="360" spans="10:11">
      <c r="J360" s="461"/>
      <c r="K360" s="461"/>
    </row>
    <row r="361" spans="10:11">
      <c r="J361" s="461"/>
      <c r="K361" s="461"/>
    </row>
    <row r="362" spans="10:11">
      <c r="J362" s="461"/>
      <c r="K362" s="461"/>
    </row>
    <row r="363" spans="10:11">
      <c r="J363" s="461"/>
      <c r="K363" s="461"/>
    </row>
    <row r="364" spans="10:11">
      <c r="J364" s="461"/>
      <c r="K364" s="461"/>
    </row>
    <row r="365" spans="10:11">
      <c r="J365" s="461"/>
      <c r="K365" s="461"/>
    </row>
    <row r="366" spans="10:11">
      <c r="J366" s="461"/>
      <c r="K366" s="461"/>
    </row>
    <row r="367" spans="10:11">
      <c r="J367" s="461"/>
      <c r="K367" s="461"/>
    </row>
    <row r="368" spans="10:11">
      <c r="J368" s="461"/>
      <c r="K368" s="461"/>
    </row>
    <row r="369" spans="10:11">
      <c r="J369" s="461"/>
      <c r="K369" s="461"/>
    </row>
    <row r="370" spans="10:11">
      <c r="J370" s="461"/>
      <c r="K370" s="461"/>
    </row>
    <row r="371" spans="10:11">
      <c r="J371" s="461"/>
      <c r="K371" s="461"/>
    </row>
    <row r="372" spans="10:11">
      <c r="J372" s="461"/>
      <c r="K372" s="461"/>
    </row>
    <row r="373" spans="10:11">
      <c r="J373" s="461"/>
      <c r="K373" s="461"/>
    </row>
    <row r="374" spans="10:11">
      <c r="J374" s="461"/>
      <c r="K374" s="461"/>
    </row>
    <row r="375" spans="10:11">
      <c r="J375" s="461"/>
      <c r="K375" s="461"/>
    </row>
    <row r="376" spans="10:11">
      <c r="J376" s="461"/>
      <c r="K376" s="461"/>
    </row>
    <row r="377" spans="10:11">
      <c r="J377" s="461"/>
      <c r="K377" s="461"/>
    </row>
    <row r="378" spans="10:11">
      <c r="J378" s="461"/>
      <c r="K378" s="461"/>
    </row>
    <row r="379" spans="10:11">
      <c r="J379" s="461"/>
      <c r="K379" s="461"/>
    </row>
    <row r="380" spans="10:11">
      <c r="J380" s="461"/>
      <c r="K380" s="461"/>
    </row>
    <row r="381" spans="10:11">
      <c r="J381" s="461"/>
      <c r="K381" s="461"/>
    </row>
    <row r="382" spans="10:11">
      <c r="J382" s="461"/>
      <c r="K382" s="461"/>
    </row>
    <row r="383" spans="10:11">
      <c r="J383" s="461"/>
      <c r="K383" s="461"/>
    </row>
    <row r="384" spans="10:11">
      <c r="J384" s="461"/>
      <c r="K384" s="461"/>
    </row>
    <row r="385" spans="10:11">
      <c r="J385" s="461"/>
      <c r="K385" s="461"/>
    </row>
    <row r="386" spans="10:11">
      <c r="J386" s="461"/>
      <c r="K386" s="461"/>
    </row>
    <row r="387" spans="10:11">
      <c r="J387" s="461"/>
      <c r="K387" s="461"/>
    </row>
    <row r="388" spans="10:11">
      <c r="J388" s="461"/>
      <c r="K388" s="461"/>
    </row>
    <row r="389" spans="10:11">
      <c r="J389" s="461"/>
      <c r="K389" s="461"/>
    </row>
    <row r="390" spans="10:11">
      <c r="J390" s="461"/>
      <c r="K390" s="461"/>
    </row>
    <row r="391" spans="10:11">
      <c r="J391" s="461"/>
      <c r="K391" s="461"/>
    </row>
    <row r="392" spans="10:11">
      <c r="J392" s="461"/>
      <c r="K392" s="461"/>
    </row>
    <row r="393" spans="10:11">
      <c r="J393" s="461"/>
      <c r="K393" s="461"/>
    </row>
    <row r="394" spans="10:11">
      <c r="J394" s="461"/>
      <c r="K394" s="461"/>
    </row>
    <row r="395" spans="10:11">
      <c r="J395" s="461"/>
      <c r="K395" s="461"/>
    </row>
    <row r="396" spans="10:11">
      <c r="J396" s="461"/>
      <c r="K396" s="461"/>
    </row>
    <row r="397" spans="10:11">
      <c r="J397" s="461"/>
      <c r="K397" s="461"/>
    </row>
    <row r="398" spans="10:11">
      <c r="J398" s="461"/>
      <c r="K398" s="461"/>
    </row>
    <row r="399" spans="10:11">
      <c r="J399" s="461"/>
      <c r="K399" s="461"/>
    </row>
    <row r="400" spans="10:11">
      <c r="J400" s="461"/>
      <c r="K400" s="461"/>
    </row>
    <row r="401" spans="10:11">
      <c r="J401" s="461"/>
      <c r="K401" s="461"/>
    </row>
    <row r="402" spans="10:11">
      <c r="J402" s="461"/>
      <c r="K402" s="461"/>
    </row>
    <row r="403" spans="10:11">
      <c r="J403" s="461"/>
      <c r="K403" s="461"/>
    </row>
    <row r="404" spans="10:11">
      <c r="J404" s="461"/>
      <c r="K404" s="461"/>
    </row>
    <row r="405" spans="10:11">
      <c r="J405" s="461"/>
      <c r="K405" s="461"/>
    </row>
    <row r="406" spans="10:11">
      <c r="J406" s="461"/>
      <c r="K406" s="461"/>
    </row>
    <row r="407" spans="10:11">
      <c r="J407" s="461"/>
      <c r="K407" s="461"/>
    </row>
    <row r="408" spans="10:11">
      <c r="J408" s="461"/>
      <c r="K408" s="461"/>
    </row>
    <row r="409" spans="10:11">
      <c r="J409" s="461"/>
      <c r="K409" s="461"/>
    </row>
    <row r="410" spans="10:11">
      <c r="J410" s="461"/>
      <c r="K410" s="461"/>
    </row>
    <row r="411" spans="10:11">
      <c r="J411" s="461"/>
      <c r="K411" s="461"/>
    </row>
    <row r="412" spans="10:11">
      <c r="J412" s="461"/>
      <c r="K412" s="461"/>
    </row>
    <row r="413" spans="10:11">
      <c r="J413" s="461"/>
      <c r="K413" s="461"/>
    </row>
    <row r="414" spans="10:11">
      <c r="J414" s="461"/>
      <c r="K414" s="461"/>
    </row>
    <row r="415" spans="10:11">
      <c r="J415" s="461"/>
      <c r="K415" s="461"/>
    </row>
    <row r="416" spans="10:11">
      <c r="J416" s="461"/>
      <c r="K416" s="461"/>
    </row>
    <row r="417" spans="10:11">
      <c r="J417" s="461"/>
      <c r="K417" s="461"/>
    </row>
    <row r="418" spans="10:11">
      <c r="J418" s="461"/>
      <c r="K418" s="461"/>
    </row>
    <row r="419" spans="10:11">
      <c r="J419" s="461"/>
      <c r="K419" s="461"/>
    </row>
    <row r="420" spans="10:11">
      <c r="J420" s="461"/>
      <c r="K420" s="461"/>
    </row>
    <row r="421" spans="10:11">
      <c r="J421" s="461"/>
      <c r="K421" s="461"/>
    </row>
    <row r="422" spans="10:11">
      <c r="J422" s="461"/>
      <c r="K422" s="461"/>
    </row>
    <row r="423" spans="10:11">
      <c r="J423" s="461"/>
      <c r="K423" s="461"/>
    </row>
    <row r="424" spans="10:11">
      <c r="J424" s="461"/>
      <c r="K424" s="461"/>
    </row>
    <row r="425" spans="10:11">
      <c r="J425" s="461"/>
      <c r="K425" s="461"/>
    </row>
    <row r="426" spans="10:11">
      <c r="J426" s="461"/>
      <c r="K426" s="461"/>
    </row>
    <row r="427" spans="10:11">
      <c r="J427" s="461"/>
      <c r="K427" s="461"/>
    </row>
    <row r="428" spans="10:11">
      <c r="J428" s="461"/>
      <c r="K428" s="461"/>
    </row>
    <row r="429" spans="10:11">
      <c r="J429" s="461"/>
      <c r="K429" s="461"/>
    </row>
    <row r="430" spans="10:11">
      <c r="J430" s="461"/>
      <c r="K430" s="461"/>
    </row>
    <row r="431" spans="10:11">
      <c r="J431" s="461"/>
      <c r="K431" s="461"/>
    </row>
    <row r="432" spans="10:11">
      <c r="J432" s="461"/>
      <c r="K432" s="461"/>
    </row>
    <row r="433" spans="10:11">
      <c r="J433" s="461"/>
      <c r="K433" s="461"/>
    </row>
    <row r="434" spans="10:11">
      <c r="J434" s="461"/>
      <c r="K434" s="461"/>
    </row>
    <row r="435" spans="10:11">
      <c r="J435" s="461"/>
      <c r="K435" s="461"/>
    </row>
    <row r="436" spans="10:11">
      <c r="J436" s="461"/>
      <c r="K436" s="461"/>
    </row>
    <row r="437" spans="10:11">
      <c r="J437" s="461"/>
      <c r="K437" s="461"/>
    </row>
    <row r="438" spans="10:11">
      <c r="J438" s="461"/>
      <c r="K438" s="461"/>
    </row>
    <row r="439" spans="10:11">
      <c r="J439" s="461"/>
      <c r="K439" s="461"/>
    </row>
    <row r="440" spans="10:11">
      <c r="J440" s="461"/>
      <c r="K440" s="461"/>
    </row>
    <row r="441" spans="10:11">
      <c r="J441" s="461"/>
      <c r="K441" s="461"/>
    </row>
    <row r="442" spans="10:11">
      <c r="J442" s="461"/>
      <c r="K442" s="461"/>
    </row>
    <row r="443" spans="10:11">
      <c r="J443" s="461"/>
      <c r="K443" s="461"/>
    </row>
    <row r="444" spans="10:11">
      <c r="J444" s="461"/>
      <c r="K444" s="461"/>
    </row>
    <row r="445" spans="10:11">
      <c r="J445" s="461"/>
      <c r="K445" s="461"/>
    </row>
    <row r="446" spans="10:11">
      <c r="J446" s="461"/>
      <c r="K446" s="461"/>
    </row>
    <row r="447" spans="10:11">
      <c r="J447" s="461"/>
      <c r="K447" s="461"/>
    </row>
    <row r="448" spans="10:11">
      <c r="J448" s="461"/>
      <c r="K448" s="461"/>
    </row>
    <row r="449" spans="10:11">
      <c r="J449" s="461"/>
      <c r="K449" s="461"/>
    </row>
    <row r="450" spans="10:11">
      <c r="J450" s="461"/>
      <c r="K450" s="461"/>
    </row>
    <row r="451" spans="10:11">
      <c r="J451" s="461"/>
      <c r="K451" s="461"/>
    </row>
    <row r="452" spans="10:11">
      <c r="J452" s="461"/>
      <c r="K452" s="461"/>
    </row>
    <row r="453" spans="10:11">
      <c r="J453" s="461"/>
      <c r="K453" s="461"/>
    </row>
    <row r="454" spans="10:11">
      <c r="J454" s="461"/>
      <c r="K454" s="461"/>
    </row>
    <row r="455" spans="10:11">
      <c r="J455" s="461"/>
      <c r="K455" s="461"/>
    </row>
    <row r="456" spans="10:11">
      <c r="J456" s="461"/>
      <c r="K456" s="461"/>
    </row>
    <row r="457" spans="10:11">
      <c r="J457" s="461"/>
      <c r="K457" s="461"/>
    </row>
    <row r="458" spans="10:11">
      <c r="J458" s="461"/>
      <c r="K458" s="461"/>
    </row>
    <row r="459" spans="10:11">
      <c r="J459" s="461"/>
      <c r="K459" s="461"/>
    </row>
    <row r="460" spans="10:11">
      <c r="J460" s="461"/>
      <c r="K460" s="461"/>
    </row>
    <row r="461" spans="10:11">
      <c r="J461" s="461"/>
      <c r="K461" s="461"/>
    </row>
    <row r="462" spans="10:11">
      <c r="J462" s="461"/>
      <c r="K462" s="461"/>
    </row>
    <row r="463" spans="10:11">
      <c r="J463" s="461"/>
      <c r="K463" s="461"/>
    </row>
    <row r="464" spans="10:11">
      <c r="J464" s="461"/>
      <c r="K464" s="461"/>
    </row>
    <row r="465" spans="10:11">
      <c r="J465" s="461"/>
      <c r="K465" s="461"/>
    </row>
    <row r="466" spans="10:11">
      <c r="J466" s="461"/>
      <c r="K466" s="461"/>
    </row>
    <row r="467" spans="10:11">
      <c r="J467" s="461"/>
      <c r="K467" s="461"/>
    </row>
    <row r="468" spans="10:11">
      <c r="J468" s="461"/>
      <c r="K468" s="461"/>
    </row>
    <row r="469" spans="10:11">
      <c r="J469" s="461"/>
      <c r="K469" s="461"/>
    </row>
    <row r="470" spans="10:11">
      <c r="J470" s="461"/>
      <c r="K470" s="461"/>
    </row>
    <row r="471" spans="10:11">
      <c r="J471" s="461"/>
      <c r="K471" s="461"/>
    </row>
    <row r="472" spans="10:11">
      <c r="J472" s="461"/>
      <c r="K472" s="461"/>
    </row>
    <row r="473" spans="10:11">
      <c r="J473" s="461"/>
      <c r="K473" s="461"/>
    </row>
    <row r="474" spans="10:11">
      <c r="J474" s="461"/>
      <c r="K474" s="461"/>
    </row>
    <row r="475" spans="10:11">
      <c r="J475" s="461"/>
      <c r="K475" s="461"/>
    </row>
    <row r="476" spans="10:11">
      <c r="J476" s="461"/>
      <c r="K476" s="461"/>
    </row>
    <row r="477" spans="10:11">
      <c r="J477" s="461"/>
      <c r="K477" s="461"/>
    </row>
    <row r="478" spans="10:11">
      <c r="J478" s="461"/>
      <c r="K478" s="461"/>
    </row>
    <row r="479" spans="10:11">
      <c r="J479" s="461"/>
      <c r="K479" s="461"/>
    </row>
    <row r="480" spans="10:11">
      <c r="J480" s="461"/>
      <c r="K480" s="461"/>
    </row>
    <row r="481" spans="10:11">
      <c r="J481" s="461"/>
      <c r="K481" s="461"/>
    </row>
    <row r="482" spans="10:11">
      <c r="J482" s="461"/>
      <c r="K482" s="461"/>
    </row>
    <row r="483" spans="10:11">
      <c r="J483" s="461"/>
      <c r="K483" s="461"/>
    </row>
    <row r="484" spans="10:11">
      <c r="J484" s="461"/>
      <c r="K484" s="461"/>
    </row>
    <row r="485" spans="10:11">
      <c r="J485" s="461"/>
      <c r="K485" s="461"/>
    </row>
    <row r="486" spans="10:11">
      <c r="J486" s="461"/>
      <c r="K486" s="461"/>
    </row>
    <row r="487" spans="10:11">
      <c r="J487" s="461"/>
      <c r="K487" s="461"/>
    </row>
    <row r="488" spans="10:11">
      <c r="J488" s="461"/>
      <c r="K488" s="461"/>
    </row>
    <row r="489" spans="10:11">
      <c r="J489" s="461"/>
      <c r="K489" s="461"/>
    </row>
    <row r="490" spans="10:11">
      <c r="J490" s="461"/>
      <c r="K490" s="461"/>
    </row>
    <row r="491" spans="10:11">
      <c r="J491" s="461"/>
      <c r="K491" s="461"/>
    </row>
    <row r="492" spans="10:11">
      <c r="J492" s="461"/>
      <c r="K492" s="461"/>
    </row>
    <row r="493" spans="10:11">
      <c r="J493" s="461"/>
      <c r="K493" s="461"/>
    </row>
    <row r="494" spans="10:11">
      <c r="J494" s="461"/>
      <c r="K494" s="461"/>
    </row>
    <row r="495" spans="10:11">
      <c r="J495" s="461"/>
      <c r="K495" s="461"/>
    </row>
    <row r="496" spans="10:11">
      <c r="J496" s="461"/>
      <c r="K496" s="461"/>
    </row>
    <row r="497" spans="10:11">
      <c r="J497" s="461"/>
      <c r="K497" s="461"/>
    </row>
    <row r="498" spans="10:11">
      <c r="J498" s="461"/>
      <c r="K498" s="461"/>
    </row>
    <row r="499" spans="10:11">
      <c r="J499" s="461"/>
      <c r="K499" s="461"/>
    </row>
    <row r="500" spans="10:11">
      <c r="J500" s="461"/>
      <c r="K500" s="461"/>
    </row>
    <row r="501" spans="10:11">
      <c r="J501" s="461"/>
      <c r="K501" s="461"/>
    </row>
    <row r="502" spans="10:11">
      <c r="J502" s="461"/>
      <c r="K502" s="461"/>
    </row>
    <row r="503" spans="10:11">
      <c r="J503" s="461"/>
      <c r="K503" s="461"/>
    </row>
    <row r="504" spans="10:11">
      <c r="J504" s="461"/>
      <c r="K504" s="461"/>
    </row>
    <row r="505" spans="10:11">
      <c r="J505" s="461"/>
      <c r="K505" s="461"/>
    </row>
    <row r="506" spans="10:11">
      <c r="J506" s="461"/>
      <c r="K506" s="461"/>
    </row>
    <row r="507" spans="10:11">
      <c r="J507" s="461"/>
      <c r="K507" s="461"/>
    </row>
    <row r="508" spans="10:11">
      <c r="J508" s="461"/>
      <c r="K508" s="461"/>
    </row>
    <row r="509" spans="10:11">
      <c r="J509" s="461"/>
      <c r="K509" s="461"/>
    </row>
    <row r="510" spans="10:11">
      <c r="J510" s="461"/>
      <c r="K510" s="461"/>
    </row>
    <row r="511" spans="10:11">
      <c r="J511" s="461"/>
      <c r="K511" s="461"/>
    </row>
    <row r="512" spans="10:11">
      <c r="J512" s="461"/>
      <c r="K512" s="461"/>
    </row>
    <row r="513" spans="10:11">
      <c r="J513" s="461"/>
      <c r="K513" s="461"/>
    </row>
    <row r="514" spans="10:11">
      <c r="J514" s="461"/>
      <c r="K514" s="461"/>
    </row>
    <row r="515" spans="10:11">
      <c r="J515" s="461"/>
      <c r="K515" s="461"/>
    </row>
    <row r="516" spans="10:11">
      <c r="J516" s="461"/>
      <c r="K516" s="461"/>
    </row>
    <row r="517" spans="10:11">
      <c r="J517" s="461"/>
      <c r="K517" s="461"/>
    </row>
    <row r="518" spans="10:11">
      <c r="J518" s="461"/>
      <c r="K518" s="461"/>
    </row>
    <row r="519" spans="10:11">
      <c r="J519" s="461"/>
      <c r="K519" s="461"/>
    </row>
    <row r="520" spans="10:11">
      <c r="J520" s="461"/>
      <c r="K520" s="461"/>
    </row>
    <row r="521" spans="10:11">
      <c r="J521" s="461"/>
      <c r="K521" s="461"/>
    </row>
    <row r="522" spans="10:11">
      <c r="J522" s="461"/>
      <c r="K522" s="461"/>
    </row>
    <row r="523" spans="10:11">
      <c r="J523" s="461"/>
      <c r="K523" s="461"/>
    </row>
    <row r="524" spans="10:11">
      <c r="J524" s="461"/>
      <c r="K524" s="461"/>
    </row>
    <row r="525" spans="10:11">
      <c r="J525" s="461"/>
      <c r="K525" s="461"/>
    </row>
    <row r="526" spans="10:11">
      <c r="J526" s="461"/>
      <c r="K526" s="461"/>
    </row>
    <row r="527" spans="10:11">
      <c r="J527" s="461"/>
      <c r="K527" s="461"/>
    </row>
    <row r="528" spans="10:11">
      <c r="J528" s="461"/>
      <c r="K528" s="461"/>
    </row>
    <row r="529" spans="10:11">
      <c r="J529" s="461"/>
      <c r="K529" s="461"/>
    </row>
    <row r="530" spans="10:11">
      <c r="J530" s="461"/>
      <c r="K530" s="461"/>
    </row>
    <row r="531" spans="10:11">
      <c r="J531" s="461"/>
      <c r="K531" s="461"/>
    </row>
    <row r="532" spans="10:11">
      <c r="J532" s="461"/>
      <c r="K532" s="461"/>
    </row>
    <row r="533" spans="10:11">
      <c r="J533" s="461"/>
      <c r="K533" s="461"/>
    </row>
    <row r="534" spans="10:11">
      <c r="J534" s="461"/>
      <c r="K534" s="461"/>
    </row>
    <row r="535" spans="10:11">
      <c r="J535" s="461"/>
      <c r="K535" s="461"/>
    </row>
    <row r="536" spans="10:11">
      <c r="J536" s="461"/>
      <c r="K536" s="461"/>
    </row>
    <row r="537" spans="10:11">
      <c r="J537" s="461"/>
      <c r="K537" s="461"/>
    </row>
    <row r="538" spans="10:11">
      <c r="J538" s="461"/>
      <c r="K538" s="461"/>
    </row>
    <row r="539" spans="10:11">
      <c r="J539" s="461"/>
      <c r="K539" s="461"/>
    </row>
    <row r="540" spans="10:11">
      <c r="J540" s="461"/>
      <c r="K540" s="461"/>
    </row>
    <row r="541" spans="10:11">
      <c r="J541" s="461"/>
      <c r="K541" s="461"/>
    </row>
    <row r="542" spans="10:11">
      <c r="J542" s="461"/>
      <c r="K542" s="461"/>
    </row>
    <row r="543" spans="10:11">
      <c r="J543" s="461"/>
      <c r="K543" s="461"/>
    </row>
    <row r="544" spans="10:11">
      <c r="J544" s="461"/>
      <c r="K544" s="461"/>
    </row>
    <row r="545" spans="10:11">
      <c r="J545" s="461"/>
      <c r="K545" s="461"/>
    </row>
    <row r="546" spans="10:11">
      <c r="J546" s="461"/>
      <c r="K546" s="461"/>
    </row>
    <row r="547" spans="10:11">
      <c r="J547" s="461"/>
      <c r="K547" s="461"/>
    </row>
    <row r="548" spans="10:11">
      <c r="J548" s="461"/>
      <c r="K548" s="461"/>
    </row>
  </sheetData>
  <mergeCells count="8">
    <mergeCell ref="M13:N13"/>
    <mergeCell ref="J12:K12"/>
    <mergeCell ref="C2:K2"/>
    <mergeCell ref="D4:D5"/>
    <mergeCell ref="E4:E5"/>
    <mergeCell ref="F4:F5"/>
    <mergeCell ref="G4:G5"/>
    <mergeCell ref="H4:I5"/>
  </mergeCells>
  <pageMargins left="0.7" right="0.7" top="0.75" bottom="0.75" header="0.3" footer="0.3"/>
  <pageSetup orientation="landscape" r:id="rId1"/>
  <ignoredErrors>
    <ignoredError sqref="G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J29"/>
  <sheetViews>
    <sheetView showGridLines="0" zoomScaleNormal="100" workbookViewId="0">
      <selection activeCell="G47" sqref="G47"/>
    </sheetView>
  </sheetViews>
  <sheetFormatPr defaultRowHeight="12.75"/>
  <cols>
    <col min="1" max="1" width="1.85546875" customWidth="1"/>
    <col min="2" max="2" width="48.42578125" customWidth="1"/>
    <col min="3" max="3" width="16" customWidth="1"/>
    <col min="4" max="4" width="3.5703125" customWidth="1"/>
    <col min="6" max="6" width="8.85546875" customWidth="1"/>
  </cols>
  <sheetData>
    <row r="1" spans="1:10" ht="15.75">
      <c r="A1" s="488"/>
      <c r="B1" s="522" t="s">
        <v>587</v>
      </c>
      <c r="C1" s="522"/>
      <c r="D1" s="522"/>
      <c r="E1" s="522"/>
      <c r="F1" s="522"/>
      <c r="G1" s="522"/>
      <c r="H1" s="522"/>
      <c r="I1" s="522"/>
      <c r="J1" s="522"/>
    </row>
    <row r="2" spans="1:10" ht="9.75" customHeight="1" thickBot="1">
      <c r="A2" s="488"/>
      <c r="B2" s="488"/>
      <c r="C2" s="488"/>
      <c r="D2" s="488"/>
      <c r="E2" s="488"/>
      <c r="F2" s="488"/>
      <c r="G2" s="488"/>
      <c r="H2" s="488"/>
    </row>
    <row r="3" spans="1:10">
      <c r="A3" s="488"/>
      <c r="B3" s="1088" t="s">
        <v>451</v>
      </c>
      <c r="C3" s="557" t="s">
        <v>570</v>
      </c>
      <c r="D3" s="488"/>
      <c r="E3" s="488"/>
      <c r="F3" s="488"/>
      <c r="G3" s="488"/>
      <c r="H3" s="488"/>
    </row>
    <row r="4" spans="1:10">
      <c r="A4" s="488"/>
      <c r="B4" s="1089"/>
      <c r="C4" s="558" t="s">
        <v>571</v>
      </c>
      <c r="D4" s="488"/>
      <c r="E4" s="488"/>
      <c r="F4" s="488"/>
      <c r="G4" s="488"/>
      <c r="H4" s="488"/>
      <c r="I4" s="488"/>
      <c r="J4" s="488"/>
    </row>
    <row r="5" spans="1:10" ht="15" customHeight="1">
      <c r="A5" s="488"/>
      <c r="B5" s="857" t="s">
        <v>568</v>
      </c>
      <c r="C5" s="858" t="e">
        <f>'Table 1-2012 Rec'' Budget'!C9</f>
        <v>#REF!</v>
      </c>
      <c r="D5" s="488"/>
      <c r="E5" s="488"/>
      <c r="F5" s="488"/>
      <c r="G5" s="488"/>
      <c r="H5" s="488"/>
      <c r="I5" s="488"/>
      <c r="J5" s="488"/>
    </row>
    <row r="6" spans="1:10" ht="15" customHeight="1">
      <c r="A6" s="488"/>
      <c r="B6" s="499" t="s">
        <v>603</v>
      </c>
      <c r="C6" s="559"/>
      <c r="D6" s="488"/>
      <c r="E6" s="488"/>
      <c r="F6" s="488"/>
      <c r="G6" s="488"/>
      <c r="H6" s="488"/>
      <c r="I6" s="488"/>
      <c r="J6" s="488"/>
    </row>
    <row r="7" spans="1:10" ht="15" customHeight="1">
      <c r="A7" s="488"/>
      <c r="B7" s="859" t="s">
        <v>572</v>
      </c>
      <c r="C7" s="860" t="e">
        <f>C6+C5</f>
        <v>#REF!</v>
      </c>
      <c r="D7" s="488"/>
      <c r="E7" s="488"/>
      <c r="F7" s="488"/>
      <c r="G7" s="488"/>
      <c r="H7" s="488"/>
      <c r="I7" s="488"/>
      <c r="J7" s="488"/>
    </row>
    <row r="8" spans="1:10" ht="15" customHeight="1">
      <c r="A8" s="488"/>
      <c r="B8" s="500" t="s">
        <v>613</v>
      </c>
      <c r="C8" s="861"/>
      <c r="D8" s="488"/>
      <c r="E8" s="488"/>
      <c r="F8" s="488"/>
      <c r="G8" s="488"/>
      <c r="H8" s="488"/>
      <c r="I8" s="488"/>
      <c r="J8" s="488"/>
    </row>
    <row r="9" spans="1:10" ht="15" customHeight="1">
      <c r="A9" s="488"/>
      <c r="B9" s="862" t="s">
        <v>592</v>
      </c>
      <c r="C9" s="863"/>
      <c r="D9" s="488"/>
      <c r="E9" s="488"/>
      <c r="F9" s="488"/>
      <c r="G9" s="488"/>
      <c r="H9" s="488"/>
      <c r="I9" s="488"/>
      <c r="J9" s="488"/>
    </row>
    <row r="10" spans="1:10" ht="15" customHeight="1">
      <c r="A10" s="488"/>
      <c r="B10" s="862" t="s">
        <v>604</v>
      </c>
      <c r="C10" s="863"/>
      <c r="D10" s="488"/>
      <c r="E10" s="488"/>
      <c r="F10" s="488"/>
      <c r="G10" s="488"/>
      <c r="H10" s="488"/>
      <c r="I10" s="488"/>
      <c r="J10" s="488"/>
    </row>
    <row r="11" spans="1:10" ht="15" customHeight="1">
      <c r="A11" s="488"/>
      <c r="B11" s="499" t="s">
        <v>614</v>
      </c>
      <c r="C11" s="559" t="e">
        <f>'Table 1-2012 Rec'' Budget'!H9</f>
        <v>#REF!</v>
      </c>
      <c r="D11" s="488"/>
      <c r="E11" s="488"/>
      <c r="F11" s="488"/>
      <c r="G11" s="488"/>
      <c r="H11" s="488"/>
      <c r="I11" s="488"/>
      <c r="J11" s="488"/>
    </row>
    <row r="12" spans="1:10" ht="18" customHeight="1" thickBot="1">
      <c r="A12" s="488"/>
      <c r="B12" s="655" t="s">
        <v>569</v>
      </c>
      <c r="C12" s="656" t="e">
        <f>SUM(C7:C11)</f>
        <v>#REF!</v>
      </c>
      <c r="D12" s="488"/>
      <c r="E12" s="488"/>
      <c r="F12" s="488"/>
      <c r="G12" s="488"/>
      <c r="H12" s="488"/>
      <c r="I12" s="488"/>
      <c r="J12" s="488"/>
    </row>
    <row r="13" spans="1:10">
      <c r="A13" s="488"/>
      <c r="B13" s="488"/>
      <c r="C13" s="488"/>
      <c r="D13" s="488"/>
      <c r="E13" s="488"/>
      <c r="F13" s="488"/>
      <c r="G13" s="488"/>
      <c r="H13" s="488"/>
      <c r="I13" s="488"/>
      <c r="J13" s="488"/>
    </row>
    <row r="14" spans="1:10">
      <c r="B14" s="488"/>
      <c r="C14" s="488"/>
      <c r="D14" s="488"/>
      <c r="E14" s="488"/>
      <c r="F14" s="488"/>
      <c r="G14" s="488"/>
      <c r="H14" s="488"/>
      <c r="I14" s="488"/>
      <c r="J14" s="488"/>
    </row>
    <row r="15" spans="1:10">
      <c r="B15" s="488"/>
      <c r="C15" s="488"/>
      <c r="D15" s="488"/>
      <c r="E15" s="488"/>
      <c r="F15" s="488"/>
      <c r="G15" s="488"/>
      <c r="H15" s="488"/>
      <c r="I15" s="488"/>
      <c r="J15" s="488"/>
    </row>
    <row r="16" spans="1:10">
      <c r="B16" s="488"/>
      <c r="C16" s="488"/>
      <c r="D16" s="488"/>
      <c r="E16" s="488"/>
      <c r="F16" s="488"/>
      <c r="G16" s="488"/>
      <c r="H16" s="488"/>
      <c r="I16" s="488"/>
      <c r="J16" s="488"/>
    </row>
    <row r="17" spans="2:10">
      <c r="B17" s="488"/>
      <c r="C17" s="488"/>
      <c r="D17" s="488"/>
      <c r="E17" s="488"/>
      <c r="F17" s="488"/>
      <c r="G17" s="488"/>
      <c r="H17" s="488"/>
      <c r="I17" s="488"/>
      <c r="J17" s="488"/>
    </row>
    <row r="18" spans="2:10">
      <c r="B18" s="488"/>
      <c r="C18" s="488"/>
      <c r="D18" s="488"/>
      <c r="E18" s="488"/>
      <c r="F18" s="488"/>
      <c r="G18" s="488"/>
      <c r="H18" s="488"/>
      <c r="I18" s="488"/>
      <c r="J18" s="488"/>
    </row>
    <row r="19" spans="2:10">
      <c r="B19" s="488"/>
      <c r="C19" s="488"/>
      <c r="D19" s="488"/>
      <c r="E19" s="488"/>
      <c r="F19" s="488"/>
      <c r="G19" s="488"/>
      <c r="H19" s="488"/>
      <c r="I19" s="488"/>
      <c r="J19" s="488"/>
    </row>
    <row r="20" spans="2:10">
      <c r="B20" s="488"/>
      <c r="C20" s="488"/>
      <c r="D20" s="488"/>
      <c r="E20" s="488"/>
      <c r="F20" s="488"/>
      <c r="G20" s="488"/>
      <c r="H20" s="488"/>
      <c r="I20" s="488"/>
      <c r="J20" s="488"/>
    </row>
    <row r="21" spans="2:10">
      <c r="B21" s="488"/>
      <c r="C21" s="488"/>
      <c r="D21" s="488"/>
      <c r="E21" s="488"/>
      <c r="F21" s="488"/>
      <c r="G21" s="488"/>
      <c r="H21" s="488"/>
      <c r="I21" s="488"/>
      <c r="J21" s="488"/>
    </row>
    <row r="22" spans="2:10">
      <c r="B22" s="488"/>
      <c r="C22" s="488"/>
      <c r="D22" s="488"/>
      <c r="E22" s="488"/>
      <c r="F22" s="488"/>
      <c r="G22" s="488"/>
      <c r="H22" s="488"/>
      <c r="I22" s="488"/>
      <c r="J22" s="488"/>
    </row>
    <row r="23" spans="2:10">
      <c r="B23" s="488"/>
      <c r="C23" s="488"/>
      <c r="D23" s="488"/>
      <c r="E23" s="488"/>
      <c r="F23" s="488"/>
      <c r="G23" s="488"/>
      <c r="H23" s="488"/>
      <c r="I23" s="488"/>
      <c r="J23" s="488"/>
    </row>
    <row r="24" spans="2:10">
      <c r="B24" s="488"/>
      <c r="C24" s="488"/>
      <c r="D24" s="488"/>
      <c r="E24" s="488"/>
      <c r="F24" s="488"/>
      <c r="G24" s="488"/>
      <c r="H24" s="488"/>
      <c r="I24" s="488"/>
      <c r="J24" s="488"/>
    </row>
    <row r="25" spans="2:10">
      <c r="B25" s="488"/>
      <c r="C25" s="488"/>
      <c r="D25" s="488"/>
      <c r="E25" s="488"/>
      <c r="F25" s="488"/>
      <c r="G25" s="488"/>
      <c r="H25" s="488"/>
      <c r="I25" s="488"/>
      <c r="J25" s="488"/>
    </row>
    <row r="26" spans="2:10">
      <c r="B26" s="488"/>
      <c r="C26" s="488"/>
      <c r="D26" s="488"/>
      <c r="E26" s="488"/>
      <c r="F26" s="488"/>
      <c r="G26" s="488"/>
      <c r="H26" s="488"/>
      <c r="I26" s="488"/>
      <c r="J26" s="488"/>
    </row>
    <row r="27" spans="2:10">
      <c r="B27" s="488"/>
      <c r="C27" s="488"/>
      <c r="D27" s="488"/>
      <c r="E27" s="488"/>
      <c r="F27" s="488"/>
      <c r="G27" s="488"/>
      <c r="H27" s="488"/>
      <c r="I27" s="488"/>
      <c r="J27" s="488"/>
    </row>
    <row r="28" spans="2:10">
      <c r="B28" s="488"/>
      <c r="C28" s="488"/>
      <c r="D28" s="488"/>
      <c r="E28" s="488"/>
      <c r="F28" s="488"/>
      <c r="G28" s="488"/>
      <c r="H28" s="488"/>
      <c r="I28" s="488"/>
      <c r="J28" s="488"/>
    </row>
    <row r="29" spans="2:10">
      <c r="B29" s="488"/>
      <c r="C29" s="488"/>
      <c r="D29" s="488"/>
      <c r="E29" s="488"/>
      <c r="F29" s="488"/>
      <c r="G29" s="488"/>
      <c r="H29" s="488"/>
    </row>
  </sheetData>
  <mergeCells count="1">
    <mergeCell ref="B3:B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7"/>
  <sheetViews>
    <sheetView showGridLines="0" workbookViewId="0">
      <selection activeCell="J36" sqref="A6:J36"/>
    </sheetView>
  </sheetViews>
  <sheetFormatPr defaultRowHeight="12.75"/>
  <cols>
    <col min="1" max="1" width="1.85546875" customWidth="1"/>
    <col min="2" max="2" width="30.140625" customWidth="1"/>
    <col min="3" max="3" width="7.5703125" customWidth="1"/>
    <col min="4" max="4" width="8.85546875" customWidth="1"/>
    <col min="5" max="5" width="8.7109375" customWidth="1"/>
    <col min="6" max="6" width="11.5703125" customWidth="1"/>
    <col min="7" max="7" width="9.7109375" customWidth="1"/>
    <col min="8" max="8" width="6.85546875" customWidth="1"/>
    <col min="9" max="9" width="9.7109375" customWidth="1"/>
    <col min="10" max="10" width="6.7109375" customWidth="1"/>
    <col min="11" max="11" width="2.85546875" customWidth="1"/>
  </cols>
  <sheetData>
    <row r="1" spans="1:14">
      <c r="A1" s="488"/>
      <c r="B1" s="505"/>
      <c r="C1" s="488"/>
      <c r="D1" s="488"/>
      <c r="E1" s="488"/>
      <c r="F1" s="488"/>
      <c r="G1" s="488"/>
      <c r="H1" s="488"/>
      <c r="I1" s="488"/>
      <c r="J1" s="488"/>
      <c r="K1" s="488"/>
    </row>
    <row r="2" spans="1:14" ht="15.75">
      <c r="A2" s="488"/>
      <c r="B2" s="517" t="s">
        <v>590</v>
      </c>
      <c r="C2" s="488"/>
      <c r="D2" s="488"/>
      <c r="E2" s="488"/>
      <c r="F2" s="488"/>
      <c r="G2" s="488"/>
      <c r="H2" s="488"/>
      <c r="I2" s="488"/>
      <c r="J2" s="488"/>
      <c r="K2" s="488"/>
    </row>
    <row r="3" spans="1:14">
      <c r="A3" s="488"/>
      <c r="B3" s="488"/>
      <c r="C3" s="488"/>
      <c r="D3" s="488"/>
      <c r="E3" s="488"/>
      <c r="F3" s="488"/>
      <c r="G3" s="488"/>
      <c r="H3" s="488"/>
      <c r="I3" s="488"/>
      <c r="J3" s="488"/>
      <c r="K3" s="488"/>
    </row>
    <row r="4" spans="1:14" ht="15.75">
      <c r="A4" s="488"/>
      <c r="B4" s="1077" t="s">
        <v>588</v>
      </c>
      <c r="C4" s="1077"/>
      <c r="D4" s="1077"/>
      <c r="E4" s="1077"/>
      <c r="F4" s="1077"/>
      <c r="G4" s="1077"/>
      <c r="H4" s="1077"/>
      <c r="I4" s="1077"/>
      <c r="J4" s="1077"/>
      <c r="K4" s="488"/>
    </row>
    <row r="5" spans="1:14">
      <c r="A5" s="488"/>
      <c r="B5" s="506" t="s">
        <v>0</v>
      </c>
      <c r="C5" s="507"/>
      <c r="D5" s="507"/>
      <c r="E5" s="507"/>
      <c r="F5" s="507"/>
      <c r="G5" s="507"/>
      <c r="H5" s="507"/>
      <c r="I5" s="507"/>
      <c r="J5" s="507"/>
      <c r="K5" s="488"/>
    </row>
    <row r="6" spans="1:14" ht="9" customHeight="1">
      <c r="A6" s="488"/>
      <c r="B6" s="507"/>
      <c r="C6" s="507"/>
      <c r="D6" s="507"/>
      <c r="E6" s="507"/>
      <c r="F6" s="507"/>
      <c r="G6" s="507"/>
      <c r="H6" s="507"/>
      <c r="I6" s="507"/>
      <c r="J6" s="507"/>
      <c r="K6" s="488"/>
    </row>
    <row r="7" spans="1:14" ht="19.5" customHeight="1">
      <c r="A7" s="488"/>
      <c r="B7" s="501"/>
      <c r="C7" s="1097" t="s">
        <v>573</v>
      </c>
      <c r="D7" s="1098"/>
      <c r="E7" s="1098"/>
      <c r="F7" s="1099"/>
      <c r="G7" s="1092" t="s">
        <v>10</v>
      </c>
      <c r="H7" s="1093"/>
      <c r="I7" s="1093"/>
      <c r="J7" s="1094"/>
      <c r="K7" s="488"/>
    </row>
    <row r="8" spans="1:14" ht="51">
      <c r="A8" s="488"/>
      <c r="B8" s="480" t="s">
        <v>11</v>
      </c>
      <c r="C8" s="1021" t="s">
        <v>617</v>
      </c>
      <c r="D8" s="1020" t="s">
        <v>574</v>
      </c>
      <c r="E8" s="1020" t="s">
        <v>575</v>
      </c>
      <c r="F8" s="1020" t="s">
        <v>605</v>
      </c>
      <c r="G8" s="1090">
        <v>2013</v>
      </c>
      <c r="H8" s="1091"/>
      <c r="I8" s="1090">
        <v>2014</v>
      </c>
      <c r="J8" s="1091"/>
      <c r="K8" s="508"/>
      <c r="L8" s="224"/>
      <c r="M8" s="224"/>
      <c r="N8" s="224"/>
    </row>
    <row r="9" spans="1:14">
      <c r="A9" s="488"/>
      <c r="B9" s="503"/>
      <c r="C9" s="661" t="s">
        <v>14</v>
      </c>
      <c r="D9" s="1022" t="s">
        <v>1</v>
      </c>
      <c r="E9" s="1022" t="s">
        <v>1</v>
      </c>
      <c r="F9" s="1022" t="s">
        <v>2</v>
      </c>
      <c r="G9" s="518" t="s">
        <v>1</v>
      </c>
      <c r="H9" s="504" t="s">
        <v>576</v>
      </c>
      <c r="I9" s="518" t="s">
        <v>1</v>
      </c>
      <c r="J9" s="504" t="s">
        <v>576</v>
      </c>
      <c r="K9" s="488"/>
    </row>
    <row r="10" spans="1:14">
      <c r="A10" s="488"/>
      <c r="B10" s="502" t="s">
        <v>58</v>
      </c>
      <c r="C10" s="850"/>
      <c r="D10" s="850"/>
      <c r="E10" s="850"/>
      <c r="F10" s="1023"/>
      <c r="G10" s="510"/>
      <c r="H10" s="509"/>
      <c r="I10" s="510"/>
      <c r="J10" s="509"/>
      <c r="K10" s="488"/>
    </row>
    <row r="11" spans="1:14">
      <c r="A11" s="488"/>
      <c r="B11" s="849" t="s">
        <v>579</v>
      </c>
      <c r="C11" s="850"/>
      <c r="D11" s="850"/>
      <c r="E11" s="850"/>
      <c r="F11" s="1023"/>
      <c r="G11" s="851"/>
      <c r="H11" s="850"/>
      <c r="I11" s="851"/>
      <c r="J11" s="850"/>
      <c r="K11" s="488"/>
    </row>
    <row r="12" spans="1:14">
      <c r="A12" s="488"/>
      <c r="B12" s="1095" t="s">
        <v>697</v>
      </c>
      <c r="C12" s="1024"/>
      <c r="D12" s="1024" t="e">
        <f>#REF!</f>
        <v>#REF!</v>
      </c>
      <c r="E12" s="1024" t="e">
        <f>#REF!</f>
        <v>#REF!</v>
      </c>
      <c r="F12" s="1037" t="e">
        <f>-IF(E12=0,0,E12/(10*'Table 1-2012 Rec'' Budget'!C$12))</f>
        <v>#REF!</v>
      </c>
      <c r="G12" s="851"/>
      <c r="H12" s="850"/>
      <c r="I12" s="851"/>
      <c r="J12" s="850"/>
      <c r="K12" s="488"/>
    </row>
    <row r="13" spans="1:14">
      <c r="A13" s="488"/>
      <c r="B13" s="1096"/>
      <c r="C13" s="1024"/>
      <c r="D13" s="1024"/>
      <c r="E13" s="1024"/>
      <c r="F13" s="1037"/>
      <c r="G13" s="851"/>
      <c r="H13" s="850"/>
      <c r="I13" s="851"/>
      <c r="J13" s="850"/>
      <c r="K13" s="488"/>
    </row>
    <row r="14" spans="1:14">
      <c r="A14" s="488"/>
      <c r="B14" s="513"/>
      <c r="C14" s="1024"/>
      <c r="D14" s="1024"/>
      <c r="E14" s="1024"/>
      <c r="F14" s="1037"/>
      <c r="G14" s="711"/>
      <c r="H14" s="709"/>
      <c r="I14" s="711"/>
      <c r="J14" s="709"/>
      <c r="K14" s="488"/>
    </row>
    <row r="15" spans="1:14">
      <c r="A15" s="488"/>
      <c r="B15" s="514" t="s">
        <v>579</v>
      </c>
      <c r="C15" s="1025"/>
      <c r="D15" s="1025" t="e">
        <f>SUM(D11:D14)</f>
        <v>#REF!</v>
      </c>
      <c r="E15" s="1025" t="e">
        <f>SUM(E10:E14)</f>
        <v>#REF!</v>
      </c>
      <c r="F15" s="1038" t="e">
        <f>-IF(E15=0,0,E15/(10*'Table 1-2012 Rec'' Budget'!C$12))</f>
        <v>#REF!</v>
      </c>
      <c r="G15" s="713"/>
      <c r="H15" s="713"/>
      <c r="I15" s="713"/>
      <c r="J15" s="712"/>
      <c r="K15" s="488"/>
    </row>
    <row r="16" spans="1:14">
      <c r="A16" s="488"/>
      <c r="B16" s="501" t="s">
        <v>580</v>
      </c>
      <c r="C16" s="1024"/>
      <c r="D16" s="1024"/>
      <c r="E16" s="1024"/>
      <c r="F16" s="1039"/>
      <c r="G16" s="855"/>
      <c r="H16" s="854"/>
      <c r="I16" s="855"/>
      <c r="J16" s="854"/>
      <c r="K16" s="488"/>
    </row>
    <row r="17" spans="1:11">
      <c r="A17" s="488"/>
      <c r="B17" s="849"/>
      <c r="C17" s="1024"/>
      <c r="D17" s="1024"/>
      <c r="E17" s="1024"/>
      <c r="F17" s="1037"/>
      <c r="G17" s="853"/>
      <c r="H17" s="852"/>
      <c r="I17" s="853"/>
      <c r="J17" s="852"/>
      <c r="K17" s="488"/>
    </row>
    <row r="18" spans="1:11" ht="25.5">
      <c r="A18" s="488"/>
      <c r="B18" s="1026" t="s">
        <v>746</v>
      </c>
      <c r="C18" s="1024"/>
      <c r="D18" s="1024" t="e">
        <f>#REF!+#REF!+#REF!</f>
        <v>#REF!</v>
      </c>
      <c r="E18" s="1024" t="e">
        <f>#REF!+#REF!+#REF!</f>
        <v>#REF!</v>
      </c>
      <c r="F18" s="1037" t="e">
        <f>-IF(E18=0,0,E18/(10*'Table 1-2012 Rec'' Budget'!C$12))</f>
        <v>#REF!</v>
      </c>
      <c r="G18" s="853"/>
      <c r="H18" s="852"/>
      <c r="I18" s="853"/>
      <c r="J18" s="852"/>
      <c r="K18" s="488"/>
    </row>
    <row r="19" spans="1:11">
      <c r="A19" s="488"/>
      <c r="B19" s="849"/>
      <c r="C19" s="1024"/>
      <c r="D19" s="1024"/>
      <c r="E19" s="1024"/>
      <c r="F19" s="1037"/>
      <c r="G19" s="853"/>
      <c r="H19" s="852"/>
      <c r="I19" s="853"/>
      <c r="J19" s="852"/>
      <c r="K19" s="488"/>
    </row>
    <row r="20" spans="1:11">
      <c r="A20" s="488"/>
      <c r="B20" s="515" t="s">
        <v>580</v>
      </c>
      <c r="C20" s="1025"/>
      <c r="D20" s="1025" t="e">
        <f>SUM(D16:D19)</f>
        <v>#REF!</v>
      </c>
      <c r="E20" s="1025" t="e">
        <f>SUM(E16:E19)</f>
        <v>#REF!</v>
      </c>
      <c r="F20" s="1038" t="e">
        <f>-IF(E20=0,0,E20/(10*'Table 1-2012 Rec'' Budget'!C$12))</f>
        <v>#REF!</v>
      </c>
      <c r="G20" s="713"/>
      <c r="H20" s="713"/>
      <c r="I20" s="713"/>
      <c r="J20" s="712"/>
      <c r="K20" s="488"/>
    </row>
    <row r="21" spans="1:11">
      <c r="A21" s="488"/>
      <c r="B21" s="511" t="s">
        <v>577</v>
      </c>
      <c r="C21" s="1025"/>
      <c r="D21" s="1025" t="e">
        <f>D20+D15</f>
        <v>#REF!</v>
      </c>
      <c r="E21" s="1025" t="e">
        <f>E20+E15</f>
        <v>#REF!</v>
      </c>
      <c r="F21" s="1038" t="e">
        <f>-IF(E21=0,0,E21/(10*'Table 1-2012 Rec'' Budget'!C$12))</f>
        <v>#REF!</v>
      </c>
      <c r="G21" s="712"/>
      <c r="H21" s="712"/>
      <c r="I21" s="712"/>
      <c r="J21" s="712"/>
      <c r="K21" s="488"/>
    </row>
    <row r="22" spans="1:11">
      <c r="A22" s="488"/>
      <c r="B22" s="501" t="s">
        <v>578</v>
      </c>
      <c r="C22" s="1024"/>
      <c r="D22" s="1024"/>
      <c r="E22" s="1024"/>
      <c r="F22" s="1040"/>
      <c r="G22" s="855"/>
      <c r="H22" s="854"/>
      <c r="I22" s="855"/>
      <c r="J22" s="854"/>
      <c r="K22" s="488"/>
    </row>
    <row r="23" spans="1:11">
      <c r="A23" s="488"/>
      <c r="B23" s="1028" t="s">
        <v>578</v>
      </c>
      <c r="C23" s="1024" t="e">
        <f>#REF!+#REF!</f>
        <v>#REF!</v>
      </c>
      <c r="D23" s="1024" t="e">
        <f>#REF!+#REF!</f>
        <v>#REF!</v>
      </c>
      <c r="E23" s="1024" t="e">
        <f>#REF!+#REF!</f>
        <v>#REF!</v>
      </c>
      <c r="F23" s="1037" t="e">
        <f>-IF(E23=0,0,E23/(10*'Table 1-2012 Rec'' Budget'!C$12))</f>
        <v>#REF!</v>
      </c>
      <c r="G23" s="853"/>
      <c r="H23" s="852"/>
      <c r="I23" s="853"/>
      <c r="J23" s="852"/>
      <c r="K23" s="488"/>
    </row>
    <row r="24" spans="1:11">
      <c r="A24" s="488"/>
      <c r="B24" s="512"/>
      <c r="C24" s="1024"/>
      <c r="D24" s="1024"/>
      <c r="E24" s="1024"/>
      <c r="F24" s="1037"/>
      <c r="G24" s="708"/>
      <c r="H24" s="707"/>
      <c r="I24" s="708"/>
      <c r="J24" s="707"/>
      <c r="K24" s="488"/>
    </row>
    <row r="25" spans="1:11">
      <c r="A25" s="488"/>
      <c r="B25" s="650" t="s">
        <v>606</v>
      </c>
      <c r="C25" s="1025" t="e">
        <f>SUM(C22:C24)</f>
        <v>#REF!</v>
      </c>
      <c r="D25" s="1025" t="e">
        <f>SUM(D22:D24)</f>
        <v>#REF!</v>
      </c>
      <c r="E25" s="1025" t="e">
        <f>SUM(E22:E24)</f>
        <v>#REF!</v>
      </c>
      <c r="F25" s="1038" t="e">
        <f>-IF(E25=0,0,E25/(10*'Table 1-2012 Rec'' Budget'!C$12))</f>
        <v>#REF!</v>
      </c>
      <c r="G25" s="713"/>
      <c r="H25" s="713"/>
      <c r="I25" s="713"/>
      <c r="J25" s="712"/>
      <c r="K25" s="488"/>
    </row>
    <row r="26" spans="1:11" hidden="1">
      <c r="A26" s="488"/>
      <c r="B26" s="501" t="s">
        <v>59</v>
      </c>
      <c r="C26" s="1024"/>
      <c r="D26" s="1024"/>
      <c r="E26" s="1024"/>
      <c r="F26" s="1040"/>
      <c r="G26" s="855"/>
      <c r="H26" s="854"/>
      <c r="I26" s="855"/>
      <c r="J26" s="854"/>
      <c r="K26" s="488"/>
    </row>
    <row r="27" spans="1:11" hidden="1">
      <c r="A27" s="488"/>
      <c r="B27" s="856"/>
      <c r="C27" s="1024"/>
      <c r="D27" s="1024"/>
      <c r="E27" s="1024"/>
      <c r="F27" s="1041">
        <f>IF(E27=0,0,E27/'Table 1-2012 Rec'' Budget'!C$8)</f>
        <v>0</v>
      </c>
      <c r="G27" s="708"/>
      <c r="H27" s="707"/>
      <c r="I27" s="708"/>
      <c r="J27" s="707"/>
      <c r="K27" s="488"/>
    </row>
    <row r="28" spans="1:11" hidden="1">
      <c r="A28" s="488"/>
      <c r="B28" s="650" t="s">
        <v>593</v>
      </c>
      <c r="C28" s="1024">
        <f>SUM(C26:C27)</f>
        <v>0</v>
      </c>
      <c r="D28" s="1024">
        <f>SUM(D26:D27)</f>
        <v>0</v>
      </c>
      <c r="E28" s="1024">
        <f>SUM(E26:E27)</f>
        <v>0</v>
      </c>
      <c r="F28" s="1042">
        <f>IF(E28=0,0,E28/'Table 1-2012 Rec'' Budget'!C$8)</f>
        <v>0</v>
      </c>
      <c r="G28" s="713">
        <f>SUM(G26:G27)</f>
        <v>0</v>
      </c>
      <c r="H28" s="713">
        <f>SUM(H26:H27)</f>
        <v>0</v>
      </c>
      <c r="I28" s="713">
        <f>SUM(I26:I27)</f>
        <v>0</v>
      </c>
      <c r="J28" s="712">
        <f>SUM(J26:J27)</f>
        <v>0</v>
      </c>
      <c r="K28" s="488"/>
    </row>
    <row r="29" spans="1:11">
      <c r="A29" s="488"/>
      <c r="B29" s="501" t="s">
        <v>60</v>
      </c>
      <c r="C29" s="1024"/>
      <c r="D29" s="1024"/>
      <c r="E29" s="1024"/>
      <c r="F29" s="1040"/>
      <c r="G29" s="855"/>
      <c r="H29" s="854"/>
      <c r="I29" s="855"/>
      <c r="J29" s="854"/>
      <c r="K29" s="488"/>
    </row>
    <row r="30" spans="1:11" ht="12.75" customHeight="1">
      <c r="A30" s="488"/>
      <c r="B30" s="1027" t="s">
        <v>678</v>
      </c>
      <c r="C30" s="1024" t="e">
        <f>#REF!+#REF!+#REF!+#REF!+#REF!</f>
        <v>#REF!</v>
      </c>
      <c r="D30" s="1024" t="e">
        <f>#REF!+#REF!+#REF!+#REF!+#REF!</f>
        <v>#REF!</v>
      </c>
      <c r="E30" s="1024" t="e">
        <f>#REF!+#REF!+#REF!+#REF!+#REF!</f>
        <v>#REF!</v>
      </c>
      <c r="F30" s="1037" t="e">
        <f>-IF(E30=0,0,E30/(10*'Table 1-2012 Rec'' Budget'!C$12))</f>
        <v>#REF!</v>
      </c>
      <c r="G30" s="1019"/>
      <c r="H30" s="1018"/>
      <c r="I30" s="1019"/>
      <c r="J30" s="1018"/>
      <c r="K30" s="488"/>
    </row>
    <row r="31" spans="1:11">
      <c r="A31" s="488"/>
      <c r="B31" s="1060"/>
      <c r="C31" s="1024"/>
      <c r="D31" s="1024"/>
      <c r="E31" s="1024"/>
      <c r="F31" s="1037"/>
      <c r="G31" s="1019"/>
      <c r="H31" s="1018"/>
      <c r="I31" s="1019"/>
      <c r="J31" s="1018"/>
      <c r="K31" s="488"/>
    </row>
    <row r="32" spans="1:11">
      <c r="A32" s="488"/>
      <c r="B32" s="650" t="s">
        <v>615</v>
      </c>
      <c r="C32" s="1025" t="e">
        <f>SUM(C29:C31)</f>
        <v>#REF!</v>
      </c>
      <c r="D32" s="1025" t="e">
        <f>SUM(D29:D31)</f>
        <v>#REF!</v>
      </c>
      <c r="E32" s="1025" t="e">
        <f>SUM(E29:E31)</f>
        <v>#REF!</v>
      </c>
      <c r="F32" s="1038" t="e">
        <f>-IF(E32=0,0,E32/(10*'Table 1-2012 Rec'' Budget'!C$12))</f>
        <v>#REF!</v>
      </c>
      <c r="G32" s="713"/>
      <c r="H32" s="713"/>
      <c r="I32" s="713"/>
      <c r="J32" s="712"/>
      <c r="K32" s="488"/>
    </row>
    <row r="33" spans="1:11">
      <c r="A33" s="488"/>
      <c r="B33" s="501" t="s">
        <v>61</v>
      </c>
      <c r="C33" s="1024"/>
      <c r="D33" s="1024"/>
      <c r="E33" s="1024"/>
      <c r="F33" s="1039"/>
      <c r="G33" s="855"/>
      <c r="H33" s="854"/>
      <c r="I33" s="855"/>
      <c r="J33" s="854"/>
      <c r="K33" s="488"/>
    </row>
    <row r="34" spans="1:11">
      <c r="A34" s="488"/>
      <c r="B34" s="856"/>
      <c r="C34" s="1024"/>
      <c r="D34" s="1024"/>
      <c r="E34" s="1024"/>
      <c r="F34" s="1037"/>
      <c r="G34" s="708"/>
      <c r="H34" s="707"/>
      <c r="I34" s="708"/>
      <c r="J34" s="707"/>
      <c r="K34" s="488"/>
    </row>
    <row r="35" spans="1:11">
      <c r="A35" s="488"/>
      <c r="B35" s="511" t="s">
        <v>616</v>
      </c>
      <c r="C35" s="1025"/>
      <c r="D35" s="1025"/>
      <c r="E35" s="1025"/>
      <c r="F35" s="1038">
        <f>-IF(E35=0,0,E35/(10*'Table 1-2012 Rec'' Budget'!C$12))</f>
        <v>0</v>
      </c>
      <c r="G35" s="713"/>
      <c r="H35" s="713"/>
      <c r="I35" s="713"/>
      <c r="J35" s="712"/>
      <c r="K35" s="488"/>
    </row>
    <row r="36" spans="1:11" ht="25.5" customHeight="1">
      <c r="A36" s="488"/>
      <c r="B36" s="511" t="s">
        <v>607</v>
      </c>
      <c r="C36" s="1025" t="e">
        <f>C21+C35+C32+C28+C25</f>
        <v>#REF!</v>
      </c>
      <c r="D36" s="1025" t="e">
        <f>D21+D35+D32+D28+D25</f>
        <v>#REF!</v>
      </c>
      <c r="E36" s="1025" t="e">
        <f>E21+E35+E32+E28+E25</f>
        <v>#REF!</v>
      </c>
      <c r="F36" s="1043" t="e">
        <f>-IF(E36=0,0,E36/(10*'Table 1-2012 Rec'' Budget'!C$12))</f>
        <v>#REF!</v>
      </c>
      <c r="G36" s="714"/>
      <c r="H36" s="714"/>
      <c r="I36" s="714"/>
      <c r="J36" s="714"/>
      <c r="K36" s="488"/>
    </row>
    <row r="37" spans="1:11">
      <c r="A37" s="488"/>
      <c r="B37" s="488"/>
      <c r="C37" s="488"/>
      <c r="D37" s="488"/>
      <c r="E37" s="488"/>
      <c r="F37" s="488"/>
      <c r="G37" s="488"/>
      <c r="H37" s="488"/>
      <c r="I37" s="488"/>
      <c r="J37" s="488"/>
      <c r="K37" s="488"/>
    </row>
  </sheetData>
  <mergeCells count="6">
    <mergeCell ref="I8:J8"/>
    <mergeCell ref="G7:J7"/>
    <mergeCell ref="B4:J4"/>
    <mergeCell ref="B12:B13"/>
    <mergeCell ref="C7:F7"/>
    <mergeCell ref="G8:H8"/>
  </mergeCells>
  <printOptions horizontalCentered="1"/>
  <pageMargins left="0.7" right="0.7" top="0.75" bottom="0.75" header="0.3" footer="0.3"/>
  <pageSetup orientation="landscape" r:id="rId1"/>
  <ignoredErrors>
    <ignoredError sqref="F32:F33 F15:F16 F18:F23 F34:F35 F24:F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P37"/>
  <sheetViews>
    <sheetView showGridLines="0" zoomScaleNormal="100" workbookViewId="0">
      <selection activeCell="B5" sqref="B5:N29"/>
    </sheetView>
  </sheetViews>
  <sheetFormatPr defaultRowHeight="12.75"/>
  <cols>
    <col min="1" max="1" width="3.28515625" customWidth="1"/>
    <col min="2" max="2" width="38.85546875" style="43" customWidth="1"/>
    <col min="3" max="6" width="8.7109375" style="43" hidden="1" customWidth="1"/>
    <col min="7" max="7" width="7.140625" style="43" hidden="1" customWidth="1"/>
    <col min="8" max="9" width="8.7109375" style="43" customWidth="1"/>
    <col min="10" max="10" width="7.140625" style="43" customWidth="1"/>
    <col min="11" max="11" width="8.42578125" style="43" customWidth="1"/>
    <col min="12" max="12" width="6.7109375" style="43" customWidth="1"/>
    <col min="13" max="13" width="8.42578125" style="43" customWidth="1"/>
    <col min="14" max="14" width="6.7109375" style="43" customWidth="1"/>
    <col min="15" max="15" width="2.7109375" style="46" customWidth="1"/>
    <col min="16" max="16384" width="9.140625" style="43"/>
  </cols>
  <sheetData>
    <row r="2" spans="2:15" ht="15.75">
      <c r="B2" s="1077" t="s">
        <v>591</v>
      </c>
      <c r="C2" s="1077"/>
      <c r="D2" s="1077"/>
      <c r="E2" s="1077"/>
      <c r="F2" s="1077"/>
      <c r="G2" s="1077"/>
      <c r="H2" s="1077"/>
      <c r="I2" s="1077"/>
      <c r="J2" s="1077"/>
      <c r="K2" s="1077"/>
      <c r="L2" s="1077"/>
      <c r="M2" s="1077"/>
      <c r="N2" s="179"/>
      <c r="O2" s="39"/>
    </row>
    <row r="3" spans="2:15">
      <c r="B3" s="506" t="s">
        <v>618</v>
      </c>
    </row>
    <row r="4" spans="2:15">
      <c r="B4" s="506"/>
      <c r="E4" s="542"/>
      <c r="F4" s="542"/>
      <c r="G4" s="542"/>
    </row>
    <row r="5" spans="2:15" ht="25.5" customHeight="1">
      <c r="B5" s="1102" t="s">
        <v>11</v>
      </c>
      <c r="C5" s="1108" t="s">
        <v>581</v>
      </c>
      <c r="D5" s="1110"/>
      <c r="E5" s="1108" t="s">
        <v>582</v>
      </c>
      <c r="F5" s="1109"/>
      <c r="G5" s="1110"/>
      <c r="H5" s="1105" t="s">
        <v>583</v>
      </c>
      <c r="I5" s="1106"/>
      <c r="J5" s="1107"/>
      <c r="K5" s="1111" t="s">
        <v>10</v>
      </c>
      <c r="L5" s="1112"/>
      <c r="M5" s="1112"/>
      <c r="N5" s="1113"/>
      <c r="O5" s="45"/>
    </row>
    <row r="6" spans="2:15" ht="24.75" customHeight="1">
      <c r="B6" s="1103"/>
      <c r="C6" s="607" t="s">
        <v>12</v>
      </c>
      <c r="D6" s="608" t="s">
        <v>13</v>
      </c>
      <c r="E6" s="607" t="s">
        <v>12</v>
      </c>
      <c r="F6" s="608" t="s">
        <v>13</v>
      </c>
      <c r="G6" s="607" t="s">
        <v>56</v>
      </c>
      <c r="H6" s="546" t="s">
        <v>12</v>
      </c>
      <c r="I6" s="543" t="s">
        <v>13</v>
      </c>
      <c r="J6" s="547" t="s">
        <v>56</v>
      </c>
      <c r="K6" s="1100">
        <v>2013</v>
      </c>
      <c r="L6" s="1101"/>
      <c r="M6" s="1100">
        <f>K6+1</f>
        <v>2014</v>
      </c>
      <c r="N6" s="1101"/>
      <c r="O6" s="40"/>
    </row>
    <row r="7" spans="2:15">
      <c r="B7" s="1104"/>
      <c r="C7" s="609" t="s">
        <v>1</v>
      </c>
      <c r="D7" s="610" t="s">
        <v>1</v>
      </c>
      <c r="E7" s="609" t="s">
        <v>1</v>
      </c>
      <c r="F7" s="610" t="s">
        <v>1</v>
      </c>
      <c r="G7" s="609" t="s">
        <v>14</v>
      </c>
      <c r="H7" s="548" t="s">
        <v>1</v>
      </c>
      <c r="I7" s="544" t="s">
        <v>1</v>
      </c>
      <c r="J7" s="549" t="s">
        <v>14</v>
      </c>
      <c r="K7" s="145" t="s">
        <v>1</v>
      </c>
      <c r="L7" s="185" t="s">
        <v>57</v>
      </c>
      <c r="M7" s="145" t="s">
        <v>1</v>
      </c>
      <c r="N7" s="145" t="s">
        <v>57</v>
      </c>
      <c r="O7" s="5"/>
    </row>
    <row r="8" spans="2:15">
      <c r="B8" s="182"/>
      <c r="C8" s="611"/>
      <c r="D8" s="612"/>
      <c r="E8" s="613"/>
      <c r="F8" s="614"/>
      <c r="G8" s="615"/>
      <c r="H8" s="738"/>
      <c r="I8" s="739"/>
      <c r="J8" s="740"/>
      <c r="K8" s="741"/>
      <c r="L8" s="742"/>
      <c r="M8" s="741"/>
      <c r="N8" s="743"/>
      <c r="O8" s="5"/>
    </row>
    <row r="9" spans="2:15">
      <c r="B9" s="34" t="s">
        <v>23</v>
      </c>
      <c r="C9" s="616"/>
      <c r="D9" s="617"/>
      <c r="E9" s="618"/>
      <c r="F9" s="619"/>
      <c r="G9" s="620"/>
      <c r="H9" s="744"/>
      <c r="I9" s="745"/>
      <c r="J9" s="746"/>
      <c r="K9" s="747"/>
      <c r="L9" s="447"/>
      <c r="M9" s="747"/>
      <c r="N9" s="748"/>
      <c r="O9" s="5"/>
    </row>
    <row r="10" spans="2:15">
      <c r="B10" s="34"/>
      <c r="C10" s="621"/>
      <c r="D10" s="622"/>
      <c r="E10" s="621"/>
      <c r="F10" s="622"/>
      <c r="G10" s="621"/>
      <c r="H10" s="749"/>
      <c r="I10" s="750"/>
      <c r="J10" s="751"/>
      <c r="K10" s="752"/>
      <c r="L10" s="753"/>
      <c r="M10" s="752"/>
      <c r="N10" s="754"/>
      <c r="O10" s="41"/>
    </row>
    <row r="11" spans="2:15" hidden="1">
      <c r="B11" s="35"/>
      <c r="C11" s="621"/>
      <c r="D11" s="622"/>
      <c r="E11" s="621"/>
      <c r="F11" s="622"/>
      <c r="G11" s="621"/>
      <c r="H11" s="749"/>
      <c r="I11" s="750"/>
      <c r="J11" s="751"/>
      <c r="K11" s="752"/>
      <c r="L11" s="753"/>
      <c r="M11" s="752"/>
      <c r="N11" s="754"/>
      <c r="O11" s="41"/>
    </row>
    <row r="12" spans="2:15">
      <c r="B12" s="33"/>
      <c r="C12" s="623"/>
      <c r="D12" s="622"/>
      <c r="E12" s="621"/>
      <c r="F12" s="622"/>
      <c r="G12" s="621"/>
      <c r="H12" s="749"/>
      <c r="I12" s="750"/>
      <c r="J12" s="751"/>
      <c r="K12" s="752"/>
      <c r="L12" s="753"/>
      <c r="M12" s="752"/>
      <c r="N12" s="754"/>
      <c r="O12" s="30"/>
    </row>
    <row r="13" spans="2:15">
      <c r="B13" s="34"/>
      <c r="C13" s="623"/>
      <c r="D13" s="622"/>
      <c r="E13" s="624"/>
      <c r="F13" s="625"/>
      <c r="G13" s="621"/>
      <c r="H13" s="749"/>
      <c r="I13" s="750"/>
      <c r="J13" s="751"/>
      <c r="K13" s="752"/>
      <c r="L13" s="753"/>
      <c r="M13" s="752"/>
      <c r="N13" s="754"/>
      <c r="O13" s="41"/>
    </row>
    <row r="14" spans="2:15">
      <c r="B14" s="34"/>
      <c r="C14" s="623"/>
      <c r="D14" s="622"/>
      <c r="E14" s="624"/>
      <c r="F14" s="625"/>
      <c r="G14" s="621"/>
      <c r="H14" s="749"/>
      <c r="I14" s="750"/>
      <c r="J14" s="751"/>
      <c r="K14" s="752"/>
      <c r="L14" s="753"/>
      <c r="M14" s="752"/>
      <c r="N14" s="754"/>
      <c r="O14" s="41"/>
    </row>
    <row r="15" spans="2:15" hidden="1">
      <c r="B15" s="34"/>
      <c r="C15" s="623"/>
      <c r="D15" s="622"/>
      <c r="E15" s="624"/>
      <c r="F15" s="625"/>
      <c r="G15" s="621"/>
      <c r="H15" s="749">
        <f>C15+E15</f>
        <v>0</v>
      </c>
      <c r="I15" s="750">
        <f>D15+F15</f>
        <v>0</v>
      </c>
      <c r="J15" s="751"/>
      <c r="K15" s="752"/>
      <c r="L15" s="753"/>
      <c r="M15" s="752"/>
      <c r="N15" s="754"/>
      <c r="O15" s="41"/>
    </row>
    <row r="16" spans="2:15" hidden="1">
      <c r="B16" s="35"/>
      <c r="C16" s="623"/>
      <c r="D16" s="622"/>
      <c r="E16" s="626"/>
      <c r="F16" s="625"/>
      <c r="G16" s="627"/>
      <c r="H16" s="755"/>
      <c r="I16" s="750"/>
      <c r="J16" s="756"/>
      <c r="K16" s="757"/>
      <c r="L16" s="758"/>
      <c r="M16" s="759"/>
      <c r="N16" s="760"/>
      <c r="O16" s="42"/>
    </row>
    <row r="17" spans="1:16">
      <c r="B17" s="35"/>
      <c r="C17" s="628"/>
      <c r="D17" s="629"/>
      <c r="E17" s="627"/>
      <c r="F17" s="629"/>
      <c r="G17" s="627"/>
      <c r="H17" s="755"/>
      <c r="I17" s="761"/>
      <c r="J17" s="756"/>
      <c r="K17" s="759"/>
      <c r="L17" s="762"/>
      <c r="M17" s="759"/>
      <c r="N17" s="760"/>
      <c r="O17" s="42"/>
    </row>
    <row r="18" spans="1:16" s="29" customFormat="1">
      <c r="A18"/>
      <c r="B18" s="44" t="s">
        <v>22</v>
      </c>
      <c r="C18" s="630">
        <f>SUM(C8:C17)</f>
        <v>0</v>
      </c>
      <c r="D18" s="630">
        <f t="shared" ref="D18:N18" si="0">SUM(D8:D17)</f>
        <v>0</v>
      </c>
      <c r="E18" s="630">
        <f t="shared" si="0"/>
        <v>0</v>
      </c>
      <c r="F18" s="630">
        <f t="shared" si="0"/>
        <v>0</v>
      </c>
      <c r="G18" s="630">
        <f t="shared" si="0"/>
        <v>0</v>
      </c>
      <c r="H18" s="763">
        <f t="shared" si="0"/>
        <v>0</v>
      </c>
      <c r="I18" s="763">
        <f t="shared" si="0"/>
        <v>0</v>
      </c>
      <c r="J18" s="763">
        <f t="shared" si="0"/>
        <v>0</v>
      </c>
      <c r="K18" s="764">
        <f t="shared" si="0"/>
        <v>0</v>
      </c>
      <c r="L18" s="764">
        <f t="shared" si="0"/>
        <v>0</v>
      </c>
      <c r="M18" s="764">
        <f t="shared" si="0"/>
        <v>0</v>
      </c>
      <c r="N18" s="764">
        <f t="shared" si="0"/>
        <v>0</v>
      </c>
      <c r="O18" s="37"/>
    </row>
    <row r="19" spans="1:16">
      <c r="B19" s="600"/>
      <c r="C19" s="615"/>
      <c r="D19" s="631"/>
      <c r="E19" s="632"/>
      <c r="F19" s="633"/>
      <c r="G19" s="615"/>
      <c r="H19" s="738"/>
      <c r="I19" s="739"/>
      <c r="J19" s="740"/>
      <c r="K19" s="739"/>
      <c r="L19" s="765"/>
      <c r="M19" s="739"/>
      <c r="N19" s="740"/>
      <c r="O19" s="601"/>
      <c r="P19" s="542"/>
    </row>
    <row r="20" spans="1:16">
      <c r="B20" s="560" t="s">
        <v>24</v>
      </c>
      <c r="C20" s="620"/>
      <c r="D20" s="634"/>
      <c r="E20" s="635"/>
      <c r="F20" s="636"/>
      <c r="G20" s="620"/>
      <c r="H20" s="744"/>
      <c r="I20" s="745"/>
      <c r="J20" s="746"/>
      <c r="K20" s="745"/>
      <c r="L20" s="710"/>
      <c r="M20" s="745"/>
      <c r="N20" s="746"/>
      <c r="O20" s="601"/>
      <c r="P20" s="542"/>
    </row>
    <row r="21" spans="1:16">
      <c r="B21" s="560" t="s">
        <v>608</v>
      </c>
      <c r="C21" s="637"/>
      <c r="D21" s="638"/>
      <c r="E21" s="621"/>
      <c r="F21" s="622"/>
      <c r="G21" s="621"/>
      <c r="H21" s="749"/>
      <c r="I21" s="750"/>
      <c r="J21" s="751"/>
      <c r="K21" s="766"/>
      <c r="L21" s="767"/>
      <c r="M21" s="766"/>
      <c r="N21" s="768"/>
      <c r="O21" s="545"/>
      <c r="P21" s="542"/>
    </row>
    <row r="22" spans="1:16" hidden="1">
      <c r="B22" s="560"/>
      <c r="C22" s="637"/>
      <c r="D22" s="638"/>
      <c r="E22" s="621"/>
      <c r="F22" s="622"/>
      <c r="G22" s="621"/>
      <c r="H22" s="749"/>
      <c r="I22" s="750"/>
      <c r="J22" s="751"/>
      <c r="K22" s="766"/>
      <c r="L22" s="767"/>
      <c r="M22" s="766"/>
      <c r="N22" s="768"/>
      <c r="O22" s="545"/>
      <c r="P22" s="542"/>
    </row>
    <row r="23" spans="1:16">
      <c r="B23" s="560"/>
      <c r="C23" s="621"/>
      <c r="D23" s="622"/>
      <c r="E23" s="621"/>
      <c r="F23" s="622"/>
      <c r="G23" s="621"/>
      <c r="H23" s="749"/>
      <c r="I23" s="750"/>
      <c r="J23" s="751"/>
      <c r="K23" s="766"/>
      <c r="L23" s="767"/>
      <c r="M23" s="766"/>
      <c r="N23" s="768"/>
      <c r="O23" s="545"/>
      <c r="P23" s="542"/>
    </row>
    <row r="24" spans="1:16">
      <c r="B24" s="560" t="s">
        <v>609</v>
      </c>
      <c r="C24" s="621"/>
      <c r="D24" s="622"/>
      <c r="E24" s="621"/>
      <c r="F24" s="622"/>
      <c r="G24" s="621"/>
      <c r="H24" s="749"/>
      <c r="I24" s="750"/>
      <c r="J24" s="751"/>
      <c r="K24" s="766"/>
      <c r="L24" s="767"/>
      <c r="M24" s="766"/>
      <c r="N24" s="768"/>
      <c r="O24" s="545"/>
      <c r="P24" s="542"/>
    </row>
    <row r="25" spans="1:16" hidden="1">
      <c r="B25" s="560"/>
      <c r="C25" s="621"/>
      <c r="D25" s="622"/>
      <c r="E25" s="627"/>
      <c r="F25" s="622"/>
      <c r="G25" s="627"/>
      <c r="H25" s="755"/>
      <c r="I25" s="750"/>
      <c r="J25" s="756"/>
      <c r="K25" s="769"/>
      <c r="L25" s="770"/>
      <c r="M25" s="771"/>
      <c r="N25" s="772"/>
      <c r="O25" s="545"/>
      <c r="P25" s="542"/>
    </row>
    <row r="26" spans="1:16">
      <c r="B26" s="556"/>
      <c r="C26" s="621"/>
      <c r="D26" s="622"/>
      <c r="E26" s="627"/>
      <c r="F26" s="629"/>
      <c r="G26" s="627"/>
      <c r="H26" s="755"/>
      <c r="I26" s="761"/>
      <c r="J26" s="756"/>
      <c r="K26" s="771"/>
      <c r="L26" s="773"/>
      <c r="M26" s="771"/>
      <c r="N26" s="772"/>
      <c r="O26" s="545"/>
      <c r="P26" s="542"/>
    </row>
    <row r="27" spans="1:16" s="29" customFormat="1">
      <c r="A27"/>
      <c r="B27" s="602" t="s">
        <v>20</v>
      </c>
      <c r="C27" s="630">
        <f t="shared" ref="C27:N27" si="1">SUM(C19:C26)</f>
        <v>0</v>
      </c>
      <c r="D27" s="630">
        <f t="shared" si="1"/>
        <v>0</v>
      </c>
      <c r="E27" s="630">
        <f t="shared" si="1"/>
        <v>0</v>
      </c>
      <c r="F27" s="630">
        <f t="shared" si="1"/>
        <v>0</v>
      </c>
      <c r="G27" s="630">
        <f t="shared" si="1"/>
        <v>0</v>
      </c>
      <c r="H27" s="763">
        <f t="shared" si="1"/>
        <v>0</v>
      </c>
      <c r="I27" s="763">
        <f t="shared" si="1"/>
        <v>0</v>
      </c>
      <c r="J27" s="763">
        <f t="shared" si="1"/>
        <v>0</v>
      </c>
      <c r="K27" s="763">
        <f t="shared" si="1"/>
        <v>0</v>
      </c>
      <c r="L27" s="763">
        <f t="shared" si="1"/>
        <v>0</v>
      </c>
      <c r="M27" s="763">
        <f t="shared" si="1"/>
        <v>0</v>
      </c>
      <c r="N27" s="763">
        <f t="shared" si="1"/>
        <v>0</v>
      </c>
      <c r="O27" s="603"/>
      <c r="P27" s="604"/>
    </row>
    <row r="28" spans="1:16">
      <c r="B28" s="605"/>
      <c r="C28" s="639"/>
      <c r="D28" s="640"/>
      <c r="E28" s="639"/>
      <c r="F28" s="640" t="s">
        <v>18</v>
      </c>
      <c r="G28" s="639"/>
      <c r="H28" s="749"/>
      <c r="I28" s="750" t="s">
        <v>18</v>
      </c>
      <c r="J28" s="751"/>
      <c r="K28" s="766"/>
      <c r="L28" s="767"/>
      <c r="M28" s="766"/>
      <c r="N28" s="768"/>
      <c r="O28" s="606"/>
      <c r="P28" s="542"/>
    </row>
    <row r="29" spans="1:16" s="29" customFormat="1">
      <c r="A29"/>
      <c r="B29" s="602" t="s">
        <v>21</v>
      </c>
      <c r="C29" s="630">
        <f>C18+C27</f>
        <v>0</v>
      </c>
      <c r="D29" s="630">
        <f t="shared" ref="D29:N29" si="2">D18+D27</f>
        <v>0</v>
      </c>
      <c r="E29" s="630">
        <f t="shared" si="2"/>
        <v>0</v>
      </c>
      <c r="F29" s="630">
        <f t="shared" si="2"/>
        <v>0</v>
      </c>
      <c r="G29" s="630">
        <f t="shared" si="2"/>
        <v>0</v>
      </c>
      <c r="H29" s="763">
        <f t="shared" si="2"/>
        <v>0</v>
      </c>
      <c r="I29" s="763">
        <f t="shared" si="2"/>
        <v>0</v>
      </c>
      <c r="J29" s="763">
        <f t="shared" si="2"/>
        <v>0</v>
      </c>
      <c r="K29" s="763">
        <f t="shared" si="2"/>
        <v>0</v>
      </c>
      <c r="L29" s="763">
        <f t="shared" si="2"/>
        <v>0</v>
      </c>
      <c r="M29" s="763">
        <f t="shared" si="2"/>
        <v>0</v>
      </c>
      <c r="N29" s="763">
        <f t="shared" si="2"/>
        <v>0</v>
      </c>
      <c r="O29" s="603"/>
      <c r="P29" s="604"/>
    </row>
    <row r="30" spans="1:16">
      <c r="B30" s="542"/>
      <c r="C30" s="542"/>
      <c r="D30" s="542"/>
      <c r="E30" s="542"/>
      <c r="F30" s="542"/>
      <c r="G30" s="542"/>
      <c r="H30" s="542"/>
      <c r="I30" s="542"/>
      <c r="J30" s="542"/>
      <c r="K30" s="542"/>
      <c r="L30" s="542"/>
      <c r="M30" s="542"/>
      <c r="N30" s="542"/>
      <c r="O30" s="542"/>
      <c r="P30" s="542"/>
    </row>
    <row r="31" spans="1:16">
      <c r="B31" s="542"/>
      <c r="C31" s="542"/>
      <c r="D31" s="542"/>
      <c r="E31" s="542"/>
      <c r="F31" s="542"/>
      <c r="G31" s="542"/>
      <c r="H31" s="542"/>
      <c r="I31" s="542"/>
      <c r="J31" s="542"/>
      <c r="K31" s="542"/>
      <c r="L31" s="542"/>
      <c r="M31" s="542"/>
      <c r="N31" s="542"/>
      <c r="O31" s="542"/>
      <c r="P31" s="542"/>
    </row>
    <row r="32" spans="1:16">
      <c r="B32" s="542"/>
      <c r="C32" s="542"/>
      <c r="D32" s="542"/>
      <c r="E32" s="542"/>
      <c r="F32" s="542"/>
      <c r="G32" s="542"/>
      <c r="H32" s="542"/>
      <c r="I32" s="542"/>
      <c r="J32" s="542"/>
      <c r="K32" s="542"/>
      <c r="L32" s="542"/>
      <c r="M32" s="542"/>
      <c r="N32" s="542"/>
      <c r="O32" s="542"/>
      <c r="P32" s="542"/>
    </row>
    <row r="33" spans="2:16">
      <c r="B33" s="542"/>
      <c r="C33" s="542"/>
      <c r="D33" s="542"/>
      <c r="E33" s="542"/>
      <c r="F33" s="542"/>
      <c r="G33" s="542"/>
      <c r="H33" s="542"/>
      <c r="I33" s="542"/>
      <c r="J33" s="542"/>
      <c r="K33" s="542"/>
      <c r="L33" s="542"/>
      <c r="M33" s="542"/>
      <c r="N33" s="542"/>
      <c r="O33" s="542"/>
      <c r="P33" s="542"/>
    </row>
    <row r="34" spans="2:16">
      <c r="B34" s="542"/>
      <c r="C34" s="542"/>
      <c r="D34" s="542"/>
      <c r="E34" s="542"/>
      <c r="F34" s="542"/>
      <c r="G34" s="542"/>
      <c r="H34" s="542"/>
      <c r="I34" s="542"/>
      <c r="J34" s="542"/>
      <c r="K34" s="542"/>
      <c r="L34" s="542"/>
      <c r="M34" s="542"/>
      <c r="N34" s="542"/>
      <c r="O34" s="542"/>
      <c r="P34" s="542"/>
    </row>
    <row r="35" spans="2:16">
      <c r="B35" s="542"/>
      <c r="C35" s="542"/>
      <c r="D35" s="542"/>
      <c r="E35" s="542"/>
      <c r="F35" s="542"/>
      <c r="G35" s="542"/>
      <c r="H35" s="542"/>
      <c r="I35" s="542"/>
      <c r="J35" s="542"/>
      <c r="K35" s="542"/>
      <c r="L35" s="542"/>
      <c r="M35" s="542"/>
      <c r="N35" s="542"/>
      <c r="O35" s="542"/>
      <c r="P35" s="542"/>
    </row>
    <row r="36" spans="2:16">
      <c r="B36" s="542"/>
      <c r="C36" s="542"/>
      <c r="D36" s="542"/>
      <c r="E36" s="542"/>
      <c r="F36" s="542"/>
      <c r="G36" s="542"/>
      <c r="H36" s="542"/>
      <c r="I36" s="542"/>
      <c r="J36" s="542"/>
      <c r="K36" s="542"/>
      <c r="L36" s="542"/>
      <c r="M36" s="542"/>
      <c r="N36" s="542"/>
      <c r="O36" s="542"/>
      <c r="P36" s="542"/>
    </row>
    <row r="37" spans="2:16">
      <c r="B37" s="542"/>
      <c r="C37" s="542"/>
      <c r="D37" s="542"/>
      <c r="E37" s="542"/>
      <c r="F37" s="542"/>
      <c r="G37" s="542"/>
      <c r="H37" s="542"/>
      <c r="I37" s="542"/>
      <c r="J37" s="542"/>
      <c r="K37" s="542"/>
      <c r="L37" s="542"/>
      <c r="M37" s="542"/>
      <c r="N37" s="542"/>
      <c r="O37" s="542"/>
      <c r="P37" s="542"/>
    </row>
  </sheetData>
  <mergeCells count="9">
    <mergeCell ref="B2:J2"/>
    <mergeCell ref="K2:M2"/>
    <mergeCell ref="K6:L6"/>
    <mergeCell ref="M6:N6"/>
    <mergeCell ref="B5:B7"/>
    <mergeCell ref="H5:J5"/>
    <mergeCell ref="E5:G5"/>
    <mergeCell ref="C5:D5"/>
    <mergeCell ref="K5:N5"/>
  </mergeCells>
  <phoneticPr fontId="13" type="noConversion"/>
  <printOptions horizontalCentered="1"/>
  <pageMargins left="0.31496062992126" right="0.27559055118110198" top="0.74803149606299202" bottom="0.70866141732283505" header="0.511811023622047" footer="0.511811023622047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3"/>
  <sheetViews>
    <sheetView workbookViewId="0">
      <selection activeCell="H23" sqref="H23"/>
    </sheetView>
  </sheetViews>
  <sheetFormatPr defaultRowHeight="12.75"/>
  <cols>
    <col min="1" max="1" width="4.5703125" customWidth="1"/>
    <col min="2" max="2" width="27.140625" customWidth="1"/>
    <col min="9" max="9" width="10.85546875" customWidth="1"/>
  </cols>
  <sheetData>
    <row r="1" spans="1:15">
      <c r="A1" s="366"/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505"/>
    </row>
    <row r="2" spans="1:15" ht="15.75">
      <c r="A2" s="366"/>
      <c r="B2" s="1115" t="s">
        <v>633</v>
      </c>
      <c r="C2" s="1115"/>
      <c r="D2" s="1115"/>
      <c r="E2" s="1115"/>
      <c r="F2" s="1115"/>
      <c r="G2" s="1115"/>
      <c r="H2" s="1115"/>
      <c r="I2" s="1115"/>
      <c r="J2" s="1115"/>
      <c r="K2" s="366"/>
      <c r="L2" s="366"/>
      <c r="M2" s="366"/>
      <c r="N2" s="366"/>
      <c r="O2" s="505"/>
    </row>
    <row r="3" spans="1:15">
      <c r="A3" s="366"/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180"/>
    </row>
    <row r="4" spans="1:15">
      <c r="A4" s="366"/>
      <c r="B4" s="366" t="s">
        <v>634</v>
      </c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180"/>
    </row>
    <row r="5" spans="1:15">
      <c r="A5" s="366"/>
      <c r="B5" s="366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180"/>
    </row>
    <row r="6" spans="1:15">
      <c r="A6" s="366"/>
      <c r="B6" s="366" t="s">
        <v>619</v>
      </c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180"/>
    </row>
    <row r="7" spans="1:15" ht="25.5">
      <c r="B7" s="668" t="s">
        <v>631</v>
      </c>
      <c r="C7" s="663" t="s">
        <v>620</v>
      </c>
      <c r="D7" s="663" t="s">
        <v>621</v>
      </c>
      <c r="E7" s="663" t="s">
        <v>622</v>
      </c>
      <c r="F7" s="663" t="s">
        <v>623</v>
      </c>
      <c r="G7" s="663" t="s">
        <v>624</v>
      </c>
      <c r="H7" s="663" t="s">
        <v>625</v>
      </c>
      <c r="I7" s="663" t="s">
        <v>626</v>
      </c>
      <c r="J7" s="663" t="s">
        <v>627</v>
      </c>
      <c r="K7" s="663" t="s">
        <v>628</v>
      </c>
    </row>
    <row r="8" spans="1:15">
      <c r="B8" s="664" t="s">
        <v>630</v>
      </c>
      <c r="C8" s="665">
        <v>4509</v>
      </c>
      <c r="D8" s="665">
        <v>3907</v>
      </c>
      <c r="E8" s="665">
        <v>5319</v>
      </c>
      <c r="F8" s="665">
        <v>5034</v>
      </c>
      <c r="G8" s="666">
        <v>5427</v>
      </c>
      <c r="H8" s="666">
        <v>3880</v>
      </c>
      <c r="I8" s="666">
        <v>5465</v>
      </c>
      <c r="J8" s="666">
        <v>7864</v>
      </c>
      <c r="K8" s="666">
        <v>5632</v>
      </c>
    </row>
    <row r="9" spans="1:15">
      <c r="B9" s="664" t="s">
        <v>629</v>
      </c>
      <c r="C9" s="662">
        <v>34</v>
      </c>
      <c r="D9" s="662">
        <v>36</v>
      </c>
      <c r="E9" s="662">
        <v>69</v>
      </c>
      <c r="F9" s="662">
        <v>64</v>
      </c>
      <c r="G9" s="662">
        <v>45</v>
      </c>
      <c r="H9" s="662">
        <v>33</v>
      </c>
      <c r="I9" s="662">
        <v>100</v>
      </c>
      <c r="J9" s="662">
        <v>100</v>
      </c>
      <c r="K9" s="662">
        <v>100</v>
      </c>
    </row>
    <row r="10" spans="1:15">
      <c r="B10" s="667"/>
      <c r="C10" s="667"/>
      <c r="D10" s="667"/>
      <c r="E10" s="667"/>
      <c r="F10" s="667"/>
      <c r="G10" s="667"/>
      <c r="H10" s="667"/>
      <c r="I10" s="667"/>
      <c r="J10" s="667"/>
      <c r="K10" s="667"/>
    </row>
    <row r="30" spans="2:2">
      <c r="B30" t="s">
        <v>632</v>
      </c>
    </row>
    <row r="79" spans="10:13">
      <c r="J79" s="1114"/>
      <c r="K79" s="1114"/>
      <c r="L79" s="1114"/>
      <c r="M79" s="1114"/>
    </row>
    <row r="80" spans="10:13">
      <c r="J80" s="1114"/>
      <c r="K80" s="1114"/>
      <c r="L80" s="1114"/>
      <c r="M80" s="1114"/>
    </row>
    <row r="81" spans="10:13">
      <c r="J81" s="1114"/>
      <c r="K81" s="1114"/>
      <c r="L81" s="1114"/>
      <c r="M81" s="1114"/>
    </row>
    <row r="82" spans="10:13">
      <c r="J82" s="1114"/>
      <c r="K82" s="1114"/>
      <c r="L82" s="1114"/>
      <c r="M82" s="1114"/>
    </row>
    <row r="83" spans="10:13">
      <c r="J83" s="1114"/>
      <c r="K83" s="1114"/>
      <c r="L83" s="1114"/>
      <c r="M83" s="1114"/>
    </row>
  </sheetData>
  <mergeCells count="2">
    <mergeCell ref="J79:M83"/>
    <mergeCell ref="B2:J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3" tint="0.59999389629810485"/>
    <pageSetUpPr fitToPage="1"/>
  </sheetPr>
  <dimension ref="B1:O131"/>
  <sheetViews>
    <sheetView showGridLines="0" tabSelected="1" workbookViewId="0">
      <selection activeCell="D13" sqref="D12:D13"/>
    </sheetView>
  </sheetViews>
  <sheetFormatPr defaultRowHeight="12.75"/>
  <cols>
    <col min="1" max="1" width="1.85546875" style="3" customWidth="1"/>
    <col min="2" max="2" width="3" style="3" customWidth="1"/>
    <col min="3" max="3" width="30.140625" style="3" customWidth="1"/>
    <col min="4" max="5" width="10.28515625" style="3" bestFit="1" customWidth="1"/>
    <col min="6" max="6" width="10.7109375" style="3" bestFit="1" customWidth="1"/>
    <col min="7" max="8" width="12.7109375" style="3" customWidth="1"/>
    <col min="9" max="10" width="9.140625" style="3"/>
    <col min="11" max="11" width="11.28515625" style="7" customWidth="1"/>
    <col min="12" max="12" width="11.140625" style="7" customWidth="1"/>
    <col min="13" max="13" width="3.85546875" style="3" customWidth="1"/>
    <col min="14" max="16384" width="9.140625" style="3"/>
  </cols>
  <sheetData>
    <row r="1" spans="2:15" ht="20.25">
      <c r="B1" s="1120" t="s">
        <v>242</v>
      </c>
      <c r="C1" s="1120"/>
      <c r="D1" s="1120"/>
      <c r="E1" s="1120"/>
      <c r="F1" s="1120"/>
      <c r="G1" s="1120"/>
      <c r="H1" s="1120"/>
      <c r="I1" s="1120"/>
      <c r="J1" s="1120"/>
      <c r="K1" s="1120"/>
      <c r="L1" s="1120"/>
      <c r="M1" s="82"/>
    </row>
    <row r="2" spans="2:15" ht="15.75">
      <c r="B2" s="1117" t="s">
        <v>55</v>
      </c>
      <c r="C2" s="1117"/>
      <c r="D2" s="1117"/>
      <c r="E2" s="1117"/>
      <c r="F2" s="1117"/>
      <c r="G2" s="1117"/>
      <c r="H2" s="1117"/>
      <c r="I2" s="1117"/>
      <c r="J2" s="1117"/>
      <c r="K2" s="1117"/>
      <c r="L2" s="1117"/>
      <c r="M2" s="49"/>
    </row>
    <row r="3" spans="2:15" ht="17.25" customHeight="1" thickBot="1">
      <c r="B3" s="1121" t="s">
        <v>0</v>
      </c>
      <c r="C3" s="1121"/>
      <c r="D3" s="1121"/>
      <c r="E3" s="1121"/>
      <c r="F3" s="1121"/>
      <c r="G3" s="1121"/>
      <c r="H3" s="1121"/>
      <c r="I3" s="1121"/>
      <c r="J3" s="1121"/>
      <c r="K3" s="1121"/>
      <c r="L3" s="1121"/>
      <c r="M3" s="561"/>
      <c r="N3" s="507"/>
      <c r="O3" s="507"/>
    </row>
    <row r="4" spans="2:15">
      <c r="B4" s="64"/>
      <c r="C4" s="562" t="s">
        <v>18</v>
      </c>
      <c r="D4" s="534"/>
      <c r="E4" s="534"/>
      <c r="F4" s="535"/>
      <c r="G4" s="774"/>
      <c r="H4" s="774"/>
      <c r="I4" s="775"/>
      <c r="J4" s="776"/>
      <c r="K4" s="563"/>
      <c r="L4" s="564"/>
      <c r="M4" s="565"/>
      <c r="N4" s="507"/>
      <c r="O4" s="507"/>
    </row>
    <row r="5" spans="2:15">
      <c r="B5" s="68"/>
      <c r="C5" s="566"/>
      <c r="D5" s="536"/>
      <c r="E5" s="536"/>
      <c r="F5" s="537"/>
      <c r="G5" s="777" t="s">
        <v>555</v>
      </c>
      <c r="H5" s="777"/>
      <c r="I5" s="1118" t="s">
        <v>584</v>
      </c>
      <c r="J5" s="1118"/>
      <c r="K5" s="568"/>
      <c r="L5" s="568"/>
      <c r="M5" s="567"/>
      <c r="N5" s="507"/>
      <c r="O5" s="507"/>
    </row>
    <row r="6" spans="2:15">
      <c r="B6" s="68"/>
      <c r="C6" s="566"/>
      <c r="D6" s="536">
        <v>2009</v>
      </c>
      <c r="E6" s="536">
        <v>2010</v>
      </c>
      <c r="F6" s="537" t="s">
        <v>555</v>
      </c>
      <c r="G6" s="778" t="s">
        <v>29</v>
      </c>
      <c r="H6" s="777" t="s">
        <v>556</v>
      </c>
      <c r="I6" s="1119" t="s">
        <v>585</v>
      </c>
      <c r="J6" s="1119"/>
      <c r="K6" s="568">
        <v>2013</v>
      </c>
      <c r="L6" s="568">
        <f>K6+1</f>
        <v>2014</v>
      </c>
      <c r="M6" s="569"/>
      <c r="N6" s="507"/>
      <c r="O6" s="507"/>
    </row>
    <row r="7" spans="2:15">
      <c r="B7" s="63"/>
      <c r="C7" s="566" t="s">
        <v>586</v>
      </c>
      <c r="D7" s="1174" t="s">
        <v>554</v>
      </c>
      <c r="E7" s="1175" t="s">
        <v>554</v>
      </c>
      <c r="F7" s="1177" t="s">
        <v>31</v>
      </c>
      <c r="G7" s="779" t="s">
        <v>702</v>
      </c>
      <c r="H7" s="779" t="s">
        <v>557</v>
      </c>
      <c r="I7" s="1116" t="s">
        <v>31</v>
      </c>
      <c r="J7" s="1116"/>
      <c r="K7" s="1176" t="s">
        <v>33</v>
      </c>
      <c r="L7" s="1176" t="s">
        <v>33</v>
      </c>
      <c r="M7" s="569"/>
      <c r="N7" s="507"/>
      <c r="O7" s="507"/>
    </row>
    <row r="8" spans="2:15">
      <c r="B8" s="71"/>
      <c r="C8" s="570"/>
      <c r="D8" s="538" t="s">
        <v>1</v>
      </c>
      <c r="E8" s="538" t="s">
        <v>1</v>
      </c>
      <c r="F8" s="539" t="s">
        <v>1</v>
      </c>
      <c r="G8" s="780" t="s">
        <v>1</v>
      </c>
      <c r="H8" s="780" t="s">
        <v>1</v>
      </c>
      <c r="I8" s="781" t="s">
        <v>1</v>
      </c>
      <c r="J8" s="782" t="s">
        <v>2</v>
      </c>
      <c r="K8" s="571" t="s">
        <v>1</v>
      </c>
      <c r="L8" s="571" t="s">
        <v>1</v>
      </c>
      <c r="M8" s="572"/>
      <c r="N8" s="507"/>
      <c r="O8" s="507"/>
    </row>
    <row r="9" spans="2:15" ht="6.75" customHeight="1">
      <c r="B9" s="73"/>
      <c r="C9" s="573"/>
      <c r="D9" s="540"/>
      <c r="E9" s="540"/>
      <c r="F9" s="541"/>
      <c r="G9" s="783"/>
      <c r="H9" s="783"/>
      <c r="I9" s="784"/>
      <c r="J9" s="785"/>
      <c r="K9" s="574"/>
      <c r="L9" s="575"/>
      <c r="M9" s="576"/>
      <c r="N9" s="507"/>
      <c r="O9" s="507"/>
    </row>
    <row r="10" spans="2:15">
      <c r="B10" s="73"/>
      <c r="C10" s="577" t="s">
        <v>34</v>
      </c>
      <c r="D10" s="1008">
        <v>6112.3950000000004</v>
      </c>
      <c r="E10" s="1066">
        <f>'[1]2010 Audit'!M4/1000</f>
        <v>5127.8590000000004</v>
      </c>
      <c r="F10" s="716">
        <v>6412.6445299999996</v>
      </c>
      <c r="G10" s="786">
        <v>6412.6</v>
      </c>
      <c r="H10" s="786">
        <f>'AOCC Form 14'!T18</f>
        <v>5924.1771599999993</v>
      </c>
      <c r="I10" s="787">
        <f>H10-F10</f>
        <v>-488.4673700000003</v>
      </c>
      <c r="J10" s="1030">
        <f>IF(F10=0,"n/a",I10/F10)</f>
        <v>-7.617253189613496E-2</v>
      </c>
      <c r="K10" s="727">
        <f>'AOCC Form 14'!W18</f>
        <v>5921.6771600000002</v>
      </c>
      <c r="L10" s="727">
        <f>'AOCC Form 14'!X18</f>
        <v>5945.1211599999997</v>
      </c>
      <c r="M10" s="578"/>
      <c r="N10" s="507"/>
      <c r="O10" s="507"/>
    </row>
    <row r="11" spans="2:15">
      <c r="B11" s="73"/>
      <c r="C11" s="577" t="s">
        <v>35</v>
      </c>
      <c r="D11" s="1008">
        <v>526.48700000000008</v>
      </c>
      <c r="E11" s="1066">
        <f>'[1]2010 Audit'!M5/1000</f>
        <v>1229.3389999999999</v>
      </c>
      <c r="F11" s="716">
        <v>514.6</v>
      </c>
      <c r="G11" s="786">
        <v>514.6</v>
      </c>
      <c r="H11" s="786">
        <f>'AOCC Form 14'!T19</f>
        <v>497.28700000000009</v>
      </c>
      <c r="I11" s="787">
        <f t="shared" ref="I11:I15" si="0">H11-F11</f>
        <v>-17.312999999999931</v>
      </c>
      <c r="J11" s="1030">
        <f t="shared" ref="J11:J15" si="1">IF(F11=0,"n/a",I11/F11)</f>
        <v>-3.3643606684803595E-2</v>
      </c>
      <c r="K11" s="727">
        <f>'AOCC Form 14'!W19</f>
        <v>499.08699999999999</v>
      </c>
      <c r="L11" s="727">
        <f>'AOCC Form 14'!X19</f>
        <v>500.88699999999994</v>
      </c>
      <c r="M11" s="578"/>
      <c r="N11" s="507"/>
      <c r="O11" s="507"/>
    </row>
    <row r="12" spans="2:15">
      <c r="B12" s="73"/>
      <c r="C12" s="577" t="s">
        <v>36</v>
      </c>
      <c r="D12" s="1008">
        <v>3.9589999999999996</v>
      </c>
      <c r="E12" s="1066">
        <f>'[1]2010 Audit'!M6/1000</f>
        <v>489.59899999999999</v>
      </c>
      <c r="F12" s="716">
        <v>4</v>
      </c>
      <c r="G12" s="786">
        <v>4</v>
      </c>
      <c r="H12" s="786">
        <f>'AOCC Form 14'!T20</f>
        <v>3.9907963299999998</v>
      </c>
      <c r="I12" s="787">
        <f t="shared" si="0"/>
        <v>-9.2036700000002192E-3</v>
      </c>
      <c r="J12" s="1030">
        <f t="shared" si="1"/>
        <v>-2.3009175000000548E-3</v>
      </c>
      <c r="K12" s="727">
        <f>'AOCC Form 14'!W20</f>
        <v>3.9907963300000002</v>
      </c>
      <c r="L12" s="727">
        <f>'AOCC Form 14'!X20</f>
        <v>3.9907963300000002</v>
      </c>
      <c r="M12" s="578"/>
      <c r="N12" s="507"/>
      <c r="O12" s="507"/>
    </row>
    <row r="13" spans="2:15">
      <c r="B13" s="73"/>
      <c r="C13" s="577" t="s">
        <v>37</v>
      </c>
      <c r="D13" s="1008">
        <v>737.01800000000014</v>
      </c>
      <c r="E13" s="1066">
        <f>'[1]2010 Audit'!M7/1000</f>
        <v>704.64400000000001</v>
      </c>
      <c r="F13" s="716">
        <v>508.33855999999997</v>
      </c>
      <c r="G13" s="786">
        <f>F13-3.4</f>
        <v>504.93856</v>
      </c>
      <c r="H13" s="786">
        <f>'AOCC Form 14'!T21</f>
        <v>485.00556</v>
      </c>
      <c r="I13" s="787">
        <f t="shared" si="0"/>
        <v>-23.33299999999997</v>
      </c>
      <c r="J13" s="1030">
        <f t="shared" si="1"/>
        <v>-4.5900511659001379E-2</v>
      </c>
      <c r="K13" s="727">
        <f>'AOCC Form 14'!W21</f>
        <v>485.00556</v>
      </c>
      <c r="L13" s="727">
        <f>'AOCC Form 14'!X21</f>
        <v>485.00556</v>
      </c>
      <c r="M13" s="578"/>
      <c r="N13" s="507"/>
      <c r="O13" s="507"/>
    </row>
    <row r="14" spans="2:15">
      <c r="B14" s="73"/>
      <c r="C14" s="577" t="s">
        <v>38</v>
      </c>
      <c r="D14" s="1008"/>
      <c r="E14" s="1066"/>
      <c r="F14" s="716"/>
      <c r="G14" s="786"/>
      <c r="H14" s="786"/>
      <c r="I14" s="787"/>
      <c r="J14" s="1030"/>
      <c r="K14" s="727"/>
      <c r="L14" s="727"/>
      <c r="M14" s="578"/>
      <c r="N14" s="507"/>
      <c r="O14" s="507"/>
    </row>
    <row r="15" spans="2:15">
      <c r="B15" s="73"/>
      <c r="C15" s="577" t="s">
        <v>39</v>
      </c>
      <c r="D15" s="1008">
        <v>7.5</v>
      </c>
      <c r="E15" s="1066"/>
      <c r="F15" s="716">
        <v>25.146519999999999</v>
      </c>
      <c r="G15" s="786">
        <v>25.1</v>
      </c>
      <c r="H15" s="786">
        <f>'AOCC Form 14'!T23</f>
        <v>25.049400000000002</v>
      </c>
      <c r="I15" s="787">
        <f t="shared" si="0"/>
        <v>-9.7119999999996764E-2</v>
      </c>
      <c r="J15" s="1030">
        <f t="shared" si="1"/>
        <v>-3.8621646255623749E-3</v>
      </c>
      <c r="K15" s="727">
        <f>'AOCC Form 14'!W23</f>
        <v>25.049399999999999</v>
      </c>
      <c r="L15" s="727">
        <f>'AOCC Form 14'!X23</f>
        <v>25.049399999999999</v>
      </c>
      <c r="M15" s="578"/>
      <c r="N15" s="507"/>
      <c r="O15" s="507"/>
    </row>
    <row r="16" spans="2:15">
      <c r="B16" s="73"/>
      <c r="C16" s="577" t="s">
        <v>40</v>
      </c>
      <c r="D16" s="1008"/>
      <c r="E16" s="1066">
        <f>'[1]2010 Audit'!M10/1000</f>
        <v>3.742</v>
      </c>
      <c r="F16" s="716">
        <v>7.1</v>
      </c>
      <c r="G16" s="786">
        <v>7.1</v>
      </c>
      <c r="H16" s="786">
        <f>'AOCC Form 14'!T24</f>
        <v>15.8</v>
      </c>
      <c r="I16" s="787">
        <f t="shared" ref="I16" si="2">H16-F16</f>
        <v>8.7000000000000011</v>
      </c>
      <c r="J16" s="1030">
        <f t="shared" ref="J16" si="3">IF(F16=0,"n/a",I16/F16)</f>
        <v>1.2253521126760565</v>
      </c>
      <c r="K16" s="727">
        <f>'AOCC Form 14'!W24</f>
        <v>15.799999999999999</v>
      </c>
      <c r="L16" s="727">
        <f>'AOCC Form 14'!X24</f>
        <v>15.799999999999999</v>
      </c>
      <c r="M16" s="578"/>
      <c r="N16" s="507"/>
      <c r="O16" s="507"/>
    </row>
    <row r="17" spans="2:15">
      <c r="B17" s="73"/>
      <c r="C17" s="577" t="s">
        <v>41</v>
      </c>
      <c r="D17" s="715"/>
      <c r="E17" s="1066"/>
      <c r="F17" s="716"/>
      <c r="G17" s="786"/>
      <c r="H17" s="786"/>
      <c r="I17" s="787"/>
      <c r="J17" s="1030"/>
      <c r="K17" s="727"/>
      <c r="L17" s="727"/>
      <c r="M17" s="578"/>
      <c r="N17" s="507"/>
      <c r="O17" s="507"/>
    </row>
    <row r="18" spans="2:15">
      <c r="B18" s="73"/>
      <c r="C18" s="573"/>
      <c r="D18" s="717"/>
      <c r="E18" s="1067"/>
      <c r="F18" s="718"/>
      <c r="G18" s="788"/>
      <c r="H18" s="788"/>
      <c r="I18" s="789"/>
      <c r="J18" s="1031"/>
      <c r="K18" s="729"/>
      <c r="L18" s="730"/>
      <c r="M18" s="578"/>
      <c r="N18" s="507"/>
      <c r="O18" s="507"/>
    </row>
    <row r="19" spans="2:15">
      <c r="B19" s="75" t="s">
        <v>42</v>
      </c>
      <c r="C19" s="579"/>
      <c r="D19" s="719">
        <f>SUM(D10:D18)</f>
        <v>7387.3590000000004</v>
      </c>
      <c r="E19" s="719">
        <f>SUM(E10:E18)</f>
        <v>7555.1830000000009</v>
      </c>
      <c r="F19" s="720">
        <f>SUM(F10:F17)</f>
        <v>7471.8296100000007</v>
      </c>
      <c r="G19" s="790">
        <f>SUM(G10:G17)</f>
        <v>7468.3385600000011</v>
      </c>
      <c r="H19" s="790">
        <f>SUM(H10:H17)</f>
        <v>6951.3099163299994</v>
      </c>
      <c r="I19" s="791">
        <f>SUM(I10:I17)</f>
        <v>-520.51969367000015</v>
      </c>
      <c r="J19" s="1032">
        <f>IF(F19=0,"n/a",I19/E19)</f>
        <v>-6.8895709563884827E-2</v>
      </c>
      <c r="K19" s="731">
        <f>SUM(K9:K17)</f>
        <v>6950.6099163300005</v>
      </c>
      <c r="L19" s="731">
        <f>SUM(L10:L17)</f>
        <v>6975.8539163299993</v>
      </c>
      <c r="M19" s="580"/>
      <c r="N19" s="507"/>
      <c r="O19" s="507"/>
    </row>
    <row r="20" spans="2:15">
      <c r="B20" s="73"/>
      <c r="C20" s="573"/>
      <c r="D20" s="715"/>
      <c r="E20" s="1066"/>
      <c r="F20" s="718"/>
      <c r="G20" s="786"/>
      <c r="H20" s="786"/>
      <c r="I20" s="787"/>
      <c r="J20" s="1030"/>
      <c r="K20" s="727"/>
      <c r="L20" s="728"/>
      <c r="M20" s="578"/>
      <c r="N20" s="507"/>
      <c r="O20" s="507"/>
    </row>
    <row r="21" spans="2:15">
      <c r="B21" s="73"/>
      <c r="C21" s="577" t="s">
        <v>43</v>
      </c>
      <c r="D21" s="1008"/>
      <c r="E21" s="1066"/>
      <c r="F21" s="716"/>
      <c r="G21" s="786"/>
      <c r="H21" s="786"/>
      <c r="I21" s="787"/>
      <c r="J21" s="1030"/>
      <c r="K21" s="727"/>
      <c r="L21" s="728"/>
      <c r="M21" s="578"/>
      <c r="N21" s="507"/>
      <c r="O21" s="507"/>
    </row>
    <row r="22" spans="2:15">
      <c r="B22" s="73"/>
      <c r="C22" s="577" t="s">
        <v>44</v>
      </c>
      <c r="D22" s="1008"/>
      <c r="E22" s="1066"/>
      <c r="F22" s="716"/>
      <c r="G22" s="786"/>
      <c r="H22" s="786"/>
      <c r="I22" s="787"/>
      <c r="J22" s="1030"/>
      <c r="K22" s="727"/>
      <c r="L22" s="728"/>
      <c r="M22" s="578"/>
      <c r="N22" s="507"/>
      <c r="O22" s="507"/>
    </row>
    <row r="23" spans="2:15">
      <c r="B23" s="73"/>
      <c r="C23" s="577" t="s">
        <v>45</v>
      </c>
      <c r="D23" s="1008"/>
      <c r="E23" s="1066"/>
      <c r="F23" s="716"/>
      <c r="G23" s="786"/>
      <c r="H23" s="786"/>
      <c r="I23" s="787"/>
      <c r="J23" s="1030"/>
      <c r="K23" s="727"/>
      <c r="L23" s="728"/>
      <c r="M23" s="578"/>
      <c r="N23" s="507"/>
      <c r="O23" s="507"/>
    </row>
    <row r="24" spans="2:15">
      <c r="B24" s="73"/>
      <c r="C24" s="577" t="s">
        <v>46</v>
      </c>
      <c r="D24" s="1008"/>
      <c r="E24" s="1066"/>
      <c r="F24" s="716"/>
      <c r="G24" s="786"/>
      <c r="H24" s="786"/>
      <c r="I24" s="787"/>
      <c r="J24" s="1030"/>
      <c r="K24" s="727"/>
      <c r="L24" s="728"/>
      <c r="M24" s="578"/>
      <c r="N24" s="507"/>
      <c r="O24" s="507"/>
    </row>
    <row r="25" spans="2:15">
      <c r="B25" s="73"/>
      <c r="C25" s="577" t="s">
        <v>47</v>
      </c>
      <c r="D25" s="1008">
        <v>220.065</v>
      </c>
      <c r="E25" s="1066">
        <f>'[1]2010 Audit'!M18/1000-E29</f>
        <v>214.03099999999998</v>
      </c>
      <c r="F25" s="716">
        <v>192.4</v>
      </c>
      <c r="G25" s="786">
        <f>F25+4.2</f>
        <v>196.6</v>
      </c>
      <c r="H25" s="786">
        <f>'AOCC Form 14'!T33</f>
        <v>254.7</v>
      </c>
      <c r="I25" s="787">
        <f t="shared" ref="I25" si="4">H25-F25</f>
        <v>62.299999999999983</v>
      </c>
      <c r="J25" s="1030">
        <f t="shared" ref="J25" si="5">IF(F25=0,"n/a",I25/F25)</f>
        <v>0.32380457380457373</v>
      </c>
      <c r="K25" s="727">
        <f>'AOCC Form 14'!W33</f>
        <v>254.70000000000002</v>
      </c>
      <c r="L25" s="727">
        <f>'AOCC Form 14'!X33</f>
        <v>254.70000000000002</v>
      </c>
      <c r="M25" s="578"/>
      <c r="N25" s="507"/>
      <c r="O25" s="507"/>
    </row>
    <row r="26" spans="2:15">
      <c r="B26" s="73"/>
      <c r="C26" s="577" t="s">
        <v>48</v>
      </c>
      <c r="D26" s="1008"/>
      <c r="E26" s="1066"/>
      <c r="F26" s="716"/>
      <c r="G26" s="786"/>
      <c r="H26" s="786"/>
      <c r="I26" s="787"/>
      <c r="J26" s="1030"/>
      <c r="K26" s="727"/>
      <c r="L26" s="728"/>
      <c r="M26" s="578"/>
      <c r="N26" s="507"/>
      <c r="O26" s="507"/>
    </row>
    <row r="27" spans="2:15">
      <c r="B27" s="73"/>
      <c r="C27" s="577" t="s">
        <v>49</v>
      </c>
      <c r="D27" s="1008"/>
      <c r="E27" s="1066"/>
      <c r="F27" s="716"/>
      <c r="G27" s="786"/>
      <c r="H27" s="786"/>
      <c r="I27" s="787"/>
      <c r="J27" s="1030"/>
      <c r="K27" s="727"/>
      <c r="L27" s="728"/>
      <c r="M27" s="578"/>
      <c r="N27" s="507"/>
      <c r="O27" s="507"/>
    </row>
    <row r="28" spans="2:15">
      <c r="B28" s="73"/>
      <c r="C28" s="577" t="s">
        <v>50</v>
      </c>
      <c r="D28" s="1008"/>
      <c r="E28" s="1066"/>
      <c r="F28" s="716"/>
      <c r="G28" s="786"/>
      <c r="H28" s="786"/>
      <c r="I28" s="787"/>
      <c r="J28" s="1030"/>
      <c r="K28" s="727"/>
      <c r="L28" s="728"/>
      <c r="M28" s="578"/>
      <c r="N28" s="507"/>
      <c r="O28" s="507"/>
    </row>
    <row r="29" spans="2:15">
      <c r="B29" s="73"/>
      <c r="C29" s="577" t="s">
        <v>51</v>
      </c>
      <c r="D29" s="715">
        <v>8.6</v>
      </c>
      <c r="E29" s="1066">
        <v>9.3000000000000007</v>
      </c>
      <c r="F29" s="716">
        <v>9.3000000000000007</v>
      </c>
      <c r="G29" s="786">
        <v>9.3000000000000007</v>
      </c>
      <c r="H29" s="786">
        <f>'AOCC Form 14'!T36</f>
        <v>9.3000000000000007</v>
      </c>
      <c r="I29" s="787"/>
      <c r="J29" s="1030"/>
      <c r="K29" s="727">
        <f>'AOCC Form 14'!W36</f>
        <v>9.3000000000000007</v>
      </c>
      <c r="L29" s="727">
        <f>'AOCC Form 14'!X36</f>
        <v>9.3000000000000007</v>
      </c>
      <c r="M29" s="578"/>
      <c r="N29" s="507"/>
      <c r="O29" s="507"/>
    </row>
    <row r="30" spans="2:15">
      <c r="B30" s="73"/>
      <c r="C30" s="573"/>
      <c r="D30" s="717"/>
      <c r="E30" s="1067"/>
      <c r="F30" s="718"/>
      <c r="G30" s="788"/>
      <c r="H30" s="788"/>
      <c r="I30" s="792" t="s">
        <v>18</v>
      </c>
      <c r="J30" s="1033"/>
      <c r="K30" s="729"/>
      <c r="L30" s="730"/>
      <c r="M30" s="578"/>
      <c r="N30" s="507"/>
      <c r="O30" s="507"/>
    </row>
    <row r="31" spans="2:15">
      <c r="B31" s="75" t="s">
        <v>52</v>
      </c>
      <c r="C31" s="579"/>
      <c r="D31" s="719">
        <f>SUM(D21:D30)</f>
        <v>228.66499999999999</v>
      </c>
      <c r="E31" s="719">
        <f>SUM(E21:E30)</f>
        <v>223.33099999999999</v>
      </c>
      <c r="F31" s="720">
        <f>SUM(F21:F29)</f>
        <v>201.70000000000002</v>
      </c>
      <c r="G31" s="790">
        <f>SUM(G21:G29)</f>
        <v>205.9</v>
      </c>
      <c r="H31" s="790">
        <f>SUM(H21:H29)</f>
        <v>264</v>
      </c>
      <c r="I31" s="793">
        <f>SUM(I21:I29)</f>
        <v>62.299999999999983</v>
      </c>
      <c r="J31" s="1032">
        <f>IF(F31=0,"n/a",I31/E31)</f>
        <v>0.27895813836860978</v>
      </c>
      <c r="K31" s="731">
        <f>SUM(K21:K29)</f>
        <v>264</v>
      </c>
      <c r="L31" s="731">
        <f>SUM(L21:L29)</f>
        <v>264</v>
      </c>
      <c r="M31" s="580"/>
      <c r="N31" s="507"/>
      <c r="O31" s="507"/>
    </row>
    <row r="32" spans="2:15">
      <c r="B32" s="73"/>
      <c r="C32" s="573"/>
      <c r="D32" s="715"/>
      <c r="E32" s="1066"/>
      <c r="F32" s="716"/>
      <c r="G32" s="786"/>
      <c r="H32" s="786"/>
      <c r="I32" s="787"/>
      <c r="J32" s="1030"/>
      <c r="K32" s="727"/>
      <c r="L32" s="728"/>
      <c r="M32" s="578"/>
      <c r="N32" s="507"/>
      <c r="O32" s="507"/>
    </row>
    <row r="33" spans="2:15">
      <c r="B33" s="73" t="s">
        <v>53</v>
      </c>
      <c r="C33" s="573"/>
      <c r="D33" s="715">
        <f t="shared" ref="D33:L33" si="6">D19-D31</f>
        <v>7158.6940000000004</v>
      </c>
      <c r="E33" s="1066">
        <f t="shared" si="6"/>
        <v>7331.8520000000008</v>
      </c>
      <c r="F33" s="715">
        <f t="shared" si="6"/>
        <v>7270.1296100000009</v>
      </c>
      <c r="G33" s="794">
        <f t="shared" si="6"/>
        <v>7262.4385600000014</v>
      </c>
      <c r="H33" s="794">
        <f t="shared" si="6"/>
        <v>6687.3099163299994</v>
      </c>
      <c r="I33" s="795">
        <f t="shared" si="6"/>
        <v>-582.81969367000011</v>
      </c>
      <c r="J33" s="1034">
        <f>IF(J19="n/a","n/a",J19-J31)</f>
        <v>-0.34785384793249463</v>
      </c>
      <c r="K33" s="728">
        <f t="shared" si="6"/>
        <v>6686.6099163300005</v>
      </c>
      <c r="L33" s="728">
        <f t="shared" si="6"/>
        <v>6711.8539163299993</v>
      </c>
      <c r="M33" s="578"/>
      <c r="N33" s="507"/>
      <c r="O33" s="507"/>
    </row>
    <row r="34" spans="2:15">
      <c r="B34" s="76"/>
      <c r="C34" s="581"/>
      <c r="D34" s="721"/>
      <c r="E34" s="1068"/>
      <c r="F34" s="722"/>
      <c r="G34" s="796"/>
      <c r="H34" s="796"/>
      <c r="I34" s="797"/>
      <c r="J34" s="1035"/>
      <c r="K34" s="732"/>
      <c r="L34" s="733"/>
      <c r="M34" s="582"/>
      <c r="N34" s="507"/>
      <c r="O34" s="507"/>
    </row>
    <row r="35" spans="2:15" ht="6" customHeight="1" thickBot="1">
      <c r="B35" s="77"/>
      <c r="C35" s="583"/>
      <c r="D35" s="723"/>
      <c r="E35" s="723"/>
      <c r="F35" s="724"/>
      <c r="G35" s="798"/>
      <c r="H35" s="798"/>
      <c r="I35" s="799"/>
      <c r="J35" s="1036"/>
      <c r="K35" s="734"/>
      <c r="L35" s="735"/>
      <c r="M35" s="578"/>
      <c r="N35" s="507"/>
      <c r="O35" s="507"/>
    </row>
    <row r="36" spans="2:15">
      <c r="B36" s="78"/>
      <c r="C36" s="586"/>
      <c r="D36" s="715"/>
      <c r="E36" s="1066"/>
      <c r="F36" s="716"/>
      <c r="G36" s="786"/>
      <c r="H36" s="786"/>
      <c r="I36" s="787"/>
      <c r="J36" s="1030"/>
      <c r="K36" s="727"/>
      <c r="L36" s="728"/>
      <c r="M36" s="578"/>
      <c r="N36" s="507"/>
      <c r="O36" s="507"/>
    </row>
    <row r="37" spans="2:15">
      <c r="B37" s="79" t="s">
        <v>54</v>
      </c>
      <c r="C37" s="587"/>
      <c r="D37" s="725">
        <v>91.2</v>
      </c>
      <c r="E37" s="1069">
        <v>91.2</v>
      </c>
      <c r="F37" s="726">
        <v>91.2</v>
      </c>
      <c r="G37" s="794">
        <v>91.2</v>
      </c>
      <c r="H37" s="794">
        <v>82.7</v>
      </c>
      <c r="I37" s="787">
        <v>-8.5</v>
      </c>
      <c r="J37" s="1030">
        <v>-9.2999999999999999E-2</v>
      </c>
      <c r="K37" s="727">
        <v>82.7</v>
      </c>
      <c r="L37" s="728">
        <v>82.7</v>
      </c>
      <c r="M37" s="578"/>
      <c r="N37" s="507"/>
      <c r="O37" s="507"/>
    </row>
    <row r="38" spans="2:15" ht="13.5" thickBot="1">
      <c r="B38" s="80"/>
      <c r="C38" s="588"/>
      <c r="D38" s="584"/>
      <c r="E38" s="584"/>
      <c r="F38" s="585"/>
      <c r="G38" s="800"/>
      <c r="H38" s="800"/>
      <c r="I38" s="801"/>
      <c r="J38" s="802"/>
      <c r="K38" s="736"/>
      <c r="L38" s="737"/>
      <c r="M38" s="578"/>
      <c r="N38" s="507"/>
      <c r="O38" s="507"/>
    </row>
    <row r="39" spans="2:15" ht="4.5" customHeight="1">
      <c r="C39" s="507"/>
      <c r="D39" s="507"/>
      <c r="E39" s="507"/>
      <c r="F39" s="507"/>
      <c r="G39" s="507"/>
      <c r="H39" s="507"/>
      <c r="I39" s="507"/>
      <c r="J39" s="507"/>
      <c r="K39" s="507"/>
      <c r="L39" s="507"/>
      <c r="M39" s="507"/>
      <c r="N39" s="507"/>
      <c r="O39" s="507"/>
    </row>
    <row r="40" spans="2:15">
      <c r="B40" s="3" t="s">
        <v>763</v>
      </c>
      <c r="C40" s="507"/>
      <c r="D40" s="507"/>
      <c r="E40" s="507"/>
      <c r="F40" s="507"/>
      <c r="G40" s="507"/>
      <c r="H40" s="507"/>
      <c r="I40" s="507"/>
      <c r="J40" s="507"/>
      <c r="K40" s="550"/>
      <c r="L40" s="589"/>
      <c r="M40" s="507"/>
      <c r="N40" s="507"/>
      <c r="O40" s="507"/>
    </row>
    <row r="41" spans="2:15">
      <c r="B41" s="3" t="s">
        <v>703</v>
      </c>
      <c r="C41" s="507"/>
      <c r="D41" s="507"/>
      <c r="E41" s="507"/>
      <c r="F41" s="507"/>
      <c r="G41" s="507"/>
      <c r="H41" s="507"/>
      <c r="I41" s="507"/>
      <c r="J41" s="507"/>
      <c r="K41" s="589"/>
      <c r="L41" s="507"/>
      <c r="M41" s="507"/>
      <c r="N41" s="507"/>
      <c r="O41" s="507"/>
    </row>
    <row r="42" spans="2:15">
      <c r="C42" s="507"/>
      <c r="D42" s="507"/>
      <c r="E42" s="507"/>
      <c r="F42" s="507"/>
      <c r="G42" s="507"/>
      <c r="H42" s="507"/>
      <c r="I42" s="507"/>
      <c r="J42" s="507"/>
      <c r="K42" s="507"/>
      <c r="L42" s="507"/>
      <c r="M42" s="507"/>
      <c r="N42" s="507"/>
      <c r="O42" s="507"/>
    </row>
    <row r="43" spans="2:15">
      <c r="C43" s="507"/>
      <c r="D43" s="507"/>
      <c r="E43" s="507"/>
      <c r="F43" s="507"/>
      <c r="G43" s="507"/>
      <c r="H43" s="507"/>
      <c r="I43" s="507"/>
      <c r="J43" s="507"/>
      <c r="K43" s="507"/>
      <c r="L43" s="507"/>
      <c r="M43" s="507"/>
      <c r="N43" s="507"/>
      <c r="O43" s="507"/>
    </row>
    <row r="44" spans="2:15">
      <c r="C44" s="507"/>
      <c r="D44" s="507"/>
      <c r="E44" s="507"/>
      <c r="F44" s="507"/>
      <c r="G44" s="507"/>
      <c r="H44" s="507"/>
      <c r="I44" s="507"/>
      <c r="J44" s="507"/>
      <c r="K44" s="507"/>
      <c r="L44" s="507"/>
      <c r="M44" s="507"/>
      <c r="N44" s="507"/>
      <c r="O44" s="507"/>
    </row>
    <row r="45" spans="2:15">
      <c r="C45" s="507"/>
      <c r="D45" s="507"/>
      <c r="E45" s="507"/>
      <c r="F45" s="507"/>
      <c r="G45" s="507"/>
      <c r="H45" s="507"/>
      <c r="I45" s="507"/>
      <c r="J45" s="507"/>
      <c r="K45" s="507"/>
      <c r="L45" s="507"/>
      <c r="M45" s="507"/>
      <c r="N45" s="507"/>
      <c r="O45" s="507"/>
    </row>
    <row r="46" spans="2:15">
      <c r="C46" s="507"/>
      <c r="D46" s="507"/>
      <c r="E46" s="507"/>
      <c r="F46" s="507"/>
      <c r="G46" s="507"/>
      <c r="H46" s="507"/>
      <c r="I46" s="507"/>
      <c r="J46" s="507"/>
      <c r="K46" s="507"/>
      <c r="L46" s="507"/>
      <c r="M46" s="507"/>
      <c r="N46" s="507"/>
      <c r="O46" s="507"/>
    </row>
    <row r="47" spans="2:15">
      <c r="C47" s="507"/>
      <c r="D47" s="507"/>
      <c r="E47" s="507"/>
      <c r="F47" s="507"/>
      <c r="G47" s="507"/>
      <c r="H47" s="507"/>
      <c r="I47" s="507"/>
      <c r="J47" s="507"/>
      <c r="K47" s="507"/>
      <c r="L47" s="507"/>
      <c r="M47" s="507"/>
      <c r="N47" s="507"/>
      <c r="O47" s="507"/>
    </row>
    <row r="48" spans="2:15">
      <c r="C48" s="507"/>
      <c r="D48" s="507"/>
      <c r="E48" s="507"/>
      <c r="F48" s="507"/>
      <c r="G48" s="507"/>
      <c r="H48" s="507"/>
      <c r="I48" s="507"/>
      <c r="J48" s="507"/>
      <c r="K48" s="507"/>
      <c r="L48" s="507"/>
      <c r="M48" s="507"/>
      <c r="N48" s="507"/>
      <c r="O48" s="507"/>
    </row>
    <row r="49" spans="3:15">
      <c r="C49" s="507"/>
      <c r="D49" s="507"/>
      <c r="E49" s="507"/>
      <c r="F49" s="507"/>
      <c r="G49" s="507"/>
      <c r="H49" s="507"/>
      <c r="I49" s="507"/>
      <c r="J49" s="507"/>
      <c r="K49" s="507"/>
      <c r="L49" s="507"/>
      <c r="M49" s="507"/>
      <c r="N49" s="507"/>
      <c r="O49" s="507"/>
    </row>
    <row r="50" spans="3:15">
      <c r="C50" s="507"/>
      <c r="D50" s="507"/>
      <c r="E50" s="507"/>
      <c r="F50" s="507"/>
      <c r="G50" s="507"/>
      <c r="H50" s="507"/>
      <c r="I50" s="507"/>
      <c r="J50" s="507"/>
      <c r="K50" s="507"/>
      <c r="L50" s="507"/>
      <c r="M50" s="507"/>
      <c r="N50" s="507"/>
      <c r="O50" s="507"/>
    </row>
    <row r="51" spans="3:15">
      <c r="C51" s="507"/>
      <c r="D51" s="507"/>
      <c r="E51" s="507"/>
      <c r="F51" s="507"/>
      <c r="G51" s="507"/>
      <c r="H51" s="507"/>
      <c r="I51" s="507"/>
      <c r="J51" s="507"/>
      <c r="K51" s="507"/>
      <c r="L51" s="507"/>
      <c r="M51" s="507"/>
      <c r="N51" s="507"/>
      <c r="O51" s="507"/>
    </row>
    <row r="52" spans="3:15">
      <c r="C52" s="507"/>
      <c r="D52" s="507"/>
      <c r="E52" s="507"/>
      <c r="F52" s="507"/>
      <c r="G52" s="507"/>
      <c r="H52" s="507"/>
      <c r="I52" s="507"/>
      <c r="J52" s="507"/>
      <c r="K52" s="507"/>
      <c r="L52" s="507"/>
      <c r="M52" s="507"/>
      <c r="N52" s="507"/>
      <c r="O52" s="507"/>
    </row>
    <row r="53" spans="3:15">
      <c r="C53" s="507"/>
      <c r="D53" s="507"/>
      <c r="E53" s="507"/>
      <c r="F53" s="507"/>
      <c r="G53" s="507"/>
      <c r="H53" s="507"/>
      <c r="I53" s="507"/>
      <c r="J53" s="507"/>
      <c r="K53" s="507"/>
      <c r="L53" s="507"/>
      <c r="M53" s="507"/>
      <c r="N53" s="507"/>
      <c r="O53" s="507"/>
    </row>
    <row r="54" spans="3:15">
      <c r="C54" s="507"/>
      <c r="D54" s="507"/>
      <c r="E54" s="507"/>
      <c r="F54" s="507"/>
      <c r="G54" s="507"/>
      <c r="H54" s="507"/>
      <c r="I54" s="507"/>
      <c r="J54" s="507"/>
      <c r="K54" s="507"/>
      <c r="L54" s="507"/>
      <c r="M54" s="507"/>
      <c r="N54" s="507"/>
      <c r="O54" s="507"/>
    </row>
    <row r="55" spans="3:15">
      <c r="C55" s="507"/>
      <c r="D55" s="507"/>
      <c r="E55" s="507"/>
      <c r="F55" s="507"/>
      <c r="G55" s="507"/>
      <c r="H55" s="507"/>
      <c r="I55" s="507"/>
      <c r="J55" s="507"/>
      <c r="K55" s="507"/>
      <c r="L55" s="507"/>
      <c r="M55" s="507"/>
      <c r="N55" s="507"/>
      <c r="O55" s="507"/>
    </row>
    <row r="56" spans="3:15">
      <c r="C56" s="507"/>
      <c r="D56" s="507"/>
      <c r="E56" s="507"/>
      <c r="F56" s="507"/>
      <c r="G56" s="507"/>
      <c r="H56" s="507"/>
      <c r="I56" s="507"/>
      <c r="J56" s="507"/>
      <c r="K56" s="507"/>
      <c r="L56" s="507"/>
      <c r="M56" s="507"/>
      <c r="N56" s="507"/>
      <c r="O56" s="507"/>
    </row>
    <row r="57" spans="3:15">
      <c r="C57" s="507"/>
      <c r="D57" s="507"/>
      <c r="E57" s="507"/>
      <c r="F57" s="507"/>
      <c r="G57" s="507"/>
      <c r="H57" s="507"/>
      <c r="I57" s="507"/>
      <c r="J57" s="507"/>
      <c r="K57" s="507"/>
      <c r="L57" s="507"/>
      <c r="M57" s="507"/>
      <c r="N57" s="507"/>
      <c r="O57" s="507"/>
    </row>
    <row r="58" spans="3:15">
      <c r="C58" s="507"/>
      <c r="D58" s="507"/>
      <c r="E58" s="507"/>
      <c r="F58" s="507"/>
      <c r="G58" s="507"/>
      <c r="H58" s="507"/>
      <c r="I58" s="507"/>
      <c r="J58" s="507"/>
      <c r="K58" s="507"/>
      <c r="L58" s="507"/>
      <c r="M58" s="507"/>
      <c r="N58" s="507"/>
      <c r="O58" s="507"/>
    </row>
    <row r="59" spans="3:15">
      <c r="C59" s="507"/>
      <c r="D59" s="507"/>
      <c r="E59" s="507"/>
      <c r="F59" s="507"/>
      <c r="G59" s="507"/>
      <c r="H59" s="507"/>
      <c r="I59" s="507"/>
      <c r="J59" s="507"/>
      <c r="K59" s="507"/>
      <c r="L59" s="507"/>
      <c r="M59" s="507"/>
      <c r="N59" s="507"/>
      <c r="O59" s="507"/>
    </row>
    <row r="60" spans="3:15">
      <c r="C60" s="507"/>
      <c r="D60" s="507"/>
      <c r="E60" s="507"/>
      <c r="F60" s="507"/>
      <c r="G60" s="507"/>
      <c r="H60" s="507"/>
      <c r="I60" s="507"/>
      <c r="J60" s="507"/>
      <c r="K60" s="507"/>
      <c r="L60" s="507"/>
      <c r="M60" s="507"/>
      <c r="N60" s="507"/>
      <c r="O60" s="507"/>
    </row>
    <row r="61" spans="3:15">
      <c r="C61" s="507"/>
      <c r="D61" s="507"/>
      <c r="E61" s="507"/>
      <c r="F61" s="507"/>
      <c r="G61" s="507"/>
      <c r="H61" s="507"/>
      <c r="I61" s="507"/>
      <c r="J61" s="507"/>
      <c r="K61" s="507"/>
      <c r="L61" s="507"/>
      <c r="M61" s="507"/>
      <c r="N61" s="507"/>
      <c r="O61" s="507"/>
    </row>
    <row r="62" spans="3:15">
      <c r="C62" s="507"/>
      <c r="D62" s="507"/>
      <c r="E62" s="507"/>
      <c r="F62" s="507"/>
      <c r="G62" s="507"/>
      <c r="H62" s="507"/>
      <c r="I62" s="507"/>
      <c r="J62" s="507"/>
      <c r="K62" s="507"/>
      <c r="L62" s="507"/>
      <c r="M62" s="507"/>
      <c r="N62" s="507"/>
      <c r="O62" s="507"/>
    </row>
    <row r="63" spans="3:15">
      <c r="C63" s="507"/>
      <c r="D63" s="507"/>
      <c r="E63" s="507"/>
      <c r="F63" s="507"/>
      <c r="G63" s="507"/>
      <c r="H63" s="507"/>
      <c r="I63" s="507"/>
      <c r="J63" s="507"/>
      <c r="K63" s="507"/>
      <c r="L63" s="507"/>
      <c r="M63" s="507"/>
      <c r="N63" s="507"/>
      <c r="O63" s="507"/>
    </row>
    <row r="64" spans="3:15">
      <c r="C64" s="507"/>
      <c r="D64" s="507"/>
      <c r="E64" s="507"/>
      <c r="F64" s="507"/>
      <c r="G64" s="507"/>
      <c r="H64" s="507"/>
      <c r="I64" s="507"/>
      <c r="J64" s="507"/>
      <c r="K64" s="507"/>
      <c r="L64" s="507"/>
      <c r="M64" s="507"/>
      <c r="N64" s="507"/>
      <c r="O64" s="507"/>
    </row>
    <row r="65" spans="3:15">
      <c r="C65" s="507"/>
      <c r="D65" s="507"/>
      <c r="E65" s="507"/>
      <c r="F65" s="507"/>
      <c r="G65" s="507"/>
      <c r="H65" s="507"/>
      <c r="I65" s="507"/>
      <c r="J65" s="507"/>
      <c r="K65" s="507"/>
      <c r="L65" s="507"/>
      <c r="M65" s="507"/>
      <c r="N65" s="507"/>
      <c r="O65" s="507"/>
    </row>
    <row r="66" spans="3:15">
      <c r="C66" s="507"/>
      <c r="D66" s="507"/>
      <c r="E66" s="507"/>
      <c r="F66" s="507"/>
      <c r="G66" s="507"/>
      <c r="H66" s="507"/>
      <c r="I66" s="507"/>
      <c r="J66" s="507"/>
      <c r="K66" s="507"/>
      <c r="L66" s="507"/>
      <c r="M66" s="507"/>
      <c r="N66" s="507"/>
      <c r="O66" s="507"/>
    </row>
    <row r="67" spans="3:15">
      <c r="C67" s="507"/>
      <c r="D67" s="507"/>
      <c r="E67" s="507"/>
      <c r="F67" s="507"/>
      <c r="G67" s="507"/>
      <c r="H67" s="507"/>
      <c r="I67" s="507"/>
      <c r="J67" s="507"/>
      <c r="K67" s="507"/>
      <c r="L67" s="507"/>
      <c r="M67" s="507"/>
      <c r="N67" s="507"/>
      <c r="O67" s="507"/>
    </row>
    <row r="68" spans="3:15">
      <c r="C68" s="507"/>
      <c r="D68" s="507"/>
      <c r="E68" s="507"/>
      <c r="F68" s="507"/>
      <c r="G68" s="507"/>
      <c r="H68" s="507"/>
      <c r="I68" s="507"/>
      <c r="J68" s="507"/>
      <c r="K68" s="507"/>
      <c r="L68" s="507"/>
      <c r="M68" s="507"/>
      <c r="N68" s="507"/>
      <c r="O68" s="507"/>
    </row>
    <row r="69" spans="3:15">
      <c r="C69" s="507"/>
      <c r="D69" s="507"/>
      <c r="E69" s="507"/>
      <c r="F69" s="507"/>
      <c r="G69" s="507"/>
      <c r="H69" s="507"/>
      <c r="I69" s="507"/>
      <c r="J69" s="507"/>
      <c r="K69" s="507"/>
      <c r="L69" s="507"/>
      <c r="M69" s="507"/>
      <c r="N69" s="507"/>
      <c r="O69" s="507"/>
    </row>
    <row r="70" spans="3:15">
      <c r="C70" s="507"/>
      <c r="D70" s="507"/>
      <c r="E70" s="507"/>
      <c r="F70" s="507"/>
      <c r="G70" s="507"/>
      <c r="H70" s="507"/>
      <c r="I70" s="507"/>
      <c r="J70" s="507"/>
      <c r="K70" s="507"/>
      <c r="L70" s="507"/>
      <c r="M70" s="507"/>
      <c r="N70" s="507"/>
      <c r="O70" s="507"/>
    </row>
    <row r="71" spans="3:15">
      <c r="C71" s="507"/>
      <c r="D71" s="507"/>
      <c r="E71" s="507"/>
      <c r="F71" s="507"/>
      <c r="G71" s="507"/>
      <c r="H71" s="507"/>
      <c r="I71" s="507"/>
      <c r="J71" s="507"/>
      <c r="K71" s="507"/>
      <c r="L71" s="507"/>
      <c r="M71" s="507"/>
      <c r="N71" s="507"/>
      <c r="O71" s="507"/>
    </row>
    <row r="72" spans="3:15">
      <c r="C72" s="507"/>
      <c r="D72" s="507"/>
      <c r="E72" s="507"/>
      <c r="F72" s="507"/>
      <c r="G72" s="507"/>
      <c r="H72" s="507"/>
      <c r="I72" s="507"/>
      <c r="J72" s="507"/>
      <c r="K72" s="507"/>
      <c r="L72" s="507"/>
      <c r="M72" s="507"/>
      <c r="N72" s="507"/>
      <c r="O72" s="507"/>
    </row>
    <row r="73" spans="3:15">
      <c r="C73" s="507"/>
      <c r="D73" s="507"/>
      <c r="E73" s="507"/>
      <c r="F73" s="507"/>
      <c r="G73" s="507"/>
      <c r="H73" s="507"/>
      <c r="I73" s="507"/>
      <c r="J73" s="507"/>
      <c r="K73" s="507"/>
      <c r="L73" s="507"/>
      <c r="M73" s="507"/>
      <c r="N73" s="507"/>
      <c r="O73" s="507"/>
    </row>
    <row r="74" spans="3:15">
      <c r="C74" s="507"/>
      <c r="D74" s="507"/>
      <c r="E74" s="507"/>
      <c r="F74" s="507"/>
      <c r="G74" s="507"/>
      <c r="H74" s="507"/>
      <c r="I74" s="507"/>
      <c r="J74" s="507"/>
      <c r="K74" s="507"/>
      <c r="L74" s="507"/>
      <c r="M74" s="507"/>
      <c r="N74" s="507"/>
      <c r="O74" s="507"/>
    </row>
    <row r="75" spans="3:15">
      <c r="C75" s="507"/>
      <c r="D75" s="507"/>
      <c r="E75" s="507"/>
      <c r="F75" s="507"/>
      <c r="G75" s="507"/>
      <c r="H75" s="507"/>
      <c r="I75" s="507"/>
      <c r="J75" s="507"/>
      <c r="K75" s="507"/>
      <c r="L75" s="507"/>
      <c r="M75" s="507"/>
      <c r="N75" s="507"/>
      <c r="O75" s="507"/>
    </row>
    <row r="76" spans="3:15">
      <c r="C76" s="507"/>
      <c r="D76" s="507"/>
      <c r="E76" s="507"/>
      <c r="F76" s="507"/>
      <c r="G76" s="507"/>
      <c r="H76" s="507"/>
      <c r="I76" s="507"/>
      <c r="J76" s="507"/>
      <c r="K76" s="507"/>
      <c r="L76" s="507"/>
      <c r="M76" s="507"/>
      <c r="N76" s="507"/>
      <c r="O76" s="507"/>
    </row>
    <row r="77" spans="3:15">
      <c r="C77" s="507"/>
      <c r="D77" s="507"/>
      <c r="E77" s="507"/>
      <c r="F77" s="507"/>
      <c r="G77" s="507"/>
      <c r="H77" s="507"/>
      <c r="I77" s="507"/>
      <c r="J77" s="507"/>
      <c r="K77" s="507"/>
      <c r="L77" s="507"/>
      <c r="M77" s="507"/>
      <c r="N77" s="507"/>
      <c r="O77" s="507"/>
    </row>
    <row r="78" spans="3:15">
      <c r="C78" s="507"/>
      <c r="D78" s="507"/>
      <c r="E78" s="507"/>
      <c r="F78" s="507"/>
      <c r="G78" s="507"/>
      <c r="H78" s="507"/>
      <c r="I78" s="507"/>
      <c r="J78" s="507"/>
      <c r="K78" s="507"/>
      <c r="L78" s="507"/>
      <c r="M78" s="507"/>
      <c r="N78" s="507"/>
      <c r="O78" s="507"/>
    </row>
    <row r="79" spans="3:15">
      <c r="C79" s="507"/>
      <c r="D79" s="507"/>
      <c r="E79" s="507"/>
      <c r="F79" s="507"/>
      <c r="G79" s="507"/>
      <c r="H79" s="507"/>
      <c r="I79" s="507"/>
      <c r="J79" s="507"/>
      <c r="K79" s="507"/>
      <c r="L79" s="507"/>
      <c r="M79" s="507"/>
      <c r="N79" s="507"/>
      <c r="O79" s="507"/>
    </row>
    <row r="80" spans="3:15">
      <c r="C80" s="507"/>
      <c r="D80" s="507"/>
      <c r="E80" s="507"/>
      <c r="F80" s="507"/>
      <c r="G80" s="507"/>
      <c r="H80" s="507"/>
      <c r="I80" s="507"/>
      <c r="J80" s="507"/>
      <c r="K80" s="507"/>
      <c r="L80" s="507"/>
      <c r="M80" s="507"/>
      <c r="N80" s="507"/>
      <c r="O80" s="507"/>
    </row>
    <row r="81" spans="3:15">
      <c r="C81" s="507"/>
      <c r="D81" s="507"/>
      <c r="E81" s="507"/>
      <c r="F81" s="507"/>
      <c r="G81" s="507"/>
      <c r="H81" s="507"/>
      <c r="I81" s="507"/>
      <c r="J81" s="507"/>
      <c r="K81" s="507"/>
      <c r="L81" s="507"/>
      <c r="M81" s="507"/>
      <c r="N81" s="507"/>
      <c r="O81" s="507"/>
    </row>
    <row r="82" spans="3:15">
      <c r="C82" s="507"/>
      <c r="D82" s="507"/>
      <c r="E82" s="507"/>
      <c r="F82" s="507"/>
      <c r="G82" s="507"/>
      <c r="H82" s="507"/>
      <c r="I82" s="507"/>
      <c r="J82" s="507"/>
      <c r="K82" s="507"/>
      <c r="L82" s="507"/>
      <c r="M82" s="507"/>
      <c r="N82" s="507"/>
      <c r="O82" s="507"/>
    </row>
    <row r="83" spans="3:15">
      <c r="C83" s="507"/>
      <c r="D83" s="507"/>
      <c r="E83" s="507"/>
      <c r="F83" s="507"/>
      <c r="G83" s="507"/>
      <c r="H83" s="507"/>
      <c r="I83" s="507"/>
      <c r="J83" s="507"/>
      <c r="K83" s="507"/>
      <c r="L83" s="507"/>
      <c r="M83" s="507"/>
      <c r="N83" s="507"/>
      <c r="O83" s="507"/>
    </row>
    <row r="84" spans="3:15">
      <c r="C84" s="507"/>
      <c r="D84" s="507"/>
      <c r="E84" s="507"/>
      <c r="F84" s="507"/>
      <c r="G84" s="507"/>
      <c r="H84" s="507"/>
      <c r="I84" s="507"/>
      <c r="J84" s="507"/>
      <c r="K84" s="507"/>
      <c r="L84" s="507"/>
      <c r="M84" s="507"/>
      <c r="N84" s="507"/>
      <c r="O84" s="507"/>
    </row>
    <row r="85" spans="3:15">
      <c r="C85" s="507"/>
      <c r="D85" s="507"/>
      <c r="E85" s="507"/>
      <c r="F85" s="507"/>
      <c r="G85" s="507"/>
      <c r="H85" s="507"/>
      <c r="I85" s="507"/>
      <c r="J85" s="507"/>
      <c r="K85" s="507"/>
      <c r="L85" s="507"/>
      <c r="M85" s="507"/>
      <c r="N85" s="507"/>
      <c r="O85" s="507"/>
    </row>
    <row r="86" spans="3:15">
      <c r="C86" s="507"/>
      <c r="D86" s="507"/>
      <c r="E86" s="507"/>
      <c r="F86" s="507"/>
      <c r="G86" s="507"/>
      <c r="H86" s="507"/>
      <c r="I86" s="507"/>
      <c r="J86" s="507"/>
      <c r="K86" s="507"/>
      <c r="L86" s="507"/>
      <c r="M86" s="507"/>
      <c r="N86" s="507"/>
      <c r="O86" s="507"/>
    </row>
    <row r="87" spans="3:15">
      <c r="C87" s="507"/>
      <c r="D87" s="507"/>
      <c r="E87" s="507"/>
      <c r="F87" s="507"/>
      <c r="G87" s="507"/>
      <c r="H87" s="507"/>
      <c r="I87" s="507"/>
      <c r="J87" s="507"/>
      <c r="K87" s="507"/>
      <c r="L87" s="507"/>
      <c r="M87" s="507"/>
      <c r="N87" s="507"/>
      <c r="O87" s="507"/>
    </row>
    <row r="88" spans="3:15">
      <c r="C88" s="507"/>
      <c r="D88" s="507"/>
      <c r="E88" s="507"/>
      <c r="F88" s="507"/>
      <c r="G88" s="507"/>
      <c r="H88" s="507"/>
      <c r="I88" s="507"/>
      <c r="J88" s="507"/>
      <c r="K88" s="507"/>
      <c r="L88" s="507"/>
      <c r="M88" s="507"/>
      <c r="N88" s="507"/>
      <c r="O88" s="507"/>
    </row>
    <row r="89" spans="3:15">
      <c r="C89" s="507"/>
      <c r="D89" s="507"/>
      <c r="E89" s="507"/>
      <c r="F89" s="507"/>
      <c r="G89" s="507"/>
      <c r="H89" s="507"/>
      <c r="I89" s="507"/>
      <c r="J89" s="507"/>
      <c r="K89" s="507"/>
      <c r="L89" s="507"/>
      <c r="M89" s="507"/>
      <c r="N89" s="507"/>
      <c r="O89" s="507"/>
    </row>
    <row r="90" spans="3:15">
      <c r="C90" s="507"/>
      <c r="D90" s="507"/>
      <c r="E90" s="507"/>
      <c r="F90" s="507"/>
      <c r="G90" s="507"/>
      <c r="H90" s="507"/>
      <c r="I90" s="507"/>
      <c r="J90" s="507"/>
      <c r="K90" s="507"/>
      <c r="L90" s="507"/>
      <c r="M90" s="507"/>
      <c r="N90" s="507"/>
      <c r="O90" s="507"/>
    </row>
    <row r="91" spans="3:15">
      <c r="C91" s="507"/>
      <c r="D91" s="507"/>
      <c r="E91" s="507"/>
      <c r="F91" s="507"/>
      <c r="G91" s="507"/>
      <c r="H91" s="507"/>
      <c r="I91" s="507"/>
      <c r="J91" s="507"/>
      <c r="K91" s="507"/>
      <c r="L91" s="507"/>
      <c r="M91" s="507"/>
      <c r="N91" s="507"/>
      <c r="O91" s="507"/>
    </row>
    <row r="92" spans="3:15">
      <c r="C92" s="507"/>
      <c r="D92" s="507"/>
      <c r="E92" s="507"/>
      <c r="F92" s="507"/>
      <c r="G92" s="507"/>
      <c r="H92" s="507"/>
      <c r="I92" s="507"/>
      <c r="J92" s="507"/>
      <c r="K92" s="507"/>
      <c r="L92" s="507"/>
      <c r="M92" s="507"/>
      <c r="N92" s="507"/>
      <c r="O92" s="507"/>
    </row>
    <row r="93" spans="3:15">
      <c r="C93" s="507"/>
      <c r="D93" s="507"/>
      <c r="E93" s="507"/>
      <c r="F93" s="507"/>
      <c r="G93" s="507"/>
      <c r="H93" s="507"/>
      <c r="I93" s="507"/>
      <c r="J93" s="507"/>
      <c r="K93" s="507"/>
      <c r="L93" s="507"/>
      <c r="M93" s="507"/>
      <c r="N93" s="507"/>
      <c r="O93" s="507"/>
    </row>
    <row r="94" spans="3:15">
      <c r="C94" s="507"/>
      <c r="D94" s="507"/>
      <c r="E94" s="507"/>
      <c r="F94" s="507"/>
      <c r="G94" s="507"/>
      <c r="H94" s="507"/>
      <c r="I94" s="507"/>
      <c r="J94" s="507"/>
      <c r="K94" s="507"/>
      <c r="L94" s="507"/>
      <c r="M94" s="507"/>
      <c r="N94" s="507"/>
      <c r="O94" s="507"/>
    </row>
    <row r="95" spans="3:15">
      <c r="C95" s="507"/>
      <c r="D95" s="507"/>
      <c r="E95" s="507"/>
      <c r="F95" s="507"/>
      <c r="G95" s="507"/>
      <c r="H95" s="507"/>
      <c r="I95" s="507"/>
      <c r="J95" s="507"/>
      <c r="K95" s="507"/>
      <c r="L95" s="507"/>
      <c r="M95" s="507"/>
      <c r="N95" s="507"/>
      <c r="O95" s="507"/>
    </row>
    <row r="96" spans="3:15">
      <c r="C96" s="507"/>
      <c r="D96" s="507"/>
      <c r="E96" s="507"/>
      <c r="F96" s="507"/>
      <c r="G96" s="507"/>
      <c r="H96" s="507"/>
      <c r="I96" s="507"/>
      <c r="J96" s="507"/>
      <c r="K96" s="507"/>
      <c r="L96" s="507"/>
      <c r="M96" s="507"/>
      <c r="N96" s="507"/>
      <c r="O96" s="507"/>
    </row>
    <row r="97" spans="3:15">
      <c r="C97" s="507"/>
      <c r="D97" s="507"/>
      <c r="E97" s="507"/>
      <c r="F97" s="507"/>
      <c r="G97" s="507"/>
      <c r="H97" s="507"/>
      <c r="I97" s="507"/>
      <c r="J97" s="507"/>
      <c r="K97" s="507"/>
      <c r="L97" s="507"/>
      <c r="M97" s="507"/>
      <c r="N97" s="507"/>
      <c r="O97" s="507"/>
    </row>
    <row r="98" spans="3:15">
      <c r="C98" s="507"/>
      <c r="D98" s="507"/>
      <c r="E98" s="507"/>
      <c r="F98" s="507"/>
      <c r="G98" s="507"/>
      <c r="H98" s="507"/>
      <c r="I98" s="507"/>
      <c r="J98" s="507"/>
      <c r="K98" s="507"/>
      <c r="L98" s="507"/>
      <c r="M98" s="507"/>
      <c r="N98" s="507"/>
      <c r="O98" s="507"/>
    </row>
    <row r="99" spans="3:15">
      <c r="C99" s="507"/>
      <c r="D99" s="507"/>
      <c r="E99" s="507"/>
      <c r="F99" s="507"/>
      <c r="G99" s="507"/>
      <c r="H99" s="507"/>
      <c r="I99" s="507"/>
      <c r="J99" s="507"/>
      <c r="K99" s="507"/>
      <c r="L99" s="507"/>
      <c r="M99" s="507"/>
      <c r="N99" s="507"/>
      <c r="O99" s="507"/>
    </row>
    <row r="100" spans="3:15">
      <c r="C100" s="507"/>
      <c r="D100" s="507"/>
      <c r="E100" s="507"/>
      <c r="F100" s="507"/>
      <c r="G100" s="507"/>
      <c r="H100" s="507"/>
      <c r="I100" s="507"/>
      <c r="J100" s="507"/>
      <c r="K100" s="507"/>
      <c r="L100" s="507"/>
      <c r="M100" s="507"/>
      <c r="N100" s="507"/>
      <c r="O100" s="507"/>
    </row>
    <row r="101" spans="3:15">
      <c r="C101" s="507"/>
      <c r="D101" s="507"/>
      <c r="E101" s="507"/>
      <c r="F101" s="507"/>
      <c r="G101" s="507"/>
      <c r="H101" s="507"/>
      <c r="I101" s="507"/>
      <c r="J101" s="507"/>
      <c r="K101" s="507"/>
      <c r="L101" s="507"/>
      <c r="M101" s="507"/>
      <c r="N101" s="507"/>
      <c r="O101" s="507"/>
    </row>
    <row r="102" spans="3:15">
      <c r="C102" s="507"/>
      <c r="D102" s="507"/>
      <c r="E102" s="507"/>
      <c r="F102" s="507"/>
      <c r="G102" s="507"/>
      <c r="H102" s="507"/>
      <c r="I102" s="507"/>
      <c r="J102" s="507"/>
      <c r="K102" s="507"/>
      <c r="L102" s="507"/>
      <c r="M102" s="507"/>
      <c r="N102" s="507"/>
      <c r="O102" s="507"/>
    </row>
    <row r="103" spans="3:15">
      <c r="C103" s="507"/>
      <c r="D103" s="507"/>
      <c r="E103" s="507"/>
      <c r="F103" s="507"/>
      <c r="G103" s="507"/>
      <c r="H103" s="507"/>
      <c r="I103" s="507"/>
      <c r="J103" s="507"/>
      <c r="K103" s="507"/>
      <c r="L103" s="507"/>
      <c r="M103" s="507"/>
      <c r="N103" s="507"/>
      <c r="O103" s="507"/>
    </row>
    <row r="104" spans="3:15">
      <c r="C104" s="507"/>
      <c r="D104" s="507"/>
      <c r="E104" s="507"/>
      <c r="F104" s="507"/>
      <c r="G104" s="507"/>
      <c r="H104" s="507"/>
      <c r="I104" s="507"/>
      <c r="J104" s="507"/>
      <c r="K104" s="507"/>
      <c r="L104" s="507"/>
      <c r="M104" s="507"/>
      <c r="N104" s="507"/>
      <c r="O104" s="507"/>
    </row>
    <row r="105" spans="3:15">
      <c r="C105" s="507"/>
      <c r="D105" s="507"/>
      <c r="E105" s="507"/>
      <c r="F105" s="507"/>
      <c r="G105" s="507"/>
      <c r="H105" s="507"/>
      <c r="I105" s="507"/>
      <c r="J105" s="507"/>
      <c r="K105" s="507"/>
      <c r="L105" s="507"/>
      <c r="M105" s="507"/>
      <c r="N105" s="507"/>
      <c r="O105" s="507"/>
    </row>
    <row r="106" spans="3:15">
      <c r="C106" s="507"/>
      <c r="D106" s="507"/>
      <c r="E106" s="507"/>
      <c r="F106" s="507"/>
      <c r="G106" s="507"/>
      <c r="H106" s="507"/>
      <c r="I106" s="507"/>
      <c r="J106" s="507"/>
      <c r="K106" s="507"/>
      <c r="L106" s="507"/>
      <c r="M106" s="507"/>
      <c r="N106" s="507"/>
      <c r="O106" s="507"/>
    </row>
    <row r="107" spans="3:15">
      <c r="C107" s="507"/>
      <c r="D107" s="507"/>
      <c r="E107" s="507"/>
      <c r="F107" s="507"/>
      <c r="G107" s="507"/>
      <c r="H107" s="507"/>
      <c r="I107" s="507"/>
      <c r="J107" s="507"/>
      <c r="K107" s="507"/>
      <c r="L107" s="507"/>
      <c r="M107" s="507"/>
      <c r="N107" s="507"/>
      <c r="O107" s="507"/>
    </row>
    <row r="108" spans="3:15">
      <c r="C108" s="507"/>
      <c r="D108" s="507"/>
      <c r="E108" s="507"/>
      <c r="F108" s="507"/>
      <c r="G108" s="507"/>
      <c r="H108" s="507"/>
      <c r="I108" s="507"/>
      <c r="J108" s="507"/>
      <c r="K108" s="507"/>
      <c r="L108" s="507"/>
      <c r="M108" s="507"/>
      <c r="N108" s="507"/>
      <c r="O108" s="507"/>
    </row>
    <row r="109" spans="3:15">
      <c r="C109" s="507"/>
      <c r="D109" s="507"/>
      <c r="E109" s="507"/>
      <c r="F109" s="507"/>
      <c r="G109" s="507"/>
      <c r="H109" s="507"/>
      <c r="I109" s="507"/>
      <c r="J109" s="507"/>
      <c r="K109" s="507"/>
      <c r="L109" s="507"/>
      <c r="M109" s="507"/>
      <c r="N109" s="507"/>
      <c r="O109" s="507"/>
    </row>
    <row r="110" spans="3:15">
      <c r="C110" s="507"/>
      <c r="D110" s="507"/>
      <c r="E110" s="507"/>
      <c r="F110" s="507"/>
      <c r="G110" s="507"/>
      <c r="H110" s="507"/>
      <c r="I110" s="507"/>
      <c r="J110" s="507"/>
      <c r="K110" s="507"/>
      <c r="L110" s="507"/>
      <c r="M110" s="507"/>
      <c r="N110" s="507"/>
      <c r="O110" s="507"/>
    </row>
    <row r="111" spans="3:15">
      <c r="C111" s="507"/>
      <c r="D111" s="507"/>
      <c r="E111" s="507"/>
      <c r="F111" s="507"/>
      <c r="G111" s="507"/>
      <c r="H111" s="507"/>
      <c r="I111" s="507"/>
      <c r="J111" s="507"/>
      <c r="K111" s="507"/>
      <c r="L111" s="507"/>
      <c r="M111" s="507"/>
      <c r="N111" s="507"/>
      <c r="O111" s="507"/>
    </row>
    <row r="112" spans="3:15">
      <c r="C112" s="507"/>
      <c r="D112" s="507"/>
      <c r="E112" s="507"/>
      <c r="F112" s="507"/>
      <c r="G112" s="507"/>
      <c r="H112" s="507"/>
      <c r="I112" s="507"/>
      <c r="J112" s="507"/>
      <c r="K112" s="507"/>
      <c r="L112" s="507"/>
      <c r="M112" s="507"/>
      <c r="N112" s="507"/>
      <c r="O112" s="507"/>
    </row>
    <row r="113" spans="3:15">
      <c r="C113" s="507"/>
      <c r="D113" s="507"/>
      <c r="E113" s="507"/>
      <c r="F113" s="507"/>
      <c r="G113" s="507"/>
      <c r="H113" s="507"/>
      <c r="I113" s="507"/>
      <c r="J113" s="507"/>
      <c r="K113" s="507"/>
      <c r="L113" s="507"/>
      <c r="M113" s="507"/>
      <c r="N113" s="507"/>
      <c r="O113" s="507"/>
    </row>
    <row r="114" spans="3:15">
      <c r="C114" s="507"/>
      <c r="D114" s="507"/>
      <c r="E114" s="507"/>
      <c r="F114" s="507"/>
      <c r="G114" s="507"/>
      <c r="H114" s="507"/>
      <c r="I114" s="507"/>
      <c r="J114" s="507"/>
      <c r="K114" s="507"/>
      <c r="L114" s="507"/>
      <c r="M114" s="507"/>
      <c r="N114" s="507"/>
      <c r="O114" s="507"/>
    </row>
    <row r="115" spans="3:15">
      <c r="C115" s="507"/>
      <c r="D115" s="507"/>
      <c r="E115" s="507"/>
      <c r="F115" s="507"/>
      <c r="G115" s="507"/>
      <c r="H115" s="507"/>
      <c r="I115" s="507"/>
      <c r="J115" s="507"/>
      <c r="K115" s="507"/>
      <c r="L115" s="507"/>
      <c r="M115" s="507"/>
      <c r="N115" s="507"/>
      <c r="O115" s="507"/>
    </row>
    <row r="116" spans="3:15">
      <c r="C116" s="507"/>
      <c r="D116" s="507"/>
      <c r="E116" s="507"/>
      <c r="F116" s="507"/>
      <c r="G116" s="507"/>
      <c r="H116" s="507"/>
      <c r="I116" s="507"/>
      <c r="J116" s="507"/>
      <c r="K116" s="507"/>
      <c r="L116" s="507"/>
      <c r="M116" s="507"/>
      <c r="N116" s="507"/>
      <c r="O116" s="507"/>
    </row>
    <row r="117" spans="3:15">
      <c r="C117" s="507"/>
      <c r="D117" s="507"/>
      <c r="E117" s="507"/>
      <c r="F117" s="507"/>
      <c r="G117" s="507"/>
      <c r="H117" s="507"/>
      <c r="I117" s="507"/>
      <c r="J117" s="507"/>
      <c r="K117" s="507"/>
      <c r="L117" s="507"/>
      <c r="M117" s="507"/>
      <c r="N117" s="507"/>
      <c r="O117" s="507"/>
    </row>
    <row r="118" spans="3:15">
      <c r="C118" s="507"/>
      <c r="D118" s="507"/>
      <c r="E118" s="507"/>
      <c r="F118" s="507"/>
      <c r="G118" s="507"/>
      <c r="H118" s="507"/>
      <c r="I118" s="507"/>
      <c r="J118" s="507"/>
      <c r="K118" s="507"/>
      <c r="L118" s="507"/>
      <c r="M118" s="507"/>
      <c r="N118" s="507"/>
      <c r="O118" s="507"/>
    </row>
    <row r="119" spans="3:15">
      <c r="C119" s="507"/>
      <c r="D119" s="507"/>
      <c r="E119" s="507"/>
      <c r="F119" s="507"/>
      <c r="G119" s="507"/>
      <c r="H119" s="507"/>
      <c r="I119" s="507"/>
      <c r="J119" s="507"/>
      <c r="K119" s="507"/>
      <c r="L119" s="507"/>
      <c r="M119" s="507"/>
      <c r="N119" s="507"/>
      <c r="O119" s="507"/>
    </row>
    <row r="120" spans="3:15">
      <c r="C120" s="507"/>
      <c r="D120" s="507"/>
      <c r="E120" s="507"/>
      <c r="F120" s="507"/>
      <c r="G120" s="507"/>
      <c r="H120" s="507"/>
      <c r="I120" s="507"/>
      <c r="J120" s="507"/>
      <c r="K120" s="507"/>
      <c r="L120" s="507"/>
      <c r="M120" s="507"/>
      <c r="N120" s="507"/>
      <c r="O120" s="507"/>
    </row>
    <row r="121" spans="3:15">
      <c r="C121" s="507"/>
      <c r="D121" s="507"/>
      <c r="E121" s="507"/>
      <c r="F121" s="507"/>
      <c r="G121" s="507"/>
      <c r="H121" s="507"/>
      <c r="I121" s="507"/>
      <c r="J121" s="507"/>
      <c r="K121" s="507"/>
      <c r="L121" s="507"/>
      <c r="M121" s="507"/>
      <c r="N121" s="507"/>
      <c r="O121" s="507"/>
    </row>
    <row r="122" spans="3:15">
      <c r="C122" s="507"/>
      <c r="D122" s="507"/>
      <c r="E122" s="507"/>
      <c r="F122" s="507"/>
      <c r="G122" s="507"/>
      <c r="H122" s="507"/>
      <c r="I122" s="507"/>
      <c r="J122" s="507"/>
      <c r="K122" s="507"/>
      <c r="L122" s="507"/>
      <c r="M122" s="507"/>
      <c r="N122" s="507"/>
      <c r="O122" s="507"/>
    </row>
    <row r="123" spans="3:15">
      <c r="C123" s="507"/>
      <c r="D123" s="507"/>
      <c r="E123" s="507"/>
      <c r="F123" s="507"/>
      <c r="G123" s="507"/>
      <c r="H123" s="507"/>
      <c r="I123" s="507"/>
      <c r="J123" s="507"/>
      <c r="K123" s="507"/>
      <c r="L123" s="507"/>
      <c r="M123" s="507"/>
      <c r="N123" s="507"/>
      <c r="O123" s="507"/>
    </row>
    <row r="124" spans="3:15">
      <c r="C124" s="507"/>
      <c r="D124" s="507"/>
      <c r="E124" s="507"/>
      <c r="F124" s="507"/>
      <c r="G124" s="507"/>
      <c r="H124" s="507"/>
      <c r="I124" s="507"/>
      <c r="J124" s="507"/>
      <c r="K124" s="507"/>
      <c r="L124" s="507"/>
      <c r="M124" s="507"/>
      <c r="N124" s="507"/>
      <c r="O124" s="507"/>
    </row>
    <row r="125" spans="3:15">
      <c r="C125" s="507"/>
      <c r="D125" s="507"/>
      <c r="E125" s="507"/>
      <c r="F125" s="507"/>
      <c r="G125" s="507"/>
      <c r="H125" s="507"/>
      <c r="I125" s="507"/>
      <c r="J125" s="507"/>
      <c r="K125" s="507"/>
      <c r="L125" s="507"/>
      <c r="M125" s="507"/>
      <c r="N125" s="507"/>
      <c r="O125" s="507"/>
    </row>
    <row r="126" spans="3:15">
      <c r="C126" s="507"/>
      <c r="D126" s="507"/>
      <c r="E126" s="507"/>
      <c r="F126" s="507"/>
      <c r="G126" s="507"/>
      <c r="H126" s="507"/>
      <c r="I126" s="507"/>
      <c r="J126" s="507"/>
      <c r="K126" s="507"/>
      <c r="L126" s="507"/>
      <c r="M126" s="507"/>
      <c r="N126" s="507"/>
      <c r="O126" s="507"/>
    </row>
    <row r="127" spans="3:15">
      <c r="C127" s="507"/>
      <c r="D127" s="507"/>
      <c r="E127" s="507"/>
      <c r="F127" s="507"/>
      <c r="G127" s="507"/>
      <c r="H127" s="507"/>
      <c r="I127" s="507"/>
      <c r="J127" s="507"/>
      <c r="K127" s="507"/>
      <c r="L127" s="507"/>
      <c r="M127" s="507"/>
      <c r="N127" s="507"/>
      <c r="O127" s="507"/>
    </row>
    <row r="128" spans="3:15">
      <c r="C128" s="507"/>
      <c r="D128" s="507"/>
      <c r="E128" s="507"/>
      <c r="F128" s="507"/>
      <c r="G128" s="507"/>
      <c r="H128" s="507"/>
      <c r="I128" s="507"/>
      <c r="J128" s="507"/>
      <c r="K128" s="507"/>
      <c r="L128" s="507"/>
      <c r="M128" s="507"/>
      <c r="N128" s="507"/>
      <c r="O128" s="507"/>
    </row>
    <row r="129" spans="3:15">
      <c r="C129" s="507"/>
      <c r="D129" s="507"/>
      <c r="E129" s="507"/>
      <c r="F129" s="507"/>
      <c r="G129" s="507"/>
      <c r="H129" s="507"/>
      <c r="I129" s="507"/>
      <c r="J129" s="507"/>
      <c r="K129" s="507"/>
      <c r="L129" s="507"/>
      <c r="M129" s="507"/>
      <c r="N129" s="507"/>
      <c r="O129" s="507"/>
    </row>
    <row r="130" spans="3:15">
      <c r="C130" s="507"/>
      <c r="D130" s="507"/>
      <c r="E130" s="507"/>
      <c r="F130" s="507"/>
      <c r="G130" s="507"/>
      <c r="H130" s="507"/>
      <c r="I130" s="507"/>
      <c r="J130" s="507"/>
      <c r="K130" s="507"/>
      <c r="L130" s="507"/>
      <c r="M130" s="507"/>
      <c r="N130" s="507"/>
      <c r="O130" s="507"/>
    </row>
    <row r="131" spans="3:15">
      <c r="C131" s="507"/>
      <c r="D131" s="507"/>
      <c r="E131" s="507"/>
      <c r="F131" s="507"/>
      <c r="G131" s="507"/>
      <c r="H131" s="507"/>
      <c r="I131" s="507"/>
      <c r="J131" s="507"/>
      <c r="K131" s="507"/>
      <c r="L131" s="507"/>
      <c r="M131" s="507"/>
      <c r="N131" s="507"/>
      <c r="O131" s="507"/>
    </row>
  </sheetData>
  <mergeCells count="6">
    <mergeCell ref="I7:J7"/>
    <mergeCell ref="B2:L2"/>
    <mergeCell ref="I5:J5"/>
    <mergeCell ref="I6:J6"/>
    <mergeCell ref="B1:L1"/>
    <mergeCell ref="B3:L3"/>
  </mergeCells>
  <printOptions horizontalCentered="1"/>
  <pageMargins left="0.75" right="0.75" top="1" bottom="1" header="0.5" footer="0.5"/>
  <pageSetup scale="86" orientation="landscape" r:id="rId1"/>
  <headerFooter alignWithMargins="0"/>
  <ignoredErrors>
    <ignoredError sqref="G5 H6 F6" numberStoredAsText="1"/>
    <ignoredError sqref="J31:J3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58"/>
  <sheetViews>
    <sheetView showGridLines="0" zoomScaleNormal="100" workbookViewId="0">
      <pane xSplit="2" topLeftCell="K1" activePane="topRight" state="frozen"/>
      <selection pane="topRight" activeCell="AC24" sqref="AC24"/>
    </sheetView>
  </sheetViews>
  <sheetFormatPr defaultRowHeight="12.75" outlineLevelCol="3"/>
  <cols>
    <col min="1" max="1" width="2.85546875" style="804" customWidth="1"/>
    <col min="2" max="2" width="19.7109375" style="804" bestFit="1" customWidth="1"/>
    <col min="3" max="3" width="10.7109375" style="804" customWidth="1"/>
    <col min="4" max="4" width="12.7109375" style="804" customWidth="1"/>
    <col min="5" max="5" width="12.5703125" style="804" customWidth="1" outlineLevel="1"/>
    <col min="6" max="6" width="8.42578125" style="804" customWidth="1" outlineLevel="3"/>
    <col min="7" max="7" width="9.85546875" style="804" customWidth="1" outlineLevel="3"/>
    <col min="8" max="8" width="11.140625" style="804" customWidth="1" outlineLevel="2"/>
    <col min="9" max="9" width="12" style="804" customWidth="1" outlineLevel="3"/>
    <col min="10" max="10" width="9.7109375" style="804" customWidth="1" outlineLevel="3"/>
    <col min="11" max="11" width="12.5703125" style="804" customWidth="1" outlineLevel="3"/>
    <col min="12" max="12" width="9" style="804" customWidth="1" outlineLevel="2"/>
    <col min="13" max="13" width="11.85546875" style="804" customWidth="1" outlineLevel="2"/>
    <col min="14" max="14" width="9.7109375" style="804" customWidth="1" outlineLevel="1"/>
    <col min="15" max="15" width="11.85546875" style="804" customWidth="1" outlineLevel="1"/>
    <col min="16" max="16" width="9" style="804" customWidth="1" outlineLevel="3"/>
    <col min="17" max="17" width="11.28515625" style="804" customWidth="1" outlineLevel="3"/>
    <col min="18" max="18" width="9.140625" style="804" customWidth="1" outlineLevel="3"/>
    <col min="19" max="19" width="11" style="804" customWidth="1" outlineLevel="3"/>
    <col min="20" max="20" width="14.140625" style="804" customWidth="1" outlineLevel="2"/>
    <col min="21" max="21" width="15.7109375" style="804" customWidth="1"/>
    <col min="22" max="22" width="11.140625" style="804" customWidth="1"/>
    <col min="23" max="23" width="10.42578125" style="804" customWidth="1" outlineLevel="1"/>
    <col min="24" max="24" width="10.85546875" style="804" customWidth="1" outlineLevel="1"/>
    <col min="25" max="25" width="11.140625" style="804" customWidth="1" outlineLevel="1"/>
    <col min="26" max="26" width="11.7109375" style="804" customWidth="1"/>
    <col min="27" max="27" width="12.42578125" style="804" customWidth="1"/>
    <col min="28" max="28" width="13.7109375" style="804" customWidth="1"/>
    <col min="29" max="29" width="9.42578125" style="804" bestFit="1" customWidth="1"/>
    <col min="30" max="30" width="10.7109375" style="804" customWidth="1"/>
    <col min="31" max="16384" width="9.140625" style="804"/>
  </cols>
  <sheetData>
    <row r="1" spans="2:29" ht="15.75">
      <c r="B1" s="803" t="s">
        <v>635</v>
      </c>
    </row>
    <row r="2" spans="2:29" ht="15.75">
      <c r="B2" s="803" t="s">
        <v>242</v>
      </c>
    </row>
    <row r="3" spans="2:29">
      <c r="B3" s="805" t="s">
        <v>658</v>
      </c>
    </row>
    <row r="4" spans="2:29">
      <c r="B4" s="805"/>
    </row>
    <row r="5" spans="2:29">
      <c r="B5" s="805"/>
    </row>
    <row r="6" spans="2:29" ht="15.75">
      <c r="B6" s="806" t="s">
        <v>659</v>
      </c>
      <c r="C6" s="807"/>
      <c r="D6" s="807"/>
      <c r="E6" s="807"/>
    </row>
    <row r="7" spans="2:29" ht="6.75" customHeight="1">
      <c r="B7" s="808"/>
      <c r="C7" s="807"/>
      <c r="D7" s="807"/>
      <c r="E7" s="807"/>
    </row>
    <row r="8" spans="2:29" ht="51">
      <c r="B8" s="809" t="s">
        <v>636</v>
      </c>
      <c r="C8" s="810" t="s">
        <v>559</v>
      </c>
      <c r="D8" s="810" t="s">
        <v>660</v>
      </c>
      <c r="E8" s="811" t="s">
        <v>661</v>
      </c>
      <c r="F8" s="810" t="s">
        <v>662</v>
      </c>
      <c r="G8" s="810" t="s">
        <v>663</v>
      </c>
      <c r="H8" s="811" t="s">
        <v>664</v>
      </c>
      <c r="I8" s="810" t="s">
        <v>665</v>
      </c>
      <c r="J8" s="812" t="s">
        <v>666</v>
      </c>
      <c r="K8" s="811" t="s">
        <v>667</v>
      </c>
      <c r="L8" s="810" t="s">
        <v>668</v>
      </c>
      <c r="M8" s="810" t="s">
        <v>669</v>
      </c>
      <c r="N8" s="811" t="s">
        <v>670</v>
      </c>
      <c r="O8" s="811" t="s">
        <v>9</v>
      </c>
      <c r="P8" s="810" t="s">
        <v>671</v>
      </c>
      <c r="Q8" s="810" t="s">
        <v>672</v>
      </c>
      <c r="R8" s="810" t="s">
        <v>673</v>
      </c>
      <c r="S8" s="812" t="s">
        <v>674</v>
      </c>
      <c r="T8" s="809" t="s">
        <v>675</v>
      </c>
      <c r="U8" s="811" t="s">
        <v>676</v>
      </c>
      <c r="V8" s="811" t="s">
        <v>677</v>
      </c>
      <c r="W8" s="812" t="s">
        <v>654</v>
      </c>
      <c r="X8" s="812" t="s">
        <v>655</v>
      </c>
      <c r="Y8" s="812" t="s">
        <v>656</v>
      </c>
      <c r="Z8" s="811" t="s">
        <v>678</v>
      </c>
      <c r="AA8" s="811" t="s">
        <v>679</v>
      </c>
      <c r="AB8" s="813" t="s">
        <v>680</v>
      </c>
      <c r="AC8" s="814" t="s">
        <v>681</v>
      </c>
    </row>
    <row r="9" spans="2:29">
      <c r="B9" s="815" t="s">
        <v>682</v>
      </c>
      <c r="C9" s="816">
        <f>[2]Targets!C9</f>
        <v>1245.2</v>
      </c>
      <c r="D9" s="817">
        <v>10.869490000000001</v>
      </c>
      <c r="E9" s="818">
        <f>SUM(C9:D9)</f>
        <v>1256.0694900000001</v>
      </c>
      <c r="F9" s="816"/>
      <c r="G9" s="816"/>
      <c r="H9" s="818">
        <f>SUM(F9:G9)</f>
        <v>0</v>
      </c>
      <c r="I9" s="816"/>
      <c r="J9" s="816"/>
      <c r="K9" s="818">
        <f>SUM(I9:J9)</f>
        <v>0</v>
      </c>
      <c r="L9" s="816"/>
      <c r="M9" s="816"/>
      <c r="N9" s="818">
        <f>H9+K9+L9+M9</f>
        <v>0</v>
      </c>
      <c r="O9" s="818">
        <f>E9+N9</f>
        <v>1256.0694900000001</v>
      </c>
      <c r="P9" s="816"/>
      <c r="Q9" s="816">
        <v>-5.1389399999999998</v>
      </c>
      <c r="R9" s="816"/>
      <c r="S9" s="816"/>
      <c r="T9" s="818">
        <f>SUM(P9:S9)</f>
        <v>-5.1389399999999998</v>
      </c>
      <c r="U9" s="818">
        <f>O9+T9</f>
        <v>1250.93055</v>
      </c>
      <c r="V9" s="819">
        <f>(U9-C9)/C9</f>
        <v>4.6021121105043316E-3</v>
      </c>
      <c r="W9" s="816">
        <f>-4.44162-22.62014</f>
        <v>-27.06176</v>
      </c>
      <c r="X9" s="816">
        <v>0</v>
      </c>
      <c r="Y9" s="820">
        <f>-22.18006-55.92736</f>
        <v>-78.107420000000005</v>
      </c>
      <c r="Z9" s="818">
        <f>SUM(W9:Y9)</f>
        <v>-105.16918000000001</v>
      </c>
      <c r="AA9" s="818">
        <f>U9+Z9</f>
        <v>1145.7613699999999</v>
      </c>
      <c r="AB9" s="821">
        <f>(AA9-$C$9)/$C$9</f>
        <v>-7.9857557018952863E-2</v>
      </c>
      <c r="AC9" s="822">
        <v>-0.8</v>
      </c>
    </row>
    <row r="10" spans="2:29">
      <c r="B10" s="815" t="s">
        <v>683</v>
      </c>
      <c r="C10" s="816">
        <f>[2]Targets!C10</f>
        <v>416.4</v>
      </c>
      <c r="D10" s="822">
        <v>-41.275199999999998</v>
      </c>
      <c r="E10" s="818">
        <f t="shared" ref="E10:E18" si="0">SUM(C10:D10)</f>
        <v>375.12479999999999</v>
      </c>
      <c r="F10" s="816">
        <v>0.1</v>
      </c>
      <c r="G10" s="816"/>
      <c r="H10" s="818">
        <f t="shared" ref="H10:H18" si="1">SUM(F10:G10)</f>
        <v>0.1</v>
      </c>
      <c r="I10" s="816">
        <v>2.6</v>
      </c>
      <c r="J10" s="816"/>
      <c r="K10" s="818">
        <f t="shared" ref="K10:K18" si="2">SUM(I10:J10)</f>
        <v>2.6</v>
      </c>
      <c r="L10" s="816">
        <v>6.3</v>
      </c>
      <c r="M10" s="816">
        <v>0.3</v>
      </c>
      <c r="N10" s="818">
        <f t="shared" ref="N10:N18" si="3">H10+K10+L10+M10</f>
        <v>9.3000000000000007</v>
      </c>
      <c r="O10" s="818">
        <f t="shared" ref="O10:O18" si="4">E10+N10</f>
        <v>384.4248</v>
      </c>
      <c r="P10" s="816">
        <v>0.5</v>
      </c>
      <c r="Q10" s="816"/>
      <c r="R10" s="816"/>
      <c r="S10" s="816"/>
      <c r="T10" s="818">
        <f t="shared" ref="T10:T18" si="5">SUM(P10:S10)</f>
        <v>0.5</v>
      </c>
      <c r="U10" s="818">
        <f t="shared" ref="U10:U18" si="6">O10+T10</f>
        <v>384.9248</v>
      </c>
      <c r="V10" s="819">
        <f t="shared" ref="V10:V18" si="7">(U10-C10)/C10</f>
        <v>-7.5588856868395712E-2</v>
      </c>
      <c r="W10" s="816">
        <v>-2.5000000000000004</v>
      </c>
      <c r="X10" s="816">
        <v>0</v>
      </c>
      <c r="Y10" s="816">
        <v>-45.9</v>
      </c>
      <c r="Z10" s="818">
        <f t="shared" ref="Z10:Z18" si="8">SUM(W10:Y10)</f>
        <v>-48.4</v>
      </c>
      <c r="AA10" s="818">
        <f t="shared" ref="AA10:AA18" si="9">U10+Z10</f>
        <v>336.52480000000003</v>
      </c>
      <c r="AB10" s="821">
        <f>(AA10-$C$10)/$C$10</f>
        <v>-0.19182324687800181</v>
      </c>
      <c r="AC10" s="822">
        <v>-0.5</v>
      </c>
    </row>
    <row r="11" spans="2:29">
      <c r="B11" s="815" t="s">
        <v>644</v>
      </c>
      <c r="C11" s="816">
        <f>[2]Targets!C11</f>
        <v>678.9</v>
      </c>
      <c r="D11" s="822">
        <v>6.7422399999999998</v>
      </c>
      <c r="E11" s="818">
        <f t="shared" si="0"/>
        <v>685.64224000000002</v>
      </c>
      <c r="F11" s="816">
        <v>1.6</v>
      </c>
      <c r="G11" s="816"/>
      <c r="H11" s="818">
        <f t="shared" si="1"/>
        <v>1.6</v>
      </c>
      <c r="I11" s="816">
        <v>3.4</v>
      </c>
      <c r="J11" s="816">
        <v>4.0999999999999996</v>
      </c>
      <c r="K11" s="818">
        <f t="shared" si="2"/>
        <v>7.5</v>
      </c>
      <c r="L11" s="816">
        <v>7.6</v>
      </c>
      <c r="M11" s="816">
        <v>2.6</v>
      </c>
      <c r="N11" s="818">
        <f t="shared" si="3"/>
        <v>19.3</v>
      </c>
      <c r="O11" s="818">
        <f t="shared" si="4"/>
        <v>704.94223999999997</v>
      </c>
      <c r="P11" s="816">
        <v>0</v>
      </c>
      <c r="Q11" s="816"/>
      <c r="R11" s="816"/>
      <c r="S11" s="816"/>
      <c r="T11" s="818">
        <f t="shared" si="5"/>
        <v>0</v>
      </c>
      <c r="U11" s="818">
        <f t="shared" si="6"/>
        <v>704.94223999999997</v>
      </c>
      <c r="V11" s="819">
        <f t="shared" si="7"/>
        <v>3.8359463838562369E-2</v>
      </c>
      <c r="W11" s="816">
        <v>-15.7</v>
      </c>
      <c r="X11" s="816">
        <v>0</v>
      </c>
      <c r="Y11" s="816">
        <v>-52.9</v>
      </c>
      <c r="Z11" s="818">
        <f t="shared" si="8"/>
        <v>-68.599999999999994</v>
      </c>
      <c r="AA11" s="818">
        <f t="shared" si="9"/>
        <v>636.34223999999995</v>
      </c>
      <c r="AB11" s="821">
        <f>(AA11-$C$11)/$C$11</f>
        <v>-6.2686345558992537E-2</v>
      </c>
      <c r="AC11" s="822">
        <v>0</v>
      </c>
    </row>
    <row r="12" spans="2:29">
      <c r="B12" s="815" t="s">
        <v>645</v>
      </c>
      <c r="C12" s="816">
        <f>[2]Targets!C12</f>
        <v>597</v>
      </c>
      <c r="D12" s="822">
        <v>8.7766300000000008</v>
      </c>
      <c r="E12" s="818">
        <f t="shared" si="0"/>
        <v>605.77662999999995</v>
      </c>
      <c r="F12" s="816">
        <v>0.45500000000000002</v>
      </c>
      <c r="G12" s="816"/>
      <c r="H12" s="818">
        <f t="shared" si="1"/>
        <v>0.45500000000000002</v>
      </c>
      <c r="I12" s="816">
        <v>9.4</v>
      </c>
      <c r="J12" s="816">
        <v>2.2999999999999998</v>
      </c>
      <c r="K12" s="818">
        <f t="shared" si="2"/>
        <v>11.7</v>
      </c>
      <c r="L12" s="816">
        <v>5.2</v>
      </c>
      <c r="M12" s="816"/>
      <c r="N12" s="818">
        <f t="shared" si="3"/>
        <v>17.355</v>
      </c>
      <c r="O12" s="818">
        <f t="shared" si="4"/>
        <v>623.13162999999997</v>
      </c>
      <c r="P12" s="816">
        <v>0.2</v>
      </c>
      <c r="Q12" s="816">
        <v>-11.1</v>
      </c>
      <c r="R12" s="816"/>
      <c r="S12" s="816"/>
      <c r="T12" s="818">
        <f t="shared" si="5"/>
        <v>-10.9</v>
      </c>
      <c r="U12" s="818">
        <f t="shared" si="6"/>
        <v>612.23163</v>
      </c>
      <c r="V12" s="819">
        <f t="shared" si="7"/>
        <v>2.5513618090452255E-2</v>
      </c>
      <c r="W12" s="816">
        <v>0</v>
      </c>
      <c r="X12" s="816">
        <v>0</v>
      </c>
      <c r="Y12" s="816">
        <v>-60</v>
      </c>
      <c r="Z12" s="818">
        <f t="shared" si="8"/>
        <v>-60</v>
      </c>
      <c r="AA12" s="818">
        <f t="shared" si="9"/>
        <v>552.23163</v>
      </c>
      <c r="AB12" s="821">
        <f>(AA12-$C$12)/$C$12</f>
        <v>-7.4988894472361817E-2</v>
      </c>
      <c r="AC12" s="822">
        <v>-1</v>
      </c>
    </row>
    <row r="13" spans="2:29">
      <c r="B13" s="815" t="s">
        <v>639</v>
      </c>
      <c r="C13" s="816">
        <f>[2]Targets!C13</f>
        <v>710</v>
      </c>
      <c r="D13" s="822">
        <v>8.6797699999999995</v>
      </c>
      <c r="E13" s="818">
        <f t="shared" si="0"/>
        <v>718.67976999999996</v>
      </c>
      <c r="F13" s="816"/>
      <c r="G13" s="816"/>
      <c r="H13" s="818">
        <f t="shared" si="1"/>
        <v>0</v>
      </c>
      <c r="I13" s="816">
        <v>2.5</v>
      </c>
      <c r="J13" s="816">
        <v>1.7</v>
      </c>
      <c r="K13" s="818">
        <f t="shared" si="2"/>
        <v>4.2</v>
      </c>
      <c r="L13" s="816">
        <v>7.4</v>
      </c>
      <c r="M13" s="816">
        <v>4</v>
      </c>
      <c r="N13" s="818">
        <f t="shared" si="3"/>
        <v>15.600000000000001</v>
      </c>
      <c r="O13" s="818">
        <f t="shared" si="4"/>
        <v>734.27976999999998</v>
      </c>
      <c r="P13" s="816"/>
      <c r="Q13" s="816"/>
      <c r="R13" s="816"/>
      <c r="S13" s="816"/>
      <c r="T13" s="818">
        <f t="shared" si="5"/>
        <v>0</v>
      </c>
      <c r="U13" s="818">
        <f t="shared" si="6"/>
        <v>734.27976999999998</v>
      </c>
      <c r="V13" s="819">
        <f t="shared" si="7"/>
        <v>3.4196859154929558E-2</v>
      </c>
      <c r="W13" s="816">
        <v>-24</v>
      </c>
      <c r="X13" s="816">
        <f>-35.5-27.7</f>
        <v>-63.2</v>
      </c>
      <c r="Y13" s="816">
        <v>0</v>
      </c>
      <c r="Z13" s="818">
        <f t="shared" si="8"/>
        <v>-87.2</v>
      </c>
      <c r="AA13" s="818">
        <f t="shared" si="9"/>
        <v>647.07976999999994</v>
      </c>
      <c r="AB13" s="821">
        <f>(AA13-$C$13)/$C$13</f>
        <v>-8.8620042253521214E-2</v>
      </c>
      <c r="AC13" s="822">
        <v>-2</v>
      </c>
    </row>
    <row r="14" spans="2:29">
      <c r="B14" s="815" t="s">
        <v>684</v>
      </c>
      <c r="C14" s="816">
        <f>[2]Targets!C14</f>
        <v>542.5</v>
      </c>
      <c r="D14" s="822">
        <v>9.2818000000000005</v>
      </c>
      <c r="E14" s="818">
        <f t="shared" si="0"/>
        <v>551.78179999999998</v>
      </c>
      <c r="F14" s="816">
        <v>1.5</v>
      </c>
      <c r="G14" s="816"/>
      <c r="H14" s="818">
        <f t="shared" si="1"/>
        <v>1.5</v>
      </c>
      <c r="I14" s="816">
        <v>5.2</v>
      </c>
      <c r="J14" s="816"/>
      <c r="K14" s="818">
        <f t="shared" si="2"/>
        <v>5.2</v>
      </c>
      <c r="L14" s="816">
        <v>4</v>
      </c>
      <c r="M14" s="816">
        <v>0.4</v>
      </c>
      <c r="N14" s="818">
        <f t="shared" si="3"/>
        <v>11.1</v>
      </c>
      <c r="O14" s="818">
        <f t="shared" si="4"/>
        <v>562.8818</v>
      </c>
      <c r="P14" s="816"/>
      <c r="Q14" s="816"/>
      <c r="R14" s="816">
        <v>65.099999999999994</v>
      </c>
      <c r="S14" s="816"/>
      <c r="T14" s="818">
        <f t="shared" si="5"/>
        <v>65.099999999999994</v>
      </c>
      <c r="U14" s="818">
        <f t="shared" si="6"/>
        <v>627.98180000000002</v>
      </c>
      <c r="V14" s="819">
        <f t="shared" si="7"/>
        <v>0.15757013824884797</v>
      </c>
      <c r="W14" s="816">
        <v>0</v>
      </c>
      <c r="X14" s="816">
        <v>-4.9000000000000004</v>
      </c>
      <c r="Y14" s="816">
        <v>-61.4</v>
      </c>
      <c r="Z14" s="818">
        <f t="shared" si="8"/>
        <v>-66.3</v>
      </c>
      <c r="AA14" s="818">
        <f t="shared" si="9"/>
        <v>561.68180000000007</v>
      </c>
      <c r="AB14" s="821">
        <f>(AA14-$C$14)/$C$14</f>
        <v>3.5358156682027769E-2</v>
      </c>
      <c r="AC14" s="822">
        <v>-0.6</v>
      </c>
    </row>
    <row r="15" spans="2:29">
      <c r="B15" s="815" t="s">
        <v>685</v>
      </c>
      <c r="C15" s="816">
        <f>[2]Targets!C15</f>
        <v>1212.4000000000001</v>
      </c>
      <c r="D15" s="822">
        <v>19.065460000000002</v>
      </c>
      <c r="E15" s="818">
        <f t="shared" si="0"/>
        <v>1231.4654600000001</v>
      </c>
      <c r="F15" s="816">
        <v>4.1050000000000004</v>
      </c>
      <c r="G15" s="816">
        <v>-4.8</v>
      </c>
      <c r="H15" s="818">
        <f t="shared" si="1"/>
        <v>-0.6949999999999994</v>
      </c>
      <c r="I15" s="816"/>
      <c r="J15" s="816"/>
      <c r="K15" s="818">
        <f t="shared" si="2"/>
        <v>0</v>
      </c>
      <c r="L15" s="816">
        <v>11.9</v>
      </c>
      <c r="M15" s="816">
        <v>1.8</v>
      </c>
      <c r="N15" s="818">
        <f t="shared" si="3"/>
        <v>13.005000000000003</v>
      </c>
      <c r="O15" s="818">
        <f t="shared" si="4"/>
        <v>1244.4704600000002</v>
      </c>
      <c r="P15" s="816"/>
      <c r="Q15" s="816">
        <v>-2.2999999999999998</v>
      </c>
      <c r="R15" s="816"/>
      <c r="S15" s="816"/>
      <c r="T15" s="818">
        <f t="shared" si="5"/>
        <v>-2.2999999999999998</v>
      </c>
      <c r="U15" s="818">
        <f t="shared" si="6"/>
        <v>1242.1704600000003</v>
      </c>
      <c r="V15" s="819">
        <f t="shared" si="7"/>
        <v>2.455498185417369E-2</v>
      </c>
      <c r="W15" s="816">
        <v>-6.5</v>
      </c>
      <c r="X15" s="816">
        <v>0</v>
      </c>
      <c r="Y15" s="816">
        <v>-116.61699999999999</v>
      </c>
      <c r="Z15" s="818">
        <f t="shared" si="8"/>
        <v>-123.11699999999999</v>
      </c>
      <c r="AA15" s="818">
        <f t="shared" si="9"/>
        <v>1119.0534600000003</v>
      </c>
      <c r="AB15" s="821">
        <f>(AA15-$C$15)/$C$15</f>
        <v>-7.6993187066974403E-2</v>
      </c>
      <c r="AC15" s="822">
        <v>-1.5</v>
      </c>
    </row>
    <row r="16" spans="2:29" s="829" customFormat="1">
      <c r="B16" s="823" t="s">
        <v>642</v>
      </c>
      <c r="C16" s="824">
        <f>[2]Targets!C16</f>
        <v>657.9</v>
      </c>
      <c r="D16" s="825">
        <v>5.4828299999999999</v>
      </c>
      <c r="E16" s="826">
        <f t="shared" si="0"/>
        <v>663.38283000000001</v>
      </c>
      <c r="F16" s="824"/>
      <c r="G16" s="824">
        <v>7.5</v>
      </c>
      <c r="H16" s="826">
        <f t="shared" si="1"/>
        <v>7.5</v>
      </c>
      <c r="I16" s="824">
        <v>7.1</v>
      </c>
      <c r="J16" s="824">
        <v>3.8</v>
      </c>
      <c r="K16" s="826">
        <f t="shared" si="2"/>
        <v>10.899999999999999</v>
      </c>
      <c r="L16" s="824">
        <v>3</v>
      </c>
      <c r="M16" s="824">
        <v>3.3</v>
      </c>
      <c r="N16" s="826">
        <f t="shared" si="3"/>
        <v>24.7</v>
      </c>
      <c r="O16" s="826">
        <f t="shared" si="4"/>
        <v>688.08283000000006</v>
      </c>
      <c r="P16" s="824"/>
      <c r="Q16" s="824">
        <v>-7.3</v>
      </c>
      <c r="R16" s="824"/>
      <c r="S16" s="824"/>
      <c r="T16" s="826">
        <f t="shared" si="5"/>
        <v>-7.3</v>
      </c>
      <c r="U16" s="826">
        <f t="shared" si="6"/>
        <v>680.7828300000001</v>
      </c>
      <c r="V16" s="827">
        <f t="shared" si="7"/>
        <v>3.4781623347013416E-2</v>
      </c>
      <c r="W16" s="824">
        <v>-20.299999999999997</v>
      </c>
      <c r="X16" s="824">
        <v>-18.7</v>
      </c>
      <c r="Y16" s="824">
        <f>-51.8+6.7+8.3</f>
        <v>-36.799999999999997</v>
      </c>
      <c r="Z16" s="826">
        <f t="shared" si="8"/>
        <v>-75.8</v>
      </c>
      <c r="AA16" s="826">
        <f t="shared" si="9"/>
        <v>604.98283000000015</v>
      </c>
      <c r="AB16" s="828">
        <f>(AA16-$C$16)/$C$16</f>
        <v>-8.0433454932360288E-2</v>
      </c>
      <c r="AC16" s="825">
        <v>-1.5</v>
      </c>
    </row>
    <row r="17" spans="2:36">
      <c r="B17" s="815" t="s">
        <v>686</v>
      </c>
      <c r="C17" s="816">
        <f>[2]Targets!C17</f>
        <v>872.3</v>
      </c>
      <c r="D17" s="822">
        <v>12.665789999999999</v>
      </c>
      <c r="E17" s="818">
        <f t="shared" si="0"/>
        <v>884.96578999999997</v>
      </c>
      <c r="F17" s="816">
        <v>0.5</v>
      </c>
      <c r="G17" s="816"/>
      <c r="H17" s="818">
        <f t="shared" si="1"/>
        <v>0.5</v>
      </c>
      <c r="I17" s="816"/>
      <c r="J17" s="816"/>
      <c r="K17" s="818">
        <f t="shared" si="2"/>
        <v>0</v>
      </c>
      <c r="L17" s="816">
        <v>9.3000000000000007</v>
      </c>
      <c r="M17" s="816"/>
      <c r="N17" s="818">
        <f t="shared" si="3"/>
        <v>9.8000000000000007</v>
      </c>
      <c r="O17" s="818">
        <f t="shared" si="4"/>
        <v>894.76578999999992</v>
      </c>
      <c r="P17" s="816"/>
      <c r="Q17" s="816"/>
      <c r="R17" s="816">
        <v>3.9</v>
      </c>
      <c r="S17" s="816"/>
      <c r="T17" s="818">
        <f t="shared" si="5"/>
        <v>3.9</v>
      </c>
      <c r="U17" s="818">
        <f t="shared" si="6"/>
        <v>898.6657899999999</v>
      </c>
      <c r="V17" s="819">
        <f t="shared" si="7"/>
        <v>3.0225598991172702E-2</v>
      </c>
      <c r="W17" s="816">
        <v>-9.7999999999999989</v>
      </c>
      <c r="X17" s="816">
        <f>-34.4-43</f>
        <v>-77.400000000000006</v>
      </c>
      <c r="Y17" s="816">
        <v>0</v>
      </c>
      <c r="Z17" s="818">
        <f t="shared" si="8"/>
        <v>-87.2</v>
      </c>
      <c r="AA17" s="818">
        <f t="shared" si="9"/>
        <v>811.46578999999986</v>
      </c>
      <c r="AB17" s="821">
        <f>(AA17-$C$17)/$C$17</f>
        <v>-6.974000917115683E-2</v>
      </c>
      <c r="AC17" s="822">
        <v>-1</v>
      </c>
    </row>
    <row r="18" spans="2:36">
      <c r="B18" s="830" t="s">
        <v>687</v>
      </c>
      <c r="C18" s="831">
        <f>[2]Targets!C18</f>
        <v>293.10000000000002</v>
      </c>
      <c r="D18" s="832">
        <v>4.1407999999999996</v>
      </c>
      <c r="E18" s="833">
        <f t="shared" si="0"/>
        <v>297.24080000000004</v>
      </c>
      <c r="F18" s="831"/>
      <c r="G18" s="831"/>
      <c r="H18" s="833">
        <f t="shared" si="1"/>
        <v>0</v>
      </c>
      <c r="I18" s="831">
        <v>2.2999999999999998</v>
      </c>
      <c r="J18" s="831"/>
      <c r="K18" s="833">
        <f t="shared" si="2"/>
        <v>2.2999999999999998</v>
      </c>
      <c r="L18" s="831">
        <v>5</v>
      </c>
      <c r="M18" s="831"/>
      <c r="N18" s="833">
        <f t="shared" si="3"/>
        <v>7.3</v>
      </c>
      <c r="O18" s="833">
        <f t="shared" si="4"/>
        <v>304.54080000000005</v>
      </c>
      <c r="P18" s="831">
        <v>0.2</v>
      </c>
      <c r="Q18" s="831"/>
      <c r="R18" s="831"/>
      <c r="S18" s="834">
        <v>-53.6</v>
      </c>
      <c r="T18" s="833">
        <f t="shared" si="5"/>
        <v>-53.4</v>
      </c>
      <c r="U18" s="833">
        <f t="shared" si="6"/>
        <v>251.14080000000004</v>
      </c>
      <c r="V18" s="835">
        <f t="shared" si="7"/>
        <v>-0.14315660184237455</v>
      </c>
      <c r="W18" s="831">
        <v>-1.8</v>
      </c>
      <c r="X18" s="831">
        <v>0</v>
      </c>
      <c r="Y18" s="831">
        <v>0</v>
      </c>
      <c r="Z18" s="833">
        <f t="shared" si="8"/>
        <v>-1.8</v>
      </c>
      <c r="AA18" s="833">
        <f t="shared" si="9"/>
        <v>249.34080000000003</v>
      </c>
      <c r="AB18" s="835">
        <f>(AA18-$C$18)/$C$18</f>
        <v>-0.14929785056294775</v>
      </c>
      <c r="AC18" s="832">
        <v>-0.2</v>
      </c>
    </row>
    <row r="19" spans="2:36">
      <c r="B19" s="836" t="s">
        <v>657</v>
      </c>
      <c r="C19" s="837">
        <f>SUM(C9:C18)</f>
        <v>7225.7</v>
      </c>
      <c r="D19" s="837">
        <f>SUM(D9:D18)</f>
        <v>44.429610000000004</v>
      </c>
      <c r="E19" s="838">
        <f>SUM(E9:E18)</f>
        <v>7270.12961</v>
      </c>
      <c r="F19" s="837">
        <v>8.2600000000000016</v>
      </c>
      <c r="G19" s="837">
        <v>-4.8</v>
      </c>
      <c r="H19" s="838">
        <f>SUM(H9:H18)</f>
        <v>10.96</v>
      </c>
      <c r="I19" s="837">
        <f>SUM(I9:I18)</f>
        <v>32.499999999999993</v>
      </c>
      <c r="J19" s="837">
        <v>11.899999999999999</v>
      </c>
      <c r="K19" s="838">
        <f>SUM(K9:K18)</f>
        <v>44.399999999999991</v>
      </c>
      <c r="L19" s="837">
        <v>56.7</v>
      </c>
      <c r="M19" s="837">
        <v>8.6</v>
      </c>
      <c r="N19" s="838">
        <f>SUM(N9:N18)</f>
        <v>127.46</v>
      </c>
      <c r="O19" s="838">
        <f>SUM(O9:O18)</f>
        <v>7397.58961</v>
      </c>
      <c r="P19" s="837">
        <v>1.3</v>
      </c>
      <c r="Q19" s="837">
        <f>SUM(Q9:Q18)</f>
        <v>-25.838940000000001</v>
      </c>
      <c r="R19" s="837">
        <f>SUM(R9:R18)</f>
        <v>69</v>
      </c>
      <c r="S19" s="837">
        <v>-53.6</v>
      </c>
      <c r="T19" s="838">
        <f>SUM(T9:T18)</f>
        <v>-9.5389399999999966</v>
      </c>
      <c r="U19" s="838">
        <f>SUM(U9:U18)</f>
        <v>7388.0506700000014</v>
      </c>
      <c r="V19" s="839">
        <f>(U19-C19)/C19</f>
        <v>2.2468504089569404E-2</v>
      </c>
      <c r="W19" s="837">
        <f>SUM(W9:W18)</f>
        <v>-107.66175999999999</v>
      </c>
      <c r="X19" s="837">
        <f>SUM(X9:X18)</f>
        <v>-164.20000000000002</v>
      </c>
      <c r="Y19" s="837">
        <f>SUM(Y9:Y18)</f>
        <v>-451.72441999999995</v>
      </c>
      <c r="Z19" s="838">
        <f>SUM(Z9:Z18)</f>
        <v>-723.5861799999999</v>
      </c>
      <c r="AA19" s="838">
        <f>SUM(AA9:AA18)</f>
        <v>6664.4644899999994</v>
      </c>
      <c r="AB19" s="840">
        <f>(AA19-$C$19)/$C$19</f>
        <v>-7.7672130035844333E-2</v>
      </c>
      <c r="AC19" s="841">
        <f>SUM(AC9:AC18)</f>
        <v>-9.0999999999999979</v>
      </c>
    </row>
    <row r="22" spans="2:36" ht="15.75">
      <c r="B22" s="806" t="s">
        <v>688</v>
      </c>
    </row>
    <row r="23" spans="2:36" ht="6.75" customHeight="1">
      <c r="AE23" s="1062"/>
      <c r="AF23" s="1062"/>
      <c r="AG23" s="1062"/>
      <c r="AH23" s="1062"/>
      <c r="AI23" s="1062"/>
      <c r="AJ23" s="1062"/>
    </row>
    <row r="24" spans="2:36" ht="51">
      <c r="B24" s="809" t="s">
        <v>636</v>
      </c>
      <c r="C24" s="810" t="s">
        <v>559</v>
      </c>
      <c r="D24" s="810" t="s">
        <v>660</v>
      </c>
      <c r="E24" s="811" t="s">
        <v>661</v>
      </c>
      <c r="F24" s="812" t="s">
        <v>648</v>
      </c>
      <c r="G24" s="812" t="s">
        <v>650</v>
      </c>
      <c r="H24" s="811" t="s">
        <v>664</v>
      </c>
      <c r="I24" s="810" t="s">
        <v>665</v>
      </c>
      <c r="J24" s="812" t="s">
        <v>666</v>
      </c>
      <c r="K24" s="811" t="s">
        <v>667</v>
      </c>
      <c r="L24" s="812" t="s">
        <v>643</v>
      </c>
      <c r="M24" s="812" t="s">
        <v>638</v>
      </c>
      <c r="N24" s="842" t="s">
        <v>670</v>
      </c>
      <c r="O24" s="811" t="s">
        <v>9</v>
      </c>
      <c r="P24" s="812" t="s">
        <v>651</v>
      </c>
      <c r="Q24" s="810" t="s">
        <v>672</v>
      </c>
      <c r="R24" s="812" t="s">
        <v>652</v>
      </c>
      <c r="S24" s="812" t="s">
        <v>653</v>
      </c>
      <c r="T24" s="809" t="s">
        <v>675</v>
      </c>
      <c r="U24" s="811" t="s">
        <v>676</v>
      </c>
      <c r="V24" s="811" t="s">
        <v>677</v>
      </c>
      <c r="W24" s="812" t="s">
        <v>654</v>
      </c>
      <c r="X24" s="812" t="s">
        <v>655</v>
      </c>
      <c r="Y24" s="812" t="s">
        <v>656</v>
      </c>
      <c r="Z24" s="811" t="s">
        <v>678</v>
      </c>
      <c r="AA24" s="811" t="s">
        <v>679</v>
      </c>
      <c r="AB24" s="813" t="s">
        <v>680</v>
      </c>
      <c r="AC24" s="814" t="s">
        <v>681</v>
      </c>
      <c r="AD24" s="1055" t="s">
        <v>760</v>
      </c>
      <c r="AE24" s="1062"/>
      <c r="AF24" s="1064" t="s">
        <v>761</v>
      </c>
      <c r="AG24" s="1064" t="s">
        <v>721</v>
      </c>
      <c r="AH24" s="1064" t="s">
        <v>6</v>
      </c>
      <c r="AI24" s="1062"/>
      <c r="AJ24" s="1062"/>
    </row>
    <row r="25" spans="2:36">
      <c r="B25" s="815" t="s">
        <v>682</v>
      </c>
      <c r="C25" s="816">
        <f t="shared" ref="C25:D34" si="10">C9</f>
        <v>1245.2</v>
      </c>
      <c r="D25" s="816">
        <f t="shared" si="10"/>
        <v>10.869490000000001</v>
      </c>
      <c r="E25" s="818">
        <f>SUM(C25:D25)</f>
        <v>1256.0694900000001</v>
      </c>
      <c r="F25" s="816">
        <f t="shared" ref="F25:S34" si="11">F9</f>
        <v>0</v>
      </c>
      <c r="G25" s="816">
        <f t="shared" si="11"/>
        <v>0</v>
      </c>
      <c r="H25" s="818">
        <f>SUM(F25:G25)</f>
        <v>0</v>
      </c>
      <c r="I25" s="816">
        <f t="shared" si="11"/>
        <v>0</v>
      </c>
      <c r="J25" s="816">
        <f t="shared" si="11"/>
        <v>0</v>
      </c>
      <c r="K25" s="818">
        <f>SUM(I25:J25)</f>
        <v>0</v>
      </c>
      <c r="L25" s="816">
        <f t="shared" si="11"/>
        <v>0</v>
      </c>
      <c r="M25" s="816">
        <f t="shared" si="11"/>
        <v>0</v>
      </c>
      <c r="N25" s="843">
        <f>H25+K25+L25+M25</f>
        <v>0</v>
      </c>
      <c r="O25" s="818">
        <f>E25+N25</f>
        <v>1256.0694900000001</v>
      </c>
      <c r="P25" s="816">
        <f t="shared" si="11"/>
        <v>0</v>
      </c>
      <c r="Q25" s="816">
        <f>Q9</f>
        <v>-5.1389399999999998</v>
      </c>
      <c r="R25" s="816">
        <f t="shared" si="11"/>
        <v>0</v>
      </c>
      <c r="S25" s="816">
        <f>S9</f>
        <v>0</v>
      </c>
      <c r="T25" s="818">
        <f>SUM(P25:S25)</f>
        <v>-5.1389399999999998</v>
      </c>
      <c r="U25" s="818">
        <f>O25+T25</f>
        <v>1250.93055</v>
      </c>
      <c r="V25" s="819">
        <f>(U25-C25)/C25</f>
        <v>4.6021121105043316E-3</v>
      </c>
      <c r="W25" s="816">
        <f>W9</f>
        <v>-27.06176</v>
      </c>
      <c r="X25" s="816">
        <f>X9</f>
        <v>0</v>
      </c>
      <c r="Y25" s="816">
        <f>Y9</f>
        <v>-78.107420000000005</v>
      </c>
      <c r="Z25" s="818">
        <f>SUM(W25:Y25)</f>
        <v>-105.16918000000001</v>
      </c>
      <c r="AA25" s="818">
        <f>U25+Z25</f>
        <v>1145.7613699999999</v>
      </c>
      <c r="AB25" s="821">
        <f>(AA25-$C$9)/$C$9</f>
        <v>-7.9857557018952863E-2</v>
      </c>
      <c r="AC25" s="822">
        <v>-0.8</v>
      </c>
      <c r="AD25" s="1056">
        <f>Z25/C25</f>
        <v>-8.4459669129457127E-2</v>
      </c>
      <c r="AE25" s="1062"/>
      <c r="AF25" s="1062">
        <f>AG25+AH25</f>
        <v>1145.7613699999999</v>
      </c>
      <c r="AG25" s="1062">
        <v>0</v>
      </c>
      <c r="AH25" s="1062">
        <f>AA25</f>
        <v>1145.7613699999999</v>
      </c>
      <c r="AI25" s="1062"/>
      <c r="AJ25" s="1062"/>
    </row>
    <row r="26" spans="2:36">
      <c r="B26" s="815" t="s">
        <v>683</v>
      </c>
      <c r="C26" s="816">
        <f t="shared" si="10"/>
        <v>416.4</v>
      </c>
      <c r="D26" s="816">
        <f t="shared" si="10"/>
        <v>-41.275199999999998</v>
      </c>
      <c r="E26" s="818">
        <f t="shared" ref="E26:E34" si="12">SUM(C26:D26)</f>
        <v>375.12479999999999</v>
      </c>
      <c r="F26" s="816">
        <f t="shared" si="11"/>
        <v>0.1</v>
      </c>
      <c r="G26" s="816">
        <f t="shared" si="11"/>
        <v>0</v>
      </c>
      <c r="H26" s="818">
        <f t="shared" ref="H26:H34" si="13">SUM(F26:G26)</f>
        <v>0.1</v>
      </c>
      <c r="I26" s="816">
        <f t="shared" si="11"/>
        <v>2.6</v>
      </c>
      <c r="J26" s="816">
        <f t="shared" si="11"/>
        <v>0</v>
      </c>
      <c r="K26" s="818">
        <f t="shared" ref="K26:K34" si="14">SUM(I26:J26)</f>
        <v>2.6</v>
      </c>
      <c r="L26" s="816">
        <f t="shared" si="11"/>
        <v>6.3</v>
      </c>
      <c r="M26" s="816">
        <f t="shared" si="11"/>
        <v>0.3</v>
      </c>
      <c r="N26" s="843">
        <f t="shared" ref="N26:N34" si="15">H26+K26+L26+M26</f>
        <v>9.3000000000000007</v>
      </c>
      <c r="O26" s="818">
        <f t="shared" ref="O26:O34" si="16">E26+N26</f>
        <v>384.4248</v>
      </c>
      <c r="P26" s="816">
        <f t="shared" si="11"/>
        <v>0.5</v>
      </c>
      <c r="Q26" s="816">
        <f t="shared" si="11"/>
        <v>0</v>
      </c>
      <c r="R26" s="816">
        <f t="shared" si="11"/>
        <v>0</v>
      </c>
      <c r="S26" s="816">
        <f t="shared" si="11"/>
        <v>0</v>
      </c>
      <c r="T26" s="818">
        <f t="shared" ref="T26:T34" si="17">SUM(P26:S26)</f>
        <v>0.5</v>
      </c>
      <c r="U26" s="818">
        <f t="shared" ref="U26:U34" si="18">O26+T26</f>
        <v>384.9248</v>
      </c>
      <c r="V26" s="819">
        <f t="shared" ref="V26:V35" si="19">(U26-C26)/C26</f>
        <v>-7.5588856868395712E-2</v>
      </c>
      <c r="W26" s="816">
        <f>W10</f>
        <v>-2.5000000000000004</v>
      </c>
      <c r="X26" s="816">
        <f>X10</f>
        <v>0</v>
      </c>
      <c r="Y26" s="816">
        <v>-45.9</v>
      </c>
      <c r="Z26" s="818">
        <f t="shared" ref="Z26:Z34" si="20">SUM(W26:Y26)</f>
        <v>-48.4</v>
      </c>
      <c r="AA26" s="818">
        <f t="shared" ref="AA26:AA34" si="21">U26+Z26</f>
        <v>336.52480000000003</v>
      </c>
      <c r="AB26" s="821">
        <f>(AA26-$C$10)/$C$10</f>
        <v>-0.19182324687800181</v>
      </c>
      <c r="AC26" s="822">
        <v>-0.5</v>
      </c>
      <c r="AD26" s="1056">
        <f t="shared" ref="AD26:AD33" si="22">Z26/C26</f>
        <v>-0.11623439000960616</v>
      </c>
      <c r="AE26" s="1062"/>
      <c r="AF26" s="1062">
        <f t="shared" ref="AF26:AF34" si="23">AG26+AH26</f>
        <v>336.52480000000003</v>
      </c>
      <c r="AG26" s="1062">
        <v>0</v>
      </c>
      <c r="AH26" s="1062">
        <f t="shared" ref="AH26:AH34" si="24">AA26</f>
        <v>336.52480000000003</v>
      </c>
      <c r="AI26" s="1062"/>
      <c r="AJ26" s="1062"/>
    </row>
    <row r="27" spans="2:36">
      <c r="B27" s="815" t="s">
        <v>644</v>
      </c>
      <c r="C27" s="816">
        <f t="shared" si="10"/>
        <v>678.9</v>
      </c>
      <c r="D27" s="816">
        <f t="shared" si="10"/>
        <v>6.7422399999999998</v>
      </c>
      <c r="E27" s="818">
        <f t="shared" si="12"/>
        <v>685.64224000000002</v>
      </c>
      <c r="F27" s="816">
        <f t="shared" si="11"/>
        <v>1.6</v>
      </c>
      <c r="G27" s="816">
        <f t="shared" si="11"/>
        <v>0</v>
      </c>
      <c r="H27" s="818">
        <f t="shared" si="13"/>
        <v>1.6</v>
      </c>
      <c r="I27" s="816">
        <f t="shared" si="11"/>
        <v>3.4</v>
      </c>
      <c r="J27" s="816">
        <f t="shared" si="11"/>
        <v>4.0999999999999996</v>
      </c>
      <c r="K27" s="818">
        <f t="shared" si="14"/>
        <v>7.5</v>
      </c>
      <c r="L27" s="816">
        <f t="shared" si="11"/>
        <v>7.6</v>
      </c>
      <c r="M27" s="816">
        <f t="shared" si="11"/>
        <v>2.6</v>
      </c>
      <c r="N27" s="843">
        <f t="shared" si="15"/>
        <v>19.3</v>
      </c>
      <c r="O27" s="818">
        <f t="shared" si="16"/>
        <v>704.94223999999997</v>
      </c>
      <c r="P27" s="816">
        <f t="shared" si="11"/>
        <v>0</v>
      </c>
      <c r="Q27" s="816">
        <f t="shared" si="11"/>
        <v>0</v>
      </c>
      <c r="R27" s="816">
        <f t="shared" si="11"/>
        <v>0</v>
      </c>
      <c r="S27" s="816">
        <f t="shared" si="11"/>
        <v>0</v>
      </c>
      <c r="T27" s="818">
        <f t="shared" si="17"/>
        <v>0</v>
      </c>
      <c r="U27" s="818">
        <f t="shared" si="18"/>
        <v>704.94223999999997</v>
      </c>
      <c r="V27" s="819">
        <f t="shared" si="19"/>
        <v>3.8359463838562369E-2</v>
      </c>
      <c r="W27" s="816">
        <f>W11</f>
        <v>-15.7</v>
      </c>
      <c r="X27" s="816">
        <v>0</v>
      </c>
      <c r="Y27" s="816">
        <v>-52.9</v>
      </c>
      <c r="Z27" s="818">
        <f t="shared" si="20"/>
        <v>-68.599999999999994</v>
      </c>
      <c r="AA27" s="818">
        <f t="shared" si="21"/>
        <v>636.34223999999995</v>
      </c>
      <c r="AB27" s="821">
        <f>(AA27-$C$11)/$C$11</f>
        <v>-6.2686345558992537E-2</v>
      </c>
      <c r="AC27" s="822">
        <v>0</v>
      </c>
      <c r="AD27" s="1056">
        <f t="shared" si="22"/>
        <v>-0.10104580939755486</v>
      </c>
      <c r="AE27" s="1062"/>
      <c r="AF27" s="1062">
        <f t="shared" si="23"/>
        <v>636.34223999999995</v>
      </c>
      <c r="AG27" s="1062">
        <v>0</v>
      </c>
      <c r="AH27" s="1062">
        <f t="shared" si="24"/>
        <v>636.34223999999995</v>
      </c>
      <c r="AI27" s="1062"/>
      <c r="AJ27" s="1062"/>
    </row>
    <row r="28" spans="2:36">
      <c r="B28" s="815" t="s">
        <v>645</v>
      </c>
      <c r="C28" s="816">
        <f t="shared" si="10"/>
        <v>597</v>
      </c>
      <c r="D28" s="816">
        <f t="shared" si="10"/>
        <v>8.7766300000000008</v>
      </c>
      <c r="E28" s="818">
        <f t="shared" si="12"/>
        <v>605.77662999999995</v>
      </c>
      <c r="F28" s="816">
        <f t="shared" si="11"/>
        <v>0.45500000000000002</v>
      </c>
      <c r="G28" s="816">
        <f t="shared" si="11"/>
        <v>0</v>
      </c>
      <c r="H28" s="818">
        <f t="shared" si="13"/>
        <v>0.45500000000000002</v>
      </c>
      <c r="I28" s="816">
        <f t="shared" si="11"/>
        <v>9.4</v>
      </c>
      <c r="J28" s="816">
        <f t="shared" si="11"/>
        <v>2.2999999999999998</v>
      </c>
      <c r="K28" s="818">
        <f t="shared" si="14"/>
        <v>11.7</v>
      </c>
      <c r="L28" s="816">
        <f t="shared" si="11"/>
        <v>5.2</v>
      </c>
      <c r="M28" s="816">
        <f t="shared" si="11"/>
        <v>0</v>
      </c>
      <c r="N28" s="843">
        <f t="shared" si="15"/>
        <v>17.355</v>
      </c>
      <c r="O28" s="818">
        <f t="shared" si="16"/>
        <v>623.13162999999997</v>
      </c>
      <c r="P28" s="816">
        <f t="shared" si="11"/>
        <v>0.2</v>
      </c>
      <c r="Q28" s="816">
        <f t="shared" si="11"/>
        <v>-11.1</v>
      </c>
      <c r="R28" s="816">
        <f t="shared" si="11"/>
        <v>0</v>
      </c>
      <c r="S28" s="816">
        <f t="shared" si="11"/>
        <v>0</v>
      </c>
      <c r="T28" s="818">
        <f t="shared" si="17"/>
        <v>-10.9</v>
      </c>
      <c r="U28" s="818">
        <f t="shared" si="18"/>
        <v>612.23163</v>
      </c>
      <c r="V28" s="819">
        <f t="shared" si="19"/>
        <v>2.5513618090452255E-2</v>
      </c>
      <c r="W28" s="816">
        <f>W12</f>
        <v>0</v>
      </c>
      <c r="X28" s="816">
        <f>X12</f>
        <v>0</v>
      </c>
      <c r="Y28" s="816">
        <v>-60</v>
      </c>
      <c r="Z28" s="818">
        <f t="shared" si="20"/>
        <v>-60</v>
      </c>
      <c r="AA28" s="818">
        <f t="shared" si="21"/>
        <v>552.23163</v>
      </c>
      <c r="AB28" s="821">
        <f>(AA28-$C$12)/$C$12</f>
        <v>-7.4988894472361817E-2</v>
      </c>
      <c r="AC28" s="822">
        <v>-1</v>
      </c>
      <c r="AD28" s="1056">
        <f t="shared" si="22"/>
        <v>-0.10050251256281408</v>
      </c>
      <c r="AE28" s="1062"/>
      <c r="AF28" s="1062">
        <f t="shared" si="23"/>
        <v>552.23163</v>
      </c>
      <c r="AG28" s="1062">
        <v>0</v>
      </c>
      <c r="AH28" s="1062">
        <f t="shared" si="24"/>
        <v>552.23163</v>
      </c>
      <c r="AI28" s="1062"/>
      <c r="AJ28" s="1062"/>
    </row>
    <row r="29" spans="2:36">
      <c r="B29" s="815" t="s">
        <v>639</v>
      </c>
      <c r="C29" s="816">
        <f t="shared" si="10"/>
        <v>710</v>
      </c>
      <c r="D29" s="816">
        <f t="shared" si="10"/>
        <v>8.6797699999999995</v>
      </c>
      <c r="E29" s="818">
        <f t="shared" si="12"/>
        <v>718.67976999999996</v>
      </c>
      <c r="F29" s="816">
        <f t="shared" si="11"/>
        <v>0</v>
      </c>
      <c r="G29" s="816">
        <f t="shared" si="11"/>
        <v>0</v>
      </c>
      <c r="H29" s="818">
        <f t="shared" si="13"/>
        <v>0</v>
      </c>
      <c r="I29" s="816">
        <f t="shared" si="11"/>
        <v>2.5</v>
      </c>
      <c r="J29" s="816">
        <f t="shared" si="11"/>
        <v>1.7</v>
      </c>
      <c r="K29" s="818">
        <f t="shared" si="14"/>
        <v>4.2</v>
      </c>
      <c r="L29" s="816">
        <f t="shared" si="11"/>
        <v>7.4</v>
      </c>
      <c r="M29" s="816">
        <f t="shared" si="11"/>
        <v>4</v>
      </c>
      <c r="N29" s="843">
        <f t="shared" si="15"/>
        <v>15.600000000000001</v>
      </c>
      <c r="O29" s="818">
        <f t="shared" si="16"/>
        <v>734.27976999999998</v>
      </c>
      <c r="P29" s="816">
        <f t="shared" si="11"/>
        <v>0</v>
      </c>
      <c r="Q29" s="816">
        <f t="shared" si="11"/>
        <v>0</v>
      </c>
      <c r="R29" s="816">
        <f t="shared" si="11"/>
        <v>0</v>
      </c>
      <c r="S29" s="816">
        <f t="shared" si="11"/>
        <v>0</v>
      </c>
      <c r="T29" s="818">
        <f t="shared" si="17"/>
        <v>0</v>
      </c>
      <c r="U29" s="818">
        <f t="shared" si="18"/>
        <v>734.27976999999998</v>
      </c>
      <c r="V29" s="819">
        <f t="shared" si="19"/>
        <v>3.4196859154929558E-2</v>
      </c>
      <c r="W29" s="816">
        <f>W13+20</f>
        <v>-4</v>
      </c>
      <c r="X29" s="816">
        <v>-56.2</v>
      </c>
      <c r="Y29" s="816">
        <v>0</v>
      </c>
      <c r="Z29" s="818">
        <f t="shared" si="20"/>
        <v>-60.2</v>
      </c>
      <c r="AA29" s="818">
        <f t="shared" si="21"/>
        <v>674.07976999999994</v>
      </c>
      <c r="AB29" s="821">
        <f>(AA29-$C$13)/$C$13</f>
        <v>-5.0591873239436702E-2</v>
      </c>
      <c r="AC29" s="822">
        <f>(Z29/X13)*AC13</f>
        <v>-1.9050632911392404</v>
      </c>
      <c r="AD29" s="1056">
        <f t="shared" si="22"/>
        <v>-8.4788732394366198E-2</v>
      </c>
      <c r="AE29" s="1062"/>
      <c r="AF29" s="1062">
        <f t="shared" si="23"/>
        <v>674.07976999999994</v>
      </c>
      <c r="AG29" s="1062">
        <v>0</v>
      </c>
      <c r="AH29" s="1062">
        <f t="shared" si="24"/>
        <v>674.07976999999994</v>
      </c>
      <c r="AI29" s="1062"/>
      <c r="AJ29" s="1062"/>
    </row>
    <row r="30" spans="2:36">
      <c r="B30" s="815" t="s">
        <v>684</v>
      </c>
      <c r="C30" s="816">
        <f t="shared" si="10"/>
        <v>542.5</v>
      </c>
      <c r="D30" s="816">
        <f t="shared" si="10"/>
        <v>9.2818000000000005</v>
      </c>
      <c r="E30" s="818">
        <f t="shared" si="12"/>
        <v>551.78179999999998</v>
      </c>
      <c r="F30" s="816">
        <f t="shared" si="11"/>
        <v>1.5</v>
      </c>
      <c r="G30" s="816">
        <f t="shared" si="11"/>
        <v>0</v>
      </c>
      <c r="H30" s="818">
        <f t="shared" si="13"/>
        <v>1.5</v>
      </c>
      <c r="I30" s="816">
        <f t="shared" si="11"/>
        <v>5.2</v>
      </c>
      <c r="J30" s="816">
        <f t="shared" si="11"/>
        <v>0</v>
      </c>
      <c r="K30" s="818">
        <f t="shared" si="14"/>
        <v>5.2</v>
      </c>
      <c r="L30" s="816">
        <f t="shared" si="11"/>
        <v>4</v>
      </c>
      <c r="M30" s="816">
        <f t="shared" si="11"/>
        <v>0.4</v>
      </c>
      <c r="N30" s="843">
        <f t="shared" si="15"/>
        <v>11.1</v>
      </c>
      <c r="O30" s="818">
        <f t="shared" si="16"/>
        <v>562.8818</v>
      </c>
      <c r="P30" s="816">
        <f t="shared" si="11"/>
        <v>0</v>
      </c>
      <c r="Q30" s="816">
        <f t="shared" si="11"/>
        <v>0</v>
      </c>
      <c r="R30" s="816">
        <f>R14-32.3</f>
        <v>32.799999999999997</v>
      </c>
      <c r="S30" s="816">
        <f>S14</f>
        <v>0</v>
      </c>
      <c r="T30" s="818">
        <f t="shared" si="17"/>
        <v>32.799999999999997</v>
      </c>
      <c r="U30" s="818">
        <f t="shared" si="18"/>
        <v>595.68179999999995</v>
      </c>
      <c r="V30" s="819">
        <f t="shared" si="19"/>
        <v>9.8030967741935399E-2</v>
      </c>
      <c r="W30" s="816">
        <f>W14</f>
        <v>0</v>
      </c>
      <c r="X30" s="816">
        <v>-4.9000000000000004</v>
      </c>
      <c r="Y30" s="816">
        <v>-61.4</v>
      </c>
      <c r="Z30" s="818">
        <f t="shared" si="20"/>
        <v>-66.3</v>
      </c>
      <c r="AA30" s="818">
        <f t="shared" si="21"/>
        <v>529.3818</v>
      </c>
      <c r="AB30" s="821">
        <f>(AA30-$C$14)/$C$14</f>
        <v>-2.4181013824884797E-2</v>
      </c>
      <c r="AC30" s="822">
        <v>-0.6</v>
      </c>
      <c r="AD30" s="1056">
        <f t="shared" si="22"/>
        <v>-0.12221198156682027</v>
      </c>
      <c r="AE30" s="1062"/>
      <c r="AF30" s="1062">
        <f t="shared" si="23"/>
        <v>529.3818</v>
      </c>
      <c r="AG30" s="1062">
        <v>0</v>
      </c>
      <c r="AH30" s="1062">
        <f t="shared" si="24"/>
        <v>529.3818</v>
      </c>
      <c r="AI30" s="1062"/>
      <c r="AJ30" s="1062"/>
    </row>
    <row r="31" spans="2:36">
      <c r="B31" s="815" t="s">
        <v>685</v>
      </c>
      <c r="C31" s="816">
        <f t="shared" si="10"/>
        <v>1212.4000000000001</v>
      </c>
      <c r="D31" s="816">
        <f t="shared" si="10"/>
        <v>19.065460000000002</v>
      </c>
      <c r="E31" s="818">
        <f t="shared" si="12"/>
        <v>1231.4654600000001</v>
      </c>
      <c r="F31" s="816">
        <f t="shared" si="11"/>
        <v>4.1050000000000004</v>
      </c>
      <c r="G31" s="816">
        <f t="shared" si="11"/>
        <v>-4.8</v>
      </c>
      <c r="H31" s="818">
        <f t="shared" si="13"/>
        <v>-0.6949999999999994</v>
      </c>
      <c r="I31" s="816">
        <f t="shared" si="11"/>
        <v>0</v>
      </c>
      <c r="J31" s="816">
        <f t="shared" si="11"/>
        <v>0</v>
      </c>
      <c r="K31" s="818">
        <f t="shared" si="14"/>
        <v>0</v>
      </c>
      <c r="L31" s="816">
        <f t="shared" si="11"/>
        <v>11.9</v>
      </c>
      <c r="M31" s="816">
        <f t="shared" si="11"/>
        <v>1.8</v>
      </c>
      <c r="N31" s="843">
        <f t="shared" si="15"/>
        <v>13.005000000000003</v>
      </c>
      <c r="O31" s="818">
        <f t="shared" si="16"/>
        <v>1244.4704600000002</v>
      </c>
      <c r="P31" s="816">
        <f t="shared" si="11"/>
        <v>0</v>
      </c>
      <c r="Q31" s="816">
        <f t="shared" si="11"/>
        <v>-2.2999999999999998</v>
      </c>
      <c r="R31" s="816">
        <f t="shared" si="11"/>
        <v>0</v>
      </c>
      <c r="S31" s="816">
        <f>S15</f>
        <v>0</v>
      </c>
      <c r="T31" s="818">
        <f t="shared" si="17"/>
        <v>-2.2999999999999998</v>
      </c>
      <c r="U31" s="818">
        <f t="shared" si="18"/>
        <v>1242.1704600000003</v>
      </c>
      <c r="V31" s="819">
        <f t="shared" si="19"/>
        <v>2.455498185417369E-2</v>
      </c>
      <c r="W31" s="816">
        <f>W15</f>
        <v>-6.5</v>
      </c>
      <c r="X31" s="816">
        <f>X15</f>
        <v>0</v>
      </c>
      <c r="Y31" s="816">
        <v>-116.61699999999999</v>
      </c>
      <c r="Z31" s="818">
        <f t="shared" si="20"/>
        <v>-123.11699999999999</v>
      </c>
      <c r="AA31" s="818">
        <f t="shared" si="21"/>
        <v>1119.0534600000003</v>
      </c>
      <c r="AB31" s="821">
        <f>(AA31-$C$15)/$C$15</f>
        <v>-7.6993187066974403E-2</v>
      </c>
      <c r="AC31" s="822">
        <v>-1.5</v>
      </c>
      <c r="AD31" s="1056">
        <f t="shared" si="22"/>
        <v>-0.10154816892114812</v>
      </c>
      <c r="AE31" s="1062"/>
      <c r="AF31" s="1062">
        <f t="shared" si="23"/>
        <v>1119.0534600000003</v>
      </c>
      <c r="AG31" s="1062">
        <v>0</v>
      </c>
      <c r="AH31" s="1062">
        <f t="shared" si="24"/>
        <v>1119.0534600000003</v>
      </c>
      <c r="AI31" s="1062"/>
      <c r="AJ31" s="1062"/>
    </row>
    <row r="32" spans="2:36" s="829" customFormat="1">
      <c r="B32" s="823" t="s">
        <v>642</v>
      </c>
      <c r="C32" s="824">
        <f t="shared" si="10"/>
        <v>657.9</v>
      </c>
      <c r="D32" s="824">
        <f t="shared" si="10"/>
        <v>5.4828299999999999</v>
      </c>
      <c r="E32" s="826">
        <f t="shared" si="12"/>
        <v>663.38283000000001</v>
      </c>
      <c r="F32" s="824">
        <f t="shared" si="11"/>
        <v>0</v>
      </c>
      <c r="G32" s="824">
        <f t="shared" si="11"/>
        <v>7.5</v>
      </c>
      <c r="H32" s="826">
        <f t="shared" si="13"/>
        <v>7.5</v>
      </c>
      <c r="I32" s="824">
        <f t="shared" si="11"/>
        <v>7.1</v>
      </c>
      <c r="J32" s="824">
        <f t="shared" si="11"/>
        <v>3.8</v>
      </c>
      <c r="K32" s="826">
        <f t="shared" si="14"/>
        <v>10.899999999999999</v>
      </c>
      <c r="L32" s="824">
        <f t="shared" si="11"/>
        <v>3</v>
      </c>
      <c r="M32" s="824">
        <f t="shared" si="11"/>
        <v>3.3</v>
      </c>
      <c r="N32" s="844">
        <f t="shared" si="15"/>
        <v>24.7</v>
      </c>
      <c r="O32" s="826">
        <f t="shared" si="16"/>
        <v>688.08283000000006</v>
      </c>
      <c r="P32" s="824">
        <f t="shared" si="11"/>
        <v>0</v>
      </c>
      <c r="Q32" s="824">
        <f t="shared" si="11"/>
        <v>-7.3</v>
      </c>
      <c r="R32" s="824">
        <f t="shared" si="11"/>
        <v>0</v>
      </c>
      <c r="S32" s="824">
        <f>S16</f>
        <v>0</v>
      </c>
      <c r="T32" s="826">
        <f t="shared" si="17"/>
        <v>-7.3</v>
      </c>
      <c r="U32" s="826">
        <f t="shared" si="18"/>
        <v>680.7828300000001</v>
      </c>
      <c r="V32" s="827">
        <f t="shared" si="19"/>
        <v>3.4781623347013416E-2</v>
      </c>
      <c r="W32" s="824">
        <f>W16</f>
        <v>-20.299999999999997</v>
      </c>
      <c r="X32" s="824">
        <f>'[2]Operating Hours'!F48</f>
        <v>-7.791666666666667</v>
      </c>
      <c r="Y32" s="824">
        <f>Y16</f>
        <v>-36.799999999999997</v>
      </c>
      <c r="Z32" s="826">
        <f t="shared" si="20"/>
        <v>-64.891666666666666</v>
      </c>
      <c r="AA32" s="826">
        <f t="shared" si="21"/>
        <v>615.89116333333345</v>
      </c>
      <c r="AB32" s="828">
        <f>(AA32-$C$16)/$C$16</f>
        <v>-6.3852920909965846E-2</v>
      </c>
      <c r="AC32" s="825">
        <v>0</v>
      </c>
      <c r="AD32" s="1056">
        <f t="shared" si="22"/>
        <v>-9.8634544256979276E-2</v>
      </c>
      <c r="AE32" s="1063"/>
      <c r="AF32" s="1062">
        <f t="shared" si="23"/>
        <v>655.29116333333343</v>
      </c>
      <c r="AG32" s="1063">
        <v>39.4</v>
      </c>
      <c r="AH32" s="1062">
        <f t="shared" si="24"/>
        <v>615.89116333333345</v>
      </c>
      <c r="AI32" s="1063"/>
      <c r="AJ32" s="1063"/>
    </row>
    <row r="33" spans="2:36">
      <c r="B33" s="815" t="s">
        <v>686</v>
      </c>
      <c r="C33" s="816">
        <f t="shared" si="10"/>
        <v>872.3</v>
      </c>
      <c r="D33" s="816">
        <f t="shared" si="10"/>
        <v>12.665789999999999</v>
      </c>
      <c r="E33" s="818">
        <f t="shared" si="12"/>
        <v>884.96578999999997</v>
      </c>
      <c r="F33" s="816">
        <f t="shared" si="11"/>
        <v>0.5</v>
      </c>
      <c r="G33" s="816">
        <f t="shared" si="11"/>
        <v>0</v>
      </c>
      <c r="H33" s="818">
        <f t="shared" si="13"/>
        <v>0.5</v>
      </c>
      <c r="I33" s="816">
        <f t="shared" si="11"/>
        <v>0</v>
      </c>
      <c r="J33" s="816">
        <f t="shared" si="11"/>
        <v>0</v>
      </c>
      <c r="K33" s="818">
        <f t="shared" si="14"/>
        <v>0</v>
      </c>
      <c r="L33" s="816">
        <f t="shared" si="11"/>
        <v>9.3000000000000007</v>
      </c>
      <c r="M33" s="816">
        <f t="shared" si="11"/>
        <v>0</v>
      </c>
      <c r="N33" s="843">
        <f t="shared" si="15"/>
        <v>9.8000000000000007</v>
      </c>
      <c r="O33" s="818">
        <f t="shared" si="16"/>
        <v>894.76578999999992</v>
      </c>
      <c r="P33" s="816">
        <f t="shared" si="11"/>
        <v>0</v>
      </c>
      <c r="Q33" s="816">
        <f t="shared" si="11"/>
        <v>0</v>
      </c>
      <c r="R33" s="816">
        <f t="shared" si="11"/>
        <v>3.9</v>
      </c>
      <c r="S33" s="816">
        <f>S17</f>
        <v>0</v>
      </c>
      <c r="T33" s="818">
        <f t="shared" si="17"/>
        <v>3.9</v>
      </c>
      <c r="U33" s="818">
        <f t="shared" si="18"/>
        <v>898.6657899999999</v>
      </c>
      <c r="V33" s="819">
        <f t="shared" si="19"/>
        <v>3.0225598991172702E-2</v>
      </c>
      <c r="W33" s="816">
        <f>W17</f>
        <v>-9.7999999999999989</v>
      </c>
      <c r="X33" s="816">
        <v>-60.2</v>
      </c>
      <c r="Y33" s="816">
        <v>0</v>
      </c>
      <c r="Z33" s="818">
        <f t="shared" si="20"/>
        <v>-70</v>
      </c>
      <c r="AA33" s="818">
        <f t="shared" si="21"/>
        <v>828.6657899999999</v>
      </c>
      <c r="AB33" s="821">
        <f>(AA33-$C$17)/$C$17</f>
        <v>-5.0022022240055093E-2</v>
      </c>
      <c r="AC33" s="822">
        <f>(X33/X17)*AC17</f>
        <v>-0.77777777777777779</v>
      </c>
      <c r="AD33" s="1056">
        <f t="shared" si="22"/>
        <v>-8.0247621231227792E-2</v>
      </c>
      <c r="AE33" s="1062"/>
      <c r="AF33" s="1062">
        <f t="shared" si="23"/>
        <v>828.6657899999999</v>
      </c>
      <c r="AG33" s="1062">
        <v>0</v>
      </c>
      <c r="AH33" s="1062">
        <f t="shared" si="24"/>
        <v>828.6657899999999</v>
      </c>
      <c r="AI33" s="1062"/>
      <c r="AJ33" s="1062"/>
    </row>
    <row r="34" spans="2:36">
      <c r="B34" s="830" t="s">
        <v>687</v>
      </c>
      <c r="C34" s="831">
        <f t="shared" si="10"/>
        <v>293.10000000000002</v>
      </c>
      <c r="D34" s="831">
        <f t="shared" si="10"/>
        <v>4.1407999999999996</v>
      </c>
      <c r="E34" s="833">
        <f t="shared" si="12"/>
        <v>297.24080000000004</v>
      </c>
      <c r="F34" s="831">
        <f t="shared" si="11"/>
        <v>0</v>
      </c>
      <c r="G34" s="831">
        <f t="shared" si="11"/>
        <v>0</v>
      </c>
      <c r="H34" s="833">
        <f t="shared" si="13"/>
        <v>0</v>
      </c>
      <c r="I34" s="831">
        <f t="shared" si="11"/>
        <v>2.2999999999999998</v>
      </c>
      <c r="J34" s="831">
        <f t="shared" si="11"/>
        <v>0</v>
      </c>
      <c r="K34" s="833">
        <f t="shared" si="14"/>
        <v>2.2999999999999998</v>
      </c>
      <c r="L34" s="831">
        <f t="shared" si="11"/>
        <v>5</v>
      </c>
      <c r="M34" s="831">
        <f t="shared" si="11"/>
        <v>0</v>
      </c>
      <c r="N34" s="845">
        <f t="shared" si="15"/>
        <v>7.3</v>
      </c>
      <c r="O34" s="833">
        <f t="shared" si="16"/>
        <v>304.54080000000005</v>
      </c>
      <c r="P34" s="831">
        <f t="shared" si="11"/>
        <v>0.2</v>
      </c>
      <c r="Q34" s="831">
        <f t="shared" si="11"/>
        <v>0</v>
      </c>
      <c r="R34" s="831">
        <f t="shared" si="11"/>
        <v>0</v>
      </c>
      <c r="S34" s="831">
        <f>S18</f>
        <v>-53.6</v>
      </c>
      <c r="T34" s="833">
        <f t="shared" si="17"/>
        <v>-53.4</v>
      </c>
      <c r="U34" s="833">
        <f t="shared" si="18"/>
        <v>251.14080000000004</v>
      </c>
      <c r="V34" s="835">
        <f t="shared" si="19"/>
        <v>-0.14315660184237455</v>
      </c>
      <c r="W34" s="831">
        <f>W18</f>
        <v>-1.8</v>
      </c>
      <c r="X34" s="831">
        <f>X18</f>
        <v>0</v>
      </c>
      <c r="Y34" s="831">
        <v>0</v>
      </c>
      <c r="Z34" s="833">
        <f t="shared" si="20"/>
        <v>-1.8</v>
      </c>
      <c r="AA34" s="833">
        <f t="shared" si="21"/>
        <v>249.34080000000003</v>
      </c>
      <c r="AB34" s="835">
        <f>(AA34-$C$18)/$C$18</f>
        <v>-0.14929785056294775</v>
      </c>
      <c r="AC34" s="832">
        <v>0</v>
      </c>
      <c r="AD34" s="1056">
        <f>(Z34+S34)/E34</f>
        <v>-0.18638087368894174</v>
      </c>
      <c r="AE34" s="1062"/>
      <c r="AF34" s="1065">
        <f t="shared" si="23"/>
        <v>473.94080000000002</v>
      </c>
      <c r="AG34" s="1065">
        <v>224.6</v>
      </c>
      <c r="AH34" s="1065">
        <f t="shared" si="24"/>
        <v>249.34080000000003</v>
      </c>
      <c r="AI34" s="1062"/>
      <c r="AJ34" s="1062"/>
    </row>
    <row r="35" spans="2:36">
      <c r="B35" s="836" t="s">
        <v>657</v>
      </c>
      <c r="C35" s="837">
        <f t="shared" ref="C35:AC35" si="25">SUM(C25:C34)</f>
        <v>7225.7</v>
      </c>
      <c r="D35" s="837">
        <f t="shared" si="25"/>
        <v>44.429610000000004</v>
      </c>
      <c r="E35" s="838">
        <f t="shared" si="25"/>
        <v>7270.12961</v>
      </c>
      <c r="F35" s="837">
        <f t="shared" si="25"/>
        <v>8.2600000000000016</v>
      </c>
      <c r="G35" s="837">
        <f t="shared" si="25"/>
        <v>2.7</v>
      </c>
      <c r="H35" s="838">
        <f t="shared" si="25"/>
        <v>10.96</v>
      </c>
      <c r="I35" s="837">
        <f t="shared" si="25"/>
        <v>32.499999999999993</v>
      </c>
      <c r="J35" s="837">
        <f t="shared" si="25"/>
        <v>11.899999999999999</v>
      </c>
      <c r="K35" s="838">
        <f t="shared" si="25"/>
        <v>44.399999999999991</v>
      </c>
      <c r="L35" s="837">
        <f t="shared" si="25"/>
        <v>59.7</v>
      </c>
      <c r="M35" s="837">
        <f t="shared" si="25"/>
        <v>12.400000000000002</v>
      </c>
      <c r="N35" s="846">
        <f t="shared" si="25"/>
        <v>127.46</v>
      </c>
      <c r="O35" s="838">
        <f t="shared" si="25"/>
        <v>7397.58961</v>
      </c>
      <c r="P35" s="837">
        <f t="shared" si="25"/>
        <v>0.89999999999999991</v>
      </c>
      <c r="Q35" s="837">
        <f>SUM(Q25:Q34)</f>
        <v>-25.838940000000001</v>
      </c>
      <c r="R35" s="837">
        <f t="shared" si="25"/>
        <v>36.699999999999996</v>
      </c>
      <c r="S35" s="837">
        <f t="shared" si="25"/>
        <v>-53.6</v>
      </c>
      <c r="T35" s="838">
        <f t="shared" si="25"/>
        <v>-41.838940000000001</v>
      </c>
      <c r="U35" s="838">
        <f t="shared" si="25"/>
        <v>7355.7506700000013</v>
      </c>
      <c r="V35" s="840">
        <f t="shared" si="19"/>
        <v>1.7998348948890967E-2</v>
      </c>
      <c r="W35" s="837">
        <f>SUM(W25:W34)</f>
        <v>-87.661759999999987</v>
      </c>
      <c r="X35" s="837">
        <f>SUM(X25:X34)</f>
        <v>-129.09166666666667</v>
      </c>
      <c r="Y35" s="837">
        <f>SUM(Y25:Y34)</f>
        <v>-451.72441999999995</v>
      </c>
      <c r="Z35" s="838">
        <f t="shared" si="25"/>
        <v>-668.47784666666655</v>
      </c>
      <c r="AA35" s="838">
        <f t="shared" si="25"/>
        <v>6687.2728233333337</v>
      </c>
      <c r="AB35" s="840">
        <f>(AA35-$C$19)/$C$19</f>
        <v>-7.4515573116330058E-2</v>
      </c>
      <c r="AC35" s="841">
        <f t="shared" si="25"/>
        <v>-7.0828410689170171</v>
      </c>
      <c r="AD35" s="1056">
        <f>(Z35+S35)/E35</f>
        <v>-9.932117931892917E-2</v>
      </c>
      <c r="AE35" s="1062"/>
      <c r="AF35" s="1062">
        <f>SUM(AF25:AF34)</f>
        <v>6951.2728233333337</v>
      </c>
      <c r="AG35" s="1062">
        <f>SUM(AG25:AG34)</f>
        <v>264</v>
      </c>
      <c r="AH35" s="1062">
        <f>SUM(AH25:AH34)</f>
        <v>6687.2728233333337</v>
      </c>
      <c r="AI35" s="1062"/>
      <c r="AJ35" s="1062"/>
    </row>
    <row r="36" spans="2:36">
      <c r="B36" s="808"/>
      <c r="C36" s="847"/>
      <c r="D36" s="847"/>
      <c r="E36" s="847"/>
      <c r="F36" s="847"/>
      <c r="G36" s="847"/>
      <c r="H36" s="847"/>
      <c r="I36" s="847"/>
      <c r="J36" s="847"/>
      <c r="K36" s="847"/>
      <c r="L36" s="847"/>
      <c r="M36" s="847"/>
      <c r="N36" s="847"/>
      <c r="O36" s="847"/>
      <c r="P36" s="847"/>
      <c r="Q36" s="847"/>
      <c r="R36" s="847"/>
      <c r="S36" s="847"/>
      <c r="T36" s="847"/>
      <c r="U36" s="847"/>
      <c r="V36" s="847"/>
      <c r="W36" s="847"/>
      <c r="X36" s="847"/>
      <c r="Y36" s="847"/>
      <c r="Z36" s="847"/>
      <c r="AA36" s="847"/>
      <c r="AB36" s="847"/>
      <c r="AC36" s="847"/>
      <c r="AE36" s="1062"/>
      <c r="AF36" s="1062"/>
      <c r="AG36" s="1062"/>
      <c r="AH36" s="1062"/>
      <c r="AI36" s="1062"/>
      <c r="AJ36" s="1062"/>
    </row>
    <row r="37" spans="2:36">
      <c r="B37" s="804" t="s">
        <v>689</v>
      </c>
      <c r="C37" s="847"/>
      <c r="D37" s="847"/>
      <c r="E37" s="847"/>
      <c r="F37" s="847"/>
      <c r="G37" s="847"/>
      <c r="H37" s="847"/>
      <c r="I37" s="847"/>
      <c r="J37" s="847"/>
      <c r="K37" s="847"/>
      <c r="L37" s="847"/>
      <c r="M37" s="847"/>
      <c r="N37" s="847"/>
      <c r="O37" s="847"/>
      <c r="P37" s="847"/>
      <c r="Q37" s="847"/>
      <c r="R37" s="847"/>
      <c r="S37" s="847"/>
      <c r="T37" s="847"/>
      <c r="U37" s="847"/>
      <c r="V37" s="847"/>
      <c r="W37" s="847"/>
      <c r="X37" s="847"/>
      <c r="Y37" s="847"/>
      <c r="Z37" s="847"/>
      <c r="AA37" s="847"/>
      <c r="AB37" s="847"/>
      <c r="AC37" s="847"/>
      <c r="AE37" s="1062"/>
      <c r="AF37" s="1062"/>
      <c r="AG37" s="1062"/>
      <c r="AH37" s="1062"/>
      <c r="AI37" s="1062"/>
      <c r="AJ37" s="1062"/>
    </row>
    <row r="38" spans="2:36">
      <c r="B38" s="804" t="s">
        <v>690</v>
      </c>
      <c r="C38" s="847"/>
      <c r="D38" s="847"/>
      <c r="E38" s="847"/>
      <c r="F38" s="847"/>
      <c r="G38" s="847"/>
      <c r="H38" s="847"/>
      <c r="I38" s="847"/>
      <c r="J38" s="847"/>
      <c r="K38" s="847"/>
      <c r="L38" s="847"/>
      <c r="M38" s="847"/>
      <c r="N38" s="847"/>
      <c r="O38" s="847"/>
      <c r="P38" s="847"/>
      <c r="Q38" s="847"/>
      <c r="R38" s="847"/>
      <c r="S38" s="847"/>
      <c r="T38" s="847"/>
      <c r="U38" s="847"/>
      <c r="V38" s="847"/>
      <c r="W38" s="847"/>
      <c r="X38" s="847"/>
      <c r="Y38" s="847"/>
      <c r="Z38" s="847"/>
      <c r="AA38" s="847"/>
      <c r="AB38" s="847"/>
      <c r="AC38" s="847"/>
      <c r="AE38" s="1062"/>
      <c r="AF38" s="1062"/>
      <c r="AG38" s="1062"/>
      <c r="AH38" s="1062"/>
      <c r="AI38" s="1062"/>
      <c r="AJ38" s="1062"/>
    </row>
    <row r="39" spans="2:36">
      <c r="B39" s="804" t="s">
        <v>691</v>
      </c>
      <c r="C39" s="847"/>
      <c r="D39" s="847"/>
      <c r="E39" s="847"/>
      <c r="F39" s="847"/>
      <c r="G39" s="847"/>
      <c r="H39" s="847"/>
      <c r="I39" s="847"/>
      <c r="J39" s="847"/>
      <c r="K39" s="847"/>
      <c r="L39" s="847"/>
      <c r="M39" s="847"/>
      <c r="N39" s="847"/>
      <c r="O39" s="847"/>
      <c r="P39" s="847"/>
      <c r="Q39" s="847"/>
      <c r="R39" s="847"/>
      <c r="S39" s="847"/>
      <c r="T39" s="847"/>
      <c r="U39" s="847"/>
      <c r="V39" s="847"/>
      <c r="W39" s="847"/>
      <c r="X39" s="847"/>
      <c r="Y39" s="847"/>
      <c r="Z39" s="847"/>
      <c r="AA39" s="847"/>
      <c r="AB39" s="847"/>
      <c r="AC39" s="847"/>
    </row>
    <row r="40" spans="2:36">
      <c r="B40" s="804" t="s">
        <v>692</v>
      </c>
      <c r="C40" s="847"/>
      <c r="D40" s="847"/>
      <c r="E40" s="847"/>
      <c r="F40" s="847"/>
      <c r="G40" s="847"/>
      <c r="H40" s="847"/>
      <c r="I40" s="847"/>
      <c r="J40" s="847"/>
      <c r="K40" s="847"/>
      <c r="L40" s="847"/>
      <c r="M40" s="847"/>
      <c r="N40" s="847"/>
      <c r="O40" s="847"/>
      <c r="P40" s="847"/>
      <c r="Q40" s="847"/>
      <c r="R40" s="847"/>
      <c r="S40" s="847"/>
      <c r="T40" s="847"/>
      <c r="U40" s="847"/>
      <c r="V40" s="847"/>
      <c r="W40" s="847"/>
      <c r="X40" s="847"/>
      <c r="Y40" s="847"/>
      <c r="Z40" s="847"/>
      <c r="AA40" s="847"/>
      <c r="AB40" s="847"/>
      <c r="AC40" s="847"/>
    </row>
    <row r="41" spans="2:36">
      <c r="B41" s="804" t="s">
        <v>693</v>
      </c>
      <c r="C41" s="847"/>
      <c r="D41" s="847"/>
      <c r="E41" s="847"/>
      <c r="F41" s="847"/>
      <c r="G41" s="847"/>
      <c r="H41" s="847"/>
      <c r="I41" s="847"/>
      <c r="J41" s="847"/>
      <c r="K41" s="847"/>
      <c r="L41" s="847"/>
      <c r="M41" s="847"/>
      <c r="N41" s="847"/>
      <c r="O41" s="847"/>
      <c r="P41" s="847"/>
      <c r="Q41" s="847"/>
      <c r="R41" s="847"/>
      <c r="S41" s="847"/>
      <c r="T41" s="847"/>
      <c r="U41" s="847"/>
      <c r="V41" s="847"/>
      <c r="W41" s="847"/>
      <c r="X41" s="847"/>
      <c r="Y41" s="847"/>
      <c r="Z41" s="847"/>
      <c r="AA41" s="847"/>
      <c r="AB41" s="847"/>
      <c r="AC41" s="847"/>
    </row>
    <row r="42" spans="2:36">
      <c r="B42" s="804" t="s">
        <v>694</v>
      </c>
      <c r="C42" s="847"/>
      <c r="D42" s="847"/>
      <c r="E42" s="847"/>
      <c r="F42" s="847"/>
      <c r="G42" s="847"/>
      <c r="H42" s="847"/>
      <c r="I42" s="847"/>
      <c r="J42" s="847"/>
      <c r="K42" s="847"/>
      <c r="L42" s="847"/>
      <c r="M42" s="847"/>
      <c r="N42" s="847"/>
      <c r="O42" s="847"/>
      <c r="P42" s="847"/>
      <c r="Q42" s="847"/>
      <c r="R42" s="847"/>
      <c r="S42" s="847"/>
      <c r="T42" s="847"/>
      <c r="U42" s="847"/>
      <c r="V42" s="847"/>
      <c r="W42" s="847"/>
      <c r="X42" s="847"/>
      <c r="Y42" s="847"/>
      <c r="Z42" s="847"/>
      <c r="AA42" s="847"/>
      <c r="AB42" s="847"/>
      <c r="AC42" s="847"/>
    </row>
    <row r="43" spans="2:36">
      <c r="B43" s="808"/>
      <c r="C43" s="847"/>
      <c r="D43" s="847"/>
      <c r="E43" s="847"/>
      <c r="F43" s="847"/>
      <c r="G43" s="847"/>
      <c r="H43" s="847"/>
      <c r="I43" s="847"/>
      <c r="J43" s="847"/>
      <c r="K43" s="847"/>
      <c r="L43" s="847"/>
      <c r="M43" s="847"/>
      <c r="N43" s="847"/>
      <c r="O43" s="847"/>
      <c r="P43" s="847"/>
      <c r="Q43" s="847"/>
      <c r="R43" s="847"/>
      <c r="S43" s="847"/>
      <c r="T43" s="847"/>
      <c r="U43" s="847"/>
      <c r="V43" s="847"/>
      <c r="W43" s="847"/>
      <c r="X43" s="847"/>
      <c r="Y43" s="847"/>
      <c r="Z43" s="847"/>
      <c r="AA43" s="847"/>
      <c r="AB43" s="847"/>
      <c r="AC43" s="847"/>
    </row>
    <row r="45" spans="2:36" ht="15.75">
      <c r="B45" s="806" t="s">
        <v>695</v>
      </c>
    </row>
    <row r="46" spans="2:36" ht="6.75" customHeight="1"/>
    <row r="47" spans="2:36" ht="51">
      <c r="B47" s="809" t="s">
        <v>636</v>
      </c>
      <c r="C47" s="810" t="s">
        <v>559</v>
      </c>
      <c r="D47" s="810" t="s">
        <v>660</v>
      </c>
      <c r="E47" s="811" t="s">
        <v>661</v>
      </c>
      <c r="F47" s="812" t="s">
        <v>648</v>
      </c>
      <c r="G47" s="812" t="s">
        <v>650</v>
      </c>
      <c r="H47" s="811" t="s">
        <v>664</v>
      </c>
      <c r="I47" s="810" t="s">
        <v>665</v>
      </c>
      <c r="J47" s="812" t="s">
        <v>666</v>
      </c>
      <c r="K47" s="811" t="s">
        <v>667</v>
      </c>
      <c r="L47" s="812" t="s">
        <v>643</v>
      </c>
      <c r="M47" s="812" t="s">
        <v>638</v>
      </c>
      <c r="N47" s="811" t="s">
        <v>670</v>
      </c>
      <c r="O47" s="811" t="s">
        <v>9</v>
      </c>
      <c r="P47" s="812" t="s">
        <v>651</v>
      </c>
      <c r="Q47" s="810" t="s">
        <v>672</v>
      </c>
      <c r="R47" s="812" t="s">
        <v>652</v>
      </c>
      <c r="S47" s="812" t="s">
        <v>653</v>
      </c>
      <c r="T47" s="809" t="s">
        <v>675</v>
      </c>
      <c r="U47" s="811" t="s">
        <v>676</v>
      </c>
      <c r="V47" s="811"/>
      <c r="W47" s="812" t="s">
        <v>654</v>
      </c>
      <c r="X47" s="812" t="s">
        <v>655</v>
      </c>
      <c r="Y47" s="812" t="s">
        <v>656</v>
      </c>
      <c r="Z47" s="811" t="s">
        <v>678</v>
      </c>
      <c r="AA47" s="811" t="s">
        <v>679</v>
      </c>
      <c r="AB47" s="813" t="s">
        <v>680</v>
      </c>
      <c r="AC47" s="814" t="s">
        <v>681</v>
      </c>
    </row>
    <row r="48" spans="2:36">
      <c r="B48" s="815" t="s">
        <v>649</v>
      </c>
      <c r="C48" s="816">
        <f t="shared" ref="C48:D57" si="26">C25</f>
        <v>1245.2</v>
      </c>
      <c r="D48" s="816">
        <f t="shared" si="26"/>
        <v>10.869490000000001</v>
      </c>
      <c r="E48" s="818">
        <f>SUM(C48:D48)</f>
        <v>1256.0694900000001</v>
      </c>
      <c r="F48" s="816">
        <f t="shared" ref="F48:G57" si="27">F25</f>
        <v>0</v>
      </c>
      <c r="G48" s="816">
        <f t="shared" si="27"/>
        <v>0</v>
      </c>
      <c r="H48" s="818">
        <f>SUM(F48:G48)</f>
        <v>0</v>
      </c>
      <c r="I48" s="816">
        <f t="shared" ref="I48:J57" si="28">I25</f>
        <v>0</v>
      </c>
      <c r="J48" s="816">
        <f t="shared" si="28"/>
        <v>0</v>
      </c>
      <c r="K48" s="818">
        <f>SUM(I48:J48)</f>
        <v>0</v>
      </c>
      <c r="L48" s="816">
        <f t="shared" ref="L48:M57" si="29">L25</f>
        <v>0</v>
      </c>
      <c r="M48" s="816">
        <f t="shared" si="29"/>
        <v>0</v>
      </c>
      <c r="N48" s="818">
        <f>H48+K48+L48+M48</f>
        <v>0</v>
      </c>
      <c r="O48" s="818">
        <f>E48+N48</f>
        <v>1256.0694900000001</v>
      </c>
      <c r="P48" s="816">
        <f t="shared" ref="P48:S57" si="30">P9-P25</f>
        <v>0</v>
      </c>
      <c r="Q48" s="816">
        <f t="shared" si="30"/>
        <v>0</v>
      </c>
      <c r="R48" s="816">
        <f t="shared" si="30"/>
        <v>0</v>
      </c>
      <c r="S48" s="816">
        <f t="shared" si="30"/>
        <v>0</v>
      </c>
      <c r="T48" s="818">
        <f>SUM(P48:S48)</f>
        <v>0</v>
      </c>
      <c r="U48" s="818">
        <f>O48+T48</f>
        <v>1256.0694900000001</v>
      </c>
      <c r="V48" s="819"/>
      <c r="W48" s="816">
        <f t="shared" ref="W48:Y57" si="31">W9-W25</f>
        <v>0</v>
      </c>
      <c r="X48" s="816">
        <f t="shared" si="31"/>
        <v>0</v>
      </c>
      <c r="Y48" s="816">
        <f t="shared" si="31"/>
        <v>0</v>
      </c>
      <c r="Z48" s="818">
        <f>SUM(W48:Y48)</f>
        <v>0</v>
      </c>
      <c r="AA48" s="818">
        <f>U48+Z48</f>
        <v>1256.0694900000001</v>
      </c>
      <c r="AB48" s="821">
        <f>(AA48-$C$9)/$C$9</f>
        <v>8.7291117892708322E-3</v>
      </c>
      <c r="AC48" s="822">
        <f t="shared" ref="AC48:AC57" si="32">AC9-AC25</f>
        <v>0</v>
      </c>
    </row>
    <row r="49" spans="2:29">
      <c r="B49" s="815" t="s">
        <v>637</v>
      </c>
      <c r="C49" s="816">
        <f t="shared" si="26"/>
        <v>416.4</v>
      </c>
      <c r="D49" s="816">
        <f t="shared" si="26"/>
        <v>-41.275199999999998</v>
      </c>
      <c r="E49" s="818">
        <f t="shared" ref="E49:E57" si="33">SUM(C49:D49)</f>
        <v>375.12479999999999</v>
      </c>
      <c r="F49" s="816">
        <f t="shared" si="27"/>
        <v>0.1</v>
      </c>
      <c r="G49" s="816">
        <f t="shared" si="27"/>
        <v>0</v>
      </c>
      <c r="H49" s="818">
        <f t="shared" ref="H49:H57" si="34">SUM(F49:G49)</f>
        <v>0.1</v>
      </c>
      <c r="I49" s="816">
        <f t="shared" si="28"/>
        <v>2.6</v>
      </c>
      <c r="J49" s="816">
        <f t="shared" si="28"/>
        <v>0</v>
      </c>
      <c r="K49" s="818">
        <f t="shared" ref="K49:K57" si="35">SUM(I49:J49)</f>
        <v>2.6</v>
      </c>
      <c r="L49" s="816">
        <f t="shared" si="29"/>
        <v>6.3</v>
      </c>
      <c r="M49" s="816">
        <f t="shared" si="29"/>
        <v>0.3</v>
      </c>
      <c r="N49" s="818">
        <f t="shared" ref="N49:N57" si="36">H49+K49+L49+M49</f>
        <v>9.3000000000000007</v>
      </c>
      <c r="O49" s="818">
        <f t="shared" ref="O49:O57" si="37">E49+N49</f>
        <v>384.4248</v>
      </c>
      <c r="P49" s="816">
        <f t="shared" si="30"/>
        <v>0</v>
      </c>
      <c r="Q49" s="816">
        <f t="shared" si="30"/>
        <v>0</v>
      </c>
      <c r="R49" s="816">
        <f t="shared" si="30"/>
        <v>0</v>
      </c>
      <c r="S49" s="816">
        <f t="shared" si="30"/>
        <v>0</v>
      </c>
      <c r="T49" s="818">
        <f t="shared" ref="T49:T57" si="38">SUM(P49:S49)</f>
        <v>0</v>
      </c>
      <c r="U49" s="818">
        <f t="shared" ref="U49:U57" si="39">O49+T49</f>
        <v>384.4248</v>
      </c>
      <c r="V49" s="819"/>
      <c r="W49" s="816">
        <f t="shared" si="31"/>
        <v>0</v>
      </c>
      <c r="X49" s="816">
        <f t="shared" si="31"/>
        <v>0</v>
      </c>
      <c r="Y49" s="816">
        <f t="shared" si="31"/>
        <v>0</v>
      </c>
      <c r="Z49" s="818">
        <f t="shared" ref="Z49:Z57" si="40">SUM(W49:Y49)</f>
        <v>0</v>
      </c>
      <c r="AA49" s="818">
        <f t="shared" ref="AA49:AA57" si="41">U49+Z49</f>
        <v>384.4248</v>
      </c>
      <c r="AB49" s="821">
        <f>(AA49-$C$10)/$C$10</f>
        <v>-7.6789625360230485E-2</v>
      </c>
      <c r="AC49" s="822">
        <f t="shared" si="32"/>
        <v>0</v>
      </c>
    </row>
    <row r="50" spans="2:29">
      <c r="B50" s="815" t="s">
        <v>644</v>
      </c>
      <c r="C50" s="816">
        <f t="shared" si="26"/>
        <v>678.9</v>
      </c>
      <c r="D50" s="816">
        <f t="shared" si="26"/>
        <v>6.7422399999999998</v>
      </c>
      <c r="E50" s="818">
        <f t="shared" si="33"/>
        <v>685.64224000000002</v>
      </c>
      <c r="F50" s="816">
        <f t="shared" si="27"/>
        <v>1.6</v>
      </c>
      <c r="G50" s="816">
        <f t="shared" si="27"/>
        <v>0</v>
      </c>
      <c r="H50" s="818">
        <f t="shared" si="34"/>
        <v>1.6</v>
      </c>
      <c r="I50" s="816">
        <f t="shared" si="28"/>
        <v>3.4</v>
      </c>
      <c r="J50" s="816">
        <f t="shared" si="28"/>
        <v>4.0999999999999996</v>
      </c>
      <c r="K50" s="818">
        <f t="shared" si="35"/>
        <v>7.5</v>
      </c>
      <c r="L50" s="816">
        <f t="shared" si="29"/>
        <v>7.6</v>
      </c>
      <c r="M50" s="816">
        <f t="shared" si="29"/>
        <v>2.6</v>
      </c>
      <c r="N50" s="818">
        <f t="shared" si="36"/>
        <v>19.3</v>
      </c>
      <c r="O50" s="818">
        <f t="shared" si="37"/>
        <v>704.94223999999997</v>
      </c>
      <c r="P50" s="816">
        <f t="shared" si="30"/>
        <v>0</v>
      </c>
      <c r="Q50" s="816">
        <f t="shared" si="30"/>
        <v>0</v>
      </c>
      <c r="R50" s="816">
        <f t="shared" si="30"/>
        <v>0</v>
      </c>
      <c r="S50" s="816">
        <f t="shared" si="30"/>
        <v>0</v>
      </c>
      <c r="T50" s="818">
        <f t="shared" si="38"/>
        <v>0</v>
      </c>
      <c r="U50" s="818">
        <f t="shared" si="39"/>
        <v>704.94223999999997</v>
      </c>
      <c r="V50" s="819"/>
      <c r="W50" s="816">
        <f t="shared" si="31"/>
        <v>0</v>
      </c>
      <c r="X50" s="816">
        <f t="shared" si="31"/>
        <v>0</v>
      </c>
      <c r="Y50" s="816">
        <f t="shared" si="31"/>
        <v>0</v>
      </c>
      <c r="Z50" s="818">
        <f t="shared" si="40"/>
        <v>0</v>
      </c>
      <c r="AA50" s="818">
        <f t="shared" si="41"/>
        <v>704.94223999999997</v>
      </c>
      <c r="AB50" s="821">
        <f>(AA50-$C$11)/$C$11</f>
        <v>3.8359463838562369E-2</v>
      </c>
      <c r="AC50" s="822">
        <f t="shared" si="32"/>
        <v>0</v>
      </c>
    </row>
    <row r="51" spans="2:29">
      <c r="B51" s="815" t="s">
        <v>645</v>
      </c>
      <c r="C51" s="816">
        <f t="shared" si="26"/>
        <v>597</v>
      </c>
      <c r="D51" s="816">
        <f t="shared" si="26"/>
        <v>8.7766300000000008</v>
      </c>
      <c r="E51" s="818">
        <f t="shared" si="33"/>
        <v>605.77662999999995</v>
      </c>
      <c r="F51" s="816">
        <f t="shared" si="27"/>
        <v>0.45500000000000002</v>
      </c>
      <c r="G51" s="816">
        <f t="shared" si="27"/>
        <v>0</v>
      </c>
      <c r="H51" s="818">
        <f t="shared" si="34"/>
        <v>0.45500000000000002</v>
      </c>
      <c r="I51" s="816">
        <f t="shared" si="28"/>
        <v>9.4</v>
      </c>
      <c r="J51" s="816">
        <f t="shared" si="28"/>
        <v>2.2999999999999998</v>
      </c>
      <c r="K51" s="818">
        <f t="shared" si="35"/>
        <v>11.7</v>
      </c>
      <c r="L51" s="816">
        <f t="shared" si="29"/>
        <v>5.2</v>
      </c>
      <c r="M51" s="816">
        <f t="shared" si="29"/>
        <v>0</v>
      </c>
      <c r="N51" s="818">
        <f t="shared" si="36"/>
        <v>17.355</v>
      </c>
      <c r="O51" s="818">
        <f t="shared" si="37"/>
        <v>623.13162999999997</v>
      </c>
      <c r="P51" s="816">
        <f t="shared" si="30"/>
        <v>0</v>
      </c>
      <c r="Q51" s="816">
        <f t="shared" si="30"/>
        <v>0</v>
      </c>
      <c r="R51" s="816">
        <f t="shared" si="30"/>
        <v>0</v>
      </c>
      <c r="S51" s="816">
        <f t="shared" si="30"/>
        <v>0</v>
      </c>
      <c r="T51" s="818">
        <f t="shared" si="38"/>
        <v>0</v>
      </c>
      <c r="U51" s="818">
        <f t="shared" si="39"/>
        <v>623.13162999999997</v>
      </c>
      <c r="V51" s="819"/>
      <c r="W51" s="816">
        <f t="shared" si="31"/>
        <v>0</v>
      </c>
      <c r="X51" s="816">
        <f t="shared" si="31"/>
        <v>0</v>
      </c>
      <c r="Y51" s="816">
        <f t="shared" si="31"/>
        <v>0</v>
      </c>
      <c r="Z51" s="818">
        <f t="shared" si="40"/>
        <v>0</v>
      </c>
      <c r="AA51" s="818">
        <f t="shared" si="41"/>
        <v>623.13162999999997</v>
      </c>
      <c r="AB51" s="821">
        <f>(AA51-$C$12)/$C$12</f>
        <v>4.3771574539363436E-2</v>
      </c>
      <c r="AC51" s="822">
        <f t="shared" si="32"/>
        <v>0</v>
      </c>
    </row>
    <row r="52" spans="2:29">
      <c r="B52" s="815" t="s">
        <v>639</v>
      </c>
      <c r="C52" s="816">
        <f t="shared" si="26"/>
        <v>710</v>
      </c>
      <c r="D52" s="816">
        <f t="shared" si="26"/>
        <v>8.6797699999999995</v>
      </c>
      <c r="E52" s="818">
        <f t="shared" si="33"/>
        <v>718.67976999999996</v>
      </c>
      <c r="F52" s="816">
        <f t="shared" si="27"/>
        <v>0</v>
      </c>
      <c r="G52" s="816">
        <f t="shared" si="27"/>
        <v>0</v>
      </c>
      <c r="H52" s="818">
        <f t="shared" si="34"/>
        <v>0</v>
      </c>
      <c r="I52" s="816">
        <f t="shared" si="28"/>
        <v>2.5</v>
      </c>
      <c r="J52" s="816">
        <f t="shared" si="28"/>
        <v>1.7</v>
      </c>
      <c r="K52" s="818">
        <f t="shared" si="35"/>
        <v>4.2</v>
      </c>
      <c r="L52" s="816">
        <f t="shared" si="29"/>
        <v>7.4</v>
      </c>
      <c r="M52" s="816">
        <f t="shared" si="29"/>
        <v>4</v>
      </c>
      <c r="N52" s="818">
        <f t="shared" si="36"/>
        <v>15.600000000000001</v>
      </c>
      <c r="O52" s="818">
        <f t="shared" si="37"/>
        <v>734.27976999999998</v>
      </c>
      <c r="P52" s="816">
        <f t="shared" si="30"/>
        <v>0</v>
      </c>
      <c r="Q52" s="816">
        <f t="shared" si="30"/>
        <v>0</v>
      </c>
      <c r="R52" s="816">
        <f t="shared" si="30"/>
        <v>0</v>
      </c>
      <c r="S52" s="816">
        <f t="shared" si="30"/>
        <v>0</v>
      </c>
      <c r="T52" s="818">
        <f t="shared" si="38"/>
        <v>0</v>
      </c>
      <c r="U52" s="818">
        <f t="shared" si="39"/>
        <v>734.27976999999998</v>
      </c>
      <c r="V52" s="819"/>
      <c r="W52" s="816">
        <f t="shared" si="31"/>
        <v>-20</v>
      </c>
      <c r="X52" s="816">
        <f t="shared" si="31"/>
        <v>-7</v>
      </c>
      <c r="Y52" s="816">
        <f t="shared" si="31"/>
        <v>0</v>
      </c>
      <c r="Z52" s="818">
        <f t="shared" si="40"/>
        <v>-27</v>
      </c>
      <c r="AA52" s="818">
        <f t="shared" si="41"/>
        <v>707.27976999999998</v>
      </c>
      <c r="AB52" s="821">
        <f>(AA52-$C$13)/$C$13</f>
        <v>-3.8313098591549509E-3</v>
      </c>
      <c r="AC52" s="822">
        <f t="shared" si="32"/>
        <v>-9.4936708860759556E-2</v>
      </c>
    </row>
    <row r="53" spans="2:29">
      <c r="B53" s="815" t="s">
        <v>640</v>
      </c>
      <c r="C53" s="816">
        <f t="shared" si="26"/>
        <v>542.5</v>
      </c>
      <c r="D53" s="816">
        <f t="shared" si="26"/>
        <v>9.2818000000000005</v>
      </c>
      <c r="E53" s="818">
        <f t="shared" si="33"/>
        <v>551.78179999999998</v>
      </c>
      <c r="F53" s="816">
        <f t="shared" si="27"/>
        <v>1.5</v>
      </c>
      <c r="G53" s="816">
        <f t="shared" si="27"/>
        <v>0</v>
      </c>
      <c r="H53" s="818">
        <f t="shared" si="34"/>
        <v>1.5</v>
      </c>
      <c r="I53" s="816">
        <f t="shared" si="28"/>
        <v>5.2</v>
      </c>
      <c r="J53" s="816">
        <f t="shared" si="28"/>
        <v>0</v>
      </c>
      <c r="K53" s="818">
        <f t="shared" si="35"/>
        <v>5.2</v>
      </c>
      <c r="L53" s="816">
        <f t="shared" si="29"/>
        <v>4</v>
      </c>
      <c r="M53" s="816">
        <f t="shared" si="29"/>
        <v>0.4</v>
      </c>
      <c r="N53" s="818">
        <f t="shared" si="36"/>
        <v>11.1</v>
      </c>
      <c r="O53" s="818">
        <f t="shared" si="37"/>
        <v>562.8818</v>
      </c>
      <c r="P53" s="816">
        <f t="shared" si="30"/>
        <v>0</v>
      </c>
      <c r="Q53" s="816">
        <f t="shared" si="30"/>
        <v>0</v>
      </c>
      <c r="R53" s="816">
        <f t="shared" si="30"/>
        <v>32.299999999999997</v>
      </c>
      <c r="S53" s="816">
        <f t="shared" si="30"/>
        <v>0</v>
      </c>
      <c r="T53" s="818">
        <f t="shared" si="38"/>
        <v>32.299999999999997</v>
      </c>
      <c r="U53" s="818">
        <f t="shared" si="39"/>
        <v>595.18179999999995</v>
      </c>
      <c r="V53" s="819"/>
      <c r="W53" s="816">
        <f t="shared" si="31"/>
        <v>0</v>
      </c>
      <c r="X53" s="816">
        <f t="shared" si="31"/>
        <v>0</v>
      </c>
      <c r="Y53" s="816">
        <f t="shared" si="31"/>
        <v>0</v>
      </c>
      <c r="Z53" s="818">
        <f t="shared" si="40"/>
        <v>0</v>
      </c>
      <c r="AA53" s="818">
        <f t="shared" si="41"/>
        <v>595.18179999999995</v>
      </c>
      <c r="AB53" s="821">
        <f>(AA53-$C$14)/$C$14</f>
        <v>9.7109308755760279E-2</v>
      </c>
      <c r="AC53" s="822">
        <f t="shared" si="32"/>
        <v>0</v>
      </c>
    </row>
    <row r="54" spans="2:29">
      <c r="B54" s="815" t="s">
        <v>641</v>
      </c>
      <c r="C54" s="816">
        <f t="shared" si="26"/>
        <v>1212.4000000000001</v>
      </c>
      <c r="D54" s="816">
        <f t="shared" si="26"/>
        <v>19.065460000000002</v>
      </c>
      <c r="E54" s="818">
        <f t="shared" si="33"/>
        <v>1231.4654600000001</v>
      </c>
      <c r="F54" s="816">
        <f t="shared" si="27"/>
        <v>4.1050000000000004</v>
      </c>
      <c r="G54" s="816">
        <f t="shared" si="27"/>
        <v>-4.8</v>
      </c>
      <c r="H54" s="818">
        <f t="shared" si="34"/>
        <v>-0.6949999999999994</v>
      </c>
      <c r="I54" s="816">
        <f t="shared" si="28"/>
        <v>0</v>
      </c>
      <c r="J54" s="816">
        <f t="shared" si="28"/>
        <v>0</v>
      </c>
      <c r="K54" s="818">
        <f t="shared" si="35"/>
        <v>0</v>
      </c>
      <c r="L54" s="816">
        <f t="shared" si="29"/>
        <v>11.9</v>
      </c>
      <c r="M54" s="816">
        <f t="shared" si="29"/>
        <v>1.8</v>
      </c>
      <c r="N54" s="818">
        <f t="shared" si="36"/>
        <v>13.005000000000003</v>
      </c>
      <c r="O54" s="818">
        <f t="shared" si="37"/>
        <v>1244.4704600000002</v>
      </c>
      <c r="P54" s="816">
        <f t="shared" si="30"/>
        <v>0</v>
      </c>
      <c r="Q54" s="816">
        <f t="shared" si="30"/>
        <v>0</v>
      </c>
      <c r="R54" s="816">
        <f t="shared" si="30"/>
        <v>0</v>
      </c>
      <c r="S54" s="816">
        <f t="shared" si="30"/>
        <v>0</v>
      </c>
      <c r="T54" s="818">
        <f t="shared" si="38"/>
        <v>0</v>
      </c>
      <c r="U54" s="818">
        <f t="shared" si="39"/>
        <v>1244.4704600000002</v>
      </c>
      <c r="V54" s="819"/>
      <c r="W54" s="816">
        <f t="shared" si="31"/>
        <v>0</v>
      </c>
      <c r="X54" s="816">
        <f t="shared" si="31"/>
        <v>0</v>
      </c>
      <c r="Y54" s="816">
        <f t="shared" si="31"/>
        <v>0</v>
      </c>
      <c r="Z54" s="818">
        <f t="shared" si="40"/>
        <v>0</v>
      </c>
      <c r="AA54" s="818">
        <f t="shared" si="41"/>
        <v>1244.4704600000002</v>
      </c>
      <c r="AB54" s="821">
        <f>(AA54-$C$15)/$C$15</f>
        <v>2.6452045529528321E-2</v>
      </c>
      <c r="AC54" s="822">
        <f t="shared" si="32"/>
        <v>0</v>
      </c>
    </row>
    <row r="55" spans="2:29">
      <c r="B55" s="815" t="s">
        <v>642</v>
      </c>
      <c r="C55" s="816">
        <f t="shared" si="26"/>
        <v>657.9</v>
      </c>
      <c r="D55" s="816">
        <f t="shared" si="26"/>
        <v>5.4828299999999999</v>
      </c>
      <c r="E55" s="818">
        <f t="shared" si="33"/>
        <v>663.38283000000001</v>
      </c>
      <c r="F55" s="816">
        <f t="shared" si="27"/>
        <v>0</v>
      </c>
      <c r="G55" s="816">
        <f t="shared" si="27"/>
        <v>7.5</v>
      </c>
      <c r="H55" s="818">
        <f t="shared" si="34"/>
        <v>7.5</v>
      </c>
      <c r="I55" s="816">
        <f t="shared" si="28"/>
        <v>7.1</v>
      </c>
      <c r="J55" s="816">
        <f t="shared" si="28"/>
        <v>3.8</v>
      </c>
      <c r="K55" s="818">
        <f t="shared" si="35"/>
        <v>10.899999999999999</v>
      </c>
      <c r="L55" s="816">
        <f t="shared" si="29"/>
        <v>3</v>
      </c>
      <c r="M55" s="816">
        <f t="shared" si="29"/>
        <v>3.3</v>
      </c>
      <c r="N55" s="818">
        <f t="shared" si="36"/>
        <v>24.7</v>
      </c>
      <c r="O55" s="818">
        <f t="shared" si="37"/>
        <v>688.08283000000006</v>
      </c>
      <c r="P55" s="816">
        <f t="shared" si="30"/>
        <v>0</v>
      </c>
      <c r="Q55" s="816">
        <f t="shared" si="30"/>
        <v>0</v>
      </c>
      <c r="R55" s="816">
        <f t="shared" si="30"/>
        <v>0</v>
      </c>
      <c r="S55" s="816">
        <f t="shared" si="30"/>
        <v>0</v>
      </c>
      <c r="T55" s="818">
        <f t="shared" si="38"/>
        <v>0</v>
      </c>
      <c r="U55" s="818">
        <f t="shared" si="39"/>
        <v>688.08283000000006</v>
      </c>
      <c r="V55" s="819"/>
      <c r="W55" s="816">
        <f t="shared" si="31"/>
        <v>0</v>
      </c>
      <c r="X55" s="816">
        <f t="shared" si="31"/>
        <v>-10.908333333333331</v>
      </c>
      <c r="Y55" s="816">
        <f t="shared" si="31"/>
        <v>0</v>
      </c>
      <c r="Z55" s="818">
        <f t="shared" si="40"/>
        <v>-10.908333333333331</v>
      </c>
      <c r="AA55" s="818">
        <f t="shared" si="41"/>
        <v>677.17449666666676</v>
      </c>
      <c r="AB55" s="821">
        <f>(AA55-$C$16)/$C$16</f>
        <v>2.9297000557329044E-2</v>
      </c>
      <c r="AC55" s="822">
        <f t="shared" si="32"/>
        <v>-1.5</v>
      </c>
    </row>
    <row r="56" spans="2:29">
      <c r="B56" s="815" t="s">
        <v>646</v>
      </c>
      <c r="C56" s="816">
        <f t="shared" si="26"/>
        <v>872.3</v>
      </c>
      <c r="D56" s="816">
        <f t="shared" si="26"/>
        <v>12.665789999999999</v>
      </c>
      <c r="E56" s="818">
        <f t="shared" si="33"/>
        <v>884.96578999999997</v>
      </c>
      <c r="F56" s="816">
        <f t="shared" si="27"/>
        <v>0.5</v>
      </c>
      <c r="G56" s="816">
        <f t="shared" si="27"/>
        <v>0</v>
      </c>
      <c r="H56" s="818">
        <f t="shared" si="34"/>
        <v>0.5</v>
      </c>
      <c r="I56" s="816">
        <f t="shared" si="28"/>
        <v>0</v>
      </c>
      <c r="J56" s="816">
        <f t="shared" si="28"/>
        <v>0</v>
      </c>
      <c r="K56" s="818">
        <f t="shared" si="35"/>
        <v>0</v>
      </c>
      <c r="L56" s="816">
        <f t="shared" si="29"/>
        <v>9.3000000000000007</v>
      </c>
      <c r="M56" s="816">
        <f t="shared" si="29"/>
        <v>0</v>
      </c>
      <c r="N56" s="818">
        <f t="shared" si="36"/>
        <v>9.8000000000000007</v>
      </c>
      <c r="O56" s="818">
        <f t="shared" si="37"/>
        <v>894.76578999999992</v>
      </c>
      <c r="P56" s="816">
        <f t="shared" si="30"/>
        <v>0</v>
      </c>
      <c r="Q56" s="816">
        <f t="shared" si="30"/>
        <v>0</v>
      </c>
      <c r="R56" s="816">
        <f t="shared" si="30"/>
        <v>0</v>
      </c>
      <c r="S56" s="816">
        <f t="shared" si="30"/>
        <v>0</v>
      </c>
      <c r="T56" s="818">
        <f t="shared" si="38"/>
        <v>0</v>
      </c>
      <c r="U56" s="818">
        <f t="shared" si="39"/>
        <v>894.76578999999992</v>
      </c>
      <c r="V56" s="819"/>
      <c r="W56" s="816">
        <f t="shared" si="31"/>
        <v>0</v>
      </c>
      <c r="X56" s="816">
        <f t="shared" si="31"/>
        <v>-17.200000000000003</v>
      </c>
      <c r="Y56" s="816">
        <f t="shared" si="31"/>
        <v>0</v>
      </c>
      <c r="Z56" s="818">
        <f t="shared" si="40"/>
        <v>-17.200000000000003</v>
      </c>
      <c r="AA56" s="818">
        <f t="shared" si="41"/>
        <v>877.56578999999988</v>
      </c>
      <c r="AB56" s="821">
        <f>(AA56-$C$17)/$C$17</f>
        <v>6.0366731629025849E-3</v>
      </c>
      <c r="AC56" s="822">
        <f t="shared" si="32"/>
        <v>-0.22222222222222221</v>
      </c>
    </row>
    <row r="57" spans="2:29">
      <c r="B57" s="830" t="s">
        <v>647</v>
      </c>
      <c r="C57" s="831">
        <f t="shared" si="26"/>
        <v>293.10000000000002</v>
      </c>
      <c r="D57" s="831">
        <f t="shared" si="26"/>
        <v>4.1407999999999996</v>
      </c>
      <c r="E57" s="833">
        <f t="shared" si="33"/>
        <v>297.24080000000004</v>
      </c>
      <c r="F57" s="831">
        <f t="shared" si="27"/>
        <v>0</v>
      </c>
      <c r="G57" s="831">
        <f t="shared" si="27"/>
        <v>0</v>
      </c>
      <c r="H57" s="833">
        <f t="shared" si="34"/>
        <v>0</v>
      </c>
      <c r="I57" s="831">
        <f t="shared" si="28"/>
        <v>2.2999999999999998</v>
      </c>
      <c r="J57" s="831">
        <f t="shared" si="28"/>
        <v>0</v>
      </c>
      <c r="K57" s="833">
        <f t="shared" si="35"/>
        <v>2.2999999999999998</v>
      </c>
      <c r="L57" s="831">
        <f t="shared" si="29"/>
        <v>5</v>
      </c>
      <c r="M57" s="831">
        <f t="shared" si="29"/>
        <v>0</v>
      </c>
      <c r="N57" s="833">
        <f t="shared" si="36"/>
        <v>7.3</v>
      </c>
      <c r="O57" s="833">
        <f t="shared" si="37"/>
        <v>304.54080000000005</v>
      </c>
      <c r="P57" s="831">
        <f t="shared" si="30"/>
        <v>0</v>
      </c>
      <c r="Q57" s="831">
        <f t="shared" si="30"/>
        <v>0</v>
      </c>
      <c r="R57" s="831">
        <f t="shared" si="30"/>
        <v>0</v>
      </c>
      <c r="S57" s="831">
        <f t="shared" si="30"/>
        <v>0</v>
      </c>
      <c r="T57" s="833">
        <f t="shared" si="38"/>
        <v>0</v>
      </c>
      <c r="U57" s="833">
        <f t="shared" si="39"/>
        <v>304.54080000000005</v>
      </c>
      <c r="V57" s="819"/>
      <c r="W57" s="831">
        <f t="shared" si="31"/>
        <v>0</v>
      </c>
      <c r="X57" s="831">
        <f t="shared" si="31"/>
        <v>0</v>
      </c>
      <c r="Y57" s="832">
        <f t="shared" si="31"/>
        <v>0</v>
      </c>
      <c r="Z57" s="833">
        <f t="shared" si="40"/>
        <v>0</v>
      </c>
      <c r="AA57" s="833">
        <f t="shared" si="41"/>
        <v>304.54080000000005</v>
      </c>
      <c r="AB57" s="835">
        <f>(AA57-$C$18)/$C$18</f>
        <v>3.9033776867963235E-2</v>
      </c>
      <c r="AC57" s="832">
        <f t="shared" si="32"/>
        <v>-0.2</v>
      </c>
    </row>
    <row r="58" spans="2:29">
      <c r="B58" s="836" t="s">
        <v>657</v>
      </c>
      <c r="C58" s="837">
        <f>SUM(C48:C57)</f>
        <v>7225.7</v>
      </c>
      <c r="D58" s="837">
        <f t="shared" ref="D58:AC58" si="42">SUM(D48:D57)</f>
        <v>44.429610000000004</v>
      </c>
      <c r="E58" s="838">
        <f t="shared" si="42"/>
        <v>7270.12961</v>
      </c>
      <c r="F58" s="837">
        <f t="shared" si="42"/>
        <v>8.2600000000000016</v>
      </c>
      <c r="G58" s="837">
        <f t="shared" si="42"/>
        <v>2.7</v>
      </c>
      <c r="H58" s="838">
        <f t="shared" si="42"/>
        <v>10.96</v>
      </c>
      <c r="I58" s="837">
        <f t="shared" si="42"/>
        <v>32.499999999999993</v>
      </c>
      <c r="J58" s="837">
        <f t="shared" si="42"/>
        <v>11.899999999999999</v>
      </c>
      <c r="K58" s="838">
        <f t="shared" si="42"/>
        <v>44.399999999999991</v>
      </c>
      <c r="L58" s="837">
        <f t="shared" si="42"/>
        <v>59.7</v>
      </c>
      <c r="M58" s="837">
        <f t="shared" si="42"/>
        <v>12.400000000000002</v>
      </c>
      <c r="N58" s="838">
        <f t="shared" si="42"/>
        <v>127.46</v>
      </c>
      <c r="O58" s="838">
        <f t="shared" si="42"/>
        <v>7397.58961</v>
      </c>
      <c r="P58" s="837">
        <f t="shared" si="42"/>
        <v>0</v>
      </c>
      <c r="Q58" s="837">
        <f>SUM(Q48:Q57)</f>
        <v>0</v>
      </c>
      <c r="R58" s="837">
        <f t="shared" si="42"/>
        <v>32.299999999999997</v>
      </c>
      <c r="S58" s="837">
        <f t="shared" si="42"/>
        <v>0</v>
      </c>
      <c r="T58" s="838">
        <f t="shared" si="42"/>
        <v>32.299999999999997</v>
      </c>
      <c r="U58" s="838">
        <f t="shared" si="42"/>
        <v>7429.8896100000011</v>
      </c>
      <c r="V58" s="840"/>
      <c r="W58" s="837">
        <f>SUM(W48:W57)</f>
        <v>-20</v>
      </c>
      <c r="X58" s="837">
        <f>SUM(X48:X57)</f>
        <v>-35.108333333333334</v>
      </c>
      <c r="Y58" s="837">
        <f>SUM(Y48:Y57)</f>
        <v>0</v>
      </c>
      <c r="Z58" s="838">
        <f t="shared" si="42"/>
        <v>-55.108333333333334</v>
      </c>
      <c r="AA58" s="838">
        <f t="shared" si="42"/>
        <v>7374.7812766666666</v>
      </c>
      <c r="AB58" s="840">
        <f>(AA58-$C$19)/$C$19</f>
        <v>2.0632087779269382E-2</v>
      </c>
      <c r="AC58" s="841">
        <f t="shared" si="42"/>
        <v>-2.0171589310829821</v>
      </c>
    </row>
  </sheetData>
  <pageMargins left="0.7" right="0.7" top="0.75" bottom="0.75" header="0.3" footer="0.3"/>
  <pageSetup paperSize="17" scale="54" orientation="landscape" r:id="rId1"/>
  <ignoredErrors>
    <ignoredError sqref="V29:W35 R30 X32 AB35" formula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G17"/>
  <sheetViews>
    <sheetView workbookViewId="0">
      <selection activeCell="D6" sqref="D6"/>
    </sheetView>
  </sheetViews>
  <sheetFormatPr defaultRowHeight="12.75"/>
  <cols>
    <col min="2" max="3" width="0" hidden="1" customWidth="1"/>
    <col min="7" max="7" width="55.28515625" customWidth="1"/>
  </cols>
  <sheetData>
    <row r="1" spans="1:7" ht="15.75">
      <c r="A1" s="338"/>
      <c r="B1" s="183"/>
      <c r="C1" s="183"/>
      <c r="D1" s="1122" t="s">
        <v>474</v>
      </c>
      <c r="E1" s="1123"/>
      <c r="F1" s="1124" t="s">
        <v>475</v>
      </c>
      <c r="G1" s="1126" t="s">
        <v>476</v>
      </c>
    </row>
    <row r="2" spans="1:7" ht="60">
      <c r="A2" s="339" t="s">
        <v>477</v>
      </c>
      <c r="B2" s="340"/>
      <c r="C2" s="340"/>
      <c r="D2" s="339" t="s">
        <v>478</v>
      </c>
      <c r="E2" s="341" t="s">
        <v>479</v>
      </c>
      <c r="F2" s="1125"/>
      <c r="G2" s="1127" t="s">
        <v>476</v>
      </c>
    </row>
    <row r="3" spans="1:7" ht="15">
      <c r="A3" s="342"/>
      <c r="B3" s="343"/>
      <c r="C3" s="343"/>
      <c r="D3" s="344"/>
      <c r="E3" s="345"/>
      <c r="F3" s="346"/>
      <c r="G3" s="184"/>
    </row>
    <row r="4" spans="1:7" ht="15">
      <c r="A4" s="347">
        <v>2004</v>
      </c>
      <c r="B4" s="348"/>
      <c r="C4" s="348"/>
      <c r="D4" s="349">
        <v>2.0510000000000002</v>
      </c>
      <c r="E4" s="350">
        <v>13.667999999999999</v>
      </c>
      <c r="F4" s="349">
        <v>15.718999999999999</v>
      </c>
      <c r="G4" s="351" t="s">
        <v>480</v>
      </c>
    </row>
    <row r="5" spans="1:7" ht="15">
      <c r="A5" s="342"/>
      <c r="B5" s="343"/>
      <c r="C5" s="343"/>
      <c r="D5" s="352"/>
      <c r="E5" s="353"/>
      <c r="F5" s="352"/>
      <c r="G5" s="346"/>
    </row>
    <row r="6" spans="1:7" ht="15">
      <c r="A6" s="342">
        <v>2005</v>
      </c>
      <c r="B6" s="343"/>
      <c r="C6" s="343"/>
      <c r="D6" s="352">
        <v>0</v>
      </c>
      <c r="E6" s="353">
        <v>6.5000000000000002E-2</v>
      </c>
      <c r="F6" s="352">
        <f t="shared" ref="F6:F16" si="0">SUM(D6:E6)</f>
        <v>6.5000000000000002E-2</v>
      </c>
      <c r="G6" s="346" t="s">
        <v>481</v>
      </c>
    </row>
    <row r="7" spans="1:7" ht="15">
      <c r="A7" s="347"/>
      <c r="B7" s="348"/>
      <c r="C7" s="348"/>
      <c r="D7" s="354">
        <v>0</v>
      </c>
      <c r="E7" s="355">
        <v>0.629</v>
      </c>
      <c r="F7" s="356">
        <f t="shared" si="0"/>
        <v>0.629</v>
      </c>
      <c r="G7" s="351" t="s">
        <v>482</v>
      </c>
    </row>
    <row r="8" spans="1:7" ht="15">
      <c r="A8" s="342">
        <v>2006</v>
      </c>
      <c r="B8" s="343"/>
      <c r="C8" s="343"/>
      <c r="D8" s="357">
        <v>0</v>
      </c>
      <c r="E8" s="358">
        <v>8.0000000000000002E-3</v>
      </c>
      <c r="F8" s="352">
        <f t="shared" si="0"/>
        <v>8.0000000000000002E-3</v>
      </c>
      <c r="G8" s="346" t="s">
        <v>481</v>
      </c>
    </row>
    <row r="9" spans="1:7" ht="15">
      <c r="A9" s="347"/>
      <c r="B9" s="348"/>
      <c r="C9" s="348"/>
      <c r="D9" s="354">
        <v>0</v>
      </c>
      <c r="E9" s="355">
        <v>0.51700000000000002</v>
      </c>
      <c r="F9" s="356">
        <f t="shared" si="0"/>
        <v>0.51700000000000002</v>
      </c>
      <c r="G9" s="351" t="s">
        <v>483</v>
      </c>
    </row>
    <row r="10" spans="1:7" ht="15">
      <c r="A10" s="359">
        <v>2007</v>
      </c>
      <c r="B10" s="360"/>
      <c r="C10" s="360"/>
      <c r="D10" s="361">
        <v>0.35</v>
      </c>
      <c r="E10" s="362">
        <v>-1.9E-2</v>
      </c>
      <c r="F10" s="363">
        <f t="shared" si="0"/>
        <v>0.33099999999999996</v>
      </c>
      <c r="G10" s="364" t="s">
        <v>484</v>
      </c>
    </row>
    <row r="11" spans="1:7" ht="15">
      <c r="A11" s="342">
        <v>2008</v>
      </c>
      <c r="B11" s="343"/>
      <c r="C11" s="343"/>
      <c r="D11" s="357"/>
      <c r="E11" s="358">
        <v>0.13200000000000001</v>
      </c>
      <c r="F11" s="352">
        <f t="shared" si="0"/>
        <v>0.13200000000000001</v>
      </c>
      <c r="G11" s="346" t="s">
        <v>481</v>
      </c>
    </row>
    <row r="12" spans="1:7" ht="15">
      <c r="A12" s="347"/>
      <c r="B12" s="348"/>
      <c r="C12" s="348"/>
      <c r="D12" s="354">
        <v>-0.35</v>
      </c>
      <c r="E12" s="355">
        <f>-D12</f>
        <v>0.35</v>
      </c>
      <c r="F12" s="356">
        <f t="shared" si="0"/>
        <v>0</v>
      </c>
      <c r="G12" s="351" t="s">
        <v>485</v>
      </c>
    </row>
    <row r="13" spans="1:7" ht="15">
      <c r="A13" s="342">
        <v>2009</v>
      </c>
      <c r="B13" s="343"/>
      <c r="C13" s="343"/>
      <c r="D13" s="357"/>
      <c r="E13" s="358">
        <v>1.4E-2</v>
      </c>
      <c r="F13" s="352">
        <f>SUM(D13:E13)</f>
        <v>1.4E-2</v>
      </c>
      <c r="G13" s="346" t="s">
        <v>481</v>
      </c>
    </row>
    <row r="14" spans="1:7" ht="15">
      <c r="A14" s="347"/>
      <c r="B14" s="348"/>
      <c r="C14" s="348"/>
      <c r="D14" s="354">
        <f>-1.051+0.5</f>
        <v>-0.55099999999999993</v>
      </c>
      <c r="E14" s="355">
        <f>-D14</f>
        <v>0.55099999999999993</v>
      </c>
      <c r="F14" s="354">
        <f t="shared" si="0"/>
        <v>0</v>
      </c>
      <c r="G14" s="351" t="s">
        <v>486</v>
      </c>
    </row>
    <row r="15" spans="1:7" ht="15">
      <c r="A15" s="347">
        <v>2010</v>
      </c>
      <c r="B15" s="348"/>
      <c r="C15" s="348"/>
      <c r="D15" s="354"/>
      <c r="E15" s="354">
        <f>0.007+0.076</f>
        <v>8.3000000000000004E-2</v>
      </c>
      <c r="F15" s="354">
        <f>SUM(D15:E15)</f>
        <v>8.3000000000000004E-2</v>
      </c>
      <c r="G15" s="364" t="s">
        <v>481</v>
      </c>
    </row>
    <row r="16" spans="1:7" ht="15" hidden="1">
      <c r="A16" s="347"/>
      <c r="B16" s="348"/>
      <c r="C16" s="348"/>
      <c r="D16" s="354"/>
      <c r="E16" s="355"/>
      <c r="F16" s="354">
        <f t="shared" si="0"/>
        <v>0</v>
      </c>
      <c r="G16" s="351"/>
    </row>
    <row r="17" spans="1:7" ht="15">
      <c r="A17" s="347"/>
      <c r="B17" s="348"/>
      <c r="C17" s="348"/>
      <c r="D17" s="365">
        <f>SUM(D4:D16)</f>
        <v>1.5000000000000002</v>
      </c>
      <c r="E17" s="365">
        <f>SUM(E4:E16)</f>
        <v>15.997999999999996</v>
      </c>
      <c r="F17" s="365">
        <f>SUM(F4:F16)</f>
        <v>17.497999999999998</v>
      </c>
      <c r="G17" s="351" t="s">
        <v>487</v>
      </c>
    </row>
  </sheetData>
  <mergeCells count="3">
    <mergeCell ref="D1:E1"/>
    <mergeCell ref="F1:F2"/>
    <mergeCell ref="G1:G2"/>
  </mergeCells>
  <phoneticPr fontId="1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Table 1-2012 Rec' Budget</vt:lpstr>
      <vt:lpstr>Table 2 - 2012 Recd Base Budget</vt:lpstr>
      <vt:lpstr>Table 3 -2012 Staff Complement </vt:lpstr>
      <vt:lpstr>Table 4 - Rec'd Service Changes</vt:lpstr>
      <vt:lpstr>Table 5 - New  Enhanced</vt:lpstr>
      <vt:lpstr>Appendix 1 - Performance</vt:lpstr>
      <vt:lpstr>Appendix 2 - Budget by Category</vt:lpstr>
      <vt:lpstr>Budget</vt:lpstr>
      <vt:lpstr>Library Material</vt:lpstr>
      <vt:lpstr>Operating Impact</vt:lpstr>
      <vt:lpstr>Table 2 2010 Variance Review</vt:lpstr>
      <vt:lpstr>Outlooks</vt:lpstr>
      <vt:lpstr>Table3 2011 Rec'd Base Bud CM</vt:lpstr>
      <vt:lpstr>Staff Complement</vt:lpstr>
      <vt:lpstr>Appendix D - Expenditures</vt:lpstr>
      <vt:lpstr>AOCC Form 14</vt:lpstr>
      <vt:lpstr>By centre</vt:lpstr>
      <vt:lpstr>'AOCC Form 14'!Print_Area</vt:lpstr>
      <vt:lpstr>'Appendix 2 - Budget by Category'!Print_Area</vt:lpstr>
      <vt:lpstr>Outlooks!Print_Area</vt:lpstr>
      <vt:lpstr>'Table 1-2012 Rec'' Budget'!Print_Area</vt:lpstr>
      <vt:lpstr>'Table 2 - 2012 Recd Base Budget'!Print_Area</vt:lpstr>
      <vt:lpstr>'Table 2 2010 Variance Review'!Print_Area</vt:lpstr>
      <vt:lpstr>'Table 3 -2012 Staff Complement '!Print_Area</vt:lpstr>
      <vt:lpstr>'Table 4 - Rec''d Service Changes'!Print_Area</vt:lpstr>
      <vt:lpstr>'Table 5 - New  Enhanced'!Print_Area</vt:lpstr>
      <vt:lpstr>'Table3 2011 Rec''d Base Bud CM'!Print_Area</vt:lpstr>
      <vt:lpstr>'Appendix 2 - Budget by Category'!Print_Titles</vt:lpstr>
      <vt:lpstr>Outlooks!Print_Titles</vt:lpstr>
      <vt:lpstr>'Table 4 - Rec''d Service Changes'!Print_Titles</vt:lpstr>
      <vt:lpstr>'Table 5 - New  Enhanced'!Print_Titles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CAO\CFO excel templ</dc:title>
  <dc:creator>jskinner</dc:creator>
  <cp:lastModifiedBy>RSAWH</cp:lastModifiedBy>
  <cp:lastPrinted>2012-07-31T18:55:27Z</cp:lastPrinted>
  <dcterms:created xsi:type="dcterms:W3CDTF">2004-10-07T19:14:42Z</dcterms:created>
  <dcterms:modified xsi:type="dcterms:W3CDTF">2012-07-31T18:56:26Z</dcterms:modified>
</cp:coreProperties>
</file>