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8535" windowHeight="4410" tabRatio="906"/>
  </bookViews>
  <sheets>
    <sheet name="Appendix 2 - Budget by Category" sheetId="6349" r:id="rId1"/>
    <sheet name="WS 1 -Rec'd Base Changes " sheetId="6318" state="hidden" r:id="rId2"/>
    <sheet name="WS 2- Service Changes" sheetId="6338" state="hidden" r:id="rId3"/>
    <sheet name="Library Material" sheetId="6341" state="hidden" r:id="rId4"/>
    <sheet name="Operating Impact" sheetId="6342" state="hidden" r:id="rId5"/>
    <sheet name="Table 2 2010 Variance Review" sheetId="6316" state="hidden" r:id="rId6"/>
    <sheet name="Outlooks" sheetId="6339" state="hidden" r:id="rId7"/>
    <sheet name="Table3 2011 Rec'd Base Bud CM" sheetId="6330" state="hidden" r:id="rId8"/>
    <sheet name="Staff Complement" sheetId="6344" state="hidden" r:id="rId9"/>
    <sheet name="Appendix D - Expenditures" sheetId="6333" state="hidden" r:id="rId10"/>
  </sheets>
  <externalReferences>
    <externalReference r:id="rId11"/>
  </externalReferences>
  <definedNames>
    <definedName name="_xlnm._FilterDatabase" localSheetId="6" hidden="1">Outlooks!#REF!</definedName>
    <definedName name="_xlnm.Print_Area" localSheetId="0">'Appendix 2 - Budget by Category'!$B$1:$L$38</definedName>
    <definedName name="_xlnm.Print_Area" localSheetId="6">Outlooks!$A$1:$H$266</definedName>
    <definedName name="_xlnm.Print_Area" localSheetId="5">'Table 2 2010 Variance Review'!$A$2:$G$9</definedName>
    <definedName name="_xlnm.Print_Area" localSheetId="7">'Table3 2011 Rec''d Base Bud CM'!$A$1:$N$28</definedName>
    <definedName name="_xlnm.Print_Area" localSheetId="1">'WS 1 -Rec''d Base Changes '!$B$7:$H$74</definedName>
    <definedName name="_xlnm.Print_Area" localSheetId="2">'WS 2- Service Changes'!$C$8:$O$37</definedName>
    <definedName name="_xlnm.Print_Titles" localSheetId="0">'Appendix 2 - Budget by Category'!$4:$8</definedName>
    <definedName name="_xlnm.Print_Titles" localSheetId="6">Outlooks!$1:$5</definedName>
    <definedName name="_xlnm.Print_Titles" localSheetId="1">'WS 1 -Rec''d Base Changes '!$4:$6</definedName>
    <definedName name="_xlnm.Print_Titles" localSheetId="2">'WS 2- Service Changes'!$5:$7</definedName>
  </definedNames>
  <calcPr calcId="125725"/>
</workbook>
</file>

<file path=xl/calcChain.xml><?xml version="1.0" encoding="utf-8"?>
<calcChain xmlns="http://schemas.openxmlformats.org/spreadsheetml/2006/main">
  <c r="K10" i="6349"/>
  <c r="L6"/>
  <c r="H29"/>
  <c r="K28"/>
  <c r="L28" s="1"/>
  <c r="H37"/>
  <c r="I37" s="1"/>
  <c r="J37" s="1"/>
  <c r="F37"/>
  <c r="L10" l="1"/>
  <c r="L23"/>
  <c r="K29"/>
  <c r="L29" s="1"/>
  <c r="K27"/>
  <c r="L27" s="1"/>
  <c r="K26"/>
  <c r="L26" s="1"/>
  <c r="K25"/>
  <c r="L25" s="1"/>
  <c r="K23"/>
  <c r="K21"/>
  <c r="L21" s="1"/>
  <c r="L16"/>
  <c r="K17"/>
  <c r="L17" s="1"/>
  <c r="K16"/>
  <c r="K15"/>
  <c r="L15" s="1"/>
  <c r="K14"/>
  <c r="L14" s="1"/>
  <c r="K13"/>
  <c r="L13" s="1"/>
  <c r="K12"/>
  <c r="L12" s="1"/>
  <c r="K11"/>
  <c r="L11" s="1"/>
  <c r="G21"/>
  <c r="G13"/>
  <c r="G10"/>
  <c r="L31" l="1"/>
  <c r="L19"/>
  <c r="F13"/>
  <c r="J27" i="6338"/>
  <c r="I27"/>
  <c r="J26"/>
  <c r="I26"/>
  <c r="J25"/>
  <c r="I25"/>
  <c r="J24"/>
  <c r="I24"/>
  <c r="J23"/>
  <c r="I23"/>
  <c r="J22"/>
  <c r="I22"/>
  <c r="J21"/>
  <c r="I21"/>
  <c r="J19"/>
  <c r="I19"/>
  <c r="J18"/>
  <c r="I18"/>
  <c r="F65" i="6318"/>
  <c r="F64"/>
  <c r="F63"/>
  <c r="F62"/>
  <c r="F61"/>
  <c r="F60"/>
  <c r="F59"/>
  <c r="D53"/>
  <c r="E53"/>
  <c r="F43"/>
  <c r="F52"/>
  <c r="F51"/>
  <c r="F50"/>
  <c r="F49"/>
  <c r="F48"/>
  <c r="F47"/>
  <c r="F46"/>
  <c r="F45"/>
  <c r="F42"/>
  <c r="F41"/>
  <c r="F40"/>
  <c r="F39"/>
  <c r="F38"/>
  <c r="F37"/>
  <c r="F36"/>
  <c r="F35"/>
  <c r="F21"/>
  <c r="D32"/>
  <c r="F31"/>
  <c r="F30"/>
  <c r="F29"/>
  <c r="F28"/>
  <c r="F27"/>
  <c r="F26"/>
  <c r="F25"/>
  <c r="F24"/>
  <c r="F23"/>
  <c r="F22"/>
  <c r="F20"/>
  <c r="F16"/>
  <c r="F15"/>
  <c r="F14"/>
  <c r="F13"/>
  <c r="F12"/>
  <c r="F11"/>
  <c r="F10"/>
  <c r="F9"/>
  <c r="L33" i="6349" l="1"/>
  <c r="I23"/>
  <c r="I16"/>
  <c r="H31"/>
  <c r="G29" l="1"/>
  <c r="G27"/>
  <c r="G26"/>
  <c r="G25"/>
  <c r="G23"/>
  <c r="G17"/>
  <c r="G16"/>
  <c r="G15"/>
  <c r="G14"/>
  <c r="G12"/>
  <c r="G11"/>
  <c r="D18" i="6318" l="1"/>
  <c r="N6" i="6338" l="1"/>
  <c r="F7" i="6318" l="1"/>
  <c r="H5" l="1"/>
  <c r="D6" i="6316"/>
  <c r="J16" i="6333"/>
  <c r="J22" i="6349"/>
  <c r="J24"/>
  <c r="J28"/>
  <c r="I11"/>
  <c r="J11" s="1"/>
  <c r="I12"/>
  <c r="J12" s="1"/>
  <c r="I13"/>
  <c r="J13" s="1"/>
  <c r="I14"/>
  <c r="J14" s="1"/>
  <c r="I15"/>
  <c r="J15" s="1"/>
  <c r="J16"/>
  <c r="I17"/>
  <c r="J17" s="1"/>
  <c r="J23"/>
  <c r="I25"/>
  <c r="J25" s="1"/>
  <c r="I26"/>
  <c r="J26" s="1"/>
  <c r="I27"/>
  <c r="J27" s="1"/>
  <c r="I29"/>
  <c r="J29" s="1"/>
  <c r="I21"/>
  <c r="J21" s="1"/>
  <c r="I10"/>
  <c r="J10" s="1"/>
  <c r="D31"/>
  <c r="D19"/>
  <c r="G31"/>
  <c r="E31"/>
  <c r="F31"/>
  <c r="G19"/>
  <c r="E19"/>
  <c r="H19"/>
  <c r="H33" s="1"/>
  <c r="F19"/>
  <c r="F33" s="1"/>
  <c r="G12" i="6338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G68" i="6318"/>
  <c r="G69" s="1"/>
  <c r="H68"/>
  <c r="H69" s="1"/>
  <c r="E15" i="6341"/>
  <c r="F15"/>
  <c r="B28" i="6342"/>
  <c r="B34"/>
  <c r="H255" i="6339"/>
  <c r="D254"/>
  <c r="F212"/>
  <c r="E209"/>
  <c r="E259"/>
  <c r="E212"/>
  <c r="G17" i="6333"/>
  <c r="J17" s="1"/>
  <c r="G16"/>
  <c r="C68" i="6318"/>
  <c r="C69" s="1"/>
  <c r="I33" i="6338"/>
  <c r="E33"/>
  <c r="J33" s="1"/>
  <c r="I12"/>
  <c r="J12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J20" i="6338"/>
  <c r="E66" i="6318" s="1"/>
  <c r="E204" i="6339"/>
  <c r="I20" i="6338"/>
  <c r="I35" s="1"/>
  <c r="E13"/>
  <c r="E35"/>
  <c r="G206" i="6339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L35" i="6338"/>
  <c r="I13"/>
  <c r="I8" i="6330"/>
  <c r="F259" i="6339"/>
  <c r="C204"/>
  <c r="J10" i="6330"/>
  <c r="I10"/>
  <c r="J8"/>
  <c r="D7" i="6316"/>
  <c r="F7" s="1"/>
  <c r="G7" s="1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D13" i="6338"/>
  <c r="F13"/>
  <c r="H13"/>
  <c r="K13"/>
  <c r="L13"/>
  <c r="L37"/>
  <c r="M13"/>
  <c r="N13"/>
  <c r="N37" s="1"/>
  <c r="O13"/>
  <c r="D35"/>
  <c r="F35"/>
  <c r="G35"/>
  <c r="H35"/>
  <c r="H37"/>
  <c r="K35"/>
  <c r="M35"/>
  <c r="N35"/>
  <c r="O35"/>
  <c r="O37" s="1"/>
  <c r="D9" i="6344" s="1"/>
  <c r="G18" i="6318"/>
  <c r="G33" s="1"/>
  <c r="G53" s="1"/>
  <c r="E8" i="6316"/>
  <c r="E18" i="6318"/>
  <c r="D8" i="6330" s="1"/>
  <c r="F67" i="6318"/>
  <c r="F34"/>
  <c r="H18"/>
  <c r="H33" s="1"/>
  <c r="H53" s="1"/>
  <c r="C18"/>
  <c r="D10" i="6330" s="1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F32" i="6318"/>
  <c r="F19"/>
  <c r="F17"/>
  <c r="F8"/>
  <c r="E14" i="6341"/>
  <c r="F14"/>
  <c r="F12"/>
  <c r="R28" i="6342"/>
  <c r="E17" i="6341"/>
  <c r="M37" i="6338"/>
  <c r="C9" i="6344" s="1"/>
  <c r="F17" i="6341"/>
  <c r="K16" i="6333"/>
  <c r="E261" i="6339"/>
  <c r="E263"/>
  <c r="C33" i="6318"/>
  <c r="C53" s="1"/>
  <c r="U6" i="6342"/>
  <c r="P28"/>
  <c r="E37" i="6338"/>
  <c r="E26" i="6330" s="1"/>
  <c r="F37" i="6338" l="1"/>
  <c r="F18" i="6318"/>
  <c r="G33" i="6349"/>
  <c r="E33" i="6318"/>
  <c r="D7" i="6330"/>
  <c r="D9" s="1"/>
  <c r="I37" i="6338"/>
  <c r="E33" i="6349"/>
  <c r="C71" i="6318"/>
  <c r="D33" i="6349"/>
  <c r="G71" i="6318"/>
  <c r="K37" i="6338"/>
  <c r="B9" i="6344" s="1"/>
  <c r="E16" i="6330"/>
  <c r="E21" s="1"/>
  <c r="E23" s="1"/>
  <c r="D37" i="6338"/>
  <c r="B3" i="6344"/>
  <c r="D45" i="6333"/>
  <c r="D33" i="6318"/>
  <c r="K31" i="6349"/>
  <c r="I31"/>
  <c r="J31" s="1"/>
  <c r="K19"/>
  <c r="F33" i="6318"/>
  <c r="F53" s="1"/>
  <c r="I26" i="6333"/>
  <c r="I41" s="1"/>
  <c r="H41"/>
  <c r="F6" i="6316"/>
  <c r="G6" s="1"/>
  <c r="D8"/>
  <c r="F8" s="1"/>
  <c r="G8" s="1"/>
  <c r="J13" i="6338"/>
  <c r="G13"/>
  <c r="G37" s="1"/>
  <c r="H71" i="6318"/>
  <c r="K39" i="6333"/>
  <c r="F66" i="6318"/>
  <c r="E69"/>
  <c r="D68"/>
  <c r="F68" s="1"/>
  <c r="J35" i="6338"/>
  <c r="J26" i="6333"/>
  <c r="J41" s="1"/>
  <c r="J49" s="1"/>
  <c r="K17"/>
  <c r="K26" s="1"/>
  <c r="K41" s="1"/>
  <c r="K48" s="1"/>
  <c r="T28" i="6342"/>
  <c r="Q28"/>
  <c r="U28" s="1"/>
  <c r="E71" i="6318" l="1"/>
  <c r="G45" i="6333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K33" i="6349"/>
  <c r="I19"/>
  <c r="D15" i="6330"/>
  <c r="E18" s="1"/>
  <c r="F8"/>
  <c r="G8" s="1"/>
  <c r="H8" s="1"/>
  <c r="J37" i="6338"/>
  <c r="I7" i="6330" l="1"/>
  <c r="I9" s="1"/>
  <c r="J19" i="6349"/>
  <c r="J33" s="1"/>
  <c r="I33"/>
  <c r="F16" i="6330"/>
  <c r="F21" s="1"/>
  <c r="F26"/>
  <c r="F69" i="6318"/>
  <c r="F71" s="1"/>
  <c r="D69"/>
  <c r="D71" s="1"/>
  <c r="I38" i="6338" s="1"/>
  <c r="I39" s="1"/>
  <c r="E20" i="6330"/>
  <c r="F74" i="6318" l="1"/>
  <c r="J38" i="6338"/>
  <c r="J39" s="1"/>
  <c r="E25" i="6330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F73" i="6318"/>
  <c r="E11" i="6330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<sst xmlns="http://schemas.openxmlformats.org/spreadsheetml/2006/main" count="819" uniqueCount="631">
  <si>
    <t>(In $000s)</t>
  </si>
  <si>
    <t>$</t>
  </si>
  <si>
    <t>%</t>
  </si>
  <si>
    <t>GROSS EXP.</t>
  </si>
  <si>
    <t>REVENUE</t>
  </si>
  <si>
    <t>Approved Positions</t>
  </si>
  <si>
    <t>Net</t>
  </si>
  <si>
    <t>REVENUES</t>
  </si>
  <si>
    <t>Gross Expenditures</t>
  </si>
  <si>
    <t>Revenues</t>
  </si>
  <si>
    <t>In-year approvals and technical adjustments</t>
  </si>
  <si>
    <t>Prior year impacts</t>
  </si>
  <si>
    <t>Zero base items</t>
  </si>
  <si>
    <t>Economic factors</t>
  </si>
  <si>
    <t xml:space="preserve">Base revenue changes </t>
  </si>
  <si>
    <t>Other base changes</t>
  </si>
  <si>
    <t>FY Incremental Outlook</t>
  </si>
  <si>
    <t>Net Incremental Outlook</t>
  </si>
  <si>
    <t>Adjusted Base Budget</t>
  </si>
  <si>
    <t>% Over (Under) Program Target</t>
  </si>
  <si>
    <t xml:space="preserve"> Service efficiencies</t>
  </si>
  <si>
    <t xml:space="preserve"> Minor service impact</t>
  </si>
  <si>
    <t>Net Incremental Impact</t>
  </si>
  <si>
    <t>Description</t>
  </si>
  <si>
    <t>Gross Exp.</t>
  </si>
  <si>
    <t>Net Exp.</t>
  </si>
  <si>
    <t>#</t>
  </si>
  <si>
    <t>$ Over / (Under) Program Target</t>
  </si>
  <si>
    <t>% Over / (Under) Program Target</t>
  </si>
  <si>
    <t>Total Recommended Base Adjustments</t>
  </si>
  <si>
    <t>Approved
Positions</t>
  </si>
  <si>
    <t xml:space="preserve">% </t>
  </si>
  <si>
    <t>Recommended Service Level Adjustments: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</si>
  <si>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</si>
  <si>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</si>
  <si>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</si>
  <si>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</si>
  <si>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</si>
  <si>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</si>
  <si>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</si>
  <si>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</si>
  <si>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</si>
  <si>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</si>
  <si>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</si>
  <si>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</si>
  <si>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</si>
  <si>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</si>
  <si>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</si>
  <si>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</si>
  <si>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</si>
  <si>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</si>
  <si>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</si>
  <si>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</si>
  <si>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</si>
  <si>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</si>
  <si>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</si>
  <si>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</si>
  <si>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</si>
  <si>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</si>
  <si>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</si>
  <si>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</si>
  <si>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</si>
  <si>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</si>
  <si>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</si>
  <si>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</si>
  <si>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</si>
  <si>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# Pos</t>
  </si>
  <si>
    <t>Position Change</t>
  </si>
  <si>
    <t>Program Operating Targets</t>
  </si>
  <si>
    <t>Base Changes:</t>
  </si>
  <si>
    <t>Service Efficiencies:</t>
  </si>
  <si>
    <t>Total Adjustments</t>
  </si>
  <si>
    <t>Sub-Total Base Changes</t>
  </si>
  <si>
    <t>Sub-Total Service Changes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</si>
  <si>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</si>
  <si>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</si>
  <si>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</si>
  <si>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</si>
  <si>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</si>
  <si>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</si>
  <si>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</si>
  <si>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</si>
  <si>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</si>
  <si>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</si>
  <si>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</si>
  <si>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</si>
  <si>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</si>
  <si>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</si>
  <si>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</si>
  <si>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</si>
  <si>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</si>
  <si>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</si>
  <si>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</si>
  <si>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</si>
  <si>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</si>
  <si>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</si>
  <si>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</si>
  <si>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</si>
  <si>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</si>
  <si>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</si>
  <si>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</si>
  <si>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</si>
  <si>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</si>
  <si>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</si>
  <si>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</si>
  <si>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</si>
  <si>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</si>
  <si>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</si>
  <si>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</si>
  <si>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</si>
  <si>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</si>
  <si>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</si>
  <si>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</si>
  <si>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</si>
  <si>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</si>
  <si>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</si>
  <si>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</si>
  <si>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</si>
  <si>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</si>
  <si>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</si>
  <si>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</si>
  <si>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</si>
  <si>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</si>
  <si>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</si>
  <si>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</si>
  <si>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</si>
  <si>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</si>
  <si>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</si>
  <si>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</si>
  <si>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</si>
  <si>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</si>
  <si>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</si>
  <si>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</si>
  <si>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</si>
  <si>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</si>
  <si>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</si>
  <si>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</si>
  <si>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</si>
  <si>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</si>
  <si>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</si>
  <si>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</si>
  <si>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</si>
  <si>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</si>
  <si>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</si>
  <si>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</si>
  <si>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</si>
  <si>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</si>
  <si>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</si>
  <si>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</si>
  <si>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</si>
  <si>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</si>
  <si>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</si>
  <si>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</si>
  <si>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</si>
  <si>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</si>
  <si>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</si>
  <si>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</si>
  <si>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</si>
  <si>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</si>
  <si>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</si>
  <si>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</si>
  <si>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</si>
  <si>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</si>
  <si>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</si>
  <si>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</si>
  <si>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</si>
  <si>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</si>
  <si>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</si>
  <si>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</si>
  <si>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</si>
  <si>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</si>
  <si>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</si>
  <si>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</si>
  <si>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</si>
  <si>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</si>
  <si>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</si>
  <si>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</si>
  <si>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</si>
  <si>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</si>
  <si>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</si>
  <si>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</si>
  <si>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</si>
  <si>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</si>
  <si>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</si>
  <si>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</si>
  <si>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</si>
  <si>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</si>
  <si>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</si>
  <si>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</si>
  <si>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</si>
  <si>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</si>
  <si>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</si>
  <si>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</si>
  <si>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</si>
  <si>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</si>
  <si>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</si>
  <si>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</si>
  <si>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</si>
  <si>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</si>
  <si>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</si>
  <si>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</si>
  <si>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</si>
  <si>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</si>
  <si>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</si>
  <si>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</si>
  <si>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</si>
  <si>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</si>
  <si>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</si>
  <si>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</si>
  <si>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</si>
  <si>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</si>
  <si>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</si>
  <si>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</si>
  <si>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</si>
  <si>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</si>
  <si>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</si>
  <si>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</si>
  <si>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</si>
  <si>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</si>
  <si>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</si>
  <si>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</si>
  <si>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</si>
  <si>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</si>
  <si>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</si>
  <si>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</si>
  <si>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</si>
  <si>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</si>
  <si>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</si>
  <si>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</si>
  <si>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</si>
  <si>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</si>
  <si>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</si>
  <si>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</si>
  <si>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</si>
  <si>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</si>
  <si>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</si>
  <si>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</si>
  <si>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</si>
  <si>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</si>
  <si>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</si>
  <si>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</si>
  <si>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</si>
  <si>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</si>
  <si>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</si>
  <si>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</si>
  <si>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</si>
  <si>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</si>
  <si>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</si>
  <si>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</si>
  <si>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</si>
  <si>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</si>
  <si>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</si>
  <si>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</si>
  <si>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</si>
  <si>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</si>
  <si>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</si>
  <si>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</si>
  <si>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</si>
  <si>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</si>
  <si>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</si>
  <si>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</si>
  <si>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</si>
  <si>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</si>
  <si>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</si>
  <si>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</si>
  <si>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</si>
  <si>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</si>
  <si>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</si>
  <si>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</si>
  <si>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</si>
  <si>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</si>
  <si>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</si>
  <si>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</si>
  <si>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</si>
  <si>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</si>
  <si>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</si>
  <si>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</si>
  <si>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</si>
  <si>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</si>
  <si>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</si>
  <si>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</si>
  <si>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</si>
  <si>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</si>
  <si>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</si>
  <si>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</si>
  <si>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</si>
  <si>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</si>
  <si>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</si>
  <si>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</si>
  <si>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</si>
  <si>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</si>
  <si>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</si>
  <si>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</si>
  <si>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</si>
  <si>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</si>
  <si>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</si>
  <si>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</si>
  <si>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</si>
  <si>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</si>
  <si>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</si>
  <si>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</si>
  <si>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</si>
  <si>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</si>
  <si>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</si>
  <si>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</si>
  <si>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</si>
  <si>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</si>
  <si>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</si>
  <si>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</si>
  <si>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</si>
  <si>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</si>
  <si>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</si>
  <si>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</si>
  <si>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</si>
  <si>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</si>
  <si>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</si>
  <si>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</si>
  <si>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</si>
  <si>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</si>
  <si>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</si>
  <si>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</si>
  <si>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</si>
  <si>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</si>
  <si>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</si>
  <si>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</si>
  <si>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</si>
  <si>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</si>
  <si>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</si>
  <si>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</si>
  <si>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</si>
  <si>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</si>
  <si>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</si>
  <si>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</si>
  <si>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</si>
  <si>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</si>
  <si>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</si>
  <si>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</si>
  <si>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</si>
  <si>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</si>
  <si>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</si>
  <si>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</si>
  <si>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</si>
  <si>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</si>
  <si>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</si>
  <si>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</si>
  <si>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</si>
  <si>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</si>
  <si>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</si>
  <si>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</si>
  <si>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</si>
  <si>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</si>
  <si>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</si>
  <si>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</si>
  <si>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</si>
  <si>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</si>
  <si>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</si>
  <si>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</si>
  <si>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</si>
  <si>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</si>
  <si>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</si>
  <si>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</si>
  <si>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</si>
  <si>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</si>
  <si>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</si>
  <si>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</si>
  <si>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</si>
  <si>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</si>
  <si>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</si>
  <si>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</si>
  <si>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</si>
  <si>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</si>
  <si>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</si>
  <si>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</si>
  <si>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</si>
  <si>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</si>
  <si>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</si>
  <si>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</si>
  <si>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</si>
  <si>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</si>
  <si>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</si>
  <si>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</si>
  <si>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</si>
  <si>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</si>
  <si>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</si>
  <si>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</si>
  <si>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</si>
  <si>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</si>
  <si>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</si>
  <si>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</si>
  <si>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</si>
  <si>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</si>
  <si>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</si>
  <si>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</si>
  <si>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</si>
  <si>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</si>
  <si>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</si>
  <si>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</si>
  <si>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</si>
  <si>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</si>
  <si>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</si>
  <si>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</si>
  <si>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</si>
  <si>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</si>
  <si>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</si>
  <si>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</si>
  <si>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</si>
  <si>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</si>
  <si>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</si>
  <si>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</si>
  <si>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</si>
  <si>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</si>
  <si>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</si>
  <si>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</si>
  <si>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</si>
  <si>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</si>
  <si>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</si>
  <si>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</si>
  <si>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</si>
  <si>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</si>
  <si>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</si>
  <si>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</si>
  <si>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</si>
  <si>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</si>
  <si>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</si>
  <si>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</si>
  <si>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</si>
  <si>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</si>
  <si>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</si>
  <si>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</si>
  <si>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</si>
  <si>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</si>
  <si>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</si>
  <si>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</si>
  <si>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</si>
  <si>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</si>
  <si>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</si>
  <si>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</si>
  <si>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</si>
  <si>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</si>
  <si>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</si>
  <si>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</si>
  <si>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</si>
  <si>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</si>
  <si>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</si>
  <si>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</si>
  <si>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</si>
  <si>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</si>
  <si>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</si>
  <si>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</si>
  <si>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</si>
  <si>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</si>
  <si>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</si>
  <si>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</si>
  <si>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</si>
  <si>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</si>
  <si>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</si>
  <si>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</si>
  <si>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</si>
  <si>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</si>
  <si>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</si>
  <si>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</si>
  <si>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</si>
  <si>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</si>
  <si>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</si>
  <si>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</si>
  <si>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</si>
  <si>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the case for all Programs!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</si>
  <si>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</si>
  <si>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</si>
  <si>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</si>
  <si>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</si>
  <si>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</si>
  <si>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</si>
  <si>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</si>
  <si>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</si>
  <si>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</si>
  <si>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</si>
  <si>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</si>
  <si>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</si>
  <si>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</si>
  <si>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</si>
  <si>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</si>
  <si>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</si>
  <si>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</si>
  <si>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</si>
  <si>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</si>
  <si>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</si>
  <si>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</si>
  <si>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</si>
  <si>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</si>
  <si>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</si>
  <si>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</si>
  <si>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</si>
  <si>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</si>
  <si>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</si>
  <si>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</si>
  <si>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</si>
  <si>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</si>
  <si>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</si>
  <si>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</si>
  <si>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</si>
  <si>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</si>
  <si>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</si>
  <si>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</si>
  <si>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</si>
  <si>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</si>
  <si>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</si>
  <si>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</si>
  <si>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</si>
  <si>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</si>
  <si>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</si>
  <si>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</si>
  <si>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</si>
  <si>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</si>
  <si>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</si>
  <si>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</si>
  <si>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</si>
  <si>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</si>
  <si>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</si>
  <si>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</si>
  <si>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</si>
  <si>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</si>
  <si>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</si>
  <si>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</si>
  <si>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</si>
  <si>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</si>
  <si>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</si>
  <si>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</si>
  <si>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</si>
  <si>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</si>
  <si>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</si>
  <si>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</si>
  <si>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</si>
  <si>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</si>
  <si>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LB-Z002: Absorb Inflationary adjustments to Library materials within Base Budget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</si>
  <si>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</si>
  <si>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</si>
  <si>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</si>
  <si>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</si>
  <si>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</si>
  <si>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</si>
  <si>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</si>
  <si>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</si>
  <si>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</si>
  <si>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</si>
  <si>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</si>
  <si>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</si>
  <si>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</si>
  <si>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</si>
  <si>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</si>
  <si>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</si>
  <si>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</si>
  <si>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</si>
  <si>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</si>
  <si>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</si>
  <si>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</si>
  <si>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</si>
  <si>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</si>
  <si>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</si>
  <si>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</si>
  <si>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</si>
  <si>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</si>
  <si>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5" type="noConversion"/>
  </si>
  <si>
    <t>2011 Rec'd Capital Budget: Temporary positions - Capital Project Delivery</t>
    <phoneticPr fontId="25" type="noConversion"/>
  </si>
  <si>
    <t>2011 Rec'd Capital Plan: Temporary positions - Capital Project Delivery</t>
    <phoneticPr fontId="25" type="noConversion"/>
  </si>
  <si>
    <t>Actual</t>
  </si>
  <si>
    <t>2011</t>
  </si>
  <si>
    <t>2012</t>
  </si>
  <si>
    <t xml:space="preserve">Budget </t>
  </si>
  <si>
    <t xml:space="preserve"> Major service impact</t>
  </si>
  <si>
    <t>2012 Recommended Base Budget Changes vs. 2011 Approved Budget</t>
  </si>
  <si>
    <t>Summary of 2012 Base Budget Adjustments</t>
  </si>
  <si>
    <t>2011 Council Approved Operating Budget</t>
  </si>
  <si>
    <t>2011 Approved Operating Budget</t>
  </si>
  <si>
    <t>2012 Base Budget Request</t>
  </si>
  <si>
    <t>2012 Recommended Base Budget</t>
  </si>
  <si>
    <t>% Over (Under) 2011 Appvd. Budget</t>
  </si>
  <si>
    <t>2012 Change from</t>
  </si>
  <si>
    <t>2011 Approved</t>
  </si>
  <si>
    <t>Category of Expense</t>
  </si>
  <si>
    <t>Total 2012 Service Review Actions Submitted</t>
  </si>
  <si>
    <t>2012 Not Proposed / Further Review Required</t>
  </si>
  <si>
    <t>2012 Accepted</t>
  </si>
  <si>
    <t>2012 Service Review: Summary</t>
  </si>
  <si>
    <t>Work Sheet 1 - Recommended Base Changes</t>
  </si>
  <si>
    <t>Work Sheet 2 - used to calculate base budget changes for Table 2 - 2012 Rec'd Base Budget</t>
  </si>
  <si>
    <t>Budget Total</t>
  </si>
  <si>
    <t>Recommended Base Budget</t>
  </si>
  <si>
    <t xml:space="preserve">Corporate adjustments </t>
  </si>
  <si>
    <t xml:space="preserve"> Ins. Adj.</t>
  </si>
  <si>
    <t>COLA @ 2.25%</t>
  </si>
  <si>
    <t>Telecom Adj.</t>
  </si>
  <si>
    <t>PF&amp;R</t>
  </si>
  <si>
    <t>Applegrove</t>
  </si>
  <si>
    <t>New + Enhanced</t>
  </si>
  <si>
    <t>Op - IT Pos</t>
  </si>
  <si>
    <t>11R Hounslow</t>
  </si>
  <si>
    <t>BMR Reduction 40 Regent Pak</t>
  </si>
  <si>
    <t>Progression Pay</t>
  </si>
  <si>
    <t>Step</t>
  </si>
  <si>
    <t>Econ. Factors COLA and Fringe</t>
  </si>
  <si>
    <t>Fringe Benefit Adj</t>
  </si>
  <si>
    <t>Gapping Adj.</t>
  </si>
  <si>
    <t>New + Enhanced - revised to 775.5</t>
  </si>
  <si>
    <t>275 Merrton</t>
  </si>
  <si>
    <t>Fleet Bud</t>
  </si>
  <si>
    <t>Recovery from Reserve</t>
  </si>
  <si>
    <t>Net Rev Loss EEO-OPA</t>
  </si>
  <si>
    <t>Union Stn. Reserve</t>
  </si>
  <si>
    <t>PFR Transfer</t>
  </si>
  <si>
    <t>Eliminate incentive EEO</t>
  </si>
  <si>
    <t>Customer Attendant</t>
  </si>
  <si>
    <t>IDR Adj</t>
  </si>
  <si>
    <t>Cap Rev Adj</t>
  </si>
  <si>
    <t>Econ Factor for TRE</t>
  </si>
  <si>
    <t>Security ASD</t>
  </si>
  <si>
    <t>Cust. ASD TPS</t>
  </si>
  <si>
    <t>Shared Services Consolidation</t>
  </si>
  <si>
    <t>Restr. Energy + Env'l.</t>
  </si>
  <si>
    <t>Reductions in CS, Police …</t>
  </si>
  <si>
    <t>TW Rent Adj</t>
  </si>
  <si>
    <t>21 Panorama</t>
  </si>
  <si>
    <t>TW 51 Beechgrove</t>
  </si>
  <si>
    <t>12 St. Anne's</t>
  </si>
  <si>
    <t>RE Audit Specialists</t>
  </si>
  <si>
    <t>330 Progress</t>
  </si>
  <si>
    <t>SS Add'l. Loc</t>
  </si>
  <si>
    <t>40 Regent</t>
  </si>
  <si>
    <t>TH - Solar Photovoltaic</t>
  </si>
  <si>
    <t>3 Dohme</t>
  </si>
  <si>
    <t>Facilities Management and Real Estate</t>
  </si>
</sst>
</file>

<file path=xl/styles.xml><?xml version="1.0" encoding="utf-8"?>
<styleSheet xmlns="http://schemas.openxmlformats.org/spreadsheetml/2006/main">
  <numFmts count="25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.000"/>
    <numFmt numFmtId="176" formatCode="_-* #,##0_-;\-* #,##0_-;_-* &quot;-&quot;??_-;_-@_-"/>
    <numFmt numFmtId="177" formatCode="0_)"/>
    <numFmt numFmtId="178" formatCode="0.0%;[Red]\(0.0%\)"/>
    <numFmt numFmtId="179" formatCode="0.0000"/>
    <numFmt numFmtId="180" formatCode="0.0000000000"/>
    <numFmt numFmtId="181" formatCode="&quot;$&quot;#,##0.000"/>
    <numFmt numFmtId="182" formatCode="_(* #,##0.000_);_(* \(#,##0.000\);_(* &quot;-&quot;??_);_(@_)"/>
    <numFmt numFmtId="183" formatCode="0.0,"/>
    <numFmt numFmtId="184" formatCode="0.00000000000"/>
    <numFmt numFmtId="185" formatCode="[$-409]mmmm\ d\,\ yyyy;@"/>
    <numFmt numFmtId="186" formatCode="#,##0.0_);\(#,##0.0\)"/>
  </numFmts>
  <fonts count="26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185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5" fontId="6" fillId="0" borderId="0"/>
    <xf numFmtId="9" fontId="1" fillId="0" borderId="0" applyFont="0" applyFill="0" applyBorder="0" applyAlignment="0" applyProtection="0"/>
    <xf numFmtId="0" fontId="1" fillId="0" borderId="0"/>
  </cellStyleXfs>
  <cellXfs count="744">
    <xf numFmtId="185" fontId="0" fillId="0" borderId="0" xfId="0"/>
    <xf numFmtId="185" fontId="3" fillId="0" borderId="1" xfId="0" applyFont="1" applyBorder="1" applyAlignment="1">
      <alignment horizontal="center" vertical="center" wrapText="1"/>
    </xf>
    <xf numFmtId="185" fontId="6" fillId="0" borderId="0" xfId="0" applyFont="1" applyBorder="1"/>
    <xf numFmtId="185" fontId="4" fillId="0" borderId="0" xfId="0" applyFont="1"/>
    <xf numFmtId="185" fontId="7" fillId="2" borderId="0" xfId="0" applyFont="1" applyFill="1"/>
    <xf numFmtId="185" fontId="3" fillId="0" borderId="2" xfId="0" applyFont="1" applyBorder="1" applyAlignment="1">
      <alignment horizontal="center" vertical="center"/>
    </xf>
    <xf numFmtId="185" fontId="3" fillId="0" borderId="0" xfId="0" applyFont="1" applyFill="1" applyBorder="1" applyAlignment="1">
      <alignment horizontal="center" vertical="center"/>
    </xf>
    <xf numFmtId="185" fontId="3" fillId="0" borderId="3" xfId="0" applyFont="1" applyBorder="1" applyAlignment="1">
      <alignment horizontal="center" vertical="center"/>
    </xf>
    <xf numFmtId="185" fontId="9" fillId="0" borderId="0" xfId="0" applyFont="1"/>
    <xf numFmtId="185" fontId="4" fillId="0" borderId="0" xfId="0" applyFont="1" applyAlignment="1">
      <alignment vertical="center"/>
    </xf>
    <xf numFmtId="185" fontId="4" fillId="0" borderId="0" xfId="0" applyFont="1" applyBorder="1"/>
    <xf numFmtId="185" fontId="4" fillId="0" borderId="0" xfId="0" applyFont="1" applyFill="1"/>
    <xf numFmtId="185" fontId="7" fillId="0" borderId="0" xfId="0" applyFont="1" applyFill="1"/>
    <xf numFmtId="185" fontId="3" fillId="0" borderId="0" xfId="0" applyFont="1" applyBorder="1" applyAlignment="1">
      <alignment horizontal="center" vertical="center"/>
    </xf>
    <xf numFmtId="185" fontId="10" fillId="0" borderId="0" xfId="0" applyFont="1" applyBorder="1" applyAlignment="1">
      <alignment horizontal="center"/>
    </xf>
    <xf numFmtId="185" fontId="10" fillId="0" borderId="0" xfId="0" applyFont="1" applyBorder="1"/>
    <xf numFmtId="185" fontId="12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5" fontId="2" fillId="0" borderId="0" xfId="0" applyFont="1" applyBorder="1" applyAlignment="1">
      <alignment vertical="center"/>
    </xf>
    <xf numFmtId="185" fontId="10" fillId="0" borderId="0" xfId="0" applyFont="1" applyBorder="1" applyAlignment="1"/>
    <xf numFmtId="185" fontId="10" fillId="0" borderId="0" xfId="0" applyFont="1" applyAlignment="1"/>
    <xf numFmtId="185" fontId="14" fillId="0" borderId="0" xfId="0" applyFont="1"/>
    <xf numFmtId="185" fontId="3" fillId="3" borderId="3" xfId="0" applyFont="1" applyFill="1" applyBorder="1" applyAlignment="1">
      <alignment horizontal="center" vertical="center"/>
    </xf>
    <xf numFmtId="185" fontId="14" fillId="0" borderId="0" xfId="0" applyFont="1" applyBorder="1" applyAlignment="1">
      <alignment horizontal="center"/>
    </xf>
    <xf numFmtId="185" fontId="14" fillId="0" borderId="0" xfId="0" applyFont="1" applyBorder="1"/>
    <xf numFmtId="185" fontId="14" fillId="0" borderId="0" xfId="0" applyFont="1" applyFill="1"/>
    <xf numFmtId="185" fontId="14" fillId="2" borderId="0" xfId="0" applyFont="1" applyFill="1"/>
    <xf numFmtId="185" fontId="14" fillId="0" borderId="0" xfId="0" applyFont="1" applyFill="1" applyBorder="1"/>
    <xf numFmtId="185" fontId="14" fillId="2" borderId="1" xfId="0" applyFont="1" applyFill="1" applyBorder="1"/>
    <xf numFmtId="185" fontId="14" fillId="0" borderId="4" xfId="0" applyFont="1" applyBorder="1"/>
    <xf numFmtId="185" fontId="14" fillId="0" borderId="0" xfId="0" applyFont="1" applyBorder="1" applyAlignment="1">
      <alignment vertical="center"/>
    </xf>
    <xf numFmtId="185" fontId="14" fillId="0" borderId="5" xfId="0" applyFont="1" applyBorder="1"/>
    <xf numFmtId="185" fontId="3" fillId="3" borderId="5" xfId="0" applyFont="1" applyFill="1" applyBorder="1" applyAlignment="1">
      <alignment horizontal="centerContinuous" vertical="center" wrapText="1"/>
    </xf>
    <xf numFmtId="185" fontId="2" fillId="0" borderId="0" xfId="0" applyFont="1" applyBorder="1" applyAlignment="1">
      <alignment horizontal="centerContinuous" vertical="center"/>
    </xf>
    <xf numFmtId="185" fontId="5" fillId="0" borderId="0" xfId="0" applyFont="1" applyBorder="1" applyAlignment="1">
      <alignment horizontal="centerContinuous" vertical="center"/>
    </xf>
    <xf numFmtId="185" fontId="7" fillId="0" borderId="0" xfId="0" applyFont="1"/>
    <xf numFmtId="169" fontId="4" fillId="0" borderId="0" xfId="1" applyNumberFormat="1" applyFont="1" applyFill="1" applyBorder="1" applyAlignment="1">
      <alignment horizontal="right" vertical="center"/>
    </xf>
    <xf numFmtId="185" fontId="3" fillId="0" borderId="9" xfId="0" applyFont="1" applyBorder="1"/>
    <xf numFmtId="185" fontId="3" fillId="3" borderId="10" xfId="0" applyFont="1" applyFill="1" applyBorder="1" applyAlignment="1">
      <alignment horizontal="centerContinuous" vertical="center" wrapText="1"/>
    </xf>
    <xf numFmtId="185" fontId="4" fillId="0" borderId="2" xfId="0" applyFont="1" applyFill="1" applyBorder="1" applyAlignment="1">
      <alignment horizontal="left" vertical="center" indent="1"/>
    </xf>
    <xf numFmtId="185" fontId="3" fillId="0" borderId="2" xfId="0" applyFont="1" applyFill="1" applyBorder="1" applyAlignment="1">
      <alignment horizontal="left" vertical="center"/>
    </xf>
    <xf numFmtId="166" fontId="14" fillId="0" borderId="0" xfId="0" applyNumberFormat="1" applyFont="1" applyBorder="1"/>
    <xf numFmtId="168" fontId="3" fillId="0" borderId="0" xfId="1" applyNumberFormat="1" applyFont="1" applyFill="1" applyBorder="1" applyAlignment="1">
      <alignment horizontal="right" vertical="center"/>
    </xf>
    <xf numFmtId="38" fontId="4" fillId="0" borderId="0" xfId="1" applyNumberFormat="1" applyFont="1" applyFill="1" applyBorder="1" applyAlignment="1">
      <alignment horizontal="right" vertical="center"/>
    </xf>
    <xf numFmtId="8" fontId="12" fillId="0" borderId="0" xfId="0" applyNumberFormat="1" applyFont="1"/>
    <xf numFmtId="185" fontId="13" fillId="0" borderId="0" xfId="0" applyFont="1" applyFill="1" applyAlignment="1">
      <alignment horizontal="center"/>
    </xf>
    <xf numFmtId="185" fontId="3" fillId="0" borderId="0" xfId="0" applyFont="1" applyFill="1" applyBorder="1" applyAlignment="1">
      <alignment horizontal="center" vertical="center" wrapText="1"/>
    </xf>
    <xf numFmtId="169" fontId="4" fillId="0" borderId="0" xfId="1" applyNumberFormat="1" applyFont="1" applyFill="1" applyBorder="1" applyAlignment="1">
      <alignment horizontal="center" vertical="center"/>
    </xf>
    <xf numFmtId="168" fontId="4" fillId="0" borderId="0" xfId="1" applyNumberFormat="1" applyFont="1" applyFill="1" applyBorder="1" applyAlignment="1">
      <alignment horizontal="center" vertical="center"/>
    </xf>
    <xf numFmtId="165" fontId="4" fillId="0" borderId="0" xfId="1" applyFont="1" applyFill="1" applyBorder="1" applyAlignment="1">
      <alignment horizontal="right" vertical="center"/>
    </xf>
    <xf numFmtId="185" fontId="1" fillId="0" borderId="0" xfId="0" applyFont="1"/>
    <xf numFmtId="185" fontId="3" fillId="0" borderId="12" xfId="0" applyFont="1" applyFill="1" applyBorder="1" applyAlignment="1">
      <alignment horizontal="center" vertical="center" wrapText="1"/>
    </xf>
    <xf numFmtId="185" fontId="3" fillId="0" borderId="14" xfId="0" applyFont="1" applyFill="1" applyBorder="1" applyAlignment="1">
      <alignment horizontal="left" vertical="center"/>
    </xf>
    <xf numFmtId="185" fontId="4" fillId="0" borderId="2" xfId="0" applyFont="1" applyFill="1" applyBorder="1" applyAlignment="1">
      <alignment horizontal="center" vertical="center"/>
    </xf>
    <xf numFmtId="185" fontId="1" fillId="0" borderId="0" xfId="0" applyFont="1" applyFill="1" applyBorder="1" applyAlignment="1">
      <alignment horizontal="center" vertical="center" wrapText="1"/>
    </xf>
    <xf numFmtId="185" fontId="1" fillId="0" borderId="0" xfId="0" applyFont="1" applyFill="1"/>
    <xf numFmtId="185" fontId="11" fillId="0" borderId="0" xfId="4" applyFont="1" applyBorder="1" applyAlignment="1">
      <alignment horizontal="center"/>
    </xf>
    <xf numFmtId="185" fontId="11" fillId="0" borderId="0" xfId="4" applyFont="1" applyFill="1" applyBorder="1" applyAlignment="1" applyProtection="1">
      <alignment horizontal="center"/>
    </xf>
    <xf numFmtId="185" fontId="2" fillId="0" borderId="0" xfId="4" applyFont="1" applyFill="1" applyAlignment="1" applyProtection="1">
      <alignment horizontal="centerContinuous"/>
    </xf>
    <xf numFmtId="185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5" fontId="4" fillId="0" borderId="0" xfId="4" applyFont="1" applyFill="1" applyBorder="1" applyProtection="1"/>
    <xf numFmtId="185" fontId="3" fillId="0" borderId="16" xfId="4" quotePrefix="1" applyFont="1" applyFill="1" applyBorder="1" applyProtection="1"/>
    <xf numFmtId="185" fontId="3" fillId="0" borderId="17" xfId="4" applyFont="1" applyFill="1" applyBorder="1" applyProtection="1"/>
    <xf numFmtId="185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5" fontId="4" fillId="0" borderId="18" xfId="4" applyFont="1" applyFill="1" applyBorder="1" applyProtection="1"/>
    <xf numFmtId="185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5" fontId="4" fillId="0" borderId="19" xfId="4" applyFont="1" applyFill="1" applyBorder="1" applyProtection="1"/>
    <xf numFmtId="185" fontId="3" fillId="0" borderId="0" xfId="4" quotePrefix="1" applyFont="1" applyFill="1" applyBorder="1" applyAlignment="1" applyProtection="1"/>
    <xf numFmtId="185" fontId="3" fillId="0" borderId="20" xfId="4" applyFont="1" applyFill="1" applyBorder="1" applyProtection="1"/>
    <xf numFmtId="185" fontId="3" fillId="0" borderId="16" xfId="4" applyFont="1" applyFill="1" applyBorder="1" applyProtection="1"/>
    <xf numFmtId="185" fontId="3" fillId="0" borderId="18" xfId="4" applyFont="1" applyFill="1" applyBorder="1" applyProtection="1"/>
    <xf numFmtId="185" fontId="3" fillId="0" borderId="21" xfId="4" applyFont="1" applyFill="1" applyBorder="1" applyProtection="1"/>
    <xf numFmtId="185" fontId="3" fillId="0" borderId="22" xfId="4" applyFont="1" applyFill="1" applyBorder="1" applyProtection="1"/>
    <xf numFmtId="185" fontId="3" fillId="0" borderId="20" xfId="4" applyFont="1" applyBorder="1" applyProtection="1"/>
    <xf numFmtId="185" fontId="3" fillId="0" borderId="19" xfId="4" applyFont="1" applyBorder="1" applyProtection="1"/>
    <xf numFmtId="185" fontId="3" fillId="0" borderId="19" xfId="4" applyFont="1" applyFill="1" applyBorder="1" applyProtection="1"/>
    <xf numFmtId="185" fontId="3" fillId="0" borderId="23" xfId="4" applyFont="1" applyFill="1" applyBorder="1" applyProtection="1"/>
    <xf numFmtId="185" fontId="16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5" fillId="0" borderId="0" xfId="4" applyNumberFormat="1" applyFont="1" applyFill="1" applyBorder="1" applyAlignment="1" applyProtection="1"/>
    <xf numFmtId="185" fontId="3" fillId="0" borderId="0" xfId="4" applyFont="1" applyFill="1" applyBorder="1" applyAlignment="1" applyProtection="1">
      <alignment horizontal="center"/>
    </xf>
    <xf numFmtId="185" fontId="3" fillId="0" borderId="20" xfId="4" applyFont="1" applyFill="1" applyBorder="1" applyAlignment="1" applyProtection="1"/>
    <xf numFmtId="177" fontId="3" fillId="0" borderId="27" xfId="4" applyNumberFormat="1" applyFont="1" applyFill="1" applyBorder="1" applyAlignment="1" applyProtection="1">
      <alignment horizontal="center"/>
    </xf>
    <xf numFmtId="185" fontId="3" fillId="0" borderId="3" xfId="4" applyFont="1" applyFill="1" applyBorder="1" applyAlignment="1" applyProtection="1">
      <alignment horizontal="center"/>
    </xf>
    <xf numFmtId="177" fontId="3" fillId="0" borderId="0" xfId="4" applyNumberFormat="1" applyFont="1" applyFill="1" applyBorder="1" applyAlignment="1" applyProtection="1">
      <alignment horizontal="center"/>
    </xf>
    <xf numFmtId="185" fontId="3" fillId="0" borderId="27" xfId="4" applyFont="1" applyFill="1" applyBorder="1" applyAlignment="1" applyProtection="1">
      <alignment horizontal="center"/>
    </xf>
    <xf numFmtId="185" fontId="3" fillId="0" borderId="28" xfId="4" applyFont="1" applyFill="1" applyBorder="1" applyAlignment="1" applyProtection="1">
      <alignment horizontal="center"/>
    </xf>
    <xf numFmtId="185" fontId="3" fillId="0" borderId="29" xfId="4" applyFont="1" applyFill="1" applyBorder="1" applyAlignment="1" applyProtection="1">
      <alignment horizontal="center"/>
    </xf>
    <xf numFmtId="185" fontId="3" fillId="0" borderId="28" xfId="4" applyFont="1" applyFill="1" applyBorder="1" applyAlignment="1" applyProtection="1">
      <alignment horizontal="center" vertical="center"/>
    </xf>
    <xf numFmtId="185" fontId="3" fillId="0" borderId="29" xfId="4" applyFont="1" applyFill="1" applyBorder="1" applyAlignment="1" applyProtection="1">
      <alignment horizontal="center" vertical="center"/>
    </xf>
    <xf numFmtId="185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5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5" fontId="3" fillId="3" borderId="22" xfId="4" applyFont="1" applyFill="1" applyBorder="1" applyProtection="1"/>
    <xf numFmtId="185" fontId="3" fillId="3" borderId="17" xfId="4" applyFont="1" applyFill="1" applyBorder="1" applyAlignment="1" applyProtection="1">
      <alignment horizontal="left"/>
    </xf>
    <xf numFmtId="185" fontId="3" fillId="3" borderId="3" xfId="4" applyFont="1" applyFill="1" applyBorder="1" applyAlignment="1" applyProtection="1">
      <alignment horizontal="center"/>
    </xf>
    <xf numFmtId="185" fontId="3" fillId="3" borderId="29" xfId="4" applyFont="1" applyFill="1" applyBorder="1" applyAlignment="1" applyProtection="1">
      <alignment horizontal="center"/>
    </xf>
    <xf numFmtId="185" fontId="3" fillId="3" borderId="29" xfId="4" applyFont="1" applyFill="1" applyBorder="1" applyAlignment="1" applyProtection="1">
      <alignment horizontal="center" vertical="center"/>
    </xf>
    <xf numFmtId="185" fontId="3" fillId="3" borderId="35" xfId="4" applyFont="1" applyFill="1" applyBorder="1" applyAlignment="1" applyProtection="1">
      <alignment horizontal="center" vertical="center"/>
    </xf>
    <xf numFmtId="172" fontId="4" fillId="3" borderId="3" xfId="4" applyNumberFormat="1" applyFont="1" applyFill="1" applyBorder="1" applyAlignment="1" applyProtection="1">
      <alignment horizontal="center"/>
    </xf>
    <xf numFmtId="172" fontId="4" fillId="3" borderId="36" xfId="4" applyNumberFormat="1" applyFont="1" applyFill="1" applyBorder="1" applyAlignment="1" applyProtection="1">
      <alignment horizontal="center"/>
    </xf>
    <xf numFmtId="167" fontId="4" fillId="3" borderId="3" xfId="4" applyNumberFormat="1" applyFont="1" applyFill="1" applyBorder="1" applyAlignment="1" applyProtection="1">
      <alignment horizontal="center"/>
    </xf>
    <xf numFmtId="167" fontId="4" fillId="3" borderId="36" xfId="4" applyNumberFormat="1" applyFont="1" applyFill="1" applyBorder="1" applyAlignment="1" applyProtection="1">
      <alignment horizontal="center"/>
    </xf>
    <xf numFmtId="167" fontId="4" fillId="3" borderId="32" xfId="4" applyNumberFormat="1" applyFont="1" applyFill="1" applyBorder="1" applyAlignment="1" applyProtection="1">
      <alignment horizontal="center"/>
    </xf>
    <xf numFmtId="167" fontId="4" fillId="3" borderId="37" xfId="4" applyNumberFormat="1" applyFont="1" applyFill="1" applyBorder="1" applyAlignment="1" applyProtection="1">
      <alignment horizontal="center"/>
    </xf>
    <xf numFmtId="167" fontId="4" fillId="3" borderId="29" xfId="4" applyNumberFormat="1" applyFont="1" applyFill="1" applyBorder="1" applyAlignment="1" applyProtection="1">
      <alignment horizontal="center" vertical="center"/>
    </xf>
    <xf numFmtId="167" fontId="4" fillId="3" borderId="38" xfId="4" applyNumberFormat="1" applyFont="1" applyFill="1" applyBorder="1" applyAlignment="1" applyProtection="1">
      <alignment horizontal="center"/>
    </xf>
    <xf numFmtId="167" fontId="4" fillId="3" borderId="39" xfId="4" applyNumberFormat="1" applyFont="1" applyFill="1" applyBorder="1" applyAlignment="1" applyProtection="1">
      <alignment horizontal="center"/>
    </xf>
    <xf numFmtId="167" fontId="4" fillId="3" borderId="40" xfId="4" applyNumberFormat="1" applyFont="1" applyFill="1" applyBorder="1" applyAlignment="1" applyProtection="1">
      <alignment horizontal="center"/>
    </xf>
    <xf numFmtId="167" fontId="4" fillId="3" borderId="3" xfId="4" applyNumberFormat="1" applyFont="1" applyFill="1" applyBorder="1" applyAlignment="1" applyProtection="1">
      <alignment horizontal="center" vertical="top"/>
    </xf>
    <xf numFmtId="167" fontId="4" fillId="3" borderId="36" xfId="4" applyNumberFormat="1" applyFont="1" applyFill="1" applyBorder="1" applyAlignment="1" applyProtection="1">
      <alignment horizontal="center" vertical="top"/>
    </xf>
    <xf numFmtId="167" fontId="4" fillId="3" borderId="34" xfId="4" applyNumberFormat="1" applyFont="1" applyFill="1" applyBorder="1" applyAlignment="1" applyProtection="1">
      <alignment horizontal="center"/>
    </xf>
    <xf numFmtId="167" fontId="4" fillId="3" borderId="15" xfId="4" applyNumberFormat="1" applyFont="1" applyFill="1" applyBorder="1" applyAlignment="1" applyProtection="1">
      <alignment horizontal="center"/>
    </xf>
    <xf numFmtId="167" fontId="4" fillId="3" borderId="3" xfId="4" applyNumberFormat="1" applyFont="1" applyFill="1" applyBorder="1" applyAlignment="1" applyProtection="1">
      <alignment horizontal="center" vertical="center"/>
    </xf>
    <xf numFmtId="167" fontId="4" fillId="3" borderId="41" xfId="4" applyNumberFormat="1" applyFont="1" applyFill="1" applyBorder="1" applyAlignment="1" applyProtection="1">
      <alignment horizontal="center"/>
    </xf>
    <xf numFmtId="167" fontId="4" fillId="3" borderId="42" xfId="4" applyNumberFormat="1" applyFont="1" applyFill="1" applyBorder="1" applyAlignment="1" applyProtection="1">
      <alignment horizontal="center"/>
    </xf>
    <xf numFmtId="185" fontId="3" fillId="0" borderId="1" xfId="0" applyFont="1" applyFill="1" applyBorder="1" applyAlignment="1">
      <alignment horizontal="center" vertical="center"/>
    </xf>
    <xf numFmtId="185" fontId="14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3" borderId="30" xfId="0" applyNumberFormat="1" applyFont="1" applyFill="1" applyBorder="1" applyAlignment="1">
      <alignment horizontal="center" vertical="center"/>
    </xf>
    <xf numFmtId="171" fontId="4" fillId="3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5" fontId="3" fillId="3" borderId="12" xfId="0" applyFont="1" applyFill="1" applyBorder="1" applyAlignment="1">
      <alignment horizontal="center" vertical="center"/>
    </xf>
    <xf numFmtId="185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5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3" borderId="12" xfId="0" applyNumberFormat="1" applyFont="1" applyFill="1" applyBorder="1" applyAlignment="1">
      <alignment horizontal="center" vertical="center"/>
    </xf>
    <xf numFmtId="166" fontId="4" fillId="3" borderId="30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85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5" fontId="3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66" fontId="4" fillId="3" borderId="7" xfId="0" applyNumberFormat="1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3" borderId="12" xfId="0" applyNumberFormat="1" applyFont="1" applyFill="1" applyBorder="1" applyAlignment="1">
      <alignment horizontal="center" vertical="center"/>
    </xf>
    <xf numFmtId="185" fontId="14" fillId="0" borderId="4" xfId="0" applyFont="1" applyBorder="1" applyAlignment="1">
      <alignment horizontal="right"/>
    </xf>
    <xf numFmtId="171" fontId="3" fillId="3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5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3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5" fontId="13" fillId="0" borderId="0" xfId="0" applyFont="1" applyAlignment="1">
      <alignment horizontal="center"/>
    </xf>
    <xf numFmtId="185" fontId="0" fillId="0" borderId="0" xfId="0" applyBorder="1"/>
    <xf numFmtId="185" fontId="0" fillId="0" borderId="13" xfId="0" applyBorder="1"/>
    <xf numFmtId="185" fontId="4" fillId="0" borderId="9" xfId="0" applyFont="1" applyFill="1" applyBorder="1" applyAlignment="1">
      <alignment horizontal="center" vertical="center" wrapText="1"/>
    </xf>
    <xf numFmtId="185" fontId="0" fillId="0" borderId="4" xfId="0" applyBorder="1"/>
    <xf numFmtId="185" fontId="4" fillId="0" borderId="9" xfId="0" applyFont="1" applyFill="1" applyBorder="1" applyAlignment="1">
      <alignment horizontal="center" vertical="center"/>
    </xf>
    <xf numFmtId="185" fontId="0" fillId="0" borderId="3" xfId="0" applyBorder="1"/>
    <xf numFmtId="185" fontId="3" fillId="0" borderId="5" xfId="0" applyFont="1" applyFill="1" applyBorder="1" applyAlignment="1">
      <alignment horizontal="center" vertical="center"/>
    </xf>
    <xf numFmtId="185" fontId="17" fillId="3" borderId="2" xfId="0" applyFont="1" applyFill="1" applyBorder="1"/>
    <xf numFmtId="171" fontId="17" fillId="3" borderId="0" xfId="0" applyNumberFormat="1" applyFont="1" applyFill="1" applyBorder="1"/>
    <xf numFmtId="185" fontId="4" fillId="0" borderId="2" xfId="0" applyFont="1" applyFill="1" applyBorder="1" applyAlignment="1">
      <alignment horizontal="left" vertical="center" wrapText="1" indent="1"/>
    </xf>
    <xf numFmtId="185" fontId="18" fillId="0" borderId="0" xfId="0" applyFont="1" applyAlignment="1"/>
    <xf numFmtId="185" fontId="13" fillId="0" borderId="0" xfId="0" applyFont="1" applyAlignment="1"/>
    <xf numFmtId="185" fontId="13" fillId="3" borderId="1" xfId="0" applyFont="1" applyFill="1" applyBorder="1" applyAlignment="1">
      <alignment horizontal="center"/>
    </xf>
    <xf numFmtId="185" fontId="19" fillId="0" borderId="9" xfId="0" applyFont="1" applyBorder="1"/>
    <xf numFmtId="171" fontId="0" fillId="0" borderId="12" xfId="0" applyNumberFormat="1" applyBorder="1"/>
    <xf numFmtId="171" fontId="17" fillId="0" borderId="12" xfId="0" applyNumberFormat="1" applyFont="1" applyBorder="1"/>
    <xf numFmtId="185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7" fillId="0" borderId="3" xfId="0" applyNumberFormat="1" applyFont="1" applyBorder="1"/>
    <xf numFmtId="185" fontId="0" fillId="0" borderId="43" xfId="0" applyFill="1" applyBorder="1" applyAlignment="1">
      <alignment horizontal="left" wrapText="1" indent="1"/>
    </xf>
    <xf numFmtId="185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7" fillId="0" borderId="30" xfId="0" applyNumberFormat="1" applyFont="1" applyBorder="1"/>
    <xf numFmtId="185" fontId="19" fillId="0" borderId="45" xfId="0" applyFont="1" applyFill="1" applyBorder="1" applyAlignment="1">
      <alignment wrapText="1"/>
    </xf>
    <xf numFmtId="185" fontId="0" fillId="0" borderId="43" xfId="0" applyFill="1" applyBorder="1" applyAlignment="1">
      <alignment wrapText="1"/>
    </xf>
    <xf numFmtId="185" fontId="0" fillId="0" borderId="44" xfId="0" applyFill="1" applyBorder="1" applyAlignment="1">
      <alignment wrapText="1"/>
    </xf>
    <xf numFmtId="185" fontId="19" fillId="0" borderId="46" xfId="0" applyFont="1" applyFill="1" applyBorder="1" applyAlignment="1">
      <alignment wrapText="1"/>
    </xf>
    <xf numFmtId="185" fontId="0" fillId="0" borderId="47" xfId="0" applyFill="1" applyBorder="1" applyAlignment="1">
      <alignment horizontal="left" wrapText="1" indent="1"/>
    </xf>
    <xf numFmtId="185" fontId="19" fillId="0" borderId="44" xfId="0" applyFont="1" applyFill="1" applyBorder="1" applyAlignment="1">
      <alignment wrapText="1"/>
    </xf>
    <xf numFmtId="185" fontId="19" fillId="0" borderId="43" xfId="0" applyFont="1" applyFill="1" applyBorder="1" applyAlignment="1">
      <alignment wrapText="1"/>
    </xf>
    <xf numFmtId="185" fontId="19" fillId="0" borderId="45" xfId="0" applyFont="1" applyFill="1" applyBorder="1" applyAlignment="1">
      <alignment horizontal="left" wrapText="1"/>
    </xf>
    <xf numFmtId="185" fontId="1" fillId="0" borderId="43" xfId="0" applyFont="1" applyFill="1" applyBorder="1" applyAlignment="1">
      <alignment horizontal="left" wrapText="1" indent="1"/>
    </xf>
    <xf numFmtId="185" fontId="19" fillId="0" borderId="9" xfId="0" applyFont="1" applyFill="1" applyBorder="1" applyAlignment="1">
      <alignment horizontal="left" wrapText="1"/>
    </xf>
    <xf numFmtId="185" fontId="1" fillId="0" borderId="47" xfId="0" applyFont="1" applyFill="1" applyBorder="1" applyAlignment="1">
      <alignment horizontal="left" wrapText="1" indent="1"/>
    </xf>
    <xf numFmtId="185" fontId="13" fillId="3" borderId="14" xfId="0" applyFont="1" applyFill="1" applyBorder="1" applyAlignment="1">
      <alignment wrapText="1"/>
    </xf>
    <xf numFmtId="171" fontId="13" fillId="3" borderId="30" xfId="0" applyNumberFormat="1" applyFont="1" applyFill="1" applyBorder="1"/>
    <xf numFmtId="171" fontId="3" fillId="0" borderId="1" xfId="0" applyNumberFormat="1" applyFont="1" applyFill="1" applyBorder="1" applyAlignment="1">
      <alignment horizontal="center" vertical="center"/>
    </xf>
    <xf numFmtId="185" fontId="18" fillId="0" borderId="0" xfId="0" applyFont="1" applyAlignment="1">
      <alignment horizontal="center"/>
    </xf>
    <xf numFmtId="185" fontId="19" fillId="0" borderId="9" xfId="0" applyFont="1" applyBorder="1" applyAlignment="1">
      <alignment horizontal="center"/>
    </xf>
    <xf numFmtId="185" fontId="0" fillId="0" borderId="48" xfId="0" applyBorder="1" applyAlignment="1">
      <alignment horizontal="center"/>
    </xf>
    <xf numFmtId="185" fontId="0" fillId="0" borderId="48" xfId="0" applyFill="1" applyBorder="1" applyAlignment="1">
      <alignment horizontal="center"/>
    </xf>
    <xf numFmtId="185" fontId="19" fillId="0" borderId="9" xfId="0" applyFont="1" applyFill="1" applyBorder="1" applyAlignment="1">
      <alignment horizontal="center" wrapText="1"/>
    </xf>
    <xf numFmtId="185" fontId="0" fillId="0" borderId="2" xfId="0" applyFill="1" applyBorder="1" applyAlignment="1">
      <alignment horizontal="center" wrapText="1"/>
    </xf>
    <xf numFmtId="185" fontId="0" fillId="0" borderId="6" xfId="0" applyFill="1" applyBorder="1" applyAlignment="1">
      <alignment horizontal="center" wrapText="1"/>
    </xf>
    <xf numFmtId="185" fontId="13" fillId="3" borderId="6" xfId="0" applyFont="1" applyFill="1" applyBorder="1" applyAlignment="1">
      <alignment horizontal="center" wrapText="1"/>
    </xf>
    <xf numFmtId="185" fontId="17" fillId="0" borderId="0" xfId="0" applyFont="1" applyBorder="1" applyAlignment="1">
      <alignment horizontal="center"/>
    </xf>
    <xf numFmtId="185" fontId="0" fillId="0" borderId="0" xfId="0" applyAlignment="1">
      <alignment horizontal="center"/>
    </xf>
    <xf numFmtId="185" fontId="19" fillId="0" borderId="49" xfId="0" applyFont="1" applyFill="1" applyBorder="1" applyAlignment="1">
      <alignment wrapText="1"/>
    </xf>
    <xf numFmtId="185" fontId="0" fillId="0" borderId="48" xfId="0" applyFill="1" applyBorder="1" applyAlignment="1">
      <alignment horizontal="left" wrapText="1" indent="1"/>
    </xf>
    <xf numFmtId="185" fontId="0" fillId="0" borderId="50" xfId="0" applyFill="1" applyBorder="1" applyAlignment="1">
      <alignment horizontal="left" wrapText="1" indent="1"/>
    </xf>
    <xf numFmtId="185" fontId="19" fillId="0" borderId="12" xfId="0" applyFont="1" applyFill="1" applyBorder="1" applyAlignment="1">
      <alignment horizontal="center" wrapText="1"/>
    </xf>
    <xf numFmtId="185" fontId="0" fillId="0" borderId="50" xfId="0" applyFill="1" applyBorder="1" applyAlignment="1">
      <alignment horizontal="center"/>
    </xf>
    <xf numFmtId="185" fontId="0" fillId="0" borderId="51" xfId="0" applyFill="1" applyBorder="1" applyAlignment="1">
      <alignment horizontal="center"/>
    </xf>
    <xf numFmtId="185" fontId="0" fillId="0" borderId="52" xfId="0" applyFill="1" applyBorder="1" applyAlignment="1">
      <alignment horizontal="center"/>
    </xf>
    <xf numFmtId="185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5" fontId="0" fillId="0" borderId="52" xfId="0" applyFill="1" applyBorder="1" applyAlignment="1">
      <alignment horizontal="center" wrapText="1"/>
    </xf>
    <xf numFmtId="185" fontId="0" fillId="0" borderId="53" xfId="0" applyFill="1" applyBorder="1" applyAlignment="1">
      <alignment horizontal="center"/>
    </xf>
    <xf numFmtId="185" fontId="0" fillId="0" borderId="54" xfId="0" applyFill="1" applyBorder="1" applyAlignment="1">
      <alignment horizontal="center"/>
    </xf>
    <xf numFmtId="185" fontId="0" fillId="0" borderId="0" xfId="0" applyBorder="1" applyAlignment="1">
      <alignment horizontal="center"/>
    </xf>
    <xf numFmtId="185" fontId="0" fillId="0" borderId="12" xfId="0" applyBorder="1" applyAlignment="1">
      <alignment horizontal="center"/>
    </xf>
    <xf numFmtId="185" fontId="0" fillId="0" borderId="3" xfId="0" applyFill="1" applyBorder="1" applyAlignment="1">
      <alignment horizontal="center"/>
    </xf>
    <xf numFmtId="185" fontId="1" fillId="0" borderId="48" xfId="0" applyFont="1" applyFill="1" applyBorder="1" applyAlignment="1">
      <alignment horizontal="center"/>
    </xf>
    <xf numFmtId="171" fontId="3" fillId="0" borderId="3" xfId="0" applyNumberFormat="1" applyFont="1" applyFill="1" applyBorder="1" applyAlignment="1">
      <alignment horizontal="center" vertical="center"/>
    </xf>
    <xf numFmtId="171" fontId="4" fillId="0" borderId="3" xfId="1" applyNumberFormat="1" applyFont="1" applyFill="1" applyBorder="1" applyAlignment="1">
      <alignment horizontal="right" vertical="center"/>
    </xf>
    <xf numFmtId="171" fontId="4" fillId="0" borderId="0" xfId="1" applyNumberFormat="1" applyFont="1" applyFill="1" applyBorder="1" applyAlignment="1">
      <alignment horizontal="right" vertical="center"/>
    </xf>
    <xf numFmtId="171" fontId="4" fillId="0" borderId="3" xfId="1" applyNumberFormat="1" applyFont="1" applyFill="1" applyBorder="1" applyAlignment="1">
      <alignment horizontal="center" vertical="center"/>
    </xf>
    <xf numFmtId="171" fontId="4" fillId="0" borderId="0" xfId="1" applyNumberFormat="1" applyFont="1" applyFill="1" applyBorder="1" applyAlignment="1">
      <alignment horizontal="center" vertical="center"/>
    </xf>
    <xf numFmtId="171" fontId="4" fillId="0" borderId="13" xfId="1" applyNumberFormat="1" applyFont="1" applyFill="1" applyBorder="1" applyAlignment="1">
      <alignment horizontal="center" vertical="center"/>
    </xf>
    <xf numFmtId="171" fontId="4" fillId="0" borderId="3" xfId="1" applyNumberFormat="1" applyFont="1" applyFill="1" applyBorder="1" applyAlignment="1">
      <alignment horizontal="center" vertical="center" wrapText="1"/>
    </xf>
    <xf numFmtId="171" fontId="4" fillId="0" borderId="0" xfId="1" applyNumberFormat="1" applyFont="1" applyFill="1" applyBorder="1" applyAlignment="1">
      <alignment horizontal="center" vertical="center" wrapText="1"/>
    </xf>
    <xf numFmtId="171" fontId="4" fillId="0" borderId="13" xfId="1" applyNumberFormat="1" applyFont="1" applyFill="1" applyBorder="1" applyAlignment="1">
      <alignment horizontal="center" vertical="center" wrapText="1"/>
    </xf>
    <xf numFmtId="171" fontId="4" fillId="0" borderId="3" xfId="0" applyNumberFormat="1" applyFont="1" applyFill="1" applyBorder="1" applyAlignment="1" applyProtection="1">
      <alignment horizontal="center"/>
      <protection locked="0"/>
    </xf>
    <xf numFmtId="171" fontId="4" fillId="0" borderId="0" xfId="0" applyNumberFormat="1" applyFont="1" applyFill="1" applyBorder="1" applyAlignment="1" applyProtection="1">
      <alignment horizontal="center"/>
      <protection locked="0"/>
    </xf>
    <xf numFmtId="171" fontId="0" fillId="0" borderId="12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13" xfId="0" applyNumberFormat="1" applyBorder="1" applyAlignment="1">
      <alignment horizontal="center"/>
    </xf>
    <xf numFmtId="185" fontId="17" fillId="0" borderId="0" xfId="0" applyFont="1"/>
    <xf numFmtId="185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3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5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5" fontId="3" fillId="0" borderId="61" xfId="0" applyFont="1" applyFill="1" applyBorder="1" applyAlignment="1">
      <alignment horizontal="left" vertical="center" indent="1"/>
    </xf>
    <xf numFmtId="185" fontId="14" fillId="0" borderId="62" xfId="0" applyFont="1" applyBorder="1" applyAlignment="1">
      <alignment horizontal="right"/>
    </xf>
    <xf numFmtId="173" fontId="3" fillId="3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5" fontId="2" fillId="0" borderId="65" xfId="0" applyFont="1" applyBorder="1" applyAlignment="1">
      <alignment horizontal="centerContinuous" vertical="center"/>
    </xf>
    <xf numFmtId="185" fontId="3" fillId="0" borderId="57" xfId="0" applyFont="1" applyBorder="1" applyAlignment="1">
      <alignment horizontal="centerContinuous" vertical="center" wrapText="1"/>
    </xf>
    <xf numFmtId="185" fontId="3" fillId="0" borderId="58" xfId="0" applyFont="1" applyBorder="1" applyAlignment="1">
      <alignment horizontal="centerContinuous" vertical="center" wrapText="1"/>
    </xf>
    <xf numFmtId="185" fontId="3" fillId="0" borderId="66" xfId="0" applyFont="1" applyBorder="1" applyAlignment="1">
      <alignment vertical="center"/>
    </xf>
    <xf numFmtId="185" fontId="3" fillId="0" borderId="67" xfId="0" applyFont="1" applyBorder="1" applyAlignment="1">
      <alignment horizontal="center" vertical="center" wrapText="1"/>
    </xf>
    <xf numFmtId="185" fontId="3" fillId="0" borderId="68" xfId="0" applyFont="1" applyBorder="1" applyAlignment="1">
      <alignment horizontal="center" vertical="center"/>
    </xf>
    <xf numFmtId="185" fontId="3" fillId="0" borderId="60" xfId="0" applyFont="1" applyBorder="1" applyAlignment="1">
      <alignment horizontal="center" vertical="center"/>
    </xf>
    <xf numFmtId="185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5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5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5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3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5" fontId="3" fillId="0" borderId="55" xfId="0" applyFont="1" applyFill="1" applyBorder="1" applyAlignment="1">
      <alignment horizontal="left" vertical="center" indent="1"/>
    </xf>
    <xf numFmtId="185" fontId="14" fillId="0" borderId="62" xfId="0" applyFont="1" applyBorder="1" applyAlignment="1">
      <alignment horizontal="center"/>
    </xf>
    <xf numFmtId="185" fontId="3" fillId="0" borderId="79" xfId="0" applyFont="1" applyFill="1" applyBorder="1" applyAlignment="1">
      <alignment horizontal="left" vertical="center" indent="1"/>
    </xf>
    <xf numFmtId="167" fontId="4" fillId="0" borderId="0" xfId="0" applyNumberFormat="1" applyFont="1"/>
    <xf numFmtId="168" fontId="3" fillId="3" borderId="17" xfId="1" applyNumberFormat="1" applyFont="1" applyFill="1" applyBorder="1" applyProtection="1"/>
    <xf numFmtId="168" fontId="3" fillId="3" borderId="35" xfId="1" applyNumberFormat="1" applyFont="1" applyFill="1" applyBorder="1" applyAlignment="1" applyProtection="1">
      <alignment horizontal="center" vertical="center"/>
    </xf>
    <xf numFmtId="172" fontId="4" fillId="3" borderId="0" xfId="1" applyNumberFormat="1" applyFont="1" applyFill="1" applyBorder="1" applyAlignment="1" applyProtection="1">
      <alignment horizontal="center"/>
    </xf>
    <xf numFmtId="178" fontId="4" fillId="3" borderId="0" xfId="1" applyNumberFormat="1" applyFont="1" applyFill="1" applyBorder="1" applyAlignment="1" applyProtection="1">
      <alignment horizontal="center"/>
    </xf>
    <xf numFmtId="178" fontId="4" fillId="3" borderId="81" xfId="1" applyNumberFormat="1" applyFont="1" applyFill="1" applyBorder="1" applyAlignment="1" applyProtection="1">
      <alignment horizontal="center"/>
    </xf>
    <xf numFmtId="178" fontId="4" fillId="3" borderId="82" xfId="1" applyNumberFormat="1" applyFont="1" applyFill="1" applyBorder="1" applyAlignment="1" applyProtection="1">
      <alignment horizontal="center"/>
    </xf>
    <xf numFmtId="178" fontId="4" fillId="3" borderId="83" xfId="1" applyNumberFormat="1" applyFont="1" applyFill="1" applyBorder="1" applyAlignment="1" applyProtection="1">
      <alignment horizontal="center"/>
    </xf>
    <xf numFmtId="178" fontId="4" fillId="3" borderId="84" xfId="1" applyNumberFormat="1" applyFont="1" applyFill="1" applyBorder="1" applyAlignment="1" applyProtection="1">
      <alignment horizontal="center"/>
    </xf>
    <xf numFmtId="178" fontId="4" fillId="3" borderId="84" xfId="1" applyNumberFormat="1" applyFont="1" applyFill="1" applyBorder="1" applyAlignment="1" applyProtection="1">
      <alignment horizontal="center" vertical="top"/>
    </xf>
    <xf numFmtId="178" fontId="4" fillId="3" borderId="85" xfId="1" applyNumberFormat="1" applyFont="1" applyFill="1" applyBorder="1" applyAlignment="1" applyProtection="1">
      <alignment horizontal="center"/>
    </xf>
    <xf numFmtId="178" fontId="4" fillId="3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7" fontId="3" fillId="0" borderId="87" xfId="4" applyNumberFormat="1" applyFont="1" applyFill="1" applyBorder="1" applyAlignment="1" applyProtection="1">
      <alignment horizontal="centerContinuous"/>
    </xf>
    <xf numFmtId="185" fontId="3" fillId="0" borderId="87" xfId="4" applyFont="1" applyFill="1" applyBorder="1" applyAlignment="1" applyProtection="1">
      <alignment horizontal="center"/>
    </xf>
    <xf numFmtId="185" fontId="3" fillId="0" borderId="88" xfId="4" applyFont="1" applyFill="1" applyBorder="1" applyAlignment="1" applyProtection="1">
      <alignment horizontal="center"/>
    </xf>
    <xf numFmtId="185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5" fontId="3" fillId="0" borderId="86" xfId="4" applyFont="1" applyFill="1" applyBorder="1" applyProtection="1"/>
    <xf numFmtId="177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3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5" fontId="17" fillId="3" borderId="0" xfId="0" applyFont="1" applyFill="1" applyBorder="1" applyAlignment="1">
      <alignment horizontal="center"/>
    </xf>
    <xf numFmtId="185" fontId="14" fillId="0" borderId="5" xfId="0" applyFont="1" applyBorder="1" applyAlignment="1">
      <alignment horizontal="center" vertical="center"/>
    </xf>
    <xf numFmtId="185" fontId="14" fillId="0" borderId="0" xfId="0" applyFont="1" applyBorder="1" applyAlignment="1">
      <alignment horizontal="center" vertical="center"/>
    </xf>
    <xf numFmtId="185" fontId="14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5" fontId="0" fillId="0" borderId="7" xfId="0" applyBorder="1"/>
    <xf numFmtId="171" fontId="0" fillId="0" borderId="7" xfId="0" applyNumberFormat="1" applyBorder="1"/>
    <xf numFmtId="185" fontId="17" fillId="3" borderId="0" xfId="0" applyFont="1" applyFill="1" applyBorder="1"/>
    <xf numFmtId="185" fontId="17" fillId="4" borderId="0" xfId="0" applyFont="1" applyFill="1" applyBorder="1"/>
    <xf numFmtId="171" fontId="17" fillId="4" borderId="0" xfId="0" applyNumberFormat="1" applyFont="1" applyFill="1" applyBorder="1"/>
    <xf numFmtId="171" fontId="0" fillId="0" borderId="13" xfId="0" applyNumberFormat="1" applyBorder="1"/>
    <xf numFmtId="185" fontId="17" fillId="0" borderId="2" xfId="0" applyFont="1" applyBorder="1"/>
    <xf numFmtId="185" fontId="0" fillId="0" borderId="2" xfId="0" applyBorder="1"/>
    <xf numFmtId="171" fontId="0" fillId="0" borderId="8" xfId="0" applyNumberFormat="1" applyBorder="1"/>
    <xf numFmtId="171" fontId="17" fillId="3" borderId="13" xfId="0" applyNumberFormat="1" applyFont="1" applyFill="1" applyBorder="1"/>
    <xf numFmtId="185" fontId="17" fillId="4" borderId="2" xfId="0" applyFont="1" applyFill="1" applyBorder="1"/>
    <xf numFmtId="185" fontId="17" fillId="4" borderId="0" xfId="0" applyFont="1" applyFill="1" applyBorder="1" applyAlignment="1">
      <alignment horizontal="center"/>
    </xf>
    <xf numFmtId="171" fontId="17" fillId="4" borderId="13" xfId="0" applyNumberFormat="1" applyFont="1" applyFill="1" applyBorder="1"/>
    <xf numFmtId="185" fontId="0" fillId="0" borderId="6" xfId="0" applyBorder="1"/>
    <xf numFmtId="185" fontId="0" fillId="0" borderId="7" xfId="0" applyBorder="1" applyAlignment="1">
      <alignment horizontal="center"/>
    </xf>
    <xf numFmtId="185" fontId="0" fillId="0" borderId="8" xfId="0" applyBorder="1"/>
    <xf numFmtId="171" fontId="0" fillId="0" borderId="6" xfId="0" applyNumberFormat="1" applyBorder="1"/>
    <xf numFmtId="185" fontId="19" fillId="0" borderId="46" xfId="0" applyFont="1" applyFill="1" applyBorder="1" applyAlignment="1">
      <alignment horizontal="left" wrapText="1"/>
    </xf>
    <xf numFmtId="185" fontId="17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5" fontId="9" fillId="3" borderId="14" xfId="0" applyFont="1" applyFill="1" applyBorder="1" applyAlignment="1">
      <alignment horizontal="center" wrapText="1"/>
    </xf>
    <xf numFmtId="185" fontId="9" fillId="3" borderId="6" xfId="0" applyFont="1" applyFill="1" applyBorder="1" applyAlignment="1">
      <alignment horizontal="center" vertical="center" wrapText="1"/>
    </xf>
    <xf numFmtId="185" fontId="9" fillId="0" borderId="7" xfId="0" applyFont="1" applyBorder="1" applyAlignment="1">
      <alignment vertical="center"/>
    </xf>
    <xf numFmtId="185" fontId="9" fillId="3" borderId="1" xfId="0" applyFont="1" applyFill="1" applyBorder="1" applyAlignment="1">
      <alignment horizontal="center" vertical="center" wrapText="1"/>
    </xf>
    <xf numFmtId="185" fontId="9" fillId="0" borderId="2" xfId="0" applyFont="1" applyBorder="1"/>
    <xf numFmtId="185" fontId="9" fillId="0" borderId="0" xfId="0" applyFont="1" applyBorder="1"/>
    <xf numFmtId="185" fontId="9" fillId="0" borderId="12" xfId="0" applyFont="1" applyBorder="1" applyAlignment="1">
      <alignment wrapText="1"/>
    </xf>
    <xf numFmtId="185" fontId="9" fillId="0" borderId="13" xfId="0" applyFont="1" applyBorder="1"/>
    <xf numFmtId="185" fontId="9" fillId="0" borderId="3" xfId="0" applyFont="1" applyBorder="1"/>
    <xf numFmtId="185" fontId="9" fillId="0" borderId="6" xfId="0" applyFont="1" applyBorder="1"/>
    <xf numFmtId="185" fontId="9" fillId="0" borderId="7" xfId="0" applyFont="1" applyBorder="1"/>
    <xf numFmtId="181" fontId="9" fillId="0" borderId="30" xfId="2" applyNumberFormat="1" applyFont="1" applyBorder="1"/>
    <xf numFmtId="181" fontId="9" fillId="0" borderId="8" xfId="2" applyNumberFormat="1" applyFont="1" applyBorder="1"/>
    <xf numFmtId="185" fontId="9" fillId="0" borderId="30" xfId="0" applyFont="1" applyBorder="1"/>
    <xf numFmtId="182" fontId="9" fillId="0" borderId="3" xfId="2" applyNumberFormat="1" applyFont="1" applyBorder="1"/>
    <xf numFmtId="182" fontId="9" fillId="0" borderId="13" xfId="2" applyNumberFormat="1" applyFont="1" applyBorder="1"/>
    <xf numFmtId="182" fontId="9" fillId="0" borderId="30" xfId="2" applyNumberFormat="1" applyFont="1" applyFill="1" applyBorder="1"/>
    <xf numFmtId="182" fontId="9" fillId="0" borderId="8" xfId="2" applyNumberFormat="1" applyFont="1" applyFill="1" applyBorder="1"/>
    <xf numFmtId="182" fontId="9" fillId="0" borderId="30" xfId="2" applyNumberFormat="1" applyFont="1" applyBorder="1"/>
    <xf numFmtId="182" fontId="9" fillId="0" borderId="3" xfId="2" applyNumberFormat="1" applyFont="1" applyFill="1" applyBorder="1"/>
    <xf numFmtId="182" fontId="9" fillId="0" borderId="13" xfId="2" applyNumberFormat="1" applyFont="1" applyFill="1" applyBorder="1"/>
    <xf numFmtId="185" fontId="9" fillId="0" borderId="14" xfId="0" applyFont="1" applyBorder="1"/>
    <xf numFmtId="185" fontId="9" fillId="0" borderId="5" xfId="0" applyFont="1" applyBorder="1"/>
    <xf numFmtId="182" fontId="9" fillId="0" borderId="1" xfId="2" applyNumberFormat="1" applyFont="1" applyFill="1" applyBorder="1"/>
    <xf numFmtId="182" fontId="9" fillId="0" borderId="10" xfId="2" applyNumberFormat="1" applyFont="1" applyFill="1" applyBorder="1"/>
    <xf numFmtId="182" fontId="9" fillId="0" borderId="1" xfId="2" applyNumberFormat="1" applyFont="1" applyBorder="1"/>
    <xf numFmtId="185" fontId="9" fillId="0" borderId="1" xfId="0" applyFont="1" applyBorder="1"/>
    <xf numFmtId="181" fontId="9" fillId="0" borderId="30" xfId="0" applyNumberFormat="1" applyFont="1" applyBorder="1"/>
    <xf numFmtId="185" fontId="0" fillId="0" borderId="0" xfId="0" applyFill="1" applyBorder="1"/>
    <xf numFmtId="185" fontId="0" fillId="0" borderId="0" xfId="0" applyFill="1"/>
    <xf numFmtId="185" fontId="3" fillId="0" borderId="86" xfId="0" applyFont="1" applyFill="1" applyBorder="1" applyAlignment="1">
      <alignment horizontal="center"/>
    </xf>
    <xf numFmtId="185" fontId="3" fillId="0" borderId="0" xfId="0" applyFont="1" applyFill="1"/>
    <xf numFmtId="185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5" fontId="4" fillId="0" borderId="0" xfId="0" applyFont="1" applyFill="1" applyAlignment="1">
      <alignment horizontal="center"/>
    </xf>
    <xf numFmtId="185" fontId="3" fillId="3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5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5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5" fontId="4" fillId="0" borderId="98" xfId="0" applyFont="1" applyFill="1" applyBorder="1" applyAlignment="1">
      <alignment horizontal="left" wrapText="1" indent="1"/>
    </xf>
    <xf numFmtId="185" fontId="3" fillId="3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5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5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5" fontId="13" fillId="0" borderId="0" xfId="0" applyFont="1" applyFill="1" applyBorder="1" applyAlignment="1">
      <alignment horizontal="left" indent="1"/>
    </xf>
    <xf numFmtId="183" fontId="24" fillId="0" borderId="0" xfId="0" applyNumberFormat="1" applyFont="1" applyFill="1" applyBorder="1" applyAlignment="1">
      <alignment horizontal="right" indent="1"/>
    </xf>
    <xf numFmtId="174" fontId="24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5" fontId="0" fillId="5" borderId="0" xfId="0" applyFill="1" applyBorder="1"/>
    <xf numFmtId="171" fontId="0" fillId="5" borderId="0" xfId="0" applyNumberFormat="1" applyFill="1" applyBorder="1"/>
    <xf numFmtId="171" fontId="0" fillId="5" borderId="13" xfId="0" applyNumberFormat="1" applyFill="1" applyBorder="1"/>
    <xf numFmtId="185" fontId="4" fillId="5" borderId="0" xfId="0" applyFont="1" applyFill="1" applyBorder="1" applyAlignment="1">
      <alignment horizontal="left" wrapText="1" indent="1"/>
    </xf>
    <xf numFmtId="185" fontId="0" fillId="5" borderId="0" xfId="0" applyFill="1"/>
    <xf numFmtId="170" fontId="0" fillId="5" borderId="1" xfId="0" applyNumberFormat="1" applyFill="1" applyBorder="1"/>
    <xf numFmtId="169" fontId="4" fillId="0" borderId="0" xfId="0" applyNumberFormat="1" applyFont="1" applyFill="1"/>
    <xf numFmtId="184" fontId="4" fillId="0" borderId="0" xfId="0" applyNumberFormat="1" applyFont="1" applyFill="1"/>
    <xf numFmtId="171" fontId="3" fillId="3" borderId="104" xfId="0" applyNumberFormat="1" applyFont="1" applyFill="1" applyBorder="1" applyAlignment="1">
      <alignment horizontal="center" vertical="center"/>
    </xf>
    <xf numFmtId="171" fontId="3" fillId="3" borderId="67" xfId="0" applyNumberFormat="1" applyFont="1" applyFill="1" applyBorder="1" applyAlignment="1">
      <alignment horizontal="center" vertical="center"/>
    </xf>
    <xf numFmtId="171" fontId="3" fillId="3" borderId="105" xfId="0" applyNumberFormat="1" applyFont="1" applyFill="1" applyBorder="1" applyAlignment="1">
      <alignment horizontal="center" vertical="center"/>
    </xf>
    <xf numFmtId="173" fontId="3" fillId="3" borderId="75" xfId="5" applyNumberFormat="1" applyFont="1" applyFill="1" applyBorder="1" applyAlignment="1">
      <alignment horizontal="center" vertical="center"/>
    </xf>
    <xf numFmtId="185" fontId="0" fillId="0" borderId="106" xfId="0" applyBorder="1" applyAlignment="1">
      <alignment horizontal="center"/>
    </xf>
    <xf numFmtId="185" fontId="0" fillId="0" borderId="65" xfId="0" applyBorder="1"/>
    <xf numFmtId="185" fontId="0" fillId="0" borderId="70" xfId="0" applyBorder="1"/>
    <xf numFmtId="185" fontId="0" fillId="0" borderId="66" xfId="0" applyBorder="1"/>
    <xf numFmtId="185" fontId="0" fillId="0" borderId="61" xfId="0" applyBorder="1"/>
    <xf numFmtId="185" fontId="0" fillId="0" borderId="107" xfId="0" applyBorder="1" applyAlignment="1">
      <alignment horizontal="center"/>
    </xf>
    <xf numFmtId="185" fontId="0" fillId="0" borderId="6" xfId="0" applyBorder="1" applyAlignment="1">
      <alignment horizontal="center"/>
    </xf>
    <xf numFmtId="185" fontId="0" fillId="0" borderId="94" xfId="0" applyBorder="1" applyAlignment="1">
      <alignment horizontal="center"/>
    </xf>
    <xf numFmtId="185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5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71" fontId="4" fillId="6" borderId="0" xfId="0" applyNumberFormat="1" applyFont="1" applyFill="1" applyBorder="1" applyAlignment="1">
      <alignment horizontal="center" vertical="center"/>
    </xf>
    <xf numFmtId="185" fontId="0" fillId="6" borderId="0" xfId="0" applyFill="1"/>
    <xf numFmtId="171" fontId="4" fillId="6" borderId="3" xfId="0" applyNumberFormat="1" applyFont="1" applyFill="1" applyBorder="1" applyAlignment="1">
      <alignment horizontal="center" vertical="center"/>
    </xf>
    <xf numFmtId="185" fontId="4" fillId="6" borderId="0" xfId="0" applyFont="1" applyFill="1" applyBorder="1"/>
    <xf numFmtId="185" fontId="4" fillId="6" borderId="0" xfId="0" applyFont="1" applyFill="1"/>
    <xf numFmtId="171" fontId="3" fillId="6" borderId="0" xfId="0" applyNumberFormat="1" applyFont="1" applyFill="1" applyBorder="1" applyAlignment="1">
      <alignment horizontal="center" vertical="center"/>
    </xf>
    <xf numFmtId="171" fontId="3" fillId="6" borderId="9" xfId="0" applyNumberFormat="1" applyFont="1" applyFill="1" applyBorder="1" applyAlignment="1">
      <alignment horizontal="center" vertical="center"/>
    </xf>
    <xf numFmtId="185" fontId="3" fillId="6" borderId="21" xfId="4" applyFont="1" applyFill="1" applyBorder="1" applyProtection="1"/>
    <xf numFmtId="185" fontId="3" fillId="6" borderId="22" xfId="4" applyFont="1" applyFill="1" applyBorder="1" applyProtection="1"/>
    <xf numFmtId="177" fontId="3" fillId="6" borderId="27" xfId="4" applyNumberFormat="1" applyFont="1" applyFill="1" applyBorder="1" applyAlignment="1" applyProtection="1">
      <alignment horizontal="center"/>
    </xf>
    <xf numFmtId="185" fontId="3" fillId="6" borderId="3" xfId="4" quotePrefix="1" applyFont="1" applyFill="1" applyBorder="1" applyAlignment="1" applyProtection="1">
      <alignment horizontal="center"/>
    </xf>
    <xf numFmtId="185" fontId="3" fillId="6" borderId="28" xfId="4" applyFont="1" applyFill="1" applyBorder="1" applyAlignment="1" applyProtection="1">
      <alignment horizontal="center" vertical="center"/>
    </xf>
    <xf numFmtId="185" fontId="3" fillId="6" borderId="29" xfId="4" applyFont="1" applyFill="1" applyBorder="1" applyAlignment="1" applyProtection="1">
      <alignment horizontal="center" vertical="center"/>
    </xf>
    <xf numFmtId="172" fontId="4" fillId="6" borderId="27" xfId="4" applyNumberFormat="1" applyFont="1" applyFill="1" applyBorder="1" applyAlignment="1" applyProtection="1">
      <alignment horizontal="center"/>
    </xf>
    <xf numFmtId="172" fontId="4" fillId="6" borderId="3" xfId="4" applyNumberFormat="1" applyFont="1" applyFill="1" applyBorder="1" applyAlignment="1" applyProtection="1">
      <alignment horizontal="center"/>
    </xf>
    <xf numFmtId="185" fontId="3" fillId="6" borderId="1" xfId="0" applyFont="1" applyFill="1" applyBorder="1" applyAlignment="1">
      <alignment horizontal="center" vertical="center" wrapText="1"/>
    </xf>
    <xf numFmtId="185" fontId="1" fillId="6" borderId="0" xfId="0" applyFont="1" applyFill="1"/>
    <xf numFmtId="185" fontId="3" fillId="6" borderId="12" xfId="0" applyFont="1" applyFill="1" applyBorder="1" applyAlignment="1">
      <alignment horizontal="center" vertical="center" wrapText="1"/>
    </xf>
    <xf numFmtId="185" fontId="3" fillId="6" borderId="0" xfId="0" applyFont="1" applyFill="1" applyBorder="1" applyAlignment="1">
      <alignment horizontal="center" vertical="center" wrapText="1"/>
    </xf>
    <xf numFmtId="185" fontId="3" fillId="6" borderId="1" xfId="0" applyFont="1" applyFill="1" applyBorder="1" applyAlignment="1">
      <alignment horizontal="center" vertical="center"/>
    </xf>
    <xf numFmtId="185" fontId="3" fillId="6" borderId="5" xfId="0" applyFont="1" applyFill="1" applyBorder="1" applyAlignment="1">
      <alignment horizontal="center" vertical="center"/>
    </xf>
    <xf numFmtId="167" fontId="3" fillId="6" borderId="1" xfId="0" applyNumberFormat="1" applyFont="1" applyFill="1" applyBorder="1" applyAlignment="1">
      <alignment horizontal="center" vertical="center"/>
    </xf>
    <xf numFmtId="171" fontId="3" fillId="6" borderId="4" xfId="0" applyNumberFormat="1" applyFont="1" applyFill="1" applyBorder="1" applyAlignment="1">
      <alignment horizontal="center" vertical="center"/>
    </xf>
    <xf numFmtId="171" fontId="4" fillId="6" borderId="12" xfId="0" applyNumberFormat="1" applyFont="1" applyFill="1" applyBorder="1" applyAlignment="1">
      <alignment horizontal="center" vertical="center" wrapText="1"/>
    </xf>
    <xf numFmtId="171" fontId="4" fillId="6" borderId="4" xfId="0" applyNumberFormat="1" applyFont="1" applyFill="1" applyBorder="1" applyAlignment="1">
      <alignment horizontal="center" vertical="center" wrapText="1"/>
    </xf>
    <xf numFmtId="171" fontId="4" fillId="6" borderId="3" xfId="0" applyNumberFormat="1" applyFont="1" applyFill="1" applyBorder="1" applyAlignment="1">
      <alignment horizontal="center" vertical="center" wrapText="1"/>
    </xf>
    <xf numFmtId="171" fontId="4" fillId="6" borderId="0" xfId="0" applyNumberFormat="1" applyFont="1" applyFill="1" applyBorder="1" applyAlignment="1">
      <alignment horizontal="center" vertical="center" wrapText="1"/>
    </xf>
    <xf numFmtId="171" fontId="4" fillId="6" borderId="0" xfId="1" applyNumberFormat="1" applyFont="1" applyFill="1" applyBorder="1" applyAlignment="1">
      <alignment horizontal="center" vertical="center"/>
    </xf>
    <xf numFmtId="171" fontId="4" fillId="6" borderId="3" xfId="1" applyNumberFormat="1" applyFont="1" applyFill="1" applyBorder="1" applyAlignment="1">
      <alignment horizontal="center" vertical="center"/>
    </xf>
    <xf numFmtId="171" fontId="4" fillId="6" borderId="0" xfId="1" applyNumberFormat="1" applyFont="1" applyFill="1" applyBorder="1" applyAlignment="1">
      <alignment horizontal="center" vertical="center" wrapText="1"/>
    </xf>
    <xf numFmtId="171" fontId="4" fillId="6" borderId="3" xfId="1" applyNumberFormat="1" applyFont="1" applyFill="1" applyBorder="1" applyAlignment="1">
      <alignment horizontal="center" vertical="center" wrapText="1"/>
    </xf>
    <xf numFmtId="171" fontId="3" fillId="6" borderId="1" xfId="0" applyNumberFormat="1" applyFont="1" applyFill="1" applyBorder="1" applyAlignment="1">
      <alignment horizontal="center" vertical="center"/>
    </xf>
    <xf numFmtId="171" fontId="0" fillId="6" borderId="4" xfId="0" applyNumberFormat="1" applyFill="1" applyBorder="1" applyAlignment="1">
      <alignment horizontal="center"/>
    </xf>
    <xf numFmtId="171" fontId="4" fillId="6" borderId="12" xfId="0" applyNumberFormat="1" applyFont="1" applyFill="1" applyBorder="1" applyAlignment="1">
      <alignment horizontal="center" vertical="center"/>
    </xf>
    <xf numFmtId="171" fontId="4" fillId="6" borderId="4" xfId="0" applyNumberFormat="1" applyFont="1" applyFill="1" applyBorder="1" applyAlignment="1">
      <alignment horizontal="center" vertical="center"/>
    </xf>
    <xf numFmtId="171" fontId="0" fillId="6" borderId="0" xfId="0" applyNumberFormat="1" applyFill="1" applyBorder="1" applyAlignment="1">
      <alignment horizontal="center"/>
    </xf>
    <xf numFmtId="185" fontId="3" fillId="6" borderId="4" xfId="0" applyFont="1" applyFill="1" applyBorder="1" applyAlignment="1">
      <alignment horizontal="centerContinuous" vertical="center"/>
    </xf>
    <xf numFmtId="185" fontId="4" fillId="6" borderId="11" xfId="0" applyFont="1" applyFill="1" applyBorder="1" applyAlignment="1">
      <alignment horizontal="centerContinuous"/>
    </xf>
    <xf numFmtId="185" fontId="3" fillId="6" borderId="4" xfId="0" applyFont="1" applyFill="1" applyBorder="1" applyAlignment="1">
      <alignment horizontal="centerContinuous" vertical="center" wrapText="1"/>
    </xf>
    <xf numFmtId="185" fontId="3" fillId="6" borderId="10" xfId="0" applyFont="1" applyFill="1" applyBorder="1" applyAlignment="1">
      <alignment horizontal="center" vertical="center" wrapText="1"/>
    </xf>
    <xf numFmtId="1" fontId="3" fillId="6" borderId="10" xfId="0" applyNumberFormat="1" applyFont="1" applyFill="1" applyBorder="1" applyAlignment="1">
      <alignment horizontal="center" vertical="center" wrapText="1"/>
    </xf>
    <xf numFmtId="169" fontId="3" fillId="6" borderId="12" xfId="0" applyNumberFormat="1" applyFont="1" applyFill="1" applyBorder="1" applyAlignment="1">
      <alignment horizontal="center" vertical="center"/>
    </xf>
    <xf numFmtId="169" fontId="3" fillId="6" borderId="11" xfId="0" applyNumberFormat="1" applyFont="1" applyFill="1" applyBorder="1" applyAlignment="1">
      <alignment horizontal="center" vertical="center"/>
    </xf>
    <xf numFmtId="167" fontId="3" fillId="6" borderId="10" xfId="0" applyNumberFormat="1" applyFont="1" applyFill="1" applyBorder="1" applyAlignment="1">
      <alignment horizontal="center" vertical="center"/>
    </xf>
    <xf numFmtId="167" fontId="4" fillId="6" borderId="3" xfId="0" applyNumberFormat="1" applyFont="1" applyFill="1" applyBorder="1" applyAlignment="1">
      <alignment horizontal="center" vertical="center"/>
    </xf>
    <xf numFmtId="167" fontId="4" fillId="6" borderId="13" xfId="0" applyNumberFormat="1" applyFont="1" applyFill="1" applyBorder="1" applyAlignment="1">
      <alignment horizontal="center" vertical="center"/>
    </xf>
    <xf numFmtId="167" fontId="4" fillId="6" borderId="8" xfId="0" applyNumberFormat="1" applyFont="1" applyFill="1" applyBorder="1" applyAlignment="1">
      <alignment horizontal="center" vertical="center"/>
    </xf>
    <xf numFmtId="167" fontId="3" fillId="6" borderId="8" xfId="0" applyNumberFormat="1" applyFont="1" applyFill="1" applyBorder="1" applyAlignment="1">
      <alignment horizontal="center" vertical="center"/>
    </xf>
    <xf numFmtId="167" fontId="3" fillId="6" borderId="14" xfId="0" applyNumberFormat="1" applyFont="1" applyFill="1" applyBorder="1" applyAlignment="1">
      <alignment horizontal="center" vertical="center"/>
    </xf>
    <xf numFmtId="171" fontId="0" fillId="6" borderId="12" xfId="0" applyNumberFormat="1" applyFill="1" applyBorder="1" applyAlignment="1">
      <alignment horizontal="center"/>
    </xf>
    <xf numFmtId="171" fontId="0" fillId="6" borderId="3" xfId="0" applyNumberFormat="1" applyFill="1" applyBorder="1" applyAlignment="1">
      <alignment horizontal="center"/>
    </xf>
    <xf numFmtId="185" fontId="4" fillId="6" borderId="11" xfId="0" applyFont="1" applyFill="1" applyBorder="1" applyAlignment="1">
      <alignment horizontal="centerContinuous" wrapText="1"/>
    </xf>
    <xf numFmtId="185" fontId="9" fillId="6" borderId="0" xfId="0" applyFont="1" applyFill="1"/>
    <xf numFmtId="185" fontId="4" fillId="6" borderId="0" xfId="0" applyFont="1" applyFill="1" applyAlignment="1">
      <alignment vertical="center"/>
    </xf>
    <xf numFmtId="176" fontId="14" fillId="6" borderId="0" xfId="1" applyNumberFormat="1" applyFont="1" applyFill="1"/>
    <xf numFmtId="185" fontId="14" fillId="6" borderId="0" xfId="0" applyFont="1" applyFill="1"/>
    <xf numFmtId="169" fontId="4" fillId="6" borderId="13" xfId="0" applyNumberFormat="1" applyFont="1" applyFill="1" applyBorder="1" applyAlignment="1">
      <alignment horizontal="center" vertical="center"/>
    </xf>
    <xf numFmtId="169" fontId="4" fillId="6" borderId="8" xfId="0" applyNumberFormat="1" applyFont="1" applyFill="1" applyBorder="1" applyAlignment="1">
      <alignment horizontal="center" vertical="center"/>
    </xf>
    <xf numFmtId="167" fontId="4" fillId="6" borderId="12" xfId="0" applyNumberFormat="1" applyFont="1" applyFill="1" applyBorder="1" applyAlignment="1">
      <alignment horizontal="center" vertical="center"/>
    </xf>
    <xf numFmtId="175" fontId="14" fillId="6" borderId="0" xfId="0" applyNumberFormat="1" applyFont="1" applyFill="1"/>
    <xf numFmtId="179" fontId="14" fillId="6" borderId="0" xfId="0" applyNumberFormat="1" applyFont="1" applyFill="1"/>
    <xf numFmtId="165" fontId="14" fillId="6" borderId="0" xfId="1" applyFont="1" applyFill="1"/>
    <xf numFmtId="167" fontId="12" fillId="6" borderId="0" xfId="0" applyNumberFormat="1" applyFont="1" applyFill="1"/>
    <xf numFmtId="167" fontId="3" fillId="6" borderId="13" xfId="0" applyNumberFormat="1" applyFont="1" applyFill="1" applyBorder="1" applyAlignment="1">
      <alignment horizontal="center" vertical="center"/>
    </xf>
    <xf numFmtId="180" fontId="4" fillId="6" borderId="0" xfId="0" applyNumberFormat="1" applyFont="1" applyFill="1"/>
    <xf numFmtId="165" fontId="4" fillId="6" borderId="0" xfId="1" applyFont="1" applyFill="1"/>
    <xf numFmtId="169" fontId="4" fillId="6" borderId="0" xfId="0" applyNumberFormat="1" applyFont="1" applyFill="1"/>
    <xf numFmtId="173" fontId="3" fillId="6" borderId="11" xfId="0" applyNumberFormat="1" applyFont="1" applyFill="1" applyBorder="1" applyAlignment="1">
      <alignment horizontal="center" vertical="center"/>
    </xf>
    <xf numFmtId="185" fontId="4" fillId="6" borderId="2" xfId="0" applyFont="1" applyFill="1" applyBorder="1" applyAlignment="1">
      <alignment horizontal="left" vertical="center" indent="1"/>
    </xf>
    <xf numFmtId="171" fontId="4" fillId="6" borderId="0" xfId="1" applyNumberFormat="1" applyFont="1" applyFill="1" applyBorder="1" applyAlignment="1">
      <alignment horizontal="right" vertical="center"/>
    </xf>
    <xf numFmtId="171" fontId="4" fillId="6" borderId="3" xfId="1" applyNumberFormat="1" applyFont="1" applyFill="1" applyBorder="1" applyAlignment="1">
      <alignment horizontal="right" vertical="center"/>
    </xf>
    <xf numFmtId="185" fontId="2" fillId="6" borderId="12" xfId="0" applyFont="1" applyFill="1" applyBorder="1" applyAlignment="1">
      <alignment horizontal="centerContinuous" vertical="center"/>
    </xf>
    <xf numFmtId="185" fontId="3" fillId="6" borderId="9" xfId="0" applyFont="1" applyFill="1" applyBorder="1" applyAlignment="1">
      <alignment horizontal="centerContinuous" vertical="center"/>
    </xf>
    <xf numFmtId="170" fontId="3" fillId="6" borderId="3" xfId="1" applyNumberFormat="1" applyFont="1" applyFill="1" applyBorder="1" applyAlignment="1">
      <alignment horizontal="left" vertical="center"/>
    </xf>
    <xf numFmtId="185" fontId="3" fillId="6" borderId="9" xfId="0" applyFont="1" applyFill="1" applyBorder="1" applyAlignment="1">
      <alignment horizontal="center" vertical="center" wrapText="1"/>
    </xf>
    <xf numFmtId="170" fontId="3" fillId="6" borderId="30" xfId="1" quotePrefix="1" applyNumberFormat="1" applyFont="1" applyFill="1" applyBorder="1" applyAlignment="1">
      <alignment horizontal="center" vertical="center"/>
    </xf>
    <xf numFmtId="185" fontId="3" fillId="6" borderId="6" xfId="0" applyFont="1" applyFill="1" applyBorder="1" applyAlignment="1">
      <alignment vertical="center"/>
    </xf>
    <xf numFmtId="167" fontId="4" fillId="6" borderId="2" xfId="0" applyNumberFormat="1" applyFont="1" applyFill="1" applyBorder="1" applyAlignment="1">
      <alignment horizontal="center" vertical="center"/>
    </xf>
    <xf numFmtId="185" fontId="3" fillId="6" borderId="14" xfId="0" applyFont="1" applyFill="1" applyBorder="1" applyAlignment="1">
      <alignment vertical="center"/>
    </xf>
    <xf numFmtId="170" fontId="4" fillId="6" borderId="2" xfId="1" applyNumberFormat="1" applyFont="1" applyFill="1" applyBorder="1" applyAlignment="1">
      <alignment vertical="center"/>
    </xf>
    <xf numFmtId="167" fontId="3" fillId="6" borderId="2" xfId="0" applyNumberFormat="1" applyFont="1" applyFill="1" applyBorder="1" applyAlignment="1">
      <alignment horizontal="center" vertical="center"/>
    </xf>
    <xf numFmtId="167" fontId="3" fillId="6" borderId="3" xfId="0" applyNumberFormat="1" applyFont="1" applyFill="1" applyBorder="1" applyAlignment="1">
      <alignment horizontal="center" vertical="center"/>
    </xf>
    <xf numFmtId="170" fontId="4" fillId="6" borderId="2" xfId="1" applyNumberFormat="1" applyFont="1" applyFill="1" applyBorder="1" applyAlignment="1">
      <alignment horizontal="left" vertical="center" indent="1"/>
    </xf>
    <xf numFmtId="170" fontId="4" fillId="6" borderId="6" xfId="1" applyNumberFormat="1" applyFont="1" applyFill="1" applyBorder="1" applyAlignment="1">
      <alignment horizontal="left" vertical="center" indent="1"/>
    </xf>
    <xf numFmtId="167" fontId="4" fillId="6" borderId="6" xfId="0" applyNumberFormat="1" applyFont="1" applyFill="1" applyBorder="1" applyAlignment="1">
      <alignment horizontal="center" vertical="center"/>
    </xf>
    <xf numFmtId="167" fontId="4" fillId="6" borderId="30" xfId="0" applyNumberFormat="1" applyFont="1" applyFill="1" applyBorder="1" applyAlignment="1">
      <alignment horizontal="center" vertical="center"/>
    </xf>
    <xf numFmtId="170" fontId="3" fillId="6" borderId="14" xfId="1" applyNumberFormat="1" applyFont="1" applyFill="1" applyBorder="1" applyAlignment="1">
      <alignment vertical="center" wrapText="1"/>
    </xf>
    <xf numFmtId="167" fontId="3" fillId="6" borderId="6" xfId="0" applyNumberFormat="1" applyFont="1" applyFill="1" applyBorder="1" applyAlignment="1">
      <alignment horizontal="center" vertical="center"/>
    </xf>
    <xf numFmtId="167" fontId="3" fillId="6" borderId="30" xfId="0" applyNumberFormat="1" applyFont="1" applyFill="1" applyBorder="1" applyAlignment="1">
      <alignment horizontal="center" vertical="center"/>
    </xf>
    <xf numFmtId="170" fontId="3" fillId="6" borderId="2" xfId="1" applyNumberFormat="1" applyFont="1" applyFill="1" applyBorder="1" applyAlignment="1">
      <alignment horizontal="left" vertical="center" wrapText="1"/>
    </xf>
    <xf numFmtId="185" fontId="3" fillId="6" borderId="9" xfId="0" applyFont="1" applyFill="1" applyBorder="1" applyAlignment="1">
      <alignment horizontal="left" vertical="center"/>
    </xf>
    <xf numFmtId="171" fontId="3" fillId="6" borderId="12" xfId="0" applyNumberFormat="1" applyFont="1" applyFill="1" applyBorder="1" applyAlignment="1">
      <alignment horizontal="center" vertical="center"/>
    </xf>
    <xf numFmtId="171" fontId="3" fillId="6" borderId="6" xfId="1" applyNumberFormat="1" applyFont="1" applyFill="1" applyBorder="1" applyAlignment="1">
      <alignment horizontal="center" vertical="center"/>
    </xf>
    <xf numFmtId="171" fontId="3" fillId="6" borderId="30" xfId="0" applyNumberFormat="1" applyFont="1" applyFill="1" applyBorder="1" applyAlignment="1">
      <alignment horizontal="center" vertical="center"/>
    </xf>
    <xf numFmtId="173" fontId="3" fillId="6" borderId="8" xfId="0" applyNumberFormat="1" applyFont="1" applyFill="1" applyBorder="1" applyAlignment="1">
      <alignment horizontal="center" vertical="center"/>
    </xf>
    <xf numFmtId="185" fontId="2" fillId="6" borderId="0" xfId="4" applyFont="1" applyFill="1" applyAlignment="1" applyProtection="1">
      <alignment horizontal="centerContinuous"/>
    </xf>
    <xf numFmtId="185" fontId="3" fillId="6" borderId="18" xfId="4" applyFont="1" applyFill="1" applyBorder="1" applyProtection="1"/>
    <xf numFmtId="168" fontId="3" fillId="6" borderId="86" xfId="1" applyNumberFormat="1" applyFont="1" applyFill="1" applyBorder="1" applyProtection="1"/>
    <xf numFmtId="185" fontId="3" fillId="6" borderId="86" xfId="4" applyFont="1" applyFill="1" applyBorder="1" applyProtection="1"/>
    <xf numFmtId="185" fontId="3" fillId="6" borderId="0" xfId="4" applyFont="1" applyFill="1" applyBorder="1" applyProtection="1"/>
    <xf numFmtId="185" fontId="3" fillId="6" borderId="19" xfId="4" applyFont="1" applyFill="1" applyBorder="1" applyProtection="1"/>
    <xf numFmtId="177" fontId="3" fillId="6" borderId="0" xfId="4" applyNumberFormat="1" applyFont="1" applyFill="1" applyBorder="1" applyAlignment="1" applyProtection="1">
      <alignment horizontal="center"/>
    </xf>
    <xf numFmtId="1" fontId="3" fillId="6" borderId="87" xfId="4" quotePrefix="1" applyNumberFormat="1" applyFont="1" applyFill="1" applyBorder="1" applyAlignment="1" applyProtection="1">
      <alignment horizontal="center"/>
    </xf>
    <xf numFmtId="185" fontId="3" fillId="6" borderId="0" xfId="4" applyFont="1" applyFill="1" applyBorder="1" applyAlignment="1" applyProtection="1">
      <alignment horizontal="center"/>
    </xf>
    <xf numFmtId="185" fontId="16" fillId="6" borderId="24" xfId="4" applyFont="1" applyFill="1" applyBorder="1" applyProtection="1"/>
    <xf numFmtId="185" fontId="3" fillId="6" borderId="88" xfId="4" applyFont="1" applyFill="1" applyBorder="1" applyAlignment="1" applyProtection="1">
      <alignment horizontal="center" vertical="center"/>
    </xf>
    <xf numFmtId="185" fontId="3" fillId="6" borderId="0" xfId="4" applyFont="1" applyFill="1" applyBorder="1" applyAlignment="1" applyProtection="1">
      <alignment horizontal="center" vertical="center"/>
    </xf>
    <xf numFmtId="172" fontId="3" fillId="6" borderId="19" xfId="4" applyNumberFormat="1" applyFont="1" applyFill="1" applyBorder="1" applyProtection="1"/>
    <xf numFmtId="171" fontId="4" fillId="6" borderId="87" xfId="1" applyNumberFormat="1" applyFont="1" applyFill="1" applyBorder="1" applyAlignment="1" applyProtection="1">
      <alignment horizontal="center"/>
    </xf>
    <xf numFmtId="172" fontId="4" fillId="6" borderId="87" xfId="4" applyNumberFormat="1" applyFont="1" applyFill="1" applyBorder="1" applyAlignment="1" applyProtection="1">
      <alignment horizontal="center"/>
    </xf>
    <xf numFmtId="172" fontId="4" fillId="6" borderId="0" xfId="4" applyNumberFormat="1" applyFont="1" applyFill="1" applyBorder="1" applyProtection="1"/>
    <xf numFmtId="172" fontId="4" fillId="6" borderId="19" xfId="4" applyNumberFormat="1" applyFont="1" applyFill="1" applyBorder="1" applyProtection="1"/>
    <xf numFmtId="167" fontId="4" fillId="6" borderId="0" xfId="4" applyNumberFormat="1" applyFont="1" applyFill="1" applyBorder="1" applyProtection="1"/>
    <xf numFmtId="172" fontId="3" fillId="6" borderId="19" xfId="4" applyNumberFormat="1" applyFont="1" applyFill="1" applyBorder="1" applyAlignment="1" applyProtection="1">
      <alignment vertical="center"/>
    </xf>
    <xf numFmtId="167" fontId="4" fillId="6" borderId="0" xfId="4" applyNumberFormat="1" applyFont="1" applyFill="1" applyBorder="1" applyAlignment="1" applyProtection="1">
      <alignment vertical="center"/>
    </xf>
    <xf numFmtId="172" fontId="3" fillId="6" borderId="19" xfId="4" applyNumberFormat="1" applyFont="1" applyFill="1" applyBorder="1" applyAlignment="1" applyProtection="1">
      <alignment vertical="top"/>
    </xf>
    <xf numFmtId="167" fontId="4" fillId="6" borderId="0" xfId="4" applyNumberFormat="1" applyFont="1" applyFill="1" applyBorder="1" applyAlignment="1" applyProtection="1">
      <alignment vertical="top"/>
    </xf>
    <xf numFmtId="172" fontId="3" fillId="6" borderId="26" xfId="4" applyNumberFormat="1" applyFont="1" applyFill="1" applyBorder="1" applyProtection="1"/>
    <xf numFmtId="167" fontId="4" fillId="6" borderId="33" xfId="4" applyNumberFormat="1" applyFont="1" applyFill="1" applyBorder="1" applyAlignment="1" applyProtection="1">
      <alignment horizontal="center"/>
    </xf>
    <xf numFmtId="167" fontId="4" fillId="6" borderId="34" xfId="4" applyNumberFormat="1" applyFont="1" applyFill="1" applyBorder="1" applyAlignment="1" applyProtection="1">
      <alignment horizontal="center"/>
    </xf>
    <xf numFmtId="172" fontId="3" fillId="6" borderId="19" xfId="4" applyNumberFormat="1" applyFont="1" applyFill="1" applyBorder="1" applyAlignment="1" applyProtection="1"/>
    <xf numFmtId="172" fontId="4" fillId="6" borderId="19" xfId="4" applyNumberFormat="1" applyFont="1" applyFill="1" applyBorder="1" applyAlignment="1" applyProtection="1">
      <alignment vertical="center"/>
    </xf>
    <xf numFmtId="172" fontId="4" fillId="6" borderId="26" xfId="4" applyNumberFormat="1" applyFont="1" applyFill="1" applyBorder="1" applyProtection="1"/>
    <xf numFmtId="184" fontId="4" fillId="6" borderId="0" xfId="0" applyNumberFormat="1" applyFont="1" applyFill="1"/>
    <xf numFmtId="185" fontId="2" fillId="0" borderId="7" xfId="0" applyFont="1" applyBorder="1" applyAlignment="1"/>
    <xf numFmtId="185" fontId="2" fillId="6" borderId="7" xfId="0" applyFont="1" applyFill="1" applyBorder="1" applyAlignment="1"/>
    <xf numFmtId="174" fontId="4" fillId="6" borderId="27" xfId="4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/>
    </xf>
    <xf numFmtId="174" fontId="4" fillId="6" borderId="31" xfId="4" applyNumberFormat="1" applyFont="1" applyFill="1" applyBorder="1" applyAlignment="1" applyProtection="1">
      <alignment horizontal="center"/>
    </xf>
    <xf numFmtId="174" fontId="4" fillId="6" borderId="32" xfId="4" applyNumberFormat="1" applyFont="1" applyFill="1" applyBorder="1" applyAlignment="1" applyProtection="1">
      <alignment horizontal="center"/>
    </xf>
    <xf numFmtId="174" fontId="4" fillId="6" borderId="28" xfId="4" applyNumberFormat="1" applyFont="1" applyFill="1" applyBorder="1" applyAlignment="1" applyProtection="1">
      <alignment horizontal="center" vertical="center"/>
    </xf>
    <xf numFmtId="174" fontId="4" fillId="6" borderId="29" xfId="4" applyNumberFormat="1" applyFont="1" applyFill="1" applyBorder="1" applyAlignment="1" applyProtection="1">
      <alignment horizontal="center" vertical="center"/>
    </xf>
    <xf numFmtId="174" fontId="4" fillId="6" borderId="27" xfId="4" applyNumberFormat="1" applyFont="1" applyFill="1" applyBorder="1" applyAlignment="1" applyProtection="1">
      <alignment horizontal="center" vertical="top"/>
    </xf>
    <xf numFmtId="174" fontId="4" fillId="6" borderId="3" xfId="4" applyNumberFormat="1" applyFont="1" applyFill="1" applyBorder="1" applyAlignment="1" applyProtection="1">
      <alignment horizontal="center" vertical="top"/>
    </xf>
    <xf numFmtId="174" fontId="4" fillId="6" borderId="33" xfId="4" applyNumberFormat="1" applyFont="1" applyFill="1" applyBorder="1" applyAlignment="1" applyProtection="1">
      <alignment horizontal="center"/>
    </xf>
    <xf numFmtId="174" fontId="4" fillId="6" borderId="34" xfId="4" applyNumberFormat="1" applyFont="1" applyFill="1" applyBorder="1" applyAlignment="1" applyProtection="1">
      <alignment horizontal="center"/>
    </xf>
    <xf numFmtId="174" fontId="4" fillId="6" borderId="27" xfId="4" applyNumberFormat="1" applyFont="1" applyFill="1" applyBorder="1" applyAlignment="1" applyProtection="1">
      <alignment horizontal="center" vertical="center"/>
    </xf>
    <xf numFmtId="174" fontId="4" fillId="6" borderId="3" xfId="4" applyNumberFormat="1" applyFont="1" applyFill="1" applyBorder="1" applyAlignment="1" applyProtection="1">
      <alignment horizontal="center" vertical="center"/>
    </xf>
    <xf numFmtId="174" fontId="4" fillId="6" borderId="87" xfId="1" applyNumberFormat="1" applyFont="1" applyFill="1" applyBorder="1" applyAlignment="1" applyProtection="1">
      <alignment horizontal="center"/>
    </xf>
    <xf numFmtId="174" fontId="4" fillId="6" borderId="87" xfId="4" applyNumberFormat="1" applyFont="1" applyFill="1" applyBorder="1" applyAlignment="1" applyProtection="1">
      <alignment horizontal="center"/>
    </xf>
    <xf numFmtId="174" fontId="4" fillId="6" borderId="89" xfId="1" applyNumberFormat="1" applyFont="1" applyFill="1" applyBorder="1" applyAlignment="1" applyProtection="1">
      <alignment horizontal="center"/>
    </xf>
    <xf numFmtId="174" fontId="4" fillId="6" borderId="89" xfId="4" applyNumberFormat="1" applyFont="1" applyFill="1" applyBorder="1" applyAlignment="1" applyProtection="1">
      <alignment horizontal="center"/>
    </xf>
    <xf numFmtId="174" fontId="4" fillId="6" borderId="88" xfId="4" applyNumberFormat="1" applyFont="1" applyFill="1" applyBorder="1" applyAlignment="1" applyProtection="1">
      <alignment horizontal="center" vertical="center"/>
    </xf>
    <xf numFmtId="174" fontId="4" fillId="6" borderId="88" xfId="1" applyNumberFormat="1" applyFont="1" applyFill="1" applyBorder="1" applyAlignment="1" applyProtection="1">
      <alignment horizontal="center" vertical="center"/>
    </xf>
    <xf numFmtId="174" fontId="4" fillId="6" borderId="87" xfId="1" applyNumberFormat="1" applyFont="1" applyFill="1" applyBorder="1" applyAlignment="1" applyProtection="1">
      <alignment horizontal="center" vertical="top"/>
    </xf>
    <xf numFmtId="174" fontId="4" fillId="6" borderId="87" xfId="4" applyNumberFormat="1" applyFont="1" applyFill="1" applyBorder="1" applyAlignment="1" applyProtection="1">
      <alignment horizontal="center" vertical="top"/>
    </xf>
    <xf numFmtId="174" fontId="4" fillId="6" borderId="90" xfId="1" applyNumberFormat="1" applyFont="1" applyFill="1" applyBorder="1" applyAlignment="1" applyProtection="1">
      <alignment horizontal="center"/>
    </xf>
    <xf numFmtId="174" fontId="4" fillId="6" borderId="90" xfId="4" applyNumberFormat="1" applyFont="1" applyFill="1" applyBorder="1" applyAlignment="1" applyProtection="1">
      <alignment horizontal="center"/>
    </xf>
    <xf numFmtId="174" fontId="4" fillId="6" borderId="91" xfId="1" applyNumberFormat="1" applyFont="1" applyFill="1" applyBorder="1" applyAlignment="1" applyProtection="1">
      <alignment horizontal="center"/>
    </xf>
    <xf numFmtId="174" fontId="4" fillId="6" borderId="91" xfId="4" applyNumberFormat="1" applyFont="1" applyFill="1" applyBorder="1" applyAlignment="1" applyProtection="1">
      <alignment horizontal="center"/>
    </xf>
    <xf numFmtId="185" fontId="3" fillId="7" borderId="22" xfId="4" applyFont="1" applyFill="1" applyBorder="1" applyProtection="1"/>
    <xf numFmtId="185" fontId="3" fillId="7" borderId="17" xfId="4" applyFont="1" applyFill="1" applyBorder="1" applyAlignment="1" applyProtection="1">
      <alignment horizontal="left"/>
    </xf>
    <xf numFmtId="168" fontId="3" fillId="7" borderId="17" xfId="1" applyNumberFormat="1" applyFont="1" applyFill="1" applyBorder="1" applyProtection="1"/>
    <xf numFmtId="185" fontId="3" fillId="7" borderId="3" xfId="4" quotePrefix="1" applyFont="1" applyFill="1" applyBorder="1" applyAlignment="1" applyProtection="1">
      <alignment horizontal="center"/>
    </xf>
    <xf numFmtId="185" fontId="3" fillId="7" borderId="3" xfId="4" applyFont="1" applyFill="1" applyBorder="1" applyAlignment="1" applyProtection="1">
      <alignment horizontal="center"/>
    </xf>
    <xf numFmtId="185" fontId="3" fillId="7" borderId="29" xfId="4" applyFont="1" applyFill="1" applyBorder="1" applyAlignment="1" applyProtection="1">
      <alignment horizontal="center"/>
    </xf>
    <xf numFmtId="185" fontId="3" fillId="7" borderId="29" xfId="4" applyFont="1" applyFill="1" applyBorder="1" applyAlignment="1" applyProtection="1">
      <alignment horizontal="center" vertical="center"/>
    </xf>
    <xf numFmtId="185" fontId="3" fillId="7" borderId="35" xfId="4" applyFont="1" applyFill="1" applyBorder="1" applyAlignment="1" applyProtection="1">
      <alignment horizontal="center" vertical="center"/>
    </xf>
    <xf numFmtId="168" fontId="3" fillId="7" borderId="35" xfId="1" applyNumberFormat="1" applyFont="1" applyFill="1" applyBorder="1" applyAlignment="1" applyProtection="1">
      <alignment horizontal="center" vertical="center"/>
    </xf>
    <xf numFmtId="172" fontId="4" fillId="7" borderId="3" xfId="4" applyNumberFormat="1" applyFont="1" applyFill="1" applyBorder="1" applyAlignment="1" applyProtection="1">
      <alignment horizontal="center"/>
    </xf>
    <xf numFmtId="172" fontId="4" fillId="7" borderId="36" xfId="4" applyNumberFormat="1" applyFont="1" applyFill="1" applyBorder="1" applyAlignment="1" applyProtection="1">
      <alignment horizontal="center"/>
    </xf>
    <xf numFmtId="172" fontId="4" fillId="7" borderId="0" xfId="1" applyNumberFormat="1" applyFont="1" applyFill="1" applyBorder="1" applyAlignment="1" applyProtection="1">
      <alignment horizontal="center"/>
    </xf>
    <xf numFmtId="174" fontId="4" fillId="7" borderId="3" xfId="4" applyNumberFormat="1" applyFont="1" applyFill="1" applyBorder="1" applyAlignment="1" applyProtection="1">
      <alignment horizontal="center"/>
    </xf>
    <xf numFmtId="174" fontId="4" fillId="7" borderId="36" xfId="4" applyNumberFormat="1" applyFont="1" applyFill="1" applyBorder="1" applyAlignment="1" applyProtection="1">
      <alignment horizontal="center"/>
    </xf>
    <xf numFmtId="173" fontId="4" fillId="7" borderId="0" xfId="1" applyNumberFormat="1" applyFont="1" applyFill="1" applyBorder="1" applyAlignment="1" applyProtection="1">
      <alignment horizontal="center"/>
    </xf>
    <xf numFmtId="174" fontId="4" fillId="7" borderId="32" xfId="4" applyNumberFormat="1" applyFont="1" applyFill="1" applyBorder="1" applyAlignment="1" applyProtection="1">
      <alignment horizontal="center"/>
    </xf>
    <xf numFmtId="174" fontId="4" fillId="7" borderId="37" xfId="4" applyNumberFormat="1" applyFont="1" applyFill="1" applyBorder="1" applyAlignment="1" applyProtection="1">
      <alignment horizontal="center"/>
    </xf>
    <xf numFmtId="173" fontId="4" fillId="7" borderId="81" xfId="1" applyNumberFormat="1" applyFont="1" applyFill="1" applyBorder="1" applyAlignment="1" applyProtection="1">
      <alignment horizontal="center"/>
    </xf>
    <xf numFmtId="174" fontId="4" fillId="7" borderId="29" xfId="4" applyNumberFormat="1" applyFont="1" applyFill="1" applyBorder="1" applyAlignment="1" applyProtection="1">
      <alignment horizontal="center" vertical="center"/>
    </xf>
    <xf numFmtId="174" fontId="4" fillId="7" borderId="38" xfId="4" applyNumberFormat="1" applyFont="1" applyFill="1" applyBorder="1" applyAlignment="1" applyProtection="1">
      <alignment horizontal="center"/>
    </xf>
    <xf numFmtId="173" fontId="4" fillId="7" borderId="82" xfId="1" applyNumberFormat="1" applyFont="1" applyFill="1" applyBorder="1" applyAlignment="1" applyProtection="1">
      <alignment horizontal="center"/>
    </xf>
    <xf numFmtId="174" fontId="4" fillId="7" borderId="39" xfId="4" applyNumberFormat="1" applyFont="1" applyFill="1" applyBorder="1" applyAlignment="1" applyProtection="1">
      <alignment horizontal="center"/>
    </xf>
    <xf numFmtId="173" fontId="4" fillId="7" borderId="83" xfId="1" applyNumberFormat="1" applyFont="1" applyFill="1" applyBorder="1" applyAlignment="1" applyProtection="1">
      <alignment horizontal="center"/>
    </xf>
    <xf numFmtId="174" fontId="4" fillId="7" borderId="40" xfId="4" applyNumberFormat="1" applyFont="1" applyFill="1" applyBorder="1" applyAlignment="1" applyProtection="1">
      <alignment horizontal="center"/>
    </xf>
    <xf numFmtId="174" fontId="4" fillId="7" borderId="3" xfId="4" applyNumberFormat="1" applyFont="1" applyFill="1" applyBorder="1" applyAlignment="1" applyProtection="1">
      <alignment horizontal="center" vertical="center"/>
    </xf>
    <xf numFmtId="174" fontId="4" fillId="7" borderId="42" xfId="4" applyNumberFormat="1" applyFont="1" applyFill="1" applyBorder="1" applyAlignment="1" applyProtection="1">
      <alignment horizontal="center"/>
    </xf>
    <xf numFmtId="173" fontId="4" fillId="7" borderId="84" xfId="1" applyNumberFormat="1" applyFont="1" applyFill="1" applyBorder="1" applyAlignment="1" applyProtection="1">
      <alignment horizontal="center"/>
    </xf>
    <xf numFmtId="174" fontId="4" fillId="7" borderId="3" xfId="4" applyNumberFormat="1" applyFont="1" applyFill="1" applyBorder="1" applyAlignment="1" applyProtection="1">
      <alignment horizontal="center" vertical="top"/>
    </xf>
    <xf numFmtId="174" fontId="4" fillId="7" borderId="36" xfId="4" applyNumberFormat="1" applyFont="1" applyFill="1" applyBorder="1" applyAlignment="1" applyProtection="1">
      <alignment horizontal="center" vertical="top"/>
    </xf>
    <xf numFmtId="173" fontId="4" fillId="7" borderId="84" xfId="1" applyNumberFormat="1" applyFont="1" applyFill="1" applyBorder="1" applyAlignment="1" applyProtection="1">
      <alignment horizontal="center" vertical="top"/>
    </xf>
    <xf numFmtId="174" fontId="4" fillId="7" borderId="34" xfId="4" applyNumberFormat="1" applyFont="1" applyFill="1" applyBorder="1" applyAlignment="1" applyProtection="1">
      <alignment horizontal="center"/>
    </xf>
    <xf numFmtId="174" fontId="4" fillId="7" borderId="15" xfId="4" applyNumberFormat="1" applyFont="1" applyFill="1" applyBorder="1" applyAlignment="1" applyProtection="1">
      <alignment horizontal="center"/>
    </xf>
    <xf numFmtId="173" fontId="4" fillId="7" borderId="85" xfId="1" applyNumberFormat="1" applyFont="1" applyFill="1" applyBorder="1" applyAlignment="1" applyProtection="1">
      <alignment horizontal="center"/>
    </xf>
    <xf numFmtId="167" fontId="4" fillId="7" borderId="34" xfId="4" applyNumberFormat="1" applyFont="1" applyFill="1" applyBorder="1" applyAlignment="1" applyProtection="1">
      <alignment horizontal="center"/>
    </xf>
    <xf numFmtId="167" fontId="4" fillId="7" borderId="41" xfId="4" applyNumberFormat="1" applyFont="1" applyFill="1" applyBorder="1" applyAlignment="1" applyProtection="1">
      <alignment horizontal="center"/>
    </xf>
    <xf numFmtId="178" fontId="4" fillId="7" borderId="15" xfId="1" applyNumberFormat="1" applyFont="1" applyFill="1" applyBorder="1" applyAlignment="1" applyProtection="1">
      <alignment horizontal="center"/>
    </xf>
    <xf numFmtId="186" fontId="4" fillId="7" borderId="36" xfId="4" applyNumberFormat="1" applyFont="1" applyFill="1" applyBorder="1" applyAlignment="1" applyProtection="1">
      <alignment horizontal="right"/>
    </xf>
    <xf numFmtId="167" fontId="3" fillId="8" borderId="14" xfId="0" applyNumberFormat="1" applyFont="1" applyFill="1" applyBorder="1" applyAlignment="1">
      <alignment horizontal="center" vertical="center"/>
    </xf>
    <xf numFmtId="185" fontId="4" fillId="9" borderId="2" xfId="0" applyFont="1" applyFill="1" applyBorder="1" applyAlignment="1">
      <alignment horizontal="left" vertical="center" indent="1"/>
    </xf>
    <xf numFmtId="167" fontId="4" fillId="9" borderId="3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185" fontId="3" fillId="7" borderId="35" xfId="4" applyFont="1" applyFill="1" applyBorder="1" applyAlignment="1" applyProtection="1">
      <alignment horizontal="center"/>
      <protection locked="0"/>
    </xf>
    <xf numFmtId="185" fontId="2" fillId="0" borderId="0" xfId="4" applyFont="1" applyFill="1" applyBorder="1" applyAlignment="1" applyProtection="1">
      <alignment horizontal="center"/>
    </xf>
    <xf numFmtId="177" fontId="3" fillId="7" borderId="0" xfId="4" applyNumberFormat="1" applyFont="1" applyFill="1" applyBorder="1" applyAlignment="1" applyProtection="1">
      <alignment horizontal="center"/>
    </xf>
    <xf numFmtId="185" fontId="3" fillId="7" borderId="0" xfId="4" applyFont="1" applyFill="1" applyBorder="1" applyAlignment="1" applyProtection="1">
      <alignment horizontal="center"/>
      <protection locked="0"/>
    </xf>
    <xf numFmtId="185" fontId="2" fillId="0" borderId="0" xfId="0" applyFont="1" applyAlignment="1">
      <alignment horizontal="center"/>
    </xf>
    <xf numFmtId="185" fontId="3" fillId="0" borderId="0" xfId="4" applyFont="1" applyFill="1" applyBorder="1" applyAlignment="1" applyProtection="1">
      <alignment horizontal="center"/>
    </xf>
    <xf numFmtId="185" fontId="2" fillId="0" borderId="0" xfId="0" applyFont="1" applyBorder="1" applyAlignment="1">
      <alignment horizontal="left" vertical="center"/>
    </xf>
    <xf numFmtId="185" fontId="2" fillId="0" borderId="0" xfId="0" applyFont="1" applyAlignment="1">
      <alignment horizontal="left"/>
    </xf>
    <xf numFmtId="185" fontId="3" fillId="0" borderId="14" xfId="0" applyFont="1" applyFill="1" applyBorder="1" applyAlignment="1">
      <alignment horizontal="center" vertical="center" wrapText="1"/>
    </xf>
    <xf numFmtId="185" fontId="3" fillId="0" borderId="5" xfId="0" applyFont="1" applyFill="1" applyBorder="1" applyAlignment="1">
      <alignment horizontal="center" vertical="center" wrapText="1"/>
    </xf>
    <xf numFmtId="185" fontId="3" fillId="0" borderId="10" xfId="0" applyFont="1" applyFill="1" applyBorder="1" applyAlignment="1">
      <alignment horizontal="center" vertical="center" wrapText="1"/>
    </xf>
    <xf numFmtId="185" fontId="4" fillId="0" borderId="3" xfId="0" applyFont="1" applyFill="1" applyBorder="1" applyAlignment="1">
      <alignment horizontal="left" vertical="center" wrapText="1" indent="1"/>
    </xf>
    <xf numFmtId="1" fontId="3" fillId="0" borderId="9" xfId="0" applyNumberFormat="1" applyFon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 wrapText="1"/>
    </xf>
    <xf numFmtId="185" fontId="0" fillId="0" borderId="3" xfId="0" applyBorder="1" applyAlignment="1">
      <alignment horizontal="left" vertical="center" wrapText="1" indent="1"/>
    </xf>
    <xf numFmtId="185" fontId="3" fillId="0" borderId="12" xfId="0" applyFont="1" applyFill="1" applyBorder="1" applyAlignment="1">
      <alignment horizontal="center" vertical="center" wrapText="1"/>
    </xf>
    <xf numFmtId="185" fontId="3" fillId="0" borderId="3" xfId="0" applyFont="1" applyFill="1" applyBorder="1" applyAlignment="1">
      <alignment horizontal="center" vertical="center" wrapText="1"/>
    </xf>
    <xf numFmtId="185" fontId="3" fillId="0" borderId="30" xfId="0" applyFont="1" applyFill="1" applyBorder="1" applyAlignment="1">
      <alignment horizontal="center" vertical="center" wrapText="1"/>
    </xf>
    <xf numFmtId="185" fontId="3" fillId="6" borderId="14" xfId="0" applyFont="1" applyFill="1" applyBorder="1" applyAlignment="1">
      <alignment horizontal="center" vertical="center" wrapText="1"/>
    </xf>
    <xf numFmtId="185" fontId="3" fillId="6" borderId="5" xfId="0" applyFont="1" applyFill="1" applyBorder="1" applyAlignment="1">
      <alignment horizontal="center" vertical="center" wrapText="1"/>
    </xf>
    <xf numFmtId="185" fontId="3" fillId="7" borderId="10" xfId="0" applyFont="1" applyFill="1" applyBorder="1" applyAlignment="1">
      <alignment horizontal="center" vertical="center" wrapText="1"/>
    </xf>
    <xf numFmtId="185" fontId="3" fillId="6" borderId="10" xfId="0" applyFont="1" applyFill="1" applyBorder="1" applyAlignment="1">
      <alignment horizontal="center" vertical="center" wrapText="1"/>
    </xf>
    <xf numFmtId="185" fontId="22" fillId="3" borderId="14" xfId="0" applyFont="1" applyFill="1" applyBorder="1" applyAlignment="1">
      <alignment horizontal="center" wrapText="1"/>
    </xf>
    <xf numFmtId="185" fontId="22" fillId="3" borderId="10" xfId="0" applyFont="1" applyFill="1" applyBorder="1" applyAlignment="1">
      <alignment horizontal="center" wrapText="1"/>
    </xf>
    <xf numFmtId="185" fontId="9" fillId="3" borderId="12" xfId="0" applyFont="1" applyFill="1" applyBorder="1" applyAlignment="1">
      <alignment horizontal="center" wrapText="1"/>
    </xf>
    <xf numFmtId="185" fontId="0" fillId="3" borderId="30" xfId="0" applyFill="1" applyBorder="1" applyAlignment="1">
      <alignment wrapText="1"/>
    </xf>
    <xf numFmtId="185" fontId="9" fillId="3" borderId="12" xfId="0" applyFont="1" applyFill="1" applyBorder="1" applyAlignment="1">
      <alignment horizontal="center" vertical="center" wrapText="1"/>
    </xf>
    <xf numFmtId="185" fontId="0" fillId="3" borderId="30" xfId="0" applyFill="1" applyBorder="1" applyAlignment="1">
      <alignment vertical="center" wrapText="1"/>
    </xf>
    <xf numFmtId="185" fontId="3" fillId="0" borderId="77" xfId="0" applyNumberFormat="1" applyFont="1" applyFill="1" applyBorder="1" applyAlignment="1">
      <alignment horizontal="center" wrapText="1"/>
    </xf>
    <xf numFmtId="185" fontId="3" fillId="0" borderId="57" xfId="0" applyNumberFormat="1" applyFont="1" applyFill="1" applyBorder="1" applyAlignment="1">
      <alignment horizontal="center" wrapText="1"/>
    </xf>
    <xf numFmtId="185" fontId="3" fillId="0" borderId="104" xfId="0" applyNumberFormat="1" applyFont="1" applyFill="1" applyBorder="1" applyAlignment="1">
      <alignment horizontal="center" wrapText="1"/>
    </xf>
    <xf numFmtId="185" fontId="3" fillId="0" borderId="55" xfId="0" applyNumberFormat="1" applyFont="1" applyFill="1" applyBorder="1" applyAlignment="1">
      <alignment horizontal="center" wrapText="1"/>
    </xf>
    <xf numFmtId="185" fontId="23" fillId="0" borderId="78" xfId="0" applyFont="1" applyFill="1" applyBorder="1" applyAlignment="1">
      <alignment horizontal="left"/>
    </xf>
    <xf numFmtId="185" fontId="23" fillId="0" borderId="106" xfId="0" applyFont="1" applyFill="1" applyBorder="1" applyAlignment="1">
      <alignment horizontal="left"/>
    </xf>
    <xf numFmtId="185" fontId="13" fillId="0" borderId="68" xfId="0" applyFont="1" applyFill="1" applyBorder="1" applyAlignment="1">
      <alignment horizontal="center"/>
    </xf>
    <xf numFmtId="185" fontId="13" fillId="0" borderId="0" xfId="0" applyFont="1" applyFill="1" applyBorder="1" applyAlignment="1">
      <alignment horizontal="center"/>
    </xf>
    <xf numFmtId="185" fontId="3" fillId="0" borderId="76" xfId="0" applyNumberFormat="1" applyFont="1" applyFill="1" applyBorder="1" applyAlignment="1">
      <alignment horizontal="center" wrapText="1"/>
    </xf>
    <xf numFmtId="185" fontId="2" fillId="0" borderId="4" xfId="0" applyFont="1" applyBorder="1" applyAlignment="1">
      <alignment horizontal="center" vertical="center"/>
    </xf>
    <xf numFmtId="185" fontId="14" fillId="0" borderId="4" xfId="0" applyFont="1" applyBorder="1" applyAlignment="1">
      <alignment horizontal="center"/>
    </xf>
    <xf numFmtId="185" fontId="2" fillId="0" borderId="0" xfId="0" applyFont="1" applyBorder="1" applyAlignment="1">
      <alignment horizontal="center" vertical="center"/>
    </xf>
    <xf numFmtId="185" fontId="4" fillId="0" borderId="4" xfId="0" applyFont="1" applyFill="1" applyBorder="1" applyAlignment="1">
      <alignment vertical="center" wrapText="1"/>
    </xf>
    <xf numFmtId="185" fontId="0" fillId="0" borderId="4" xfId="0" applyBorder="1" applyAlignment="1">
      <alignment wrapText="1"/>
    </xf>
    <xf numFmtId="185" fontId="0" fillId="0" borderId="0" xfId="0" applyAlignment="1">
      <alignment wrapText="1"/>
    </xf>
    <xf numFmtId="185" fontId="17" fillId="4" borderId="1" xfId="0" applyFont="1" applyFill="1" applyBorder="1" applyAlignment="1">
      <alignment horizontal="center" wrapText="1"/>
    </xf>
    <xf numFmtId="185" fontId="13" fillId="3" borderId="1" xfId="0" applyFont="1" applyFill="1" applyBorder="1" applyAlignment="1">
      <alignment horizontal="center"/>
    </xf>
    <xf numFmtId="185" fontId="13" fillId="3" borderId="12" xfId="0" applyFont="1" applyFill="1" applyBorder="1" applyAlignment="1">
      <alignment horizontal="center" wrapText="1"/>
    </xf>
    <xf numFmtId="185" fontId="13" fillId="3" borderId="30" xfId="0" applyFont="1" applyFill="1" applyBorder="1" applyAlignment="1">
      <alignment horizontal="center" wrapText="1"/>
    </xf>
    <xf numFmtId="185" fontId="3" fillId="0" borderId="106" xfId="0" applyFont="1" applyFill="1" applyBorder="1" applyAlignment="1">
      <alignment horizontal="center" vertical="center" wrapText="1"/>
    </xf>
    <xf numFmtId="185" fontId="14" fillId="0" borderId="108" xfId="0" applyFont="1" applyBorder="1" applyAlignment="1">
      <alignment wrapText="1"/>
    </xf>
    <xf numFmtId="185" fontId="14" fillId="0" borderId="7" xfId="0" applyFont="1" applyBorder="1" applyAlignment="1">
      <alignment wrapText="1"/>
    </xf>
    <xf numFmtId="185" fontId="14" fillId="0" borderId="8" xfId="0" applyFont="1" applyBorder="1" applyAlignment="1">
      <alignment wrapText="1"/>
    </xf>
    <xf numFmtId="185" fontId="3" fillId="0" borderId="107" xfId="0" applyFont="1" applyBorder="1" applyAlignment="1">
      <alignment horizontal="center" vertical="center" wrapText="1"/>
    </xf>
    <xf numFmtId="185" fontId="14" fillId="0" borderId="6" xfId="0" applyFont="1" applyBorder="1" applyAlignment="1">
      <alignment wrapText="1"/>
    </xf>
    <xf numFmtId="185" fontId="2" fillId="0" borderId="0" xfId="0" applyFont="1" applyBorder="1" applyAlignment="1">
      <alignment horizontal="center"/>
    </xf>
    <xf numFmtId="185" fontId="3" fillId="3" borderId="92" xfId="0" applyFont="1" applyFill="1" applyBorder="1" applyAlignment="1">
      <alignment horizontal="center" vertical="center" wrapText="1"/>
    </xf>
    <xf numFmtId="185" fontId="14" fillId="0" borderId="30" xfId="0" applyFont="1" applyBorder="1" applyAlignment="1">
      <alignment horizontal="center" vertical="center"/>
    </xf>
    <xf numFmtId="185" fontId="3" fillId="3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5" fontId="11" fillId="0" borderId="0" xfId="4" applyFont="1" applyBorder="1" applyAlignment="1">
      <alignment horizontal="center"/>
    </xf>
    <xf numFmtId="177" fontId="3" fillId="3" borderId="0" xfId="4" applyNumberFormat="1" applyFont="1" applyFill="1" applyBorder="1" applyAlignment="1" applyProtection="1">
      <alignment horizontal="center"/>
    </xf>
    <xf numFmtId="185" fontId="3" fillId="3" borderId="0" xfId="4" applyFont="1" applyFill="1" applyBorder="1" applyAlignment="1" applyProtection="1">
      <alignment horizontal="center"/>
      <protection locked="0"/>
    </xf>
    <xf numFmtId="40" fontId="4" fillId="0" borderId="0" xfId="0" applyNumberFormat="1" applyFont="1" applyFill="1"/>
    <xf numFmtId="185" fontId="3" fillId="6" borderId="109" xfId="4" applyFont="1" applyFill="1" applyBorder="1" applyAlignment="1" applyProtection="1">
      <alignment horizontal="center"/>
    </xf>
    <xf numFmtId="185" fontId="3" fillId="6" borderId="110" xfId="4" applyFont="1" applyFill="1" applyBorder="1" applyAlignment="1" applyProtection="1">
      <alignment horizontal="center"/>
    </xf>
    <xf numFmtId="185" fontId="3" fillId="6" borderId="30" xfId="4" applyFont="1" applyFill="1" applyBorder="1" applyAlignment="1" applyProtection="1">
      <alignment horizontal="center"/>
    </xf>
    <xf numFmtId="1" fontId="3" fillId="6" borderId="111" xfId="4" applyNumberFormat="1" applyFont="1" applyFill="1" applyBorder="1" applyAlignment="1" applyProtection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SAWH\LOCALS~1\Temp\XPgrpwise\app%202%20fmre%20nov%2027%20final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2 Rec' Budget"/>
      <sheetName val="Table 2 - 2012 Recd Base Budget"/>
      <sheetName val="Table 3 -2012 Staff Complement "/>
      <sheetName val="Table 4 - Rec'd Service Changes"/>
      <sheetName val="Table 5 - New  Enhanced"/>
      <sheetName val="Appendix 1 - Performance"/>
      <sheetName val="Appendix 1 - 2011 Var Review"/>
      <sheetName val="Appendix 2 - Budget by Category"/>
      <sheetName val="Appendix 5a- Specific Reserves"/>
      <sheetName val="Appendix 5b - Corporate Res"/>
      <sheetName val="WS 1 -Rec'd Base Changes "/>
      <sheetName val="WS 2- Service Changes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</sheetNames>
    <sheetDataSet>
      <sheetData sheetId="0">
        <row r="9">
          <cell r="C9">
            <v>919.8</v>
          </cell>
          <cell r="G9">
            <v>799.59999999999991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  <pageSetUpPr fitToPage="1"/>
  </sheetPr>
  <dimension ref="B1:Q131"/>
  <sheetViews>
    <sheetView showGridLines="0" tabSelected="1" topLeftCell="B1" workbookViewId="0">
      <selection activeCell="C11" sqref="C11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9" width="11.28515625" style="3" customWidth="1"/>
    <col min="10" max="10" width="9.140625" style="3"/>
    <col min="11" max="11" width="11.28515625" style="11" customWidth="1"/>
    <col min="12" max="12" width="11.140625" style="11" customWidth="1"/>
    <col min="13" max="13" width="3.85546875" style="3" customWidth="1"/>
    <col min="14" max="14" width="16.7109375" style="3" customWidth="1"/>
    <col min="15" max="16384" width="9.140625" style="3"/>
  </cols>
  <sheetData>
    <row r="1" spans="2:17" ht="20.25">
      <c r="B1" s="682" t="s">
        <v>630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92"/>
    </row>
    <row r="2" spans="2:17" ht="15.75">
      <c r="B2" s="679" t="s">
        <v>65</v>
      </c>
      <c r="C2" s="679"/>
      <c r="D2" s="679"/>
      <c r="E2" s="679"/>
      <c r="F2" s="679"/>
      <c r="G2" s="679"/>
      <c r="H2" s="679"/>
      <c r="I2" s="679"/>
      <c r="J2" s="679"/>
      <c r="K2" s="679"/>
      <c r="L2" s="679"/>
      <c r="M2" s="59"/>
    </row>
    <row r="3" spans="2:17" ht="16.5" thickBot="1">
      <c r="B3" s="683" t="s">
        <v>0</v>
      </c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582"/>
      <c r="N3" s="491"/>
      <c r="O3" s="491"/>
      <c r="P3" s="491"/>
      <c r="Q3" s="491"/>
    </row>
    <row r="4" spans="2:17">
      <c r="B4" s="74"/>
      <c r="C4" s="583" t="s">
        <v>33</v>
      </c>
      <c r="D4" s="494"/>
      <c r="E4" s="494"/>
      <c r="F4" s="495"/>
      <c r="G4" s="637"/>
      <c r="H4" s="637"/>
      <c r="I4" s="638"/>
      <c r="J4" s="639"/>
      <c r="K4" s="584"/>
      <c r="L4" s="585"/>
      <c r="M4" s="586"/>
      <c r="N4" s="491"/>
      <c r="O4" s="491"/>
      <c r="P4" s="491"/>
      <c r="Q4" s="491"/>
    </row>
    <row r="5" spans="2:17">
      <c r="B5" s="78"/>
      <c r="C5" s="587"/>
      <c r="D5" s="496"/>
      <c r="E5" s="496"/>
      <c r="F5" s="497"/>
      <c r="G5" s="640" t="s">
        <v>566</v>
      </c>
      <c r="H5" s="640"/>
      <c r="I5" s="680" t="s">
        <v>577</v>
      </c>
      <c r="J5" s="680"/>
      <c r="K5" s="589"/>
      <c r="L5" s="589"/>
      <c r="M5" s="588"/>
      <c r="N5" s="491"/>
      <c r="O5" s="491"/>
      <c r="P5" s="491"/>
      <c r="Q5" s="491"/>
    </row>
    <row r="6" spans="2:17">
      <c r="B6" s="78"/>
      <c r="C6" s="587"/>
      <c r="D6" s="496">
        <v>2009</v>
      </c>
      <c r="E6" s="496">
        <v>2010</v>
      </c>
      <c r="F6" s="497" t="s">
        <v>566</v>
      </c>
      <c r="G6" s="641" t="s">
        <v>39</v>
      </c>
      <c r="H6" s="640" t="s">
        <v>567</v>
      </c>
      <c r="I6" s="681" t="s">
        <v>578</v>
      </c>
      <c r="J6" s="681"/>
      <c r="K6" s="589">
        <v>2013</v>
      </c>
      <c r="L6" s="589">
        <f>K6+1</f>
        <v>2014</v>
      </c>
      <c r="M6" s="590"/>
      <c r="N6" s="491"/>
      <c r="O6" s="491"/>
      <c r="P6" s="491"/>
      <c r="Q6" s="491"/>
    </row>
    <row r="7" spans="2:17">
      <c r="B7" s="73"/>
      <c r="C7" s="587" t="s">
        <v>579</v>
      </c>
      <c r="D7" s="740" t="s">
        <v>565</v>
      </c>
      <c r="E7" s="741" t="s">
        <v>565</v>
      </c>
      <c r="F7" s="742" t="s">
        <v>41</v>
      </c>
      <c r="G7" s="642" t="s">
        <v>565</v>
      </c>
      <c r="H7" s="642" t="s">
        <v>568</v>
      </c>
      <c r="I7" s="678" t="s">
        <v>41</v>
      </c>
      <c r="J7" s="678"/>
      <c r="K7" s="743" t="s">
        <v>43</v>
      </c>
      <c r="L7" s="743" t="s">
        <v>43</v>
      </c>
      <c r="M7" s="590"/>
      <c r="N7" s="491"/>
      <c r="O7" s="491"/>
      <c r="P7" s="491"/>
      <c r="Q7" s="491"/>
    </row>
    <row r="8" spans="2:17">
      <c r="B8" s="81"/>
      <c r="C8" s="591"/>
      <c r="D8" s="498" t="s">
        <v>1</v>
      </c>
      <c r="E8" s="498" t="s">
        <v>1</v>
      </c>
      <c r="F8" s="499" t="s">
        <v>1</v>
      </c>
      <c r="G8" s="643" t="s">
        <v>1</v>
      </c>
      <c r="H8" s="643" t="s">
        <v>1</v>
      </c>
      <c r="I8" s="644" t="s">
        <v>1</v>
      </c>
      <c r="J8" s="645" t="s">
        <v>2</v>
      </c>
      <c r="K8" s="592" t="s">
        <v>1</v>
      </c>
      <c r="L8" s="592" t="s">
        <v>1</v>
      </c>
      <c r="M8" s="593"/>
      <c r="N8" s="491"/>
      <c r="O8" s="491"/>
      <c r="P8" s="491"/>
      <c r="Q8" s="491"/>
    </row>
    <row r="9" spans="2:17" ht="6.75" customHeight="1">
      <c r="B9" s="83"/>
      <c r="C9" s="594"/>
      <c r="D9" s="500"/>
      <c r="E9" s="500"/>
      <c r="F9" s="501"/>
      <c r="G9" s="649"/>
      <c r="H9" s="646"/>
      <c r="I9" s="647"/>
      <c r="J9" s="648"/>
      <c r="K9" s="595"/>
      <c r="L9" s="596"/>
      <c r="M9" s="597"/>
      <c r="N9" s="491"/>
      <c r="O9" s="491"/>
      <c r="P9" s="491"/>
      <c r="Q9" s="491"/>
    </row>
    <row r="10" spans="2:17">
      <c r="B10" s="83"/>
      <c r="C10" s="598" t="s">
        <v>44</v>
      </c>
      <c r="D10" s="613">
        <v>62384.800000000003</v>
      </c>
      <c r="E10" s="613">
        <v>69672.3</v>
      </c>
      <c r="F10" s="613">
        <v>78218</v>
      </c>
      <c r="G10" s="649">
        <f>F10-5137.4+1080-600</f>
        <v>73560.600000000006</v>
      </c>
      <c r="H10" s="649">
        <v>74570.816999999995</v>
      </c>
      <c r="I10" s="650">
        <f>H10-F10</f>
        <v>-3647.1830000000045</v>
      </c>
      <c r="J10" s="651">
        <f>IF(E10=0,"n/a",I10/F10)</f>
        <v>-4.6628435909892921E-2</v>
      </c>
      <c r="K10" s="625">
        <f>-2657.3-172.5-509.2-251.3+H10+1110+287.3-1105.56</f>
        <v>71272.256999999998</v>
      </c>
      <c r="L10" s="626">
        <f>+K10+287</f>
        <v>71559.256999999998</v>
      </c>
      <c r="M10" s="599"/>
      <c r="N10" s="491"/>
      <c r="O10" s="491"/>
      <c r="P10" s="491"/>
      <c r="Q10" s="491"/>
    </row>
    <row r="11" spans="2:17">
      <c r="B11" s="83"/>
      <c r="C11" s="598" t="s">
        <v>45</v>
      </c>
      <c r="D11" s="613">
        <v>26305.200000000001</v>
      </c>
      <c r="E11" s="613">
        <v>27628.9</v>
      </c>
      <c r="F11" s="613">
        <v>31411.8</v>
      </c>
      <c r="G11" s="649">
        <f>F11-1667.4-500</f>
        <v>29244.399999999998</v>
      </c>
      <c r="H11" s="649">
        <v>30894.27</v>
      </c>
      <c r="I11" s="650">
        <f t="shared" ref="I11:I17" si="0">H11-F11</f>
        <v>-517.52999999999884</v>
      </c>
      <c r="J11" s="651">
        <f t="shared" ref="J11:J17" si="1">IF(E11=0,"n/a",I11/F11)</f>
        <v>-1.6475655645330697E-2</v>
      </c>
      <c r="K11" s="625">
        <f>+H11</f>
        <v>30894.27</v>
      </c>
      <c r="L11" s="626">
        <f t="shared" ref="L11:L17" si="2">+K11</f>
        <v>30894.27</v>
      </c>
      <c r="M11" s="599"/>
      <c r="N11" s="491"/>
      <c r="O11" s="491"/>
      <c r="P11" s="491"/>
      <c r="Q11" s="491"/>
    </row>
    <row r="12" spans="2:17">
      <c r="B12" s="83"/>
      <c r="C12" s="598" t="s">
        <v>46</v>
      </c>
      <c r="D12" s="613">
        <v>650</v>
      </c>
      <c r="E12" s="613">
        <v>596.4</v>
      </c>
      <c r="F12" s="613">
        <v>1223.2</v>
      </c>
      <c r="G12" s="649">
        <f>F12-179.4</f>
        <v>1043.8</v>
      </c>
      <c r="H12" s="649">
        <v>1261.365</v>
      </c>
      <c r="I12" s="650">
        <f t="shared" si="0"/>
        <v>38.164999999999964</v>
      </c>
      <c r="J12" s="651">
        <f t="shared" si="1"/>
        <v>3.1200948332243267E-2</v>
      </c>
      <c r="K12" s="625">
        <f>+H12</f>
        <v>1261.365</v>
      </c>
      <c r="L12" s="626">
        <f t="shared" si="2"/>
        <v>1261.365</v>
      </c>
      <c r="M12" s="599"/>
      <c r="N12" s="491"/>
      <c r="O12" s="491"/>
      <c r="P12" s="491"/>
      <c r="Q12" s="491"/>
    </row>
    <row r="13" spans="2:17">
      <c r="B13" s="83"/>
      <c r="C13" s="598" t="s">
        <v>47</v>
      </c>
      <c r="D13" s="613">
        <v>49880.2</v>
      </c>
      <c r="E13" s="613">
        <v>55970</v>
      </c>
      <c r="F13" s="613">
        <f>52873+21.9</f>
        <v>52894.9</v>
      </c>
      <c r="G13" s="649">
        <f>F13+1400+1600+1070+18.7</f>
        <v>56983.6</v>
      </c>
      <c r="H13" s="649">
        <v>63094.447</v>
      </c>
      <c r="I13" s="650">
        <f t="shared" si="0"/>
        <v>10199.546999999999</v>
      </c>
      <c r="J13" s="651">
        <f t="shared" si="1"/>
        <v>0.19282666192770945</v>
      </c>
      <c r="K13" s="625">
        <f>2017.3+101.5+409.2+251.3+H13-0.321</f>
        <v>65873.426000000007</v>
      </c>
      <c r="L13" s="626">
        <f t="shared" si="2"/>
        <v>65873.426000000007</v>
      </c>
      <c r="M13" s="599"/>
      <c r="N13" s="491"/>
      <c r="O13" s="491"/>
      <c r="P13" s="491"/>
      <c r="Q13" s="491"/>
    </row>
    <row r="14" spans="2:17">
      <c r="B14" s="83"/>
      <c r="C14" s="598" t="s">
        <v>48</v>
      </c>
      <c r="D14" s="613">
        <v>3936.2</v>
      </c>
      <c r="E14" s="613">
        <v>6707.9</v>
      </c>
      <c r="F14" s="613">
        <v>3798.1</v>
      </c>
      <c r="G14" s="649">
        <f>F14</f>
        <v>3798.1</v>
      </c>
      <c r="H14" s="649">
        <v>3278.3</v>
      </c>
      <c r="I14" s="650">
        <f t="shared" si="0"/>
        <v>-519.79999999999973</v>
      </c>
      <c r="J14" s="651">
        <f t="shared" si="1"/>
        <v>-0.13685790263552822</v>
      </c>
      <c r="K14" s="625">
        <f t="shared" ref="K14:K17" si="3">+H14</f>
        <v>3278.3</v>
      </c>
      <c r="L14" s="626">
        <f t="shared" si="2"/>
        <v>3278.3</v>
      </c>
      <c r="M14" s="599"/>
      <c r="N14" s="491"/>
      <c r="O14" s="491"/>
      <c r="P14" s="491"/>
      <c r="Q14" s="491"/>
    </row>
    <row r="15" spans="2:17">
      <c r="B15" s="83"/>
      <c r="C15" s="598" t="s">
        <v>49</v>
      </c>
      <c r="D15" s="613">
        <v>1091.5</v>
      </c>
      <c r="E15" s="613">
        <v>1789.1</v>
      </c>
      <c r="F15" s="613">
        <v>1746.9</v>
      </c>
      <c r="G15" s="649">
        <f>F15+335.1</f>
        <v>2082</v>
      </c>
      <c r="H15" s="649">
        <v>1802.125</v>
      </c>
      <c r="I15" s="650">
        <f t="shared" si="0"/>
        <v>55.224999999999909</v>
      </c>
      <c r="J15" s="651">
        <f t="shared" si="1"/>
        <v>3.1613143282385889E-2</v>
      </c>
      <c r="K15" s="625">
        <f t="shared" si="3"/>
        <v>1802.125</v>
      </c>
      <c r="L15" s="626">
        <f t="shared" si="2"/>
        <v>1802.125</v>
      </c>
      <c r="M15" s="599"/>
      <c r="N15" s="491"/>
      <c r="O15" s="491"/>
      <c r="P15" s="491"/>
      <c r="Q15" s="491"/>
    </row>
    <row r="16" spans="2:17">
      <c r="B16" s="83"/>
      <c r="C16" s="598" t="s">
        <v>50</v>
      </c>
      <c r="D16" s="613">
        <v>8.1999999999999993</v>
      </c>
      <c r="E16" s="613">
        <v>516.1</v>
      </c>
      <c r="F16" s="613">
        <v>10.6</v>
      </c>
      <c r="G16" s="649">
        <f>F16+12051-1353.9-1080-670.2</f>
        <v>8957.5</v>
      </c>
      <c r="H16" s="649">
        <v>10.6</v>
      </c>
      <c r="I16" s="673">
        <f t="shared" si="0"/>
        <v>0</v>
      </c>
      <c r="J16" s="651">
        <f t="shared" si="1"/>
        <v>0</v>
      </c>
      <c r="K16" s="625">
        <f t="shared" si="3"/>
        <v>10.6</v>
      </c>
      <c r="L16" s="626">
        <f t="shared" si="2"/>
        <v>10.6</v>
      </c>
      <c r="M16" s="599"/>
      <c r="N16" s="491"/>
      <c r="O16" s="491"/>
      <c r="P16" s="491"/>
      <c r="Q16" s="491"/>
    </row>
    <row r="17" spans="2:17">
      <c r="B17" s="83"/>
      <c r="C17" s="598" t="s">
        <v>51</v>
      </c>
      <c r="D17" s="613">
        <v>4625.8</v>
      </c>
      <c r="E17" s="613">
        <v>2266.3000000000002</v>
      </c>
      <c r="F17" s="613">
        <v>1818.7</v>
      </c>
      <c r="G17" s="649">
        <f>F17</f>
        <v>1818.7</v>
      </c>
      <c r="H17" s="649">
        <v>1943.3530000000001</v>
      </c>
      <c r="I17" s="650">
        <f t="shared" si="0"/>
        <v>124.65300000000002</v>
      </c>
      <c r="J17" s="651">
        <f t="shared" si="1"/>
        <v>6.853961620938033E-2</v>
      </c>
      <c r="K17" s="625">
        <f t="shared" si="3"/>
        <v>1943.3530000000001</v>
      </c>
      <c r="L17" s="626">
        <f t="shared" si="2"/>
        <v>1943.3530000000001</v>
      </c>
      <c r="M17" s="599"/>
      <c r="N17" s="491"/>
      <c r="O17" s="491"/>
      <c r="P17" s="491"/>
      <c r="Q17" s="491"/>
    </row>
    <row r="18" spans="2:17">
      <c r="B18" s="83"/>
      <c r="C18" s="594"/>
      <c r="D18" s="615"/>
      <c r="E18" s="615"/>
      <c r="F18" s="616"/>
      <c r="G18" s="652"/>
      <c r="H18" s="652"/>
      <c r="I18" s="653"/>
      <c r="J18" s="654"/>
      <c r="K18" s="627"/>
      <c r="L18" s="628"/>
      <c r="M18" s="599"/>
      <c r="N18" s="491"/>
      <c r="O18" s="491"/>
      <c r="P18" s="491"/>
      <c r="Q18" s="491"/>
    </row>
    <row r="19" spans="2:17">
      <c r="B19" s="85" t="s">
        <v>52</v>
      </c>
      <c r="C19" s="600"/>
      <c r="D19" s="617">
        <f>SUM(D10:D18)</f>
        <v>148881.90000000002</v>
      </c>
      <c r="E19" s="617">
        <f>SUM(E10:E18)</f>
        <v>165147</v>
      </c>
      <c r="F19" s="618">
        <f>SUM(F10:F17)</f>
        <v>171122.2</v>
      </c>
      <c r="G19" s="655">
        <f>SUM(G10:G17)</f>
        <v>177488.7</v>
      </c>
      <c r="H19" s="655">
        <f>SUM(H10:H17)</f>
        <v>176855.277</v>
      </c>
      <c r="I19" s="656">
        <f>SUM(I10:I17)</f>
        <v>5733.0769999999957</v>
      </c>
      <c r="J19" s="657">
        <f>IF(E19=0,"n/a",I19/E19)</f>
        <v>3.471499330899136E-2</v>
      </c>
      <c r="K19" s="629">
        <f>SUM(K9:K17)</f>
        <v>176335.69600000003</v>
      </c>
      <c r="L19" s="629">
        <f>SUM(L9:L17)</f>
        <v>176622.69600000003</v>
      </c>
      <c r="M19" s="601"/>
      <c r="N19" s="491"/>
      <c r="O19" s="491"/>
      <c r="P19" s="491"/>
      <c r="Q19" s="491"/>
    </row>
    <row r="20" spans="2:17">
      <c r="B20" s="83"/>
      <c r="C20" s="594"/>
      <c r="D20" s="613"/>
      <c r="E20" s="613"/>
      <c r="F20" s="616"/>
      <c r="G20" s="649"/>
      <c r="H20" s="649"/>
      <c r="I20" s="650"/>
      <c r="J20" s="651"/>
      <c r="K20" s="625"/>
      <c r="L20" s="626"/>
      <c r="M20" s="599"/>
      <c r="N20" s="491"/>
      <c r="O20" s="491"/>
      <c r="P20" s="491"/>
      <c r="Q20" s="491"/>
    </row>
    <row r="21" spans="2:17">
      <c r="B21" s="83"/>
      <c r="C21" s="598" t="s">
        <v>53</v>
      </c>
      <c r="D21" s="613">
        <v>44813.9</v>
      </c>
      <c r="E21" s="613">
        <v>50248.2</v>
      </c>
      <c r="F21" s="614">
        <v>50632.800000000003</v>
      </c>
      <c r="G21" s="649">
        <f>F21-374+700+1600</f>
        <v>52558.8</v>
      </c>
      <c r="H21" s="649">
        <v>52991.713000000003</v>
      </c>
      <c r="I21" s="650">
        <f>H21-F21</f>
        <v>2358.9130000000005</v>
      </c>
      <c r="J21" s="651">
        <f>IF(E21=0,"n/a",I21/F21)</f>
        <v>4.6588634244995347E-2</v>
      </c>
      <c r="K21" s="625">
        <f>-640+H21</f>
        <v>52351.713000000003</v>
      </c>
      <c r="L21" s="626">
        <f t="shared" ref="L21" si="4">+K21</f>
        <v>52351.713000000003</v>
      </c>
      <c r="M21" s="599"/>
      <c r="N21" s="491"/>
      <c r="O21" s="491"/>
      <c r="P21" s="491"/>
      <c r="Q21" s="491"/>
    </row>
    <row r="22" spans="2:17">
      <c r="B22" s="83"/>
      <c r="C22" s="598" t="s">
        <v>54</v>
      </c>
      <c r="D22" s="613">
        <v>150</v>
      </c>
      <c r="E22" s="613"/>
      <c r="F22" s="614"/>
      <c r="G22" s="649" t="s">
        <v>33</v>
      </c>
      <c r="H22" s="649" t="s">
        <v>33</v>
      </c>
      <c r="I22" s="650" t="s">
        <v>33</v>
      </c>
      <c r="J22" s="651" t="str">
        <f t="shared" ref="J22:J29" si="5">IF(E22=0,"n/a",I22/F22)</f>
        <v>n/a</v>
      </c>
      <c r="K22" s="625"/>
      <c r="L22" s="626"/>
      <c r="M22" s="599"/>
      <c r="N22" s="491"/>
      <c r="O22" s="491"/>
      <c r="P22" s="491"/>
      <c r="Q22" s="491"/>
    </row>
    <row r="23" spans="2:17">
      <c r="B23" s="83"/>
      <c r="C23" s="598" t="s">
        <v>55</v>
      </c>
      <c r="D23" s="613"/>
      <c r="E23" s="613">
        <v>408.2</v>
      </c>
      <c r="F23" s="614">
        <v>220.5</v>
      </c>
      <c r="G23" s="649">
        <f t="shared" ref="G23:G25" si="6">F23</f>
        <v>220.5</v>
      </c>
      <c r="H23" s="649">
        <v>220.5</v>
      </c>
      <c r="I23" s="673">
        <f t="shared" ref="I23" si="7">H23-F23</f>
        <v>0</v>
      </c>
      <c r="J23" s="651">
        <f t="shared" si="5"/>
        <v>0</v>
      </c>
      <c r="K23" s="625">
        <f>+H23</f>
        <v>220.5</v>
      </c>
      <c r="L23" s="626">
        <f t="shared" ref="L23" si="8">+K23</f>
        <v>220.5</v>
      </c>
      <c r="M23" s="599"/>
      <c r="N23" s="491"/>
      <c r="O23" s="491"/>
      <c r="P23" s="491"/>
      <c r="Q23" s="491"/>
    </row>
    <row r="24" spans="2:17">
      <c r="B24" s="83"/>
      <c r="C24" s="598" t="s">
        <v>56</v>
      </c>
      <c r="D24" s="613"/>
      <c r="E24" s="613"/>
      <c r="F24" s="614"/>
      <c r="G24" s="649" t="s">
        <v>33</v>
      </c>
      <c r="H24" s="649" t="s">
        <v>33</v>
      </c>
      <c r="I24" s="650" t="s">
        <v>33</v>
      </c>
      <c r="J24" s="651" t="str">
        <f t="shared" si="5"/>
        <v>n/a</v>
      </c>
      <c r="K24" s="625"/>
      <c r="L24" s="626"/>
      <c r="M24" s="599"/>
      <c r="N24" s="491"/>
      <c r="O24" s="491"/>
      <c r="P24" s="491"/>
      <c r="Q24" s="491"/>
    </row>
    <row r="25" spans="2:17">
      <c r="B25" s="83"/>
      <c r="C25" s="598" t="s">
        <v>57</v>
      </c>
      <c r="D25" s="613">
        <v>30484.6</v>
      </c>
      <c r="E25" s="613">
        <v>38259.800000000003</v>
      </c>
      <c r="F25" s="614">
        <v>37976.5</v>
      </c>
      <c r="G25" s="649">
        <f t="shared" si="6"/>
        <v>37976.5</v>
      </c>
      <c r="H25" s="649">
        <v>39659.635999999999</v>
      </c>
      <c r="I25" s="650">
        <f t="shared" ref="I25:I29" si="9">H25-F25</f>
        <v>1683.1359999999986</v>
      </c>
      <c r="J25" s="651">
        <f t="shared" si="5"/>
        <v>4.4320461337932632E-2</v>
      </c>
      <c r="K25" s="625">
        <f t="shared" ref="K25:K28" si="10">+H25</f>
        <v>39659.635999999999</v>
      </c>
      <c r="L25" s="626">
        <f t="shared" ref="L25:L28" si="11">+K25</f>
        <v>39659.635999999999</v>
      </c>
      <c r="M25" s="599"/>
      <c r="N25" s="491"/>
      <c r="O25" s="491"/>
      <c r="P25" s="491"/>
      <c r="Q25" s="491"/>
    </row>
    <row r="26" spans="2:17">
      <c r="B26" s="83"/>
      <c r="C26" s="598" t="s">
        <v>58</v>
      </c>
      <c r="D26" s="613">
        <v>5483.8</v>
      </c>
      <c r="E26" s="613">
        <v>8842.4</v>
      </c>
      <c r="F26" s="614">
        <v>8004.5</v>
      </c>
      <c r="G26" s="649">
        <f>F26-1177.4</f>
        <v>6827.1</v>
      </c>
      <c r="H26" s="649">
        <v>10992.81</v>
      </c>
      <c r="I26" s="650">
        <f t="shared" si="9"/>
        <v>2988.3099999999995</v>
      </c>
      <c r="J26" s="651">
        <f t="shared" si="5"/>
        <v>0.37332875257667558</v>
      </c>
      <c r="K26" s="625">
        <f t="shared" si="10"/>
        <v>10992.81</v>
      </c>
      <c r="L26" s="626">
        <f t="shared" si="11"/>
        <v>10992.81</v>
      </c>
      <c r="M26" s="599"/>
      <c r="N26" s="491"/>
      <c r="O26" s="491"/>
      <c r="P26" s="491"/>
      <c r="Q26" s="491"/>
    </row>
    <row r="27" spans="2:17">
      <c r="B27" s="83"/>
      <c r="C27" s="598" t="s">
        <v>59</v>
      </c>
      <c r="D27" s="613">
        <v>6290.5</v>
      </c>
      <c r="E27" s="613">
        <v>9506.1</v>
      </c>
      <c r="F27" s="614">
        <v>11077</v>
      </c>
      <c r="G27" s="649">
        <f>F27+8935.7</f>
        <v>20012.7</v>
      </c>
      <c r="H27" s="649">
        <v>9890.16</v>
      </c>
      <c r="I27" s="650">
        <f t="shared" si="9"/>
        <v>-1186.8400000000001</v>
      </c>
      <c r="J27" s="651">
        <f t="shared" si="5"/>
        <v>-0.10714453371851586</v>
      </c>
      <c r="K27" s="625">
        <f t="shared" si="10"/>
        <v>9890.16</v>
      </c>
      <c r="L27" s="626">
        <f t="shared" si="11"/>
        <v>9890.16</v>
      </c>
      <c r="M27" s="599"/>
      <c r="N27" s="491"/>
      <c r="O27" s="491"/>
      <c r="P27" s="491"/>
      <c r="Q27" s="491"/>
    </row>
    <row r="28" spans="2:17">
      <c r="B28" s="83"/>
      <c r="C28" s="598" t="s">
        <v>60</v>
      </c>
      <c r="D28" s="613"/>
      <c r="E28" s="613"/>
      <c r="F28" s="614"/>
      <c r="G28" s="649" t="s">
        <v>33</v>
      </c>
      <c r="H28" s="649" t="s">
        <v>33</v>
      </c>
      <c r="I28" s="650" t="s">
        <v>33</v>
      </c>
      <c r="J28" s="651" t="str">
        <f t="shared" si="5"/>
        <v>n/a</v>
      </c>
      <c r="K28" s="625" t="str">
        <f t="shared" si="10"/>
        <v xml:space="preserve"> </v>
      </c>
      <c r="L28" s="626" t="str">
        <f t="shared" si="11"/>
        <v xml:space="preserve"> </v>
      </c>
      <c r="M28" s="599"/>
      <c r="N28" s="491"/>
      <c r="O28" s="491"/>
      <c r="P28" s="491"/>
      <c r="Q28" s="491"/>
    </row>
    <row r="29" spans="2:17">
      <c r="B29" s="83"/>
      <c r="C29" s="598" t="s">
        <v>61</v>
      </c>
      <c r="D29" s="613">
        <v>7747</v>
      </c>
      <c r="E29" s="613">
        <v>6100.5</v>
      </c>
      <c r="F29" s="614">
        <v>8968</v>
      </c>
      <c r="G29" s="649">
        <f>F29-350-872.2+132.2-700</f>
        <v>7178</v>
      </c>
      <c r="H29" s="649">
        <f>30112.389-10992.811-9890.16-0.1</f>
        <v>9229.3180000000011</v>
      </c>
      <c r="I29" s="650">
        <f t="shared" si="9"/>
        <v>261.31800000000112</v>
      </c>
      <c r="J29" s="651">
        <f t="shared" si="5"/>
        <v>2.9138938447814577E-2</v>
      </c>
      <c r="K29" s="625">
        <f>+H29+150</f>
        <v>9379.3180000000011</v>
      </c>
      <c r="L29" s="626">
        <f t="shared" ref="L29" si="12">+K29</f>
        <v>9379.3180000000011</v>
      </c>
      <c r="M29" s="599"/>
      <c r="N29" s="491"/>
      <c r="O29" s="491"/>
      <c r="P29" s="491"/>
      <c r="Q29" s="491"/>
    </row>
    <row r="30" spans="2:17">
      <c r="B30" s="83"/>
      <c r="C30" s="594"/>
      <c r="D30" s="615"/>
      <c r="E30" s="615"/>
      <c r="F30" s="616"/>
      <c r="G30" s="652"/>
      <c r="H30" s="652" t="s">
        <v>33</v>
      </c>
      <c r="I30" s="658" t="s">
        <v>33</v>
      </c>
      <c r="J30" s="659"/>
      <c r="K30" s="627"/>
      <c r="L30" s="628"/>
      <c r="M30" s="599"/>
      <c r="N30" s="491"/>
      <c r="O30" s="491"/>
      <c r="P30" s="491"/>
      <c r="Q30" s="491"/>
    </row>
    <row r="31" spans="2:17">
      <c r="B31" s="85" t="s">
        <v>62</v>
      </c>
      <c r="C31" s="600"/>
      <c r="D31" s="617">
        <f>SUM(D21:D30)</f>
        <v>94969.8</v>
      </c>
      <c r="E31" s="617">
        <f>SUM(E21:E30)</f>
        <v>113365.2</v>
      </c>
      <c r="F31" s="618">
        <f>SUM(F21:F29)</f>
        <v>116879.3</v>
      </c>
      <c r="G31" s="655">
        <f>SUM(G21:G29)</f>
        <v>124773.6</v>
      </c>
      <c r="H31" s="655">
        <f>SUM(H21:H29)</f>
        <v>122984.137</v>
      </c>
      <c r="I31" s="660">
        <f>SUM(I21:I29)</f>
        <v>6104.8369999999995</v>
      </c>
      <c r="J31" s="657">
        <f>IF(E31=0,"n/a",I31/E31)</f>
        <v>5.3851067170524992E-2</v>
      </c>
      <c r="K31" s="630">
        <f>SUM(K21:K29)</f>
        <v>122494.137</v>
      </c>
      <c r="L31" s="630">
        <f>SUM(L21:L29)</f>
        <v>122494.137</v>
      </c>
      <c r="M31" s="601"/>
      <c r="N31" s="491"/>
      <c r="O31" s="491"/>
      <c r="P31" s="491"/>
      <c r="Q31" s="491"/>
    </row>
    <row r="32" spans="2:17">
      <c r="B32" s="83"/>
      <c r="C32" s="594"/>
      <c r="D32" s="613"/>
      <c r="E32" s="613"/>
      <c r="F32" s="614"/>
      <c r="G32" s="649"/>
      <c r="H32" s="649"/>
      <c r="I32" s="650"/>
      <c r="J32" s="651"/>
      <c r="K32" s="625"/>
      <c r="L32" s="625"/>
      <c r="M32" s="599"/>
      <c r="N32" s="491"/>
      <c r="O32" s="491"/>
      <c r="P32" s="491"/>
      <c r="Q32" s="491"/>
    </row>
    <row r="33" spans="2:17">
      <c r="B33" s="83" t="s">
        <v>63</v>
      </c>
      <c r="C33" s="594"/>
      <c r="D33" s="613">
        <f t="shared" ref="D33:K33" si="13">D19-D31</f>
        <v>53912.10000000002</v>
      </c>
      <c r="E33" s="613">
        <f t="shared" si="13"/>
        <v>51781.8</v>
      </c>
      <c r="F33" s="613">
        <f t="shared" si="13"/>
        <v>54242.900000000009</v>
      </c>
      <c r="G33" s="661">
        <f t="shared" si="13"/>
        <v>52715.100000000006</v>
      </c>
      <c r="H33" s="661">
        <f t="shared" si="13"/>
        <v>53871.14</v>
      </c>
      <c r="I33" s="662">
        <f t="shared" si="13"/>
        <v>-371.76000000000386</v>
      </c>
      <c r="J33" s="663">
        <f>IF(J19="n/a","n/a",J19-J31)</f>
        <v>-1.9136073861533633E-2</v>
      </c>
      <c r="K33" s="626">
        <f t="shared" si="13"/>
        <v>53841.559000000023</v>
      </c>
      <c r="L33" s="626">
        <f t="shared" ref="L33" si="14">L19-L31</f>
        <v>54128.559000000023</v>
      </c>
      <c r="M33" s="599"/>
      <c r="N33" s="491"/>
      <c r="O33" s="491"/>
      <c r="P33" s="491"/>
      <c r="Q33" s="491"/>
    </row>
    <row r="34" spans="2:17">
      <c r="B34" s="86"/>
      <c r="C34" s="602"/>
      <c r="D34" s="619"/>
      <c r="E34" s="619"/>
      <c r="F34" s="620"/>
      <c r="G34" s="664"/>
      <c r="H34" s="664"/>
      <c r="I34" s="665"/>
      <c r="J34" s="666"/>
      <c r="K34" s="631" t="s">
        <v>33</v>
      </c>
      <c r="L34" s="632" t="s">
        <v>33</v>
      </c>
      <c r="M34" s="603"/>
      <c r="N34" s="491"/>
      <c r="O34" s="491"/>
      <c r="P34" s="491"/>
      <c r="Q34" s="491"/>
    </row>
    <row r="35" spans="2:17" ht="6" customHeight="1" thickBot="1">
      <c r="B35" s="87"/>
      <c r="C35" s="604"/>
      <c r="D35" s="621"/>
      <c r="E35" s="621"/>
      <c r="F35" s="622"/>
      <c r="G35" s="667"/>
      <c r="H35" s="667"/>
      <c r="I35" s="668"/>
      <c r="J35" s="669"/>
      <c r="K35" s="633"/>
      <c r="L35" s="634"/>
      <c r="M35" s="599"/>
      <c r="N35" s="491"/>
      <c r="O35" s="491"/>
      <c r="P35" s="491"/>
      <c r="Q35" s="491"/>
    </row>
    <row r="36" spans="2:17">
      <c r="B36" s="88"/>
      <c r="C36" s="607"/>
      <c r="D36" s="613"/>
      <c r="E36" s="613"/>
      <c r="F36" s="614"/>
      <c r="G36" s="649"/>
      <c r="H36" s="649"/>
      <c r="I36" s="650"/>
      <c r="J36" s="651"/>
      <c r="K36" s="625" t="s">
        <v>33</v>
      </c>
      <c r="L36" s="626" t="s">
        <v>33</v>
      </c>
      <c r="M36" s="599"/>
      <c r="N36" s="491"/>
      <c r="O36" s="491"/>
      <c r="P36" s="491"/>
      <c r="Q36" s="491"/>
    </row>
    <row r="37" spans="2:17">
      <c r="B37" s="89" t="s">
        <v>64</v>
      </c>
      <c r="C37" s="608"/>
      <c r="D37" s="623">
        <v>895.3</v>
      </c>
      <c r="E37" s="623">
        <v>907.9</v>
      </c>
      <c r="F37" s="624">
        <f>'[1]Table 1-2012 Rec'' Budget'!C9</f>
        <v>919.8</v>
      </c>
      <c r="G37" s="661">
        <v>919.8</v>
      </c>
      <c r="H37" s="661">
        <f>'[1]Table 1-2012 Rec'' Budget'!G9</f>
        <v>799.59999999999991</v>
      </c>
      <c r="I37" s="650">
        <f t="shared" ref="I37" si="15">H37-F37</f>
        <v>-120.20000000000005</v>
      </c>
      <c r="J37" s="651">
        <f>IF(E37=0,"n/a",I37/F37)</f>
        <v>-0.1306805827353773</v>
      </c>
      <c r="K37" s="625">
        <v>799.6</v>
      </c>
      <c r="L37" s="626">
        <v>799.6</v>
      </c>
      <c r="M37" s="599"/>
      <c r="N37" s="491" t="s">
        <v>33</v>
      </c>
      <c r="O37" s="491"/>
      <c r="P37" s="491"/>
      <c r="Q37" s="491"/>
    </row>
    <row r="38" spans="2:17" ht="13.5" thickBot="1">
      <c r="B38" s="90"/>
      <c r="C38" s="609"/>
      <c r="D38" s="605"/>
      <c r="E38" s="605"/>
      <c r="F38" s="606"/>
      <c r="G38" s="670"/>
      <c r="H38" s="670"/>
      <c r="I38" s="671"/>
      <c r="J38" s="672"/>
      <c r="K38" s="635"/>
      <c r="L38" s="636"/>
      <c r="M38" s="599"/>
      <c r="N38" s="491"/>
      <c r="O38" s="491"/>
      <c r="P38" s="491"/>
      <c r="Q38" s="491"/>
    </row>
    <row r="39" spans="2:17">
      <c r="C39" s="491"/>
      <c r="D39" s="491"/>
      <c r="E39" s="491"/>
      <c r="F39" s="491"/>
      <c r="G39" s="491"/>
      <c r="H39" s="739"/>
      <c r="I39" s="491"/>
      <c r="J39" s="491"/>
      <c r="K39" s="491"/>
      <c r="L39" s="491"/>
      <c r="M39" s="491"/>
      <c r="N39" s="491"/>
      <c r="O39" s="491"/>
      <c r="P39" s="491"/>
      <c r="Q39" s="491"/>
    </row>
    <row r="40" spans="2:17">
      <c r="C40" s="491"/>
      <c r="D40" s="491"/>
      <c r="E40" s="491"/>
      <c r="F40" s="491"/>
      <c r="G40" s="491"/>
      <c r="H40" s="11"/>
      <c r="I40" s="491"/>
      <c r="J40" s="491"/>
      <c r="K40" s="553"/>
      <c r="L40" s="610"/>
      <c r="M40" s="491"/>
      <c r="N40" s="491"/>
      <c r="O40" s="491"/>
      <c r="P40" s="491"/>
      <c r="Q40" s="491"/>
    </row>
    <row r="41" spans="2:17">
      <c r="C41" s="491"/>
      <c r="D41" s="491"/>
      <c r="E41" s="491"/>
      <c r="F41" s="491"/>
      <c r="G41" s="491"/>
      <c r="H41" s="11"/>
      <c r="I41" s="491"/>
      <c r="J41" s="491"/>
      <c r="K41" s="610"/>
      <c r="L41" s="491"/>
      <c r="M41" s="491"/>
      <c r="N41" s="491"/>
      <c r="O41" s="491"/>
      <c r="P41" s="491"/>
      <c r="Q41" s="491"/>
    </row>
    <row r="42" spans="2:17">
      <c r="C42" s="491"/>
      <c r="D42" s="491"/>
      <c r="E42" s="491"/>
      <c r="F42" s="491"/>
      <c r="G42" s="491"/>
      <c r="H42" s="11"/>
      <c r="I42" s="491"/>
      <c r="J42" s="491"/>
      <c r="K42" s="491"/>
      <c r="L42" s="491"/>
      <c r="M42" s="491"/>
      <c r="N42" s="491"/>
      <c r="O42" s="491"/>
      <c r="P42" s="491"/>
      <c r="Q42" s="491"/>
    </row>
    <row r="43" spans="2:17">
      <c r="C43" s="491"/>
      <c r="D43" s="491"/>
      <c r="E43" s="491"/>
      <c r="F43" s="491"/>
      <c r="G43" s="491"/>
      <c r="H43" s="11"/>
      <c r="I43" s="491"/>
      <c r="J43" s="491"/>
      <c r="K43" s="491"/>
      <c r="L43" s="491"/>
      <c r="M43" s="491"/>
      <c r="N43" s="491"/>
      <c r="O43" s="491"/>
      <c r="P43" s="491"/>
      <c r="Q43" s="491"/>
    </row>
    <row r="44" spans="2:17">
      <c r="C44" s="491"/>
      <c r="D44" s="491"/>
      <c r="E44" s="491"/>
      <c r="F44" s="491"/>
      <c r="G44" s="491"/>
      <c r="H44" s="11"/>
      <c r="I44" s="491"/>
      <c r="J44" s="491"/>
      <c r="K44" s="491"/>
      <c r="L44" s="491"/>
      <c r="M44" s="491"/>
      <c r="N44" s="491"/>
      <c r="O44" s="491"/>
      <c r="P44" s="491"/>
      <c r="Q44" s="491"/>
    </row>
    <row r="45" spans="2:17">
      <c r="C45" s="491"/>
      <c r="D45" s="491"/>
      <c r="E45" s="491"/>
      <c r="F45" s="491"/>
      <c r="G45" s="491"/>
      <c r="H45" s="11"/>
      <c r="I45" s="491"/>
      <c r="J45" s="491"/>
      <c r="K45" s="491"/>
      <c r="L45" s="491"/>
      <c r="M45" s="491"/>
      <c r="N45" s="491"/>
      <c r="O45" s="491"/>
      <c r="P45" s="491"/>
      <c r="Q45" s="491"/>
    </row>
    <row r="46" spans="2:17">
      <c r="C46" s="491"/>
      <c r="D46" s="491"/>
      <c r="E46" s="491"/>
      <c r="F46" s="491"/>
      <c r="G46" s="491"/>
      <c r="H46" s="11"/>
      <c r="I46" s="491"/>
      <c r="J46" s="491"/>
      <c r="K46" s="491"/>
      <c r="L46" s="491"/>
      <c r="M46" s="491"/>
      <c r="N46" s="491"/>
      <c r="O46" s="491"/>
      <c r="P46" s="491"/>
      <c r="Q46" s="491"/>
    </row>
    <row r="47" spans="2:17">
      <c r="C47" s="491"/>
      <c r="D47" s="491"/>
      <c r="E47" s="491"/>
      <c r="F47" s="491"/>
      <c r="G47" s="491"/>
      <c r="H47" s="11"/>
      <c r="I47" s="491"/>
      <c r="J47" s="491"/>
      <c r="K47" s="491"/>
      <c r="L47" s="491"/>
      <c r="M47" s="491"/>
      <c r="N47" s="491"/>
      <c r="O47" s="491"/>
      <c r="P47" s="491"/>
      <c r="Q47" s="491"/>
    </row>
    <row r="48" spans="2:17">
      <c r="C48" s="491"/>
      <c r="D48" s="491"/>
      <c r="E48" s="491"/>
      <c r="F48" s="491"/>
      <c r="G48" s="491"/>
      <c r="H48" s="11"/>
      <c r="I48" s="491"/>
      <c r="J48" s="491"/>
      <c r="K48" s="491"/>
      <c r="L48" s="491"/>
      <c r="M48" s="491"/>
      <c r="N48" s="491"/>
      <c r="O48" s="491"/>
      <c r="P48" s="491"/>
      <c r="Q48" s="491"/>
    </row>
    <row r="49" spans="3:17">
      <c r="C49" s="491"/>
      <c r="D49" s="491"/>
      <c r="E49" s="491"/>
      <c r="F49" s="491"/>
      <c r="G49" s="491"/>
      <c r="H49" s="11"/>
      <c r="I49" s="491"/>
      <c r="J49" s="491"/>
      <c r="K49" s="491"/>
      <c r="L49" s="491"/>
      <c r="M49" s="491"/>
      <c r="N49" s="491"/>
      <c r="O49" s="491"/>
      <c r="P49" s="491"/>
      <c r="Q49" s="491"/>
    </row>
    <row r="50" spans="3:17">
      <c r="C50" s="491"/>
      <c r="D50" s="491"/>
      <c r="E50" s="491"/>
      <c r="F50" s="491"/>
      <c r="G50" s="491"/>
      <c r="H50" s="11"/>
      <c r="I50" s="491"/>
      <c r="J50" s="491"/>
      <c r="K50" s="491"/>
      <c r="L50" s="491"/>
      <c r="M50" s="491"/>
      <c r="N50" s="491"/>
      <c r="O50" s="491"/>
      <c r="P50" s="491"/>
      <c r="Q50" s="491"/>
    </row>
    <row r="51" spans="3:17">
      <c r="C51" s="491"/>
      <c r="D51" s="491"/>
      <c r="E51" s="491"/>
      <c r="F51" s="491"/>
      <c r="G51" s="491"/>
      <c r="H51" s="11"/>
      <c r="I51" s="491"/>
      <c r="J51" s="491"/>
      <c r="K51" s="491"/>
      <c r="L51" s="491"/>
      <c r="M51" s="491"/>
      <c r="N51" s="491"/>
      <c r="O51" s="491"/>
      <c r="P51" s="491"/>
      <c r="Q51" s="491"/>
    </row>
    <row r="52" spans="3:17">
      <c r="C52" s="491"/>
      <c r="D52" s="491"/>
      <c r="E52" s="491"/>
      <c r="F52" s="491"/>
      <c r="G52" s="491"/>
      <c r="H52" s="11"/>
      <c r="I52" s="491"/>
      <c r="J52" s="491"/>
      <c r="K52" s="491"/>
      <c r="L52" s="491"/>
      <c r="M52" s="491"/>
      <c r="N52" s="491"/>
      <c r="O52" s="491"/>
      <c r="P52" s="491"/>
      <c r="Q52" s="491"/>
    </row>
    <row r="53" spans="3:17">
      <c r="C53" s="491"/>
      <c r="D53" s="491"/>
      <c r="E53" s="491"/>
      <c r="F53" s="491"/>
      <c r="G53" s="491"/>
      <c r="H53" s="11"/>
      <c r="I53" s="491"/>
      <c r="J53" s="491"/>
      <c r="K53" s="491"/>
      <c r="L53" s="491"/>
      <c r="M53" s="491"/>
      <c r="N53" s="491"/>
      <c r="O53" s="491"/>
      <c r="P53" s="491"/>
      <c r="Q53" s="491"/>
    </row>
    <row r="54" spans="3:17">
      <c r="C54" s="491"/>
      <c r="D54" s="491"/>
      <c r="E54" s="491"/>
      <c r="F54" s="491"/>
      <c r="G54" s="491"/>
      <c r="H54" s="11"/>
      <c r="I54" s="491"/>
      <c r="J54" s="491"/>
      <c r="K54" s="491"/>
      <c r="L54" s="491"/>
      <c r="M54" s="491"/>
      <c r="N54" s="491"/>
      <c r="O54" s="491"/>
      <c r="P54" s="491"/>
      <c r="Q54" s="491"/>
    </row>
    <row r="55" spans="3:17">
      <c r="C55" s="491"/>
      <c r="D55" s="491"/>
      <c r="E55" s="491"/>
      <c r="F55" s="491"/>
      <c r="G55" s="491"/>
      <c r="H55" s="11"/>
      <c r="I55" s="491"/>
      <c r="J55" s="491"/>
      <c r="K55" s="491"/>
      <c r="L55" s="491"/>
      <c r="M55" s="491"/>
      <c r="N55" s="491"/>
      <c r="O55" s="491"/>
      <c r="P55" s="491"/>
      <c r="Q55" s="491"/>
    </row>
    <row r="56" spans="3:17">
      <c r="C56" s="491"/>
      <c r="D56" s="491"/>
      <c r="E56" s="491"/>
      <c r="F56" s="491"/>
      <c r="G56" s="491"/>
      <c r="H56" s="11"/>
      <c r="I56" s="491"/>
      <c r="J56" s="491"/>
      <c r="K56" s="491"/>
      <c r="L56" s="491"/>
      <c r="M56" s="491"/>
      <c r="N56" s="491"/>
      <c r="O56" s="491"/>
      <c r="P56" s="491"/>
      <c r="Q56" s="491"/>
    </row>
    <row r="57" spans="3:17">
      <c r="C57" s="491"/>
      <c r="D57" s="491"/>
      <c r="E57" s="491"/>
      <c r="F57" s="491"/>
      <c r="G57" s="491"/>
      <c r="H57" s="11"/>
      <c r="I57" s="491"/>
      <c r="J57" s="491"/>
      <c r="K57" s="491"/>
      <c r="L57" s="491"/>
      <c r="M57" s="491"/>
      <c r="N57" s="491"/>
      <c r="O57" s="491"/>
      <c r="P57" s="491"/>
      <c r="Q57" s="491"/>
    </row>
    <row r="58" spans="3:17">
      <c r="C58" s="491"/>
      <c r="D58" s="491"/>
      <c r="E58" s="491"/>
      <c r="F58" s="491"/>
      <c r="G58" s="491"/>
      <c r="H58" s="491"/>
      <c r="I58" s="491"/>
      <c r="J58" s="491"/>
      <c r="K58" s="491"/>
      <c r="L58" s="491"/>
      <c r="M58" s="491"/>
      <c r="N58" s="491"/>
      <c r="O58" s="491"/>
      <c r="P58" s="491"/>
      <c r="Q58" s="491"/>
    </row>
    <row r="59" spans="3:17">
      <c r="C59" s="491"/>
      <c r="D59" s="491"/>
      <c r="E59" s="491"/>
      <c r="F59" s="491"/>
      <c r="G59" s="491"/>
      <c r="H59" s="491"/>
      <c r="I59" s="491"/>
      <c r="J59" s="491"/>
      <c r="K59" s="491"/>
      <c r="L59" s="491"/>
      <c r="M59" s="491"/>
      <c r="N59" s="491"/>
      <c r="O59" s="491"/>
      <c r="P59" s="491"/>
      <c r="Q59" s="491"/>
    </row>
    <row r="60" spans="3:17">
      <c r="C60" s="491"/>
      <c r="D60" s="491"/>
      <c r="E60" s="491"/>
      <c r="F60" s="491"/>
      <c r="G60" s="491"/>
      <c r="H60" s="491"/>
      <c r="I60" s="491"/>
      <c r="J60" s="491"/>
      <c r="K60" s="491"/>
      <c r="L60" s="491"/>
      <c r="M60" s="491"/>
      <c r="N60" s="491"/>
      <c r="O60" s="491"/>
      <c r="P60" s="491"/>
      <c r="Q60" s="491"/>
    </row>
    <row r="61" spans="3:17">
      <c r="C61" s="491"/>
      <c r="D61" s="491"/>
      <c r="E61" s="491"/>
      <c r="F61" s="491"/>
      <c r="G61" s="491"/>
      <c r="H61" s="491"/>
      <c r="I61" s="491"/>
      <c r="J61" s="491"/>
      <c r="K61" s="491"/>
      <c r="L61" s="491"/>
      <c r="M61" s="491"/>
      <c r="N61" s="491"/>
      <c r="O61" s="491"/>
      <c r="P61" s="491"/>
      <c r="Q61" s="491"/>
    </row>
    <row r="62" spans="3:17">
      <c r="C62" s="491"/>
      <c r="D62" s="491"/>
      <c r="E62" s="491"/>
      <c r="F62" s="491"/>
      <c r="G62" s="491"/>
      <c r="H62" s="491"/>
      <c r="I62" s="491"/>
      <c r="J62" s="491"/>
      <c r="K62" s="491"/>
      <c r="L62" s="491"/>
      <c r="M62" s="491"/>
      <c r="N62" s="491"/>
      <c r="O62" s="491"/>
      <c r="P62" s="491"/>
      <c r="Q62" s="491"/>
    </row>
    <row r="63" spans="3:17">
      <c r="C63" s="491"/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</row>
    <row r="64" spans="3:17">
      <c r="C64" s="491"/>
      <c r="D64" s="491"/>
      <c r="E64" s="491"/>
      <c r="F64" s="491"/>
      <c r="G64" s="491"/>
      <c r="H64" s="491"/>
      <c r="I64" s="491"/>
      <c r="J64" s="491"/>
      <c r="K64" s="491"/>
      <c r="L64" s="491"/>
      <c r="M64" s="491"/>
      <c r="N64" s="491"/>
      <c r="O64" s="491"/>
      <c r="P64" s="491"/>
      <c r="Q64" s="491"/>
    </row>
    <row r="65" spans="3:17">
      <c r="C65" s="491"/>
      <c r="D65" s="491"/>
      <c r="E65" s="491"/>
      <c r="F65" s="491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</row>
    <row r="66" spans="3:17">
      <c r="C66" s="491"/>
      <c r="D66" s="491"/>
      <c r="E66" s="491"/>
      <c r="F66" s="491"/>
      <c r="G66" s="491"/>
      <c r="H66" s="491"/>
      <c r="I66" s="491"/>
      <c r="J66" s="491"/>
      <c r="K66" s="491"/>
      <c r="L66" s="491"/>
      <c r="M66" s="491"/>
      <c r="N66" s="491"/>
      <c r="O66" s="491"/>
      <c r="P66" s="491"/>
      <c r="Q66" s="491"/>
    </row>
    <row r="67" spans="3:17">
      <c r="C67" s="491"/>
      <c r="D67" s="491"/>
      <c r="E67" s="491"/>
      <c r="F67" s="491"/>
      <c r="G67" s="491"/>
      <c r="H67" s="491"/>
      <c r="I67" s="491"/>
      <c r="J67" s="491"/>
      <c r="K67" s="491"/>
      <c r="L67" s="491"/>
      <c r="M67" s="491"/>
      <c r="N67" s="491"/>
      <c r="O67" s="491"/>
      <c r="P67" s="491"/>
      <c r="Q67" s="491"/>
    </row>
    <row r="68" spans="3:17">
      <c r="C68" s="491"/>
      <c r="D68" s="491"/>
      <c r="E68" s="491"/>
      <c r="F68" s="491"/>
      <c r="G68" s="491"/>
      <c r="H68" s="491"/>
      <c r="I68" s="491"/>
      <c r="J68" s="491"/>
      <c r="K68" s="491"/>
      <c r="L68" s="491"/>
      <c r="M68" s="491"/>
      <c r="N68" s="491"/>
      <c r="O68" s="491"/>
      <c r="P68" s="491"/>
      <c r="Q68" s="491"/>
    </row>
    <row r="69" spans="3:17">
      <c r="C69" s="491"/>
      <c r="D69" s="491"/>
      <c r="E69" s="491"/>
      <c r="F69" s="491"/>
      <c r="G69" s="491"/>
      <c r="H69" s="491"/>
      <c r="I69" s="491"/>
      <c r="J69" s="491"/>
      <c r="K69" s="491"/>
      <c r="L69" s="491"/>
      <c r="M69" s="491"/>
      <c r="N69" s="491"/>
      <c r="O69" s="491"/>
      <c r="P69" s="491"/>
      <c r="Q69" s="491"/>
    </row>
    <row r="70" spans="3:17">
      <c r="C70" s="491"/>
      <c r="D70" s="491"/>
      <c r="E70" s="491"/>
      <c r="F70" s="491"/>
      <c r="G70" s="491"/>
      <c r="H70" s="491"/>
      <c r="I70" s="491"/>
      <c r="J70" s="491"/>
      <c r="K70" s="491"/>
      <c r="L70" s="491"/>
      <c r="M70" s="491"/>
      <c r="N70" s="491"/>
      <c r="O70" s="491"/>
      <c r="P70" s="491"/>
      <c r="Q70" s="491"/>
    </row>
    <row r="71" spans="3:17">
      <c r="C71" s="491"/>
      <c r="D71" s="491"/>
      <c r="E71" s="491"/>
      <c r="F71" s="491"/>
      <c r="G71" s="491"/>
      <c r="H71" s="491"/>
      <c r="I71" s="491"/>
      <c r="J71" s="491"/>
      <c r="K71" s="491"/>
      <c r="L71" s="491"/>
      <c r="M71" s="491"/>
      <c r="N71" s="491"/>
      <c r="O71" s="491"/>
      <c r="P71" s="491"/>
      <c r="Q71" s="491"/>
    </row>
    <row r="72" spans="3:17">
      <c r="C72" s="491"/>
      <c r="D72" s="491"/>
      <c r="E72" s="491"/>
      <c r="F72" s="491"/>
      <c r="G72" s="491"/>
      <c r="H72" s="491"/>
      <c r="I72" s="491"/>
      <c r="J72" s="491"/>
      <c r="K72" s="491"/>
      <c r="L72" s="491"/>
      <c r="M72" s="491"/>
      <c r="N72" s="491"/>
      <c r="O72" s="491"/>
      <c r="P72" s="491"/>
      <c r="Q72" s="491"/>
    </row>
    <row r="73" spans="3:17">
      <c r="C73" s="491"/>
      <c r="D73" s="491"/>
      <c r="E73" s="491"/>
      <c r="F73" s="491"/>
      <c r="G73" s="491"/>
      <c r="H73" s="491"/>
      <c r="I73" s="491"/>
      <c r="J73" s="491"/>
      <c r="K73" s="491"/>
      <c r="L73" s="491"/>
      <c r="M73" s="491"/>
      <c r="N73" s="491"/>
      <c r="O73" s="491"/>
      <c r="P73" s="491"/>
      <c r="Q73" s="491"/>
    </row>
    <row r="74" spans="3:17">
      <c r="C74" s="491"/>
      <c r="D74" s="491"/>
      <c r="E74" s="491"/>
      <c r="F74" s="491"/>
      <c r="G74" s="491"/>
      <c r="H74" s="491"/>
      <c r="I74" s="491"/>
      <c r="J74" s="491"/>
      <c r="K74" s="491"/>
      <c r="L74" s="491"/>
      <c r="M74" s="491"/>
      <c r="N74" s="491"/>
      <c r="O74" s="491"/>
      <c r="P74" s="491"/>
      <c r="Q74" s="491"/>
    </row>
    <row r="75" spans="3:17">
      <c r="C75" s="491"/>
      <c r="D75" s="491"/>
      <c r="E75" s="491"/>
      <c r="F75" s="491"/>
      <c r="G75" s="491"/>
      <c r="H75" s="491"/>
      <c r="I75" s="491"/>
      <c r="J75" s="491"/>
      <c r="K75" s="491"/>
      <c r="L75" s="491"/>
      <c r="M75" s="491"/>
      <c r="N75" s="491"/>
      <c r="O75" s="491"/>
      <c r="P75" s="491"/>
      <c r="Q75" s="491"/>
    </row>
    <row r="76" spans="3:17">
      <c r="C76" s="491"/>
      <c r="D76" s="491"/>
      <c r="E76" s="491"/>
      <c r="F76" s="491"/>
      <c r="G76" s="491"/>
      <c r="H76" s="491"/>
      <c r="I76" s="491"/>
      <c r="J76" s="491"/>
      <c r="K76" s="491"/>
      <c r="L76" s="491"/>
      <c r="M76" s="491"/>
      <c r="N76" s="491"/>
      <c r="O76" s="491"/>
      <c r="P76" s="491"/>
      <c r="Q76" s="491"/>
    </row>
    <row r="77" spans="3:17">
      <c r="C77" s="491"/>
      <c r="D77" s="491"/>
      <c r="E77" s="491"/>
      <c r="F77" s="491"/>
      <c r="G77" s="491"/>
      <c r="H77" s="491"/>
      <c r="I77" s="491"/>
      <c r="J77" s="491"/>
      <c r="K77" s="491"/>
      <c r="L77" s="491"/>
      <c r="M77" s="491"/>
      <c r="N77" s="491"/>
      <c r="O77" s="491"/>
      <c r="P77" s="491"/>
      <c r="Q77" s="491"/>
    </row>
    <row r="78" spans="3:17">
      <c r="C78" s="491"/>
      <c r="D78" s="491"/>
      <c r="E78" s="491"/>
      <c r="F78" s="491"/>
      <c r="G78" s="491"/>
      <c r="H78" s="491"/>
      <c r="I78" s="491"/>
      <c r="J78" s="491"/>
      <c r="K78" s="491"/>
      <c r="L78" s="491"/>
      <c r="M78" s="491"/>
      <c r="N78" s="491"/>
      <c r="O78" s="491"/>
      <c r="P78" s="491"/>
      <c r="Q78" s="491"/>
    </row>
    <row r="79" spans="3:17">
      <c r="C79" s="491"/>
      <c r="D79" s="491"/>
      <c r="E79" s="491"/>
      <c r="F79" s="491"/>
      <c r="G79" s="491"/>
      <c r="H79" s="491"/>
      <c r="I79" s="491"/>
      <c r="J79" s="491"/>
      <c r="K79" s="491"/>
      <c r="L79" s="491"/>
      <c r="M79" s="491"/>
      <c r="N79" s="491"/>
      <c r="O79" s="491"/>
      <c r="P79" s="491"/>
      <c r="Q79" s="491"/>
    </row>
    <row r="80" spans="3:17">
      <c r="C80" s="491"/>
      <c r="D80" s="491"/>
      <c r="E80" s="491"/>
      <c r="F80" s="491"/>
      <c r="G80" s="491"/>
      <c r="H80" s="491"/>
      <c r="I80" s="491"/>
      <c r="J80" s="491"/>
      <c r="K80" s="491"/>
      <c r="L80" s="491"/>
      <c r="M80" s="491"/>
      <c r="N80" s="491"/>
      <c r="O80" s="491"/>
      <c r="P80" s="491"/>
      <c r="Q80" s="491"/>
    </row>
    <row r="81" spans="3:17">
      <c r="C81" s="491"/>
      <c r="D81" s="491"/>
      <c r="E81" s="491"/>
      <c r="F81" s="491"/>
      <c r="G81" s="491"/>
      <c r="H81" s="491"/>
      <c r="I81" s="491"/>
      <c r="J81" s="491"/>
      <c r="K81" s="491"/>
      <c r="L81" s="491"/>
      <c r="M81" s="491"/>
      <c r="N81" s="491"/>
      <c r="O81" s="491"/>
      <c r="P81" s="491"/>
      <c r="Q81" s="491"/>
    </row>
    <row r="82" spans="3:17">
      <c r="C82" s="491"/>
      <c r="D82" s="491"/>
      <c r="E82" s="491"/>
      <c r="F82" s="491"/>
      <c r="G82" s="491"/>
      <c r="H82" s="491"/>
      <c r="I82" s="491"/>
      <c r="J82" s="491"/>
      <c r="K82" s="491"/>
      <c r="L82" s="491"/>
      <c r="M82" s="491"/>
      <c r="N82" s="491"/>
      <c r="O82" s="491"/>
      <c r="P82" s="491"/>
      <c r="Q82" s="491"/>
    </row>
    <row r="83" spans="3:17">
      <c r="C83" s="491"/>
      <c r="D83" s="491"/>
      <c r="E83" s="491"/>
      <c r="F83" s="491"/>
      <c r="G83" s="491"/>
      <c r="H83" s="491"/>
      <c r="I83" s="491"/>
      <c r="J83" s="491"/>
      <c r="K83" s="491"/>
      <c r="L83" s="491"/>
      <c r="M83" s="491"/>
      <c r="N83" s="491"/>
      <c r="O83" s="491"/>
      <c r="P83" s="491"/>
      <c r="Q83" s="491"/>
    </row>
    <row r="84" spans="3:17">
      <c r="C84" s="491"/>
      <c r="D84" s="491"/>
      <c r="E84" s="491"/>
      <c r="F84" s="491"/>
      <c r="G84" s="491"/>
      <c r="H84" s="491"/>
      <c r="I84" s="491"/>
      <c r="J84" s="491"/>
      <c r="K84" s="491"/>
      <c r="L84" s="491"/>
      <c r="M84" s="491"/>
      <c r="N84" s="491"/>
      <c r="O84" s="491"/>
      <c r="P84" s="491"/>
      <c r="Q84" s="491"/>
    </row>
    <row r="85" spans="3:17">
      <c r="C85" s="491"/>
      <c r="D85" s="491"/>
      <c r="E85" s="491"/>
      <c r="F85" s="491"/>
      <c r="G85" s="491"/>
      <c r="H85" s="491"/>
      <c r="I85" s="491"/>
      <c r="J85" s="491"/>
      <c r="K85" s="491"/>
      <c r="L85" s="491"/>
      <c r="M85" s="491"/>
      <c r="N85" s="491"/>
      <c r="O85" s="491"/>
      <c r="P85" s="491"/>
      <c r="Q85" s="491"/>
    </row>
    <row r="86" spans="3:17">
      <c r="C86" s="491"/>
      <c r="D86" s="491"/>
      <c r="E86" s="491"/>
      <c r="F86" s="491"/>
      <c r="G86" s="491"/>
      <c r="H86" s="491"/>
      <c r="I86" s="491"/>
      <c r="J86" s="491"/>
      <c r="K86" s="491"/>
      <c r="L86" s="491"/>
      <c r="M86" s="491"/>
      <c r="N86" s="491"/>
      <c r="O86" s="491"/>
      <c r="P86" s="491"/>
      <c r="Q86" s="491"/>
    </row>
    <row r="87" spans="3:17">
      <c r="C87" s="491"/>
      <c r="D87" s="491"/>
      <c r="E87" s="491"/>
      <c r="F87" s="491"/>
      <c r="G87" s="491"/>
      <c r="H87" s="491"/>
      <c r="I87" s="491"/>
      <c r="J87" s="491"/>
      <c r="K87" s="491"/>
      <c r="L87" s="491"/>
      <c r="M87" s="491"/>
      <c r="N87" s="491"/>
      <c r="O87" s="491"/>
      <c r="P87" s="491"/>
      <c r="Q87" s="491"/>
    </row>
    <row r="88" spans="3:17">
      <c r="C88" s="491"/>
      <c r="D88" s="491"/>
      <c r="E88" s="491"/>
      <c r="F88" s="491"/>
      <c r="G88" s="491"/>
      <c r="H88" s="491"/>
      <c r="I88" s="491"/>
      <c r="J88" s="491"/>
      <c r="K88" s="491"/>
      <c r="L88" s="491"/>
      <c r="M88" s="491"/>
      <c r="N88" s="491"/>
      <c r="O88" s="491"/>
      <c r="P88" s="491"/>
      <c r="Q88" s="491"/>
    </row>
    <row r="89" spans="3:17">
      <c r="C89" s="491"/>
      <c r="D89" s="491"/>
      <c r="E89" s="491"/>
      <c r="F89" s="491"/>
      <c r="G89" s="491"/>
      <c r="H89" s="491"/>
      <c r="I89" s="491"/>
      <c r="J89" s="491"/>
      <c r="K89" s="491"/>
      <c r="L89" s="491"/>
      <c r="M89" s="491"/>
      <c r="N89" s="491"/>
      <c r="O89" s="491"/>
      <c r="P89" s="491"/>
      <c r="Q89" s="491"/>
    </row>
    <row r="90" spans="3:17">
      <c r="C90" s="491"/>
      <c r="D90" s="491"/>
      <c r="E90" s="491"/>
      <c r="F90" s="491"/>
      <c r="G90" s="491"/>
      <c r="H90" s="491"/>
      <c r="I90" s="491"/>
      <c r="J90" s="491"/>
      <c r="K90" s="491"/>
      <c r="L90" s="491"/>
      <c r="M90" s="491"/>
      <c r="N90" s="491"/>
      <c r="O90" s="491"/>
      <c r="P90" s="491"/>
      <c r="Q90" s="491"/>
    </row>
    <row r="91" spans="3:17">
      <c r="C91" s="491"/>
      <c r="D91" s="491"/>
      <c r="E91" s="491"/>
      <c r="F91" s="491"/>
      <c r="G91" s="491"/>
      <c r="H91" s="491"/>
      <c r="I91" s="491"/>
      <c r="J91" s="491"/>
      <c r="K91" s="491"/>
      <c r="L91" s="491"/>
      <c r="M91" s="491"/>
      <c r="N91" s="491"/>
      <c r="O91" s="491"/>
      <c r="P91" s="491"/>
      <c r="Q91" s="491"/>
    </row>
    <row r="92" spans="3:17">
      <c r="C92" s="491"/>
      <c r="D92" s="491"/>
      <c r="E92" s="491"/>
      <c r="F92" s="491"/>
      <c r="G92" s="491"/>
      <c r="H92" s="491"/>
      <c r="I92" s="491"/>
      <c r="J92" s="491"/>
      <c r="K92" s="491"/>
      <c r="L92" s="491"/>
      <c r="M92" s="491"/>
      <c r="N92" s="491"/>
      <c r="O92" s="491"/>
      <c r="P92" s="491"/>
      <c r="Q92" s="491"/>
    </row>
    <row r="93" spans="3:17">
      <c r="C93" s="491"/>
      <c r="D93" s="491"/>
      <c r="E93" s="491"/>
      <c r="F93" s="491"/>
      <c r="G93" s="491"/>
      <c r="H93" s="491"/>
      <c r="I93" s="491"/>
      <c r="J93" s="491"/>
      <c r="K93" s="491"/>
      <c r="L93" s="491"/>
      <c r="M93" s="491"/>
      <c r="N93" s="491"/>
      <c r="O93" s="491"/>
      <c r="P93" s="491"/>
      <c r="Q93" s="491"/>
    </row>
    <row r="94" spans="3:17">
      <c r="C94" s="491"/>
      <c r="D94" s="491"/>
      <c r="E94" s="491"/>
      <c r="F94" s="491"/>
      <c r="G94" s="491"/>
      <c r="H94" s="491"/>
      <c r="I94" s="491"/>
      <c r="J94" s="491"/>
      <c r="K94" s="491"/>
      <c r="L94" s="491"/>
      <c r="M94" s="491"/>
      <c r="N94" s="491"/>
      <c r="O94" s="491"/>
      <c r="P94" s="491"/>
      <c r="Q94" s="491"/>
    </row>
    <row r="95" spans="3:17">
      <c r="C95" s="491"/>
      <c r="D95" s="491"/>
      <c r="E95" s="491"/>
      <c r="F95" s="491"/>
      <c r="G95" s="491"/>
      <c r="H95" s="491"/>
      <c r="I95" s="491"/>
      <c r="J95" s="491"/>
      <c r="K95" s="491"/>
      <c r="L95" s="491"/>
      <c r="M95" s="491"/>
      <c r="N95" s="491"/>
      <c r="O95" s="491"/>
      <c r="P95" s="491"/>
      <c r="Q95" s="491"/>
    </row>
    <row r="96" spans="3:17">
      <c r="C96" s="491"/>
      <c r="D96" s="491"/>
      <c r="E96" s="491"/>
      <c r="F96" s="491"/>
      <c r="G96" s="491"/>
      <c r="H96" s="491"/>
      <c r="I96" s="491"/>
      <c r="J96" s="491"/>
      <c r="K96" s="491"/>
      <c r="L96" s="491"/>
      <c r="M96" s="491"/>
      <c r="N96" s="491"/>
      <c r="O96" s="491"/>
      <c r="P96" s="491"/>
      <c r="Q96" s="491"/>
    </row>
    <row r="97" spans="3:17">
      <c r="C97" s="491"/>
      <c r="D97" s="491"/>
      <c r="E97" s="491"/>
      <c r="F97" s="491"/>
      <c r="G97" s="491"/>
      <c r="H97" s="491"/>
      <c r="I97" s="491"/>
      <c r="J97" s="491"/>
      <c r="K97" s="491"/>
      <c r="L97" s="491"/>
      <c r="M97" s="491"/>
      <c r="N97" s="491"/>
      <c r="O97" s="491"/>
      <c r="P97" s="491"/>
      <c r="Q97" s="491"/>
    </row>
    <row r="98" spans="3:17">
      <c r="C98" s="491"/>
      <c r="D98" s="491"/>
      <c r="E98" s="491"/>
      <c r="F98" s="491"/>
      <c r="G98" s="491"/>
      <c r="H98" s="491"/>
      <c r="I98" s="491"/>
      <c r="J98" s="491"/>
      <c r="K98" s="491"/>
      <c r="L98" s="491"/>
      <c r="M98" s="491"/>
      <c r="N98" s="491"/>
      <c r="O98" s="491"/>
      <c r="P98" s="491"/>
      <c r="Q98" s="491"/>
    </row>
    <row r="99" spans="3:17">
      <c r="C99" s="491"/>
      <c r="D99" s="491"/>
      <c r="E99" s="491"/>
      <c r="F99" s="491"/>
      <c r="G99" s="491"/>
      <c r="H99" s="491"/>
      <c r="I99" s="491"/>
      <c r="J99" s="491"/>
      <c r="K99" s="491"/>
      <c r="L99" s="491"/>
      <c r="M99" s="491"/>
      <c r="N99" s="491"/>
      <c r="O99" s="491"/>
      <c r="P99" s="491"/>
      <c r="Q99" s="491"/>
    </row>
    <row r="100" spans="3:17">
      <c r="C100" s="491"/>
      <c r="D100" s="491"/>
      <c r="E100" s="491"/>
      <c r="F100" s="491"/>
      <c r="G100" s="491"/>
      <c r="H100" s="491"/>
      <c r="I100" s="491"/>
      <c r="J100" s="491"/>
      <c r="K100" s="491"/>
      <c r="L100" s="491"/>
      <c r="M100" s="491"/>
      <c r="N100" s="491"/>
      <c r="O100" s="491"/>
      <c r="P100" s="491"/>
      <c r="Q100" s="491"/>
    </row>
    <row r="101" spans="3:17">
      <c r="C101" s="491"/>
      <c r="D101" s="491"/>
      <c r="E101" s="491"/>
      <c r="F101" s="491"/>
      <c r="G101" s="491"/>
      <c r="H101" s="491"/>
      <c r="I101" s="491"/>
      <c r="J101" s="491"/>
      <c r="K101" s="491"/>
      <c r="L101" s="491"/>
      <c r="M101" s="491"/>
      <c r="N101" s="491"/>
      <c r="O101" s="491"/>
      <c r="P101" s="491"/>
      <c r="Q101" s="491"/>
    </row>
    <row r="102" spans="3:17">
      <c r="C102" s="491"/>
      <c r="D102" s="491"/>
      <c r="E102" s="491"/>
      <c r="F102" s="491"/>
      <c r="G102" s="491"/>
      <c r="H102" s="491"/>
      <c r="I102" s="491"/>
      <c r="J102" s="491"/>
      <c r="K102" s="491"/>
      <c r="L102" s="491"/>
      <c r="M102" s="491"/>
      <c r="N102" s="491"/>
      <c r="O102" s="491"/>
      <c r="P102" s="491"/>
      <c r="Q102" s="491"/>
    </row>
    <row r="103" spans="3:17">
      <c r="C103" s="491"/>
      <c r="D103" s="491"/>
      <c r="E103" s="491"/>
      <c r="F103" s="491"/>
      <c r="G103" s="491"/>
      <c r="H103" s="491"/>
      <c r="I103" s="491"/>
      <c r="J103" s="491"/>
      <c r="K103" s="491"/>
      <c r="L103" s="491"/>
      <c r="M103" s="491"/>
      <c r="N103" s="491"/>
      <c r="O103" s="491"/>
      <c r="P103" s="491"/>
      <c r="Q103" s="491"/>
    </row>
    <row r="104" spans="3:17">
      <c r="C104" s="491"/>
      <c r="D104" s="491"/>
      <c r="E104" s="491"/>
      <c r="F104" s="491"/>
      <c r="G104" s="491"/>
      <c r="H104" s="491"/>
      <c r="I104" s="491"/>
      <c r="J104" s="491"/>
      <c r="K104" s="491"/>
      <c r="L104" s="491"/>
      <c r="M104" s="491"/>
      <c r="N104" s="491"/>
      <c r="O104" s="491"/>
      <c r="P104" s="491"/>
      <c r="Q104" s="491"/>
    </row>
    <row r="105" spans="3:17">
      <c r="C105" s="491"/>
      <c r="D105" s="491"/>
      <c r="E105" s="491"/>
      <c r="F105" s="491"/>
      <c r="G105" s="491"/>
      <c r="H105" s="491"/>
      <c r="I105" s="491"/>
      <c r="J105" s="491"/>
      <c r="K105" s="491"/>
      <c r="L105" s="491"/>
      <c r="M105" s="491"/>
      <c r="N105" s="491"/>
      <c r="O105" s="491"/>
      <c r="P105" s="491"/>
      <c r="Q105" s="491"/>
    </row>
    <row r="106" spans="3:17">
      <c r="C106" s="491"/>
      <c r="D106" s="491"/>
      <c r="E106" s="491"/>
      <c r="F106" s="491"/>
      <c r="G106" s="491"/>
      <c r="H106" s="491"/>
      <c r="I106" s="491"/>
      <c r="J106" s="491"/>
      <c r="K106" s="491"/>
      <c r="L106" s="491"/>
      <c r="M106" s="491"/>
      <c r="N106" s="491"/>
      <c r="O106" s="491"/>
      <c r="P106" s="491"/>
      <c r="Q106" s="491"/>
    </row>
    <row r="107" spans="3:17">
      <c r="C107" s="491"/>
      <c r="D107" s="491"/>
      <c r="E107" s="491"/>
      <c r="F107" s="491"/>
      <c r="G107" s="491"/>
      <c r="H107" s="491"/>
      <c r="I107" s="491"/>
      <c r="J107" s="491"/>
      <c r="K107" s="491"/>
      <c r="L107" s="491"/>
      <c r="M107" s="491"/>
      <c r="N107" s="491"/>
      <c r="O107" s="491"/>
      <c r="P107" s="491"/>
      <c r="Q107" s="491"/>
    </row>
    <row r="108" spans="3:17">
      <c r="C108" s="491"/>
      <c r="D108" s="491"/>
      <c r="E108" s="491"/>
      <c r="F108" s="491"/>
      <c r="G108" s="491"/>
      <c r="H108" s="491"/>
      <c r="I108" s="491"/>
      <c r="J108" s="491"/>
      <c r="K108" s="491"/>
      <c r="L108" s="491"/>
      <c r="M108" s="491"/>
      <c r="N108" s="491"/>
      <c r="O108" s="491"/>
      <c r="P108" s="491"/>
      <c r="Q108" s="491"/>
    </row>
    <row r="109" spans="3:17">
      <c r="C109" s="491"/>
      <c r="D109" s="491"/>
      <c r="E109" s="491"/>
      <c r="F109" s="491"/>
      <c r="G109" s="491"/>
      <c r="H109" s="491"/>
      <c r="I109" s="491"/>
      <c r="J109" s="491"/>
      <c r="K109" s="491"/>
      <c r="L109" s="491"/>
      <c r="M109" s="491"/>
      <c r="N109" s="491"/>
      <c r="O109" s="491"/>
      <c r="P109" s="491"/>
      <c r="Q109" s="491"/>
    </row>
    <row r="110" spans="3:17">
      <c r="C110" s="491"/>
      <c r="D110" s="491"/>
      <c r="E110" s="491"/>
      <c r="F110" s="491"/>
      <c r="G110" s="491"/>
      <c r="H110" s="491"/>
      <c r="I110" s="491"/>
      <c r="J110" s="491"/>
      <c r="K110" s="491"/>
      <c r="L110" s="491"/>
      <c r="M110" s="491"/>
      <c r="N110" s="491"/>
      <c r="O110" s="491"/>
      <c r="P110" s="491"/>
      <c r="Q110" s="491"/>
    </row>
    <row r="111" spans="3:17">
      <c r="C111" s="491"/>
      <c r="D111" s="491"/>
      <c r="E111" s="491"/>
      <c r="F111" s="491"/>
      <c r="G111" s="491"/>
      <c r="H111" s="491"/>
      <c r="I111" s="491"/>
      <c r="J111" s="491"/>
      <c r="K111" s="491"/>
      <c r="L111" s="491"/>
      <c r="M111" s="491"/>
      <c r="N111" s="491"/>
      <c r="O111" s="491"/>
      <c r="P111" s="491"/>
      <c r="Q111" s="491"/>
    </row>
    <row r="112" spans="3:17">
      <c r="C112" s="491"/>
      <c r="D112" s="491"/>
      <c r="E112" s="491"/>
      <c r="F112" s="491"/>
      <c r="G112" s="491"/>
      <c r="H112" s="491"/>
      <c r="I112" s="491"/>
      <c r="J112" s="491"/>
      <c r="K112" s="491"/>
      <c r="L112" s="491"/>
      <c r="M112" s="491"/>
      <c r="N112" s="491"/>
      <c r="O112" s="491"/>
      <c r="P112" s="491"/>
      <c r="Q112" s="491"/>
    </row>
    <row r="113" spans="3:17">
      <c r="C113" s="491"/>
      <c r="D113" s="491"/>
      <c r="E113" s="491"/>
      <c r="F113" s="491"/>
      <c r="G113" s="491"/>
      <c r="H113" s="491"/>
      <c r="I113" s="491"/>
      <c r="J113" s="491"/>
      <c r="K113" s="491"/>
      <c r="L113" s="491"/>
      <c r="M113" s="491"/>
      <c r="N113" s="491"/>
      <c r="O113" s="491"/>
      <c r="P113" s="491"/>
      <c r="Q113" s="491"/>
    </row>
    <row r="114" spans="3:17">
      <c r="C114" s="491"/>
      <c r="D114" s="491"/>
      <c r="E114" s="491"/>
      <c r="F114" s="491"/>
      <c r="G114" s="491"/>
      <c r="H114" s="491"/>
      <c r="I114" s="491"/>
      <c r="J114" s="491"/>
      <c r="K114" s="491"/>
      <c r="L114" s="491"/>
      <c r="M114" s="491"/>
      <c r="N114" s="491"/>
      <c r="O114" s="491"/>
      <c r="P114" s="491"/>
      <c r="Q114" s="491"/>
    </row>
    <row r="115" spans="3:17">
      <c r="C115" s="491"/>
      <c r="D115" s="491"/>
      <c r="E115" s="491"/>
      <c r="F115" s="491"/>
      <c r="G115" s="491"/>
      <c r="H115" s="491"/>
      <c r="I115" s="491"/>
      <c r="J115" s="491"/>
      <c r="K115" s="491"/>
      <c r="L115" s="491"/>
      <c r="M115" s="491"/>
      <c r="N115" s="491"/>
      <c r="O115" s="491"/>
      <c r="P115" s="491"/>
      <c r="Q115" s="491"/>
    </row>
    <row r="116" spans="3:17">
      <c r="C116" s="491"/>
      <c r="D116" s="491"/>
      <c r="E116" s="491"/>
      <c r="F116" s="491"/>
      <c r="G116" s="491"/>
      <c r="H116" s="491"/>
      <c r="I116" s="491"/>
      <c r="J116" s="491"/>
      <c r="K116" s="491"/>
      <c r="L116" s="491"/>
      <c r="M116" s="491"/>
      <c r="N116" s="491"/>
      <c r="O116" s="491"/>
      <c r="P116" s="491"/>
      <c r="Q116" s="491"/>
    </row>
    <row r="117" spans="3:17">
      <c r="C117" s="491"/>
      <c r="D117" s="491"/>
      <c r="E117" s="491"/>
      <c r="F117" s="491"/>
      <c r="G117" s="491"/>
      <c r="H117" s="491"/>
      <c r="I117" s="491"/>
      <c r="J117" s="491"/>
      <c r="K117" s="491"/>
      <c r="L117" s="491"/>
      <c r="M117" s="491"/>
      <c r="N117" s="491"/>
      <c r="O117" s="491"/>
      <c r="P117" s="491"/>
      <c r="Q117" s="491"/>
    </row>
    <row r="118" spans="3:17">
      <c r="C118" s="491"/>
      <c r="D118" s="491"/>
      <c r="E118" s="491"/>
      <c r="F118" s="491"/>
      <c r="G118" s="491"/>
      <c r="H118" s="491"/>
      <c r="I118" s="491"/>
      <c r="J118" s="491"/>
      <c r="K118" s="491"/>
      <c r="L118" s="491"/>
      <c r="M118" s="491"/>
      <c r="N118" s="491"/>
      <c r="O118" s="491"/>
      <c r="P118" s="491"/>
      <c r="Q118" s="491"/>
    </row>
    <row r="119" spans="3:17">
      <c r="C119" s="491"/>
      <c r="D119" s="491"/>
      <c r="E119" s="491"/>
      <c r="F119" s="491"/>
      <c r="G119" s="491"/>
      <c r="H119" s="491"/>
      <c r="I119" s="491"/>
      <c r="J119" s="491"/>
      <c r="K119" s="491"/>
      <c r="L119" s="491"/>
      <c r="M119" s="491"/>
      <c r="N119" s="491"/>
      <c r="O119" s="491"/>
      <c r="P119" s="491"/>
      <c r="Q119" s="491"/>
    </row>
    <row r="120" spans="3:17">
      <c r="C120" s="491"/>
      <c r="D120" s="491"/>
      <c r="E120" s="491"/>
      <c r="F120" s="491"/>
      <c r="G120" s="491"/>
      <c r="H120" s="491"/>
      <c r="I120" s="491"/>
      <c r="J120" s="491"/>
      <c r="K120" s="491"/>
      <c r="L120" s="491"/>
      <c r="M120" s="491"/>
      <c r="N120" s="491"/>
      <c r="O120" s="491"/>
      <c r="P120" s="491"/>
      <c r="Q120" s="491"/>
    </row>
    <row r="121" spans="3:17">
      <c r="C121" s="491"/>
      <c r="D121" s="491"/>
      <c r="E121" s="491"/>
      <c r="F121" s="491"/>
      <c r="G121" s="491"/>
      <c r="H121" s="491"/>
      <c r="I121" s="491"/>
      <c r="J121" s="491"/>
      <c r="K121" s="491"/>
      <c r="L121" s="491"/>
      <c r="M121" s="491"/>
      <c r="N121" s="491"/>
      <c r="O121" s="491"/>
      <c r="P121" s="491"/>
      <c r="Q121" s="491"/>
    </row>
    <row r="122" spans="3:17">
      <c r="C122" s="491"/>
      <c r="D122" s="491"/>
      <c r="E122" s="491"/>
      <c r="F122" s="491"/>
      <c r="G122" s="491"/>
      <c r="H122" s="491"/>
      <c r="I122" s="491"/>
      <c r="J122" s="491"/>
      <c r="K122" s="491"/>
      <c r="L122" s="491"/>
      <c r="M122" s="491"/>
      <c r="N122" s="491"/>
      <c r="O122" s="491"/>
      <c r="P122" s="491"/>
      <c r="Q122" s="491"/>
    </row>
    <row r="123" spans="3:17">
      <c r="C123" s="491"/>
      <c r="D123" s="491"/>
      <c r="E123" s="491"/>
      <c r="F123" s="491"/>
      <c r="G123" s="491"/>
      <c r="H123" s="491"/>
      <c r="I123" s="491"/>
      <c r="J123" s="491"/>
      <c r="K123" s="491"/>
      <c r="L123" s="491"/>
      <c r="M123" s="491"/>
      <c r="N123" s="491"/>
      <c r="O123" s="491"/>
      <c r="P123" s="491"/>
      <c r="Q123" s="491"/>
    </row>
    <row r="124" spans="3:17">
      <c r="C124" s="491"/>
      <c r="D124" s="491"/>
      <c r="E124" s="491"/>
      <c r="F124" s="491"/>
      <c r="G124" s="491"/>
      <c r="H124" s="491"/>
      <c r="I124" s="491"/>
      <c r="J124" s="491"/>
      <c r="K124" s="491"/>
      <c r="L124" s="491"/>
      <c r="M124" s="491"/>
      <c r="N124" s="491"/>
      <c r="O124" s="491"/>
      <c r="P124" s="491"/>
      <c r="Q124" s="491"/>
    </row>
    <row r="125" spans="3:17">
      <c r="C125" s="491"/>
      <c r="D125" s="491"/>
      <c r="E125" s="491"/>
      <c r="F125" s="491"/>
      <c r="G125" s="491"/>
      <c r="H125" s="491"/>
      <c r="I125" s="491"/>
      <c r="J125" s="491"/>
      <c r="K125" s="491"/>
      <c r="L125" s="491"/>
      <c r="M125" s="491"/>
      <c r="N125" s="491"/>
      <c r="O125" s="491"/>
      <c r="P125" s="491"/>
      <c r="Q125" s="491"/>
    </row>
    <row r="126" spans="3:17">
      <c r="C126" s="491"/>
      <c r="D126" s="491"/>
      <c r="E126" s="491"/>
      <c r="F126" s="491"/>
      <c r="G126" s="491"/>
      <c r="H126" s="491"/>
      <c r="I126" s="491"/>
      <c r="J126" s="491"/>
      <c r="K126" s="491"/>
      <c r="L126" s="491"/>
      <c r="M126" s="491"/>
      <c r="N126" s="491"/>
      <c r="O126" s="491"/>
      <c r="P126" s="491"/>
      <c r="Q126" s="491"/>
    </row>
    <row r="127" spans="3:17">
      <c r="C127" s="491"/>
      <c r="D127" s="491"/>
      <c r="E127" s="491"/>
      <c r="F127" s="491"/>
      <c r="G127" s="491"/>
      <c r="H127" s="491"/>
      <c r="I127" s="491"/>
      <c r="J127" s="491"/>
      <c r="K127" s="491"/>
      <c r="L127" s="491"/>
      <c r="M127" s="491"/>
      <c r="N127" s="491"/>
      <c r="O127" s="491"/>
      <c r="P127" s="491"/>
      <c r="Q127" s="491"/>
    </row>
    <row r="128" spans="3:17">
      <c r="C128" s="491"/>
      <c r="D128" s="491"/>
      <c r="E128" s="491"/>
      <c r="F128" s="491"/>
      <c r="G128" s="491"/>
      <c r="H128" s="491"/>
      <c r="I128" s="491"/>
      <c r="J128" s="491"/>
      <c r="K128" s="491"/>
      <c r="L128" s="491"/>
      <c r="M128" s="491"/>
      <c r="N128" s="491"/>
      <c r="O128" s="491"/>
      <c r="P128" s="491"/>
      <c r="Q128" s="491"/>
    </row>
    <row r="129" spans="3:17">
      <c r="C129" s="491"/>
      <c r="D129" s="491"/>
      <c r="E129" s="491"/>
      <c r="F129" s="491"/>
      <c r="G129" s="491"/>
      <c r="H129" s="491"/>
      <c r="I129" s="491"/>
      <c r="J129" s="491"/>
      <c r="K129" s="491"/>
      <c r="L129" s="491"/>
      <c r="M129" s="491"/>
      <c r="N129" s="491"/>
      <c r="O129" s="491"/>
      <c r="P129" s="491"/>
      <c r="Q129" s="491"/>
    </row>
    <row r="130" spans="3:17">
      <c r="C130" s="491"/>
      <c r="D130" s="491"/>
      <c r="E130" s="491"/>
      <c r="F130" s="491"/>
      <c r="G130" s="491"/>
      <c r="H130" s="491"/>
      <c r="I130" s="491"/>
      <c r="J130" s="491"/>
      <c r="K130" s="491"/>
      <c r="L130" s="491"/>
      <c r="M130" s="491"/>
      <c r="N130" s="491"/>
      <c r="O130" s="491"/>
      <c r="P130" s="491"/>
      <c r="Q130" s="491"/>
    </row>
    <row r="131" spans="3:17">
      <c r="C131" s="491"/>
      <c r="D131" s="491"/>
      <c r="E131" s="491"/>
      <c r="F131" s="491"/>
      <c r="G131" s="491"/>
      <c r="H131" s="491"/>
      <c r="I131" s="491"/>
      <c r="J131" s="491"/>
      <c r="K131" s="491"/>
      <c r="L131" s="491"/>
      <c r="M131" s="491"/>
      <c r="N131" s="491"/>
      <c r="O131" s="491"/>
      <c r="P131" s="491"/>
      <c r="Q131" s="491"/>
    </row>
  </sheetData>
  <mergeCells count="6">
    <mergeCell ref="I7:J7"/>
    <mergeCell ref="B2:L2"/>
    <mergeCell ref="I5:J5"/>
    <mergeCell ref="I6:J6"/>
    <mergeCell ref="B1:L1"/>
    <mergeCell ref="B3:L3"/>
  </mergeCells>
  <printOptions horizontalCentered="1"/>
  <pageMargins left="0.75" right="0.75" top="1" bottom="1" header="0.5" footer="0.5"/>
  <pageSetup scale="86" orientation="landscape" r:id="rId1"/>
  <headerFooter alignWithMargins="0"/>
  <ignoredErrors>
    <ignoredError sqref="J31 J33 K13" formula="1"/>
    <ignoredError sqref="G5 H6 F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11" customWidth="1"/>
    <col min="11" max="11" width="11.140625" style="11" customWidth="1"/>
    <col min="12" max="12" width="3.85546875" style="3" customWidth="1"/>
    <col min="13" max="16384" width="9.140625" style="3"/>
  </cols>
  <sheetData>
    <row r="1" spans="2:12" ht="20.25"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57"/>
    </row>
    <row r="2" spans="2:12" ht="20.25">
      <c r="B2" s="735" t="s">
        <v>34</v>
      </c>
      <c r="C2" s="735"/>
      <c r="D2" s="735"/>
      <c r="E2" s="735"/>
      <c r="F2" s="735"/>
      <c r="G2" s="735"/>
      <c r="H2" s="735"/>
      <c r="I2" s="735"/>
      <c r="J2" s="735"/>
      <c r="K2" s="735"/>
      <c r="L2" s="92"/>
    </row>
    <row r="3" spans="2:12" ht="20.25">
      <c r="B3" s="679" t="s">
        <v>65</v>
      </c>
      <c r="C3" s="679"/>
      <c r="D3" s="679"/>
      <c r="E3" s="679"/>
      <c r="F3" s="679"/>
      <c r="G3" s="679"/>
      <c r="H3" s="679"/>
      <c r="I3" s="679"/>
      <c r="J3" s="679"/>
      <c r="K3" s="679"/>
      <c r="L3" s="58"/>
    </row>
    <row r="4" spans="2:12" ht="15.75">
      <c r="B4" s="683" t="s">
        <v>36</v>
      </c>
      <c r="C4" s="683"/>
      <c r="D4" s="683"/>
      <c r="E4" s="683"/>
      <c r="F4" s="683"/>
      <c r="G4" s="683"/>
      <c r="H4" s="683"/>
      <c r="I4" s="683"/>
      <c r="J4" s="683"/>
      <c r="K4" s="683"/>
      <c r="L4" s="59"/>
    </row>
    <row r="5" spans="2:12" ht="13.5" thickBot="1">
      <c r="B5" s="60"/>
      <c r="C5" s="60"/>
      <c r="D5" s="60"/>
      <c r="E5" s="60"/>
      <c r="F5" s="60"/>
      <c r="G5" s="60"/>
      <c r="H5" s="60"/>
      <c r="I5" s="61"/>
      <c r="J5" s="61"/>
      <c r="K5" s="60"/>
      <c r="L5" s="62"/>
    </row>
    <row r="6" spans="2:12">
      <c r="B6" s="63"/>
      <c r="C6" s="64"/>
      <c r="D6" s="65"/>
      <c r="E6" s="65"/>
      <c r="F6" s="65"/>
      <c r="G6" s="65"/>
      <c r="H6" s="65"/>
      <c r="I6" s="66"/>
      <c r="J6" s="66"/>
      <c r="K6" s="67"/>
      <c r="L6" s="62"/>
    </row>
    <row r="7" spans="2:12">
      <c r="B7" s="73" t="s">
        <v>532</v>
      </c>
      <c r="C7" s="68"/>
      <c r="D7" s="69"/>
      <c r="E7" s="62"/>
      <c r="F7" s="62"/>
      <c r="G7" s="62"/>
      <c r="H7" s="62"/>
      <c r="I7" s="70"/>
      <c r="J7" s="70"/>
      <c r="K7" s="71"/>
      <c r="L7" s="62"/>
    </row>
    <row r="8" spans="2:12">
      <c r="B8" s="94" t="s">
        <v>533</v>
      </c>
      <c r="C8" s="72"/>
      <c r="D8" s="62"/>
      <c r="E8" s="62"/>
      <c r="F8" s="62"/>
      <c r="G8" s="62"/>
      <c r="H8" s="62"/>
      <c r="I8" s="70"/>
      <c r="J8" s="70"/>
      <c r="K8" s="71"/>
      <c r="L8" s="62"/>
    </row>
    <row r="9" spans="2:12" ht="13.5" thickBot="1">
      <c r="B9" s="73"/>
      <c r="C9" s="62"/>
      <c r="D9" s="62"/>
      <c r="E9" s="62"/>
      <c r="F9" s="62"/>
      <c r="G9" s="62"/>
      <c r="H9" s="62"/>
      <c r="I9" s="62"/>
      <c r="J9" s="62"/>
      <c r="K9" s="71"/>
      <c r="L9" s="62"/>
    </row>
    <row r="10" spans="2:12">
      <c r="B10" s="74"/>
      <c r="C10" s="75" t="s">
        <v>33</v>
      </c>
      <c r="D10" s="76"/>
      <c r="E10" s="77"/>
      <c r="F10" s="132"/>
      <c r="G10" s="132"/>
      <c r="H10" s="133"/>
      <c r="I10" s="307"/>
      <c r="J10" s="318"/>
      <c r="K10" s="331"/>
      <c r="L10" s="68"/>
    </row>
    <row r="11" spans="2:12">
      <c r="B11" s="78"/>
      <c r="C11" s="79"/>
      <c r="D11" s="95">
        <v>2010</v>
      </c>
      <c r="E11" s="96">
        <v>2010</v>
      </c>
      <c r="F11" s="134">
        <v>2011</v>
      </c>
      <c r="G11" s="134">
        <v>2011</v>
      </c>
      <c r="H11" s="737" t="s">
        <v>37</v>
      </c>
      <c r="I11" s="737"/>
      <c r="J11" s="319"/>
      <c r="K11" s="332"/>
      <c r="L11" s="97"/>
    </row>
    <row r="12" spans="2:12">
      <c r="B12" s="78"/>
      <c r="C12" s="79"/>
      <c r="D12" s="98" t="s">
        <v>38</v>
      </c>
      <c r="E12" s="96" t="s">
        <v>39</v>
      </c>
      <c r="F12" s="134" t="s">
        <v>462</v>
      </c>
      <c r="G12" s="134" t="s">
        <v>40</v>
      </c>
      <c r="H12" s="738" t="s">
        <v>556</v>
      </c>
      <c r="I12" s="738"/>
      <c r="J12" s="320">
        <v>2012</v>
      </c>
      <c r="K12" s="320">
        <v>2013</v>
      </c>
      <c r="L12" s="93"/>
    </row>
    <row r="13" spans="2:12">
      <c r="B13" s="73"/>
      <c r="C13" s="80"/>
      <c r="D13" s="99" t="s">
        <v>41</v>
      </c>
      <c r="E13" s="100" t="s">
        <v>42</v>
      </c>
      <c r="F13" s="135" t="s">
        <v>41</v>
      </c>
      <c r="G13" s="135" t="s">
        <v>463</v>
      </c>
      <c r="H13" s="734" t="s">
        <v>41</v>
      </c>
      <c r="I13" s="734"/>
      <c r="J13" s="321" t="s">
        <v>43</v>
      </c>
      <c r="K13" s="321" t="s">
        <v>43</v>
      </c>
      <c r="L13" s="93"/>
    </row>
    <row r="14" spans="2:12">
      <c r="B14" s="81"/>
      <c r="C14" s="82"/>
      <c r="D14" s="101" t="s">
        <v>1</v>
      </c>
      <c r="E14" s="102" t="s">
        <v>1</v>
      </c>
      <c r="F14" s="136" t="s">
        <v>1</v>
      </c>
      <c r="G14" s="136" t="s">
        <v>1</v>
      </c>
      <c r="H14" s="137" t="s">
        <v>1</v>
      </c>
      <c r="I14" s="308" t="s">
        <v>2</v>
      </c>
      <c r="J14" s="322" t="s">
        <v>1</v>
      </c>
      <c r="K14" s="322" t="s">
        <v>1</v>
      </c>
      <c r="L14" s="103"/>
    </row>
    <row r="15" spans="2:12">
      <c r="B15" s="83"/>
      <c r="C15" s="84"/>
      <c r="D15" s="118"/>
      <c r="E15" s="119"/>
      <c r="F15" s="138"/>
      <c r="G15" s="138"/>
      <c r="H15" s="139"/>
      <c r="I15" s="309"/>
      <c r="J15" s="323"/>
      <c r="K15" s="333"/>
      <c r="L15" s="104"/>
    </row>
    <row r="16" spans="2:12">
      <c r="B16" s="83"/>
      <c r="C16" s="188" t="s">
        <v>44</v>
      </c>
      <c r="D16" s="120">
        <v>133056.4</v>
      </c>
      <c r="E16" s="121">
        <f>D16+2024.6-1374.6</f>
        <v>133706.4</v>
      </c>
      <c r="F16" s="140">
        <v>135829.70000000001</v>
      </c>
      <c r="G16" s="140">
        <f>-4234</f>
        <v>-4234</v>
      </c>
      <c r="H16" s="141">
        <f>F16+G16-D16</f>
        <v>-1460.6999999999825</v>
      </c>
      <c r="I16" s="310">
        <f t="shared" ref="I16:I24" si="0">IF(D16=0,"n/a",H16/D16)</f>
        <v>-1.0978051412784223E-2</v>
      </c>
      <c r="J16" s="323">
        <f>F16+G16+253+210.9+181+2664.7+232.3-4833</f>
        <v>130304.6</v>
      </c>
      <c r="K16" s="327">
        <f>J16+623+216+185.4+2718+238-4020</f>
        <v>130265</v>
      </c>
      <c r="L16" s="105"/>
    </row>
    <row r="17" spans="2:12">
      <c r="B17" s="83"/>
      <c r="C17" s="188" t="s">
        <v>45</v>
      </c>
      <c r="D17" s="120">
        <v>19716.8</v>
      </c>
      <c r="E17" s="121">
        <f t="shared" ref="E17:E22" si="1">D17</f>
        <v>19716.8</v>
      </c>
      <c r="F17" s="140">
        <v>20158.400000000001</v>
      </c>
      <c r="G17" s="140">
        <f>-348.3-1740</f>
        <v>-2088.3000000000002</v>
      </c>
      <c r="H17" s="141">
        <f t="shared" ref="H17:H24" si="2">F17+G17-D17</f>
        <v>-1646.6999999999971</v>
      </c>
      <c r="I17" s="310">
        <f t="shared" si="0"/>
        <v>-8.3517609348372823E-2</v>
      </c>
      <c r="J17" s="323">
        <f>F17+G17+20+355.3-782</f>
        <v>17663.400000000001</v>
      </c>
      <c r="K17" s="327">
        <f>J17+104+362.4-782</f>
        <v>17347.800000000003</v>
      </c>
      <c r="L17" s="105"/>
    </row>
    <row r="18" spans="2:12">
      <c r="B18" s="83"/>
      <c r="C18" s="188" t="s">
        <v>46</v>
      </c>
      <c r="D18" s="120">
        <v>10.3</v>
      </c>
      <c r="E18" s="121">
        <f t="shared" si="1"/>
        <v>10.3</v>
      </c>
      <c r="F18" s="140">
        <v>112.3</v>
      </c>
      <c r="G18" s="140"/>
      <c r="H18" s="141">
        <f t="shared" si="2"/>
        <v>102</v>
      </c>
      <c r="I18" s="310">
        <f t="shared" si="0"/>
        <v>9.9029126213592225</v>
      </c>
      <c r="J18" s="323">
        <f>F18+G18</f>
        <v>112.3</v>
      </c>
      <c r="K18" s="327">
        <f>J18</f>
        <v>112.3</v>
      </c>
      <c r="L18" s="105"/>
    </row>
    <row r="19" spans="2:12">
      <c r="B19" s="83"/>
      <c r="C19" s="188" t="s">
        <v>47</v>
      </c>
      <c r="D19" s="120">
        <v>22507.200000000001</v>
      </c>
      <c r="E19" s="121">
        <f t="shared" si="1"/>
        <v>22507.200000000001</v>
      </c>
      <c r="F19" s="140">
        <v>23584.799999999999</v>
      </c>
      <c r="G19" s="140">
        <v>-699.2</v>
      </c>
      <c r="H19" s="141">
        <f t="shared" si="2"/>
        <v>378.39999999999782</v>
      </c>
      <c r="I19" s="310">
        <f t="shared" si="0"/>
        <v>1.6812397810478327E-2</v>
      </c>
      <c r="J19" s="323">
        <f>F19+G19+59+695</f>
        <v>23639.599999999999</v>
      </c>
      <c r="K19" s="327">
        <f>J19+104+712.7</f>
        <v>24456.3</v>
      </c>
      <c r="L19" s="105"/>
    </row>
    <row r="20" spans="2:12">
      <c r="B20" s="83"/>
      <c r="C20" s="188" t="s">
        <v>48</v>
      </c>
      <c r="D20" s="120">
        <v>1708</v>
      </c>
      <c r="E20" s="121">
        <f t="shared" si="1"/>
        <v>1708</v>
      </c>
      <c r="F20" s="140">
        <v>1708</v>
      </c>
      <c r="G20" s="140"/>
      <c r="H20" s="141">
        <f t="shared" si="2"/>
        <v>0</v>
      </c>
      <c r="I20" s="310">
        <f t="shared" si="0"/>
        <v>0</v>
      </c>
      <c r="J20" s="323">
        <f>F20+G20</f>
        <v>1708</v>
      </c>
      <c r="K20" s="327">
        <f>J20</f>
        <v>1708</v>
      </c>
      <c r="L20" s="105"/>
    </row>
    <row r="21" spans="2:12">
      <c r="B21" s="83"/>
      <c r="C21" s="188" t="s">
        <v>49</v>
      </c>
      <c r="D21" s="120">
        <v>667</v>
      </c>
      <c r="E21" s="121">
        <f t="shared" si="1"/>
        <v>667</v>
      </c>
      <c r="F21" s="140">
        <v>705</v>
      </c>
      <c r="G21" s="140"/>
      <c r="H21" s="141">
        <f t="shared" si="2"/>
        <v>38</v>
      </c>
      <c r="I21" s="310">
        <f t="shared" si="0"/>
        <v>5.6971514242878558E-2</v>
      </c>
      <c r="J21" s="323">
        <f>F21+G21</f>
        <v>705</v>
      </c>
      <c r="K21" s="327">
        <f>J21</f>
        <v>705</v>
      </c>
      <c r="L21" s="105"/>
    </row>
    <row r="22" spans="2:12">
      <c r="B22" s="83"/>
      <c r="C22" s="188" t="s">
        <v>50</v>
      </c>
      <c r="D22" s="120">
        <v>4</v>
      </c>
      <c r="E22" s="121">
        <f t="shared" si="1"/>
        <v>4</v>
      </c>
      <c r="F22" s="140">
        <v>4</v>
      </c>
      <c r="G22" s="140"/>
      <c r="H22" s="141">
        <f t="shared" si="2"/>
        <v>0</v>
      </c>
      <c r="I22" s="310">
        <f t="shared" si="0"/>
        <v>0</v>
      </c>
      <c r="J22" s="323">
        <f>F22+G22</f>
        <v>4</v>
      </c>
      <c r="K22" s="327">
        <f>J22</f>
        <v>4</v>
      </c>
      <c r="L22" s="105"/>
    </row>
    <row r="23" spans="2:12">
      <c r="B23" s="83"/>
      <c r="C23" s="188" t="s">
        <v>51</v>
      </c>
      <c r="D23" s="120"/>
      <c r="E23" s="121"/>
      <c r="F23" s="140"/>
      <c r="G23" s="140"/>
      <c r="H23" s="141">
        <f>F23+G23-D23</f>
        <v>0</v>
      </c>
      <c r="I23" s="310" t="str">
        <f t="shared" si="0"/>
        <v>n/a</v>
      </c>
      <c r="J23" s="323"/>
      <c r="K23" s="327"/>
      <c r="L23" s="105"/>
    </row>
    <row r="24" spans="2:12">
      <c r="B24" s="83"/>
      <c r="C24" s="188" t="s">
        <v>464</v>
      </c>
      <c r="D24" s="120"/>
      <c r="E24" s="121"/>
      <c r="F24" s="140"/>
      <c r="G24" s="140"/>
      <c r="H24" s="141">
        <f t="shared" si="2"/>
        <v>0</v>
      </c>
      <c r="I24" s="310" t="str">
        <f t="shared" si="0"/>
        <v>n/a</v>
      </c>
      <c r="J24" s="323"/>
      <c r="K24" s="327"/>
      <c r="L24" s="105"/>
    </row>
    <row r="25" spans="2:12">
      <c r="B25" s="83"/>
      <c r="C25" s="84"/>
      <c r="D25" s="122"/>
      <c r="E25" s="123"/>
      <c r="F25" s="142"/>
      <c r="G25" s="142"/>
      <c r="H25" s="143"/>
      <c r="I25" s="311"/>
      <c r="J25" s="324"/>
      <c r="K25" s="334"/>
      <c r="L25" s="105"/>
    </row>
    <row r="26" spans="2:12">
      <c r="B26" s="85" t="s">
        <v>52</v>
      </c>
      <c r="C26" s="106"/>
      <c r="D26" s="124">
        <f>SUM(D16:D25)</f>
        <v>177669.69999999998</v>
      </c>
      <c r="E26" s="125">
        <f>SUM(E16:E24)</f>
        <v>178319.69999999998</v>
      </c>
      <c r="F26" s="144">
        <f>SUM(F16:F24)</f>
        <v>182102.19999999998</v>
      </c>
      <c r="G26" s="144">
        <f>SUM(G16:G24)</f>
        <v>-7021.5</v>
      </c>
      <c r="H26" s="145">
        <f>SUM(H16:H24)</f>
        <v>-2588.9999999999818</v>
      </c>
      <c r="I26" s="312">
        <f>IF(D26=0,"n/a",H26/D26)</f>
        <v>-1.4571983855435013E-2</v>
      </c>
      <c r="J26" s="325">
        <f>SUM(J15:J24)</f>
        <v>174136.9</v>
      </c>
      <c r="K26" s="325">
        <f>SUM(K16:K24)</f>
        <v>174598.39999999997</v>
      </c>
      <c r="L26" s="107"/>
    </row>
    <row r="27" spans="2:12">
      <c r="B27" s="83"/>
      <c r="C27" s="84"/>
      <c r="D27" s="120"/>
      <c r="E27" s="123"/>
      <c r="F27" s="140"/>
      <c r="G27" s="140"/>
      <c r="H27" s="141"/>
      <c r="I27" s="310"/>
      <c r="J27" s="323"/>
      <c r="K27" s="327"/>
      <c r="L27" s="105"/>
    </row>
    <row r="28" spans="2:12">
      <c r="B28" s="83"/>
      <c r="C28" s="188" t="s">
        <v>53</v>
      </c>
      <c r="D28" s="120"/>
      <c r="E28" s="121"/>
      <c r="F28" s="140"/>
      <c r="G28" s="140"/>
      <c r="H28" s="141">
        <f>F28+G28-D28</f>
        <v>0</v>
      </c>
      <c r="I28" s="310" t="str">
        <f t="shared" ref="I28:I37" si="3">IF(D28=0,"n/a",H28/D28)</f>
        <v>n/a</v>
      </c>
      <c r="J28" s="323"/>
      <c r="K28" s="327"/>
      <c r="L28" s="105"/>
    </row>
    <row r="29" spans="2:12">
      <c r="B29" s="83"/>
      <c r="C29" s="188" t="s">
        <v>54</v>
      </c>
      <c r="D29" s="120">
        <v>5674.9</v>
      </c>
      <c r="E29" s="121">
        <f>D29</f>
        <v>5674.9</v>
      </c>
      <c r="F29" s="140">
        <v>5637.4</v>
      </c>
      <c r="G29" s="140"/>
      <c r="H29" s="141">
        <f t="shared" ref="H29:H37" si="4">F29+G29-D29</f>
        <v>-37.5</v>
      </c>
      <c r="I29" s="310">
        <f t="shared" si="3"/>
        <v>-6.6080459567569479E-3</v>
      </c>
      <c r="J29" s="323">
        <f>F29+G29</f>
        <v>5637.4</v>
      </c>
      <c r="K29" s="327">
        <f>J29</f>
        <v>5637.4</v>
      </c>
      <c r="L29" s="105"/>
    </row>
    <row r="30" spans="2:12">
      <c r="B30" s="83"/>
      <c r="C30" s="188" t="s">
        <v>55</v>
      </c>
      <c r="D30" s="120">
        <v>44.3</v>
      </c>
      <c r="E30" s="121">
        <f t="shared" ref="E30:E36" si="5">D30</f>
        <v>44.3</v>
      </c>
      <c r="F30" s="140">
        <v>0</v>
      </c>
      <c r="G30" s="140"/>
      <c r="H30" s="141">
        <f t="shared" si="4"/>
        <v>-44.3</v>
      </c>
      <c r="I30" s="310">
        <f t="shared" si="3"/>
        <v>-1</v>
      </c>
      <c r="J30" s="323">
        <f t="shared" ref="J30:J36" si="6">F30+G30</f>
        <v>0</v>
      </c>
      <c r="K30" s="327">
        <f t="shared" ref="K30:K36" si="7">J30</f>
        <v>0</v>
      </c>
      <c r="L30" s="105"/>
    </row>
    <row r="31" spans="2:12">
      <c r="B31" s="83"/>
      <c r="C31" s="188" t="s">
        <v>56</v>
      </c>
      <c r="D31" s="120">
        <v>245</v>
      </c>
      <c r="E31" s="121">
        <f t="shared" si="5"/>
        <v>245</v>
      </c>
      <c r="F31" s="140">
        <v>43.2</v>
      </c>
      <c r="G31" s="140"/>
      <c r="H31" s="141">
        <f t="shared" si="4"/>
        <v>-201.8</v>
      </c>
      <c r="I31" s="310">
        <f t="shared" si="3"/>
        <v>-0.8236734693877551</v>
      </c>
      <c r="J31" s="323">
        <f t="shared" si="6"/>
        <v>43.2</v>
      </c>
      <c r="K31" s="327">
        <f t="shared" si="7"/>
        <v>43.2</v>
      </c>
      <c r="L31" s="105"/>
    </row>
    <row r="32" spans="2:12">
      <c r="B32" s="83"/>
      <c r="C32" s="188" t="s">
        <v>57</v>
      </c>
      <c r="D32" s="120">
        <v>5163.6000000000004</v>
      </c>
      <c r="E32" s="121">
        <f>D32+674.2</f>
        <v>5837.8</v>
      </c>
      <c r="F32" s="140">
        <v>4264.5</v>
      </c>
      <c r="G32" s="140"/>
      <c r="H32" s="141">
        <f t="shared" si="4"/>
        <v>-899.10000000000036</v>
      </c>
      <c r="I32" s="310">
        <f t="shared" si="3"/>
        <v>-0.17412270508947253</v>
      </c>
      <c r="J32" s="323">
        <f t="shared" si="6"/>
        <v>4264.5</v>
      </c>
      <c r="K32" s="327">
        <f t="shared" si="7"/>
        <v>4264.5</v>
      </c>
      <c r="L32" s="105"/>
    </row>
    <row r="33" spans="2:12">
      <c r="B33" s="83"/>
      <c r="C33" s="188" t="s">
        <v>58</v>
      </c>
      <c r="D33" s="120">
        <v>530.79999999999995</v>
      </c>
      <c r="E33" s="121">
        <f t="shared" si="5"/>
        <v>530.79999999999995</v>
      </c>
      <c r="F33" s="140">
        <v>564.79999999999995</v>
      </c>
      <c r="G33" s="140"/>
      <c r="H33" s="141">
        <f t="shared" si="4"/>
        <v>34</v>
      </c>
      <c r="I33" s="310">
        <f t="shared" si="3"/>
        <v>6.4054257724189906E-2</v>
      </c>
      <c r="J33" s="323">
        <f t="shared" si="6"/>
        <v>564.79999999999995</v>
      </c>
      <c r="K33" s="327">
        <f t="shared" si="7"/>
        <v>564.79999999999995</v>
      </c>
      <c r="L33" s="105"/>
    </row>
    <row r="34" spans="2:12">
      <c r="B34" s="83"/>
      <c r="C34" s="188" t="s">
        <v>59</v>
      </c>
      <c r="D34" s="120">
        <v>1500</v>
      </c>
      <c r="E34" s="121">
        <f t="shared" si="5"/>
        <v>1500</v>
      </c>
      <c r="F34" s="140">
        <v>500</v>
      </c>
      <c r="G34" s="140">
        <v>500</v>
      </c>
      <c r="H34" s="141">
        <f t="shared" si="4"/>
        <v>-500</v>
      </c>
      <c r="I34" s="310">
        <f t="shared" si="3"/>
        <v>-0.33333333333333331</v>
      </c>
      <c r="J34" s="323">
        <f t="shared" si="6"/>
        <v>1000</v>
      </c>
      <c r="K34" s="327">
        <f t="shared" si="7"/>
        <v>1000</v>
      </c>
      <c r="L34" s="105"/>
    </row>
    <row r="35" spans="2:12">
      <c r="B35" s="83"/>
      <c r="C35" s="188" t="s">
        <v>60</v>
      </c>
      <c r="D35" s="120"/>
      <c r="E35" s="121">
        <f t="shared" si="5"/>
        <v>0</v>
      </c>
      <c r="F35" s="140"/>
      <c r="G35" s="140"/>
      <c r="H35" s="141">
        <f t="shared" si="4"/>
        <v>0</v>
      </c>
      <c r="I35" s="310" t="str">
        <f t="shared" si="3"/>
        <v>n/a</v>
      </c>
      <c r="J35" s="323">
        <f t="shared" si="6"/>
        <v>0</v>
      </c>
      <c r="K35" s="327">
        <f t="shared" si="7"/>
        <v>0</v>
      </c>
      <c r="L35" s="105"/>
    </row>
    <row r="36" spans="2:12">
      <c r="B36" s="83"/>
      <c r="C36" s="188" t="s">
        <v>61</v>
      </c>
      <c r="D36" s="120">
        <v>603.29999999999995</v>
      </c>
      <c r="E36" s="121">
        <f t="shared" si="5"/>
        <v>603.29999999999995</v>
      </c>
      <c r="F36" s="140">
        <v>1790.3</v>
      </c>
      <c r="G36" s="140"/>
      <c r="H36" s="141">
        <f>F36+G36-D36</f>
        <v>1187</v>
      </c>
      <c r="I36" s="310">
        <f t="shared" si="3"/>
        <v>1.9675120172385216</v>
      </c>
      <c r="J36" s="323">
        <f t="shared" si="6"/>
        <v>1790.3</v>
      </c>
      <c r="K36" s="327">
        <f t="shared" si="7"/>
        <v>1790.3</v>
      </c>
      <c r="L36" s="105"/>
    </row>
    <row r="37" spans="2:12">
      <c r="B37" s="83"/>
      <c r="C37" s="188" t="s">
        <v>464</v>
      </c>
      <c r="D37" s="120"/>
      <c r="E37" s="121"/>
      <c r="F37" s="140"/>
      <c r="G37" s="140"/>
      <c r="H37" s="141">
        <f t="shared" si="4"/>
        <v>0</v>
      </c>
      <c r="I37" s="310" t="str">
        <f t="shared" si="3"/>
        <v>n/a</v>
      </c>
      <c r="J37" s="323">
        <f>F37+G37</f>
        <v>0</v>
      </c>
      <c r="K37" s="327">
        <f>J37</f>
        <v>0</v>
      </c>
      <c r="L37" s="105"/>
    </row>
    <row r="38" spans="2:12">
      <c r="B38" s="83"/>
      <c r="C38" s="84"/>
      <c r="D38" s="122"/>
      <c r="E38" s="123"/>
      <c r="F38" s="142"/>
      <c r="G38" s="142"/>
      <c r="H38" s="146" t="s">
        <v>33</v>
      </c>
      <c r="I38" s="313"/>
      <c r="J38" s="324"/>
      <c r="K38" s="334"/>
      <c r="L38" s="105"/>
    </row>
    <row r="39" spans="2:12">
      <c r="B39" s="85" t="s">
        <v>62</v>
      </c>
      <c r="C39" s="106"/>
      <c r="D39" s="124">
        <f>SUM(D28:D38)</f>
        <v>13761.899999999998</v>
      </c>
      <c r="E39" s="125">
        <f>SUM(E28:E37)</f>
        <v>14436.099999999999</v>
      </c>
      <c r="F39" s="144">
        <f>SUM(F28:F37)</f>
        <v>12800.199999999997</v>
      </c>
      <c r="G39" s="144">
        <f>SUM(G28:G37)</f>
        <v>500</v>
      </c>
      <c r="H39" s="147">
        <f>SUM(H28:H37)</f>
        <v>-461.70000000000027</v>
      </c>
      <c r="I39" s="312">
        <f>IF(D39=0,"n/a",H39/D39)</f>
        <v>-3.3549146556798144E-2</v>
      </c>
      <c r="J39" s="326">
        <f>SUM(J28:J37)</f>
        <v>13300.199999999997</v>
      </c>
      <c r="K39" s="325">
        <f>SUM(K28:K37)</f>
        <v>13300.199999999997</v>
      </c>
      <c r="L39" s="107"/>
    </row>
    <row r="40" spans="2:12">
      <c r="B40" s="83"/>
      <c r="C40" s="84"/>
      <c r="D40" s="120"/>
      <c r="E40" s="121"/>
      <c r="F40" s="140"/>
      <c r="G40" s="140"/>
      <c r="H40" s="141"/>
      <c r="I40" s="310"/>
      <c r="J40" s="323"/>
      <c r="K40" s="327"/>
      <c r="L40" s="105"/>
    </row>
    <row r="41" spans="2:12">
      <c r="B41" s="83" t="s">
        <v>63</v>
      </c>
      <c r="C41" s="84"/>
      <c r="D41" s="120">
        <f t="shared" ref="D41:K41" si="8">D26-D39</f>
        <v>163907.79999999999</v>
      </c>
      <c r="E41" s="120">
        <f t="shared" si="8"/>
        <v>163883.59999999998</v>
      </c>
      <c r="F41" s="152">
        <f t="shared" si="8"/>
        <v>169302</v>
      </c>
      <c r="G41" s="152">
        <f>G26-G39</f>
        <v>-7521.5</v>
      </c>
      <c r="H41" s="154">
        <f t="shared" si="8"/>
        <v>-2127.2999999999815</v>
      </c>
      <c r="I41" s="314">
        <f t="shared" si="8"/>
        <v>1.8977162701363133E-2</v>
      </c>
      <c r="J41" s="327">
        <f t="shared" si="8"/>
        <v>160836.70000000001</v>
      </c>
      <c r="K41" s="327">
        <f t="shared" si="8"/>
        <v>161298.19999999995</v>
      </c>
      <c r="L41" s="105"/>
    </row>
    <row r="42" spans="2:12">
      <c r="B42" s="86"/>
      <c r="C42" s="108"/>
      <c r="D42" s="126"/>
      <c r="E42" s="127"/>
      <c r="F42" s="148"/>
      <c r="G42" s="148"/>
      <c r="H42" s="149"/>
      <c r="I42" s="315"/>
      <c r="J42" s="328"/>
      <c r="K42" s="335"/>
      <c r="L42" s="109"/>
    </row>
    <row r="43" spans="2:12" ht="13.5" thickBot="1">
      <c r="B43" s="87"/>
      <c r="C43" s="110"/>
      <c r="D43" s="128"/>
      <c r="E43" s="129"/>
      <c r="F43" s="150"/>
      <c r="G43" s="150"/>
      <c r="H43" s="151"/>
      <c r="I43" s="316"/>
      <c r="J43" s="329"/>
      <c r="K43" s="336"/>
      <c r="L43" s="105"/>
    </row>
    <row r="44" spans="2:12">
      <c r="B44" s="88"/>
      <c r="C44" s="111"/>
      <c r="D44" s="120"/>
      <c r="E44" s="121"/>
      <c r="F44" s="140"/>
      <c r="G44" s="140"/>
      <c r="H44" s="141"/>
      <c r="I44" s="310"/>
      <c r="J44" s="323"/>
      <c r="K44" s="327"/>
      <c r="L44" s="105"/>
    </row>
    <row r="45" spans="2:12">
      <c r="B45" s="89" t="s">
        <v>64</v>
      </c>
      <c r="C45" s="112"/>
      <c r="D45" s="130">
        <f>'WS 1 -Rec''d Base Changes '!C18</f>
        <v>919.8</v>
      </c>
      <c r="E45" s="131">
        <f>D45</f>
        <v>919.8</v>
      </c>
      <c r="F45" s="152">
        <v>1832.6</v>
      </c>
      <c r="G45" s="152">
        <f>'WS 1 -Rec''d Base Changes '!C71</f>
        <v>919.8</v>
      </c>
      <c r="H45" s="141">
        <f>F45-D45</f>
        <v>912.8</v>
      </c>
      <c r="I45" s="310">
        <f>IF(D45=0,"n/a",H45/D45)</f>
        <v>0.99238964992389644</v>
      </c>
      <c r="J45" s="323">
        <f>G45+5.4-43.3</f>
        <v>881.9</v>
      </c>
      <c r="K45" s="327">
        <f>J45+11-52.7</f>
        <v>840.19999999999993</v>
      </c>
      <c r="L45" s="105"/>
    </row>
    <row r="46" spans="2:12" ht="13.5" thickBot="1">
      <c r="B46" s="90"/>
      <c r="C46" s="91"/>
      <c r="D46" s="128"/>
      <c r="E46" s="129"/>
      <c r="F46" s="150"/>
      <c r="G46" s="150"/>
      <c r="H46" s="153"/>
      <c r="I46" s="317"/>
      <c r="J46" s="330"/>
      <c r="K46" s="337"/>
      <c r="L46" s="105"/>
    </row>
    <row r="48" spans="2:12">
      <c r="J48" s="459">
        <f>F41+G41</f>
        <v>161780.5</v>
      </c>
      <c r="K48" s="460">
        <f>K41-J41</f>
        <v>461.49999999994179</v>
      </c>
    </row>
    <row r="49" spans="10:10">
      <c r="J49" s="460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8" type="noConversion"/>
  <pageMargins left="0.75" right="0.75" top="1" bottom="1" header="0.5" footer="0.5"/>
  <pageSetup scale="7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IU86"/>
  <sheetViews>
    <sheetView showGridLines="0" topLeftCell="A16" workbookViewId="0">
      <selection activeCell="F65" sqref="F65"/>
    </sheetView>
  </sheetViews>
  <sheetFormatPr defaultRowHeight="12.75"/>
  <cols>
    <col min="1" max="1" width="2.42578125" style="3" customWidth="1"/>
    <col min="2" max="2" width="41" style="3" customWidth="1"/>
    <col min="3" max="3" width="9.85546875" style="3" customWidth="1"/>
    <col min="4" max="4" width="11.5703125" style="3" customWidth="1"/>
    <col min="5" max="5" width="11" style="3" customWidth="1"/>
    <col min="6" max="6" width="12.85546875" style="3" customWidth="1"/>
    <col min="7" max="8" width="11.28515625" style="3" customWidth="1"/>
    <col min="9" max="9" width="2.5703125" style="3" customWidth="1"/>
    <col min="10" max="10" width="16.7109375" style="3" bestFit="1" customWidth="1"/>
    <col min="11" max="11" width="17" style="3" bestFit="1" customWidth="1"/>
    <col min="12" max="16384" width="9.140625" style="3"/>
  </cols>
  <sheetData>
    <row r="1" spans="1:255" s="15" customFormat="1" ht="17.25" customHeight="1">
      <c r="B1" s="684" t="s">
        <v>584</v>
      </c>
      <c r="C1" s="684"/>
      <c r="D1" s="684"/>
      <c r="E1" s="684"/>
      <c r="F1" s="684"/>
      <c r="G1" s="684"/>
      <c r="H1" s="684"/>
      <c r="I1" s="21"/>
      <c r="J1" s="21"/>
      <c r="K1" s="14"/>
      <c r="L1" s="14"/>
    </row>
    <row r="2" spans="1:255" s="15" customFormat="1" ht="15" customHeight="1">
      <c r="B2" s="685" t="s">
        <v>570</v>
      </c>
      <c r="C2" s="685"/>
      <c r="D2" s="685"/>
      <c r="E2" s="685"/>
      <c r="F2" s="685"/>
      <c r="G2" s="685"/>
      <c r="H2" s="685"/>
      <c r="I2" s="21"/>
      <c r="J2" s="21"/>
      <c r="K2" s="14"/>
      <c r="L2" s="14"/>
    </row>
    <row r="3" spans="1:255" s="16" customFormat="1" ht="15.75">
      <c r="B3" s="611"/>
      <c r="C3" s="611"/>
      <c r="D3" s="611"/>
      <c r="E3" s="612"/>
      <c r="F3" s="612"/>
      <c r="G3" s="612"/>
      <c r="H3" s="611"/>
      <c r="I3" s="21"/>
      <c r="J3" s="21"/>
    </row>
    <row r="4" spans="1:255" ht="39" customHeight="1">
      <c r="B4" s="558"/>
      <c r="C4" s="559" t="s">
        <v>571</v>
      </c>
      <c r="D4" s="523"/>
      <c r="E4" s="523"/>
      <c r="F4" s="524"/>
      <c r="G4" s="525" t="s">
        <v>17</v>
      </c>
      <c r="H4" s="538"/>
      <c r="I4" s="491"/>
      <c r="J4" s="491"/>
    </row>
    <row r="5" spans="1:255" s="8" customFormat="1" ht="32.25" customHeight="1">
      <c r="B5" s="560"/>
      <c r="C5" s="561" t="s">
        <v>30</v>
      </c>
      <c r="D5" s="502" t="s">
        <v>8</v>
      </c>
      <c r="E5" s="502" t="s">
        <v>9</v>
      </c>
      <c r="F5" s="526" t="s">
        <v>6</v>
      </c>
      <c r="G5" s="527">
        <v>2013</v>
      </c>
      <c r="H5" s="527">
        <f>G5+1</f>
        <v>2014</v>
      </c>
      <c r="I5" s="539"/>
      <c r="J5" s="539"/>
    </row>
    <row r="6" spans="1:255" s="9" customFormat="1" ht="17.25" customHeight="1">
      <c r="B6" s="562" t="s">
        <v>0</v>
      </c>
      <c r="C6" s="561"/>
      <c r="D6" s="528" t="s">
        <v>1</v>
      </c>
      <c r="E6" s="528" t="s">
        <v>1</v>
      </c>
      <c r="F6" s="529" t="s">
        <v>1</v>
      </c>
      <c r="G6" s="529" t="s">
        <v>1</v>
      </c>
      <c r="H6" s="529" t="s">
        <v>1</v>
      </c>
      <c r="I6" s="540"/>
      <c r="J6" s="540"/>
    </row>
    <row r="7" spans="1:255" s="4" customFormat="1" ht="18" customHeight="1">
      <c r="A7" s="12"/>
      <c r="B7" s="563" t="s">
        <v>572</v>
      </c>
      <c r="C7" s="535">
        <v>919.8</v>
      </c>
      <c r="D7" s="508">
        <v>169702.7</v>
      </c>
      <c r="E7" s="508">
        <v>115916.2</v>
      </c>
      <c r="F7" s="508">
        <f t="shared" ref="F7:F52" si="0">D7-E7</f>
        <v>53786.500000000015</v>
      </c>
      <c r="G7" s="530"/>
      <c r="H7" s="530"/>
      <c r="I7" s="541"/>
      <c r="J7" s="54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</row>
    <row r="8" spans="1:255" s="22" customFormat="1" ht="18" customHeight="1">
      <c r="A8" s="11"/>
      <c r="B8" s="555" t="s">
        <v>10</v>
      </c>
      <c r="C8" s="564"/>
      <c r="D8" s="531">
        <v>0</v>
      </c>
      <c r="E8" s="531"/>
      <c r="F8" s="531">
        <f t="shared" si="0"/>
        <v>0</v>
      </c>
      <c r="G8" s="532"/>
      <c r="H8" s="543"/>
      <c r="I8" s="542"/>
      <c r="J8" s="542"/>
    </row>
    <row r="9" spans="1:255" s="22" customFormat="1" ht="18" customHeight="1">
      <c r="A9" s="11"/>
      <c r="B9" s="555" t="s">
        <v>589</v>
      </c>
      <c r="C9" s="564"/>
      <c r="D9" s="531">
        <v>35.799999999999997</v>
      </c>
      <c r="E9" s="531"/>
      <c r="F9" s="531">
        <f t="shared" si="0"/>
        <v>35.799999999999997</v>
      </c>
      <c r="G9" s="532"/>
      <c r="H9" s="543"/>
      <c r="I9" s="542"/>
      <c r="J9" s="542"/>
    </row>
    <row r="10" spans="1:255" s="22" customFormat="1" ht="18" customHeight="1">
      <c r="A10" s="11"/>
      <c r="B10" s="555" t="s">
        <v>590</v>
      </c>
      <c r="C10" s="564"/>
      <c r="D10" s="531">
        <v>702.8</v>
      </c>
      <c r="E10" s="531"/>
      <c r="F10" s="531">
        <f t="shared" si="0"/>
        <v>702.8</v>
      </c>
      <c r="G10" s="532"/>
      <c r="H10" s="543"/>
      <c r="I10" s="542"/>
      <c r="J10" s="542"/>
    </row>
    <row r="11" spans="1:255" s="22" customFormat="1" ht="18" customHeight="1">
      <c r="A11" s="11"/>
      <c r="B11" s="555" t="s">
        <v>591</v>
      </c>
      <c r="C11" s="564"/>
      <c r="D11" s="531">
        <v>-351.8</v>
      </c>
      <c r="E11" s="531"/>
      <c r="F11" s="531">
        <f t="shared" si="0"/>
        <v>-351.8</v>
      </c>
      <c r="G11" s="532"/>
      <c r="H11" s="543"/>
      <c r="I11" s="542"/>
      <c r="J11" s="542"/>
    </row>
    <row r="12" spans="1:255" s="22" customFormat="1" ht="18" customHeight="1">
      <c r="A12" s="11"/>
      <c r="B12" s="555" t="s">
        <v>592</v>
      </c>
      <c r="C12" s="564"/>
      <c r="D12" s="531">
        <v>963.2</v>
      </c>
      <c r="E12" s="531">
        <v>963.2</v>
      </c>
      <c r="F12" s="531">
        <f t="shared" si="0"/>
        <v>0</v>
      </c>
      <c r="G12" s="532"/>
      <c r="H12" s="543"/>
      <c r="I12" s="542"/>
      <c r="J12" s="542"/>
    </row>
    <row r="13" spans="1:255" s="22" customFormat="1" ht="18" customHeight="1">
      <c r="A13" s="11"/>
      <c r="B13" s="555" t="s">
        <v>593</v>
      </c>
      <c r="C13" s="564"/>
      <c r="D13" s="531">
        <v>47.8</v>
      </c>
      <c r="E13" s="531"/>
      <c r="F13" s="531">
        <f t="shared" si="0"/>
        <v>47.8</v>
      </c>
      <c r="G13" s="532"/>
      <c r="H13" s="543"/>
      <c r="I13" s="542"/>
      <c r="J13" s="542"/>
    </row>
    <row r="14" spans="1:255" s="22" customFormat="1" ht="18" customHeight="1">
      <c r="A14" s="11"/>
      <c r="B14" s="555"/>
      <c r="C14" s="564"/>
      <c r="D14" s="531"/>
      <c r="E14" s="531"/>
      <c r="F14" s="531">
        <f t="shared" si="0"/>
        <v>0</v>
      </c>
      <c r="G14" s="532"/>
      <c r="H14" s="543"/>
      <c r="I14" s="542"/>
      <c r="J14" s="542"/>
    </row>
    <row r="15" spans="1:255" s="22" customFormat="1" ht="18" customHeight="1">
      <c r="A15" s="11"/>
      <c r="B15" s="555"/>
      <c r="C15" s="564"/>
      <c r="D15" s="531"/>
      <c r="E15" s="531"/>
      <c r="F15" s="531">
        <f t="shared" si="0"/>
        <v>0</v>
      </c>
      <c r="G15" s="532"/>
      <c r="H15" s="543"/>
      <c r="I15" s="542"/>
      <c r="J15" s="542"/>
    </row>
    <row r="16" spans="1:255" s="22" customFormat="1" ht="18" customHeight="1">
      <c r="A16" s="11"/>
      <c r="B16" s="555"/>
      <c r="C16" s="564"/>
      <c r="D16" s="531"/>
      <c r="E16" s="531"/>
      <c r="F16" s="531">
        <f t="shared" si="0"/>
        <v>0</v>
      </c>
      <c r="G16" s="532"/>
      <c r="H16" s="543"/>
      <c r="I16" s="542"/>
      <c r="J16" s="542"/>
    </row>
    <row r="17" spans="1:255" s="22" customFormat="1" ht="18" customHeight="1">
      <c r="A17" s="11"/>
      <c r="B17" s="555" t="s">
        <v>588</v>
      </c>
      <c r="C17" s="564"/>
      <c r="D17" s="531">
        <v>0</v>
      </c>
      <c r="E17" s="531">
        <v>0</v>
      </c>
      <c r="F17" s="531">
        <f t="shared" si="0"/>
        <v>0</v>
      </c>
      <c r="G17" s="533"/>
      <c r="H17" s="544"/>
      <c r="I17" s="542"/>
      <c r="J17" s="542"/>
    </row>
    <row r="18" spans="1:255" s="27" customFormat="1" ht="18" customHeight="1">
      <c r="A18" s="26"/>
      <c r="B18" s="565" t="s">
        <v>573</v>
      </c>
      <c r="C18" s="535">
        <f>SUM(C7:C17)</f>
        <v>919.8</v>
      </c>
      <c r="D18" s="535">
        <f>SUM(D7:D17)</f>
        <v>171100.5</v>
      </c>
      <c r="E18" s="508">
        <f>SUM(E7:E17)</f>
        <v>116879.4</v>
      </c>
      <c r="F18" s="508">
        <f t="shared" si="0"/>
        <v>54221.100000000006</v>
      </c>
      <c r="G18" s="534">
        <f>SUM(G7:G17)</f>
        <v>0</v>
      </c>
      <c r="H18" s="534">
        <f>SUM(H7:H17)</f>
        <v>0</v>
      </c>
      <c r="I18" s="542"/>
      <c r="J18" s="54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</row>
    <row r="19" spans="1:255" s="22" customFormat="1" ht="18" customHeight="1">
      <c r="A19" s="11"/>
      <c r="B19" s="555" t="s">
        <v>11</v>
      </c>
      <c r="C19" s="564"/>
      <c r="D19" s="531">
        <v>0</v>
      </c>
      <c r="E19" s="531">
        <v>0</v>
      </c>
      <c r="F19" s="531">
        <f t="shared" si="0"/>
        <v>0</v>
      </c>
      <c r="G19" s="545"/>
      <c r="H19" s="677"/>
      <c r="I19" s="542"/>
      <c r="J19" s="542"/>
    </row>
    <row r="20" spans="1:255" s="22" customFormat="1" ht="18" customHeight="1">
      <c r="A20" s="11"/>
      <c r="B20" s="555" t="s">
        <v>594</v>
      </c>
      <c r="C20" s="564"/>
      <c r="D20" s="531">
        <v>887.3</v>
      </c>
      <c r="E20" s="531">
        <v>887.3</v>
      </c>
      <c r="F20" s="531">
        <f t="shared" si="0"/>
        <v>0</v>
      </c>
      <c r="G20" s="531"/>
      <c r="H20" s="532"/>
      <c r="I20" s="542"/>
      <c r="J20" s="542"/>
    </row>
    <row r="21" spans="1:255" s="22" customFormat="1" ht="18" customHeight="1">
      <c r="A21" s="11"/>
      <c r="B21" s="675" t="s">
        <v>603</v>
      </c>
      <c r="C21" s="564"/>
      <c r="D21" s="676">
        <v>0</v>
      </c>
      <c r="E21" s="676">
        <v>0</v>
      </c>
      <c r="F21" s="531">
        <f t="shared" si="0"/>
        <v>0</v>
      </c>
      <c r="G21" s="531"/>
      <c r="H21" s="532">
        <v>-111.8</v>
      </c>
      <c r="I21" s="542"/>
      <c r="J21" s="542"/>
    </row>
    <row r="22" spans="1:255" s="22" customFormat="1" ht="18" customHeight="1">
      <c r="A22" s="11"/>
      <c r="B22" s="555" t="s">
        <v>595</v>
      </c>
      <c r="C22" s="564"/>
      <c r="D22" s="531">
        <v>29.4</v>
      </c>
      <c r="E22" s="531"/>
      <c r="F22" s="531">
        <f t="shared" si="0"/>
        <v>29.4</v>
      </c>
      <c r="G22" s="531"/>
      <c r="H22" s="532"/>
      <c r="I22" s="542"/>
      <c r="J22" s="542"/>
    </row>
    <row r="23" spans="1:255" s="22" customFormat="1" ht="18" customHeight="1">
      <c r="A23" s="11"/>
      <c r="B23" s="555" t="s">
        <v>596</v>
      </c>
      <c r="C23" s="564"/>
      <c r="D23" s="531">
        <v>-46.5</v>
      </c>
      <c r="E23" s="531">
        <v>-46.5</v>
      </c>
      <c r="F23" s="531">
        <f t="shared" si="0"/>
        <v>0</v>
      </c>
      <c r="G23" s="531"/>
      <c r="H23" s="532"/>
      <c r="I23" s="542"/>
      <c r="J23" s="542"/>
    </row>
    <row r="24" spans="1:255" s="22" customFormat="1" ht="18" customHeight="1">
      <c r="A24" s="11"/>
      <c r="B24" s="555" t="s">
        <v>597</v>
      </c>
      <c r="C24" s="564"/>
      <c r="D24" s="531">
        <v>-8.5</v>
      </c>
      <c r="E24" s="531"/>
      <c r="F24" s="531">
        <f t="shared" si="0"/>
        <v>-8.5</v>
      </c>
      <c r="G24" s="531"/>
      <c r="H24" s="532"/>
      <c r="I24" s="542"/>
      <c r="J24" s="542"/>
    </row>
    <row r="25" spans="1:255" s="22" customFormat="1" ht="18" customHeight="1">
      <c r="A25" s="11"/>
      <c r="B25" s="555" t="s">
        <v>598</v>
      </c>
      <c r="C25" s="564"/>
      <c r="D25" s="531">
        <v>245.1</v>
      </c>
      <c r="E25" s="531"/>
      <c r="F25" s="531">
        <f t="shared" si="0"/>
        <v>245.1</v>
      </c>
      <c r="G25" s="531"/>
      <c r="H25" s="532"/>
      <c r="I25" s="542"/>
      <c r="J25" s="542"/>
    </row>
    <row r="26" spans="1:255" s="22" customFormat="1" ht="18" customHeight="1">
      <c r="A26" s="11"/>
      <c r="B26" s="555" t="s">
        <v>599</v>
      </c>
      <c r="C26" s="564"/>
      <c r="D26" s="531">
        <v>42.3</v>
      </c>
      <c r="E26" s="531"/>
      <c r="F26" s="531">
        <f t="shared" si="0"/>
        <v>42.3</v>
      </c>
      <c r="G26" s="531"/>
      <c r="H26" s="532"/>
      <c r="I26" s="542"/>
      <c r="J26" s="542"/>
    </row>
    <row r="27" spans="1:255" s="22" customFormat="1" ht="18" customHeight="1">
      <c r="A27" s="11"/>
      <c r="B27" s="555" t="s">
        <v>600</v>
      </c>
      <c r="C27" s="564"/>
      <c r="D27" s="531">
        <v>234.1</v>
      </c>
      <c r="E27" s="531"/>
      <c r="F27" s="531">
        <f t="shared" si="0"/>
        <v>234.1</v>
      </c>
      <c r="G27" s="531"/>
      <c r="H27" s="532"/>
      <c r="I27" s="542"/>
      <c r="J27" s="542"/>
    </row>
    <row r="28" spans="1:255" s="22" customFormat="1" ht="18" customHeight="1">
      <c r="A28" s="11"/>
      <c r="B28" s="555" t="s">
        <v>601</v>
      </c>
      <c r="C28" s="564"/>
      <c r="D28" s="531">
        <v>710.9</v>
      </c>
      <c r="E28" s="531"/>
      <c r="F28" s="531">
        <f t="shared" si="0"/>
        <v>710.9</v>
      </c>
      <c r="G28" s="531"/>
      <c r="H28" s="532"/>
      <c r="I28" s="542"/>
      <c r="J28" s="542"/>
    </row>
    <row r="29" spans="1:255" s="22" customFormat="1" ht="18" customHeight="1">
      <c r="A29" s="11"/>
      <c r="B29" s="555" t="s">
        <v>602</v>
      </c>
      <c r="C29" s="564"/>
      <c r="D29" s="531">
        <v>3.5</v>
      </c>
      <c r="E29" s="531"/>
      <c r="F29" s="531">
        <f t="shared" si="0"/>
        <v>3.5</v>
      </c>
      <c r="G29" s="531"/>
      <c r="H29" s="532"/>
      <c r="I29" s="542"/>
      <c r="J29" s="542"/>
    </row>
    <row r="30" spans="1:255" s="22" customFormat="1" ht="18" customHeight="1">
      <c r="A30" s="11"/>
      <c r="B30" s="555"/>
      <c r="C30" s="564"/>
      <c r="D30" s="531"/>
      <c r="E30" s="531"/>
      <c r="F30" s="531">
        <f t="shared" si="0"/>
        <v>0</v>
      </c>
      <c r="G30" s="531"/>
      <c r="H30" s="532"/>
      <c r="I30" s="542"/>
      <c r="J30" s="542"/>
    </row>
    <row r="31" spans="1:255" s="22" customFormat="1" ht="18" customHeight="1">
      <c r="A31" s="11"/>
      <c r="B31" s="555" t="s">
        <v>12</v>
      </c>
      <c r="C31" s="564"/>
      <c r="D31" s="531"/>
      <c r="E31" s="531"/>
      <c r="F31" s="531">
        <f t="shared" si="0"/>
        <v>0</v>
      </c>
      <c r="G31" s="531"/>
      <c r="H31" s="543"/>
      <c r="I31" s="542"/>
      <c r="J31" s="546"/>
    </row>
    <row r="32" spans="1:255" s="22" customFormat="1" ht="18" customHeight="1">
      <c r="A32" s="11"/>
      <c r="B32" s="555" t="s">
        <v>13</v>
      </c>
      <c r="C32" s="564"/>
      <c r="D32" s="531">
        <f>2136.5</f>
        <v>2136.5</v>
      </c>
      <c r="E32" s="531">
        <v>0</v>
      </c>
      <c r="F32" s="531">
        <f t="shared" si="0"/>
        <v>2136.5</v>
      </c>
      <c r="G32" s="532"/>
      <c r="H32" s="532"/>
      <c r="I32" s="542"/>
      <c r="J32" s="542"/>
    </row>
    <row r="33" spans="1:255" s="29" customFormat="1" ht="18" customHeight="1">
      <c r="A33" s="28"/>
      <c r="B33" s="565" t="s">
        <v>18</v>
      </c>
      <c r="C33" s="535">
        <f>SUM(C18:C32)</f>
        <v>919.8</v>
      </c>
      <c r="D33" s="508">
        <f>SUM(D18:D32)</f>
        <v>175334.59999999998</v>
      </c>
      <c r="E33" s="508">
        <f>SUM(E18:E32)</f>
        <v>117720.2</v>
      </c>
      <c r="F33" s="508">
        <f t="shared" si="0"/>
        <v>57614.39999999998</v>
      </c>
      <c r="G33" s="530">
        <f>SUM(G18:G32)</f>
        <v>0</v>
      </c>
      <c r="H33" s="530">
        <f>SUM(H18:H32)</f>
        <v>-111.8</v>
      </c>
      <c r="I33" s="547"/>
      <c r="J33" s="548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</row>
    <row r="34" spans="1:255" s="22" customFormat="1" ht="18" customHeight="1">
      <c r="A34" s="3"/>
      <c r="B34" s="555" t="s">
        <v>15</v>
      </c>
      <c r="C34" s="564"/>
      <c r="D34" s="531">
        <v>0</v>
      </c>
      <c r="E34" s="531">
        <v>0</v>
      </c>
      <c r="F34" s="531">
        <f t="shared" si="0"/>
        <v>0</v>
      </c>
      <c r="G34" s="532"/>
      <c r="H34" s="532"/>
      <c r="I34" s="548"/>
      <c r="J34" s="542"/>
    </row>
    <row r="35" spans="1:255" s="22" customFormat="1" ht="18" customHeight="1">
      <c r="A35" s="3"/>
      <c r="B35" s="555" t="s">
        <v>591</v>
      </c>
      <c r="C35" s="564"/>
      <c r="D35" s="531">
        <v>22.3</v>
      </c>
      <c r="E35" s="531"/>
      <c r="F35" s="531">
        <f t="shared" si="0"/>
        <v>22.3</v>
      </c>
      <c r="G35" s="532"/>
      <c r="H35" s="532"/>
      <c r="I35" s="548"/>
      <c r="J35" s="542"/>
    </row>
    <row r="36" spans="1:255" s="22" customFormat="1" ht="18" customHeight="1">
      <c r="A36" s="3"/>
      <c r="B36" s="555" t="s">
        <v>604</v>
      </c>
      <c r="C36" s="564"/>
      <c r="D36" s="531">
        <v>-62.6</v>
      </c>
      <c r="E36" s="531"/>
      <c r="F36" s="531">
        <f t="shared" si="0"/>
        <v>-62.6</v>
      </c>
      <c r="G36" s="532"/>
      <c r="H36" s="532"/>
      <c r="I36" s="548"/>
      <c r="J36" s="542"/>
    </row>
    <row r="37" spans="1:255" s="22" customFormat="1" ht="18" customHeight="1">
      <c r="A37" s="3"/>
      <c r="B37" s="555" t="s">
        <v>605</v>
      </c>
      <c r="C37" s="564"/>
      <c r="D37" s="531">
        <v>42.6</v>
      </c>
      <c r="E37" s="531"/>
      <c r="F37" s="531">
        <f t="shared" si="0"/>
        <v>42.6</v>
      </c>
      <c r="G37" s="532"/>
      <c r="H37" s="532"/>
      <c r="I37" s="548"/>
      <c r="J37" s="542"/>
    </row>
    <row r="38" spans="1:255" s="22" customFormat="1" ht="18" customHeight="1">
      <c r="A38" s="3"/>
      <c r="B38" s="555" t="s">
        <v>606</v>
      </c>
      <c r="C38" s="564"/>
      <c r="D38" s="531"/>
      <c r="E38" s="531">
        <v>40.299999999999997</v>
      </c>
      <c r="F38" s="531">
        <f t="shared" si="0"/>
        <v>-40.299999999999997</v>
      </c>
      <c r="G38" s="532"/>
      <c r="H38" s="532"/>
      <c r="I38" s="548"/>
      <c r="J38" s="542"/>
    </row>
    <row r="39" spans="1:255" s="22" customFormat="1" ht="18" customHeight="1">
      <c r="A39" s="3"/>
      <c r="B39" s="555" t="s">
        <v>607</v>
      </c>
      <c r="C39" s="564"/>
      <c r="D39" s="531"/>
      <c r="E39" s="531">
        <v>-146.1</v>
      </c>
      <c r="F39" s="531">
        <f t="shared" si="0"/>
        <v>146.1</v>
      </c>
      <c r="G39" s="532"/>
      <c r="H39" s="532"/>
      <c r="I39" s="548"/>
      <c r="J39" s="542"/>
    </row>
    <row r="40" spans="1:255" s="22" customFormat="1" ht="18" customHeight="1">
      <c r="A40" s="3"/>
      <c r="B40" s="555" t="s">
        <v>608</v>
      </c>
      <c r="C40" s="564"/>
      <c r="D40" s="531"/>
      <c r="E40" s="531">
        <v>155.6</v>
      </c>
      <c r="F40" s="531">
        <f t="shared" si="0"/>
        <v>-155.6</v>
      </c>
      <c r="G40" s="532"/>
      <c r="H40" s="532"/>
      <c r="I40" s="548"/>
      <c r="J40" s="542"/>
    </row>
    <row r="41" spans="1:255" s="22" customFormat="1" ht="18" customHeight="1">
      <c r="A41" s="3"/>
      <c r="B41" s="555" t="s">
        <v>609</v>
      </c>
      <c r="C41" s="564"/>
      <c r="D41" s="531">
        <v>80</v>
      </c>
      <c r="E41" s="531"/>
      <c r="F41" s="531">
        <f t="shared" si="0"/>
        <v>80</v>
      </c>
      <c r="G41" s="532"/>
      <c r="H41" s="532"/>
      <c r="I41" s="548"/>
      <c r="J41" s="542"/>
    </row>
    <row r="42" spans="1:255" s="22" customFormat="1" ht="18" customHeight="1">
      <c r="A42" s="3"/>
      <c r="B42" s="555" t="s">
        <v>610</v>
      </c>
      <c r="C42" s="564"/>
      <c r="D42" s="531">
        <v>-1825.3</v>
      </c>
      <c r="E42" s="531">
        <v>-1825.3</v>
      </c>
      <c r="F42" s="531">
        <f t="shared" si="0"/>
        <v>0</v>
      </c>
      <c r="G42" s="532"/>
      <c r="H42" s="532"/>
      <c r="I42" s="548"/>
      <c r="J42" s="542"/>
    </row>
    <row r="43" spans="1:255" s="22" customFormat="1" ht="18" customHeight="1">
      <c r="A43" s="3"/>
      <c r="B43" s="555" t="s">
        <v>611</v>
      </c>
      <c r="C43" s="564"/>
      <c r="D43" s="531">
        <v>-3.2</v>
      </c>
      <c r="E43" s="531"/>
      <c r="F43" s="531">
        <f t="shared" si="0"/>
        <v>-3.2</v>
      </c>
      <c r="G43" s="532"/>
      <c r="H43" s="532"/>
      <c r="I43" s="548"/>
      <c r="J43" s="542"/>
    </row>
    <row r="44" spans="1:255" s="22" customFormat="1" ht="18" customHeight="1">
      <c r="A44" s="3"/>
      <c r="B44" s="555"/>
      <c r="C44" s="564"/>
      <c r="D44" s="531"/>
      <c r="E44" s="531"/>
      <c r="F44" s="531"/>
      <c r="G44" s="532"/>
      <c r="H44" s="532"/>
      <c r="I44" s="548"/>
      <c r="J44" s="542"/>
    </row>
    <row r="45" spans="1:255" s="22" customFormat="1" ht="18" customHeight="1">
      <c r="A45" s="3"/>
      <c r="B45" s="555"/>
      <c r="C45" s="564"/>
      <c r="D45" s="531"/>
      <c r="E45" s="531"/>
      <c r="F45" s="531">
        <f t="shared" si="0"/>
        <v>0</v>
      </c>
      <c r="G45" s="531"/>
      <c r="H45" s="532"/>
      <c r="I45" s="548"/>
      <c r="J45" s="542"/>
    </row>
    <row r="46" spans="1:255" s="22" customFormat="1" ht="18" customHeight="1">
      <c r="A46" s="3"/>
      <c r="B46" s="555" t="s">
        <v>14</v>
      </c>
      <c r="C46" s="564"/>
      <c r="D46" s="531">
        <v>0</v>
      </c>
      <c r="E46" s="531">
        <v>0</v>
      </c>
      <c r="F46" s="531">
        <f t="shared" si="0"/>
        <v>0</v>
      </c>
      <c r="G46" s="531"/>
      <c r="H46" s="531"/>
      <c r="I46" s="548"/>
      <c r="J46" s="549"/>
    </row>
    <row r="47" spans="1:255" s="22" customFormat="1" ht="18" customHeight="1">
      <c r="A47" s="3"/>
      <c r="B47" s="555" t="s">
        <v>612</v>
      </c>
      <c r="C47" s="564"/>
      <c r="D47" s="564">
        <v>2230.3000000000002</v>
      </c>
      <c r="E47" s="564">
        <v>3528.8</v>
      </c>
      <c r="F47" s="531">
        <f t="shared" si="0"/>
        <v>-1298.5</v>
      </c>
      <c r="G47" s="564"/>
      <c r="H47" s="531"/>
      <c r="I47" s="548"/>
      <c r="J47" s="549"/>
    </row>
    <row r="48" spans="1:255" s="22" customFormat="1" ht="18" customHeight="1">
      <c r="A48" s="3"/>
      <c r="B48" s="555" t="s">
        <v>613</v>
      </c>
      <c r="C48" s="564"/>
      <c r="D48" s="564"/>
      <c r="E48" s="564">
        <v>25.1</v>
      </c>
      <c r="F48" s="531">
        <f t="shared" si="0"/>
        <v>-25.1</v>
      </c>
      <c r="G48" s="564"/>
      <c r="H48" s="531"/>
      <c r="I48" s="548"/>
      <c r="J48" s="549"/>
    </row>
    <row r="49" spans="1:255" s="22" customFormat="1" ht="18" customHeight="1">
      <c r="A49" s="3"/>
      <c r="B49" s="555" t="s">
        <v>614</v>
      </c>
      <c r="C49" s="564"/>
      <c r="D49" s="564"/>
      <c r="E49" s="564">
        <v>35.6</v>
      </c>
      <c r="F49" s="531">
        <f t="shared" si="0"/>
        <v>-35.6</v>
      </c>
      <c r="G49" s="564"/>
      <c r="H49" s="531"/>
      <c r="I49" s="548"/>
      <c r="J49" s="549"/>
    </row>
    <row r="50" spans="1:255" s="22" customFormat="1" ht="18" customHeight="1">
      <c r="A50" s="3"/>
      <c r="B50" s="555"/>
      <c r="C50" s="564"/>
      <c r="D50" s="564"/>
      <c r="E50" s="564"/>
      <c r="F50" s="531">
        <f t="shared" si="0"/>
        <v>0</v>
      </c>
      <c r="G50" s="564"/>
      <c r="H50" s="531"/>
      <c r="I50" s="548"/>
      <c r="J50" s="549"/>
    </row>
    <row r="51" spans="1:255" s="22" customFormat="1" ht="18" customHeight="1">
      <c r="A51" s="3"/>
      <c r="B51" s="555"/>
      <c r="C51" s="564"/>
      <c r="D51" s="564"/>
      <c r="E51" s="564"/>
      <c r="F51" s="531">
        <f t="shared" si="0"/>
        <v>0</v>
      </c>
      <c r="G51" s="564"/>
      <c r="H51" s="531"/>
      <c r="I51" s="548"/>
      <c r="J51" s="549"/>
    </row>
    <row r="52" spans="1:255" s="22" customFormat="1" ht="18" customHeight="1">
      <c r="A52" s="3"/>
      <c r="B52" s="555"/>
      <c r="C52" s="564"/>
      <c r="D52" s="564"/>
      <c r="E52" s="564">
        <v>0</v>
      </c>
      <c r="F52" s="531">
        <f t="shared" si="0"/>
        <v>0</v>
      </c>
      <c r="G52" s="564"/>
      <c r="H52" s="572"/>
      <c r="I52" s="548"/>
      <c r="J52" s="549"/>
    </row>
    <row r="53" spans="1:255" s="29" customFormat="1" ht="18" customHeight="1">
      <c r="A53" s="28"/>
      <c r="B53" s="565" t="s">
        <v>574</v>
      </c>
      <c r="C53" s="535">
        <f>SUM(C33:C46)</f>
        <v>919.8</v>
      </c>
      <c r="D53" s="674">
        <f>SUM(D33:D51)</f>
        <v>175818.69999999995</v>
      </c>
      <c r="E53" s="674">
        <f>SUM(E33:E51)</f>
        <v>119534.20000000001</v>
      </c>
      <c r="F53" s="674">
        <f>SUM(F33:F51)</f>
        <v>56284.499999999985</v>
      </c>
      <c r="G53" s="535">
        <f>SUM(G33:G46)</f>
        <v>0</v>
      </c>
      <c r="H53" s="508">
        <f>SUM(H33:H46)</f>
        <v>-111.8</v>
      </c>
      <c r="I53" s="547"/>
      <c r="J53" s="548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</row>
    <row r="54" spans="1:255" ht="18" customHeight="1">
      <c r="B54" s="566" t="s">
        <v>32</v>
      </c>
      <c r="C54" s="567"/>
      <c r="D54" s="568"/>
      <c r="E54" s="568"/>
      <c r="F54" s="531"/>
      <c r="G54" s="550"/>
      <c r="H54" s="550"/>
      <c r="I54" s="491"/>
      <c r="J54" s="491"/>
      <c r="K54" s="306"/>
    </row>
    <row r="55" spans="1:255" ht="18" customHeight="1">
      <c r="B55" s="569" t="s">
        <v>33</v>
      </c>
      <c r="C55" s="564"/>
      <c r="D55" s="531" t="s">
        <v>33</v>
      </c>
      <c r="E55" s="531" t="s">
        <v>33</v>
      </c>
      <c r="F55" s="531" t="s">
        <v>33</v>
      </c>
      <c r="G55" s="532"/>
      <c r="H55" s="532"/>
      <c r="I55" s="491"/>
      <c r="J55" s="491"/>
    </row>
    <row r="56" spans="1:255" ht="18" customHeight="1">
      <c r="B56" s="569" t="s">
        <v>33</v>
      </c>
      <c r="C56" s="564"/>
      <c r="D56" s="531" t="s">
        <v>33</v>
      </c>
      <c r="E56" s="531"/>
      <c r="F56" s="531"/>
      <c r="G56" s="532"/>
      <c r="H56" s="532"/>
      <c r="I56" s="491"/>
      <c r="J56" s="491"/>
    </row>
    <row r="57" spans="1:255" ht="18" customHeight="1">
      <c r="B57" s="569"/>
      <c r="C57" s="564"/>
      <c r="D57" s="531"/>
      <c r="E57" s="531"/>
      <c r="F57" s="531"/>
      <c r="G57" s="532"/>
      <c r="H57" s="532"/>
      <c r="I57" s="491"/>
      <c r="J57" s="491"/>
    </row>
    <row r="58" spans="1:255" ht="18" customHeight="1">
      <c r="B58" s="569" t="s">
        <v>20</v>
      </c>
      <c r="C58" s="564"/>
      <c r="D58" s="531"/>
      <c r="E58" s="531" t="s">
        <v>33</v>
      </c>
      <c r="F58" s="531" t="s">
        <v>33</v>
      </c>
      <c r="G58" s="532"/>
      <c r="H58" s="532"/>
      <c r="I58" s="551"/>
      <c r="J58" s="491"/>
    </row>
    <row r="59" spans="1:255" ht="18" customHeight="1">
      <c r="B59" s="569" t="s">
        <v>616</v>
      </c>
      <c r="C59" s="564"/>
      <c r="D59" s="531">
        <v>-500</v>
      </c>
      <c r="E59" s="531">
        <v>-500</v>
      </c>
      <c r="F59" s="531">
        <f t="shared" ref="F59:F64" si="1">D59-E59</f>
        <v>0</v>
      </c>
      <c r="G59" s="532"/>
      <c r="H59" s="532"/>
      <c r="I59" s="551"/>
      <c r="J59" s="491"/>
    </row>
    <row r="60" spans="1:255" ht="18" customHeight="1">
      <c r="B60" s="569" t="s">
        <v>615</v>
      </c>
      <c r="C60" s="564"/>
      <c r="D60" s="531">
        <v>-71</v>
      </c>
      <c r="E60" s="531"/>
      <c r="F60" s="531">
        <f t="shared" si="1"/>
        <v>-71</v>
      </c>
      <c r="G60" s="532"/>
      <c r="H60" s="532"/>
      <c r="I60" s="551"/>
      <c r="J60" s="491"/>
    </row>
    <row r="61" spans="1:255" ht="18" customHeight="1">
      <c r="B61" s="569" t="s">
        <v>617</v>
      </c>
      <c r="C61" s="564"/>
      <c r="D61" s="531">
        <v>-2300</v>
      </c>
      <c r="E61" s="531"/>
      <c r="F61" s="531">
        <f t="shared" si="1"/>
        <v>-2300</v>
      </c>
      <c r="G61" s="532"/>
      <c r="H61" s="532"/>
      <c r="I61" s="551"/>
      <c r="J61" s="491"/>
    </row>
    <row r="62" spans="1:255" ht="18" customHeight="1">
      <c r="B62" s="569" t="s">
        <v>618</v>
      </c>
      <c r="C62" s="564"/>
      <c r="D62" s="531">
        <v>-2550</v>
      </c>
      <c r="E62" s="531"/>
      <c r="F62" s="531">
        <f t="shared" si="1"/>
        <v>-2550</v>
      </c>
      <c r="G62" s="532"/>
      <c r="H62" s="532"/>
      <c r="I62" s="551"/>
      <c r="J62" s="491"/>
    </row>
    <row r="63" spans="1:255" ht="18" customHeight="1">
      <c r="B63" s="569" t="s">
        <v>619</v>
      </c>
      <c r="C63" s="564"/>
      <c r="D63" s="531">
        <v>-608.1</v>
      </c>
      <c r="E63" s="531">
        <v>-608.1</v>
      </c>
      <c r="F63" s="531">
        <f t="shared" si="1"/>
        <v>0</v>
      </c>
      <c r="G63" s="532"/>
      <c r="H63" s="532"/>
      <c r="I63" s="551"/>
      <c r="J63" s="491"/>
    </row>
    <row r="64" spans="1:255" ht="18" customHeight="1">
      <c r="B64" s="569" t="s">
        <v>620</v>
      </c>
      <c r="C64" s="564"/>
      <c r="D64" s="531"/>
      <c r="E64" s="531">
        <v>138.5</v>
      </c>
      <c r="F64" s="531">
        <f t="shared" si="1"/>
        <v>-138.5</v>
      </c>
      <c r="G64" s="532"/>
      <c r="H64" s="532"/>
      <c r="I64" s="551"/>
      <c r="J64" s="491"/>
    </row>
    <row r="65" spans="1:255" ht="18" customHeight="1">
      <c r="B65" s="569"/>
      <c r="C65" s="564"/>
      <c r="D65" s="531"/>
      <c r="E65" s="531"/>
      <c r="F65" s="531">
        <f>D65-E65</f>
        <v>0</v>
      </c>
      <c r="G65" s="532"/>
      <c r="H65" s="532"/>
      <c r="I65" s="551"/>
      <c r="J65" s="491"/>
    </row>
    <row r="66" spans="1:255" ht="18" customHeight="1">
      <c r="B66" s="569" t="s">
        <v>33</v>
      </c>
      <c r="C66" s="564"/>
      <c r="D66" s="531"/>
      <c r="E66" s="531">
        <f>-'WS 2- Service Changes'!J20</f>
        <v>0</v>
      </c>
      <c r="F66" s="531">
        <f>D66-E66</f>
        <v>0</v>
      </c>
      <c r="G66" s="532"/>
      <c r="H66" s="532"/>
      <c r="I66" s="491"/>
      <c r="J66" s="491"/>
    </row>
    <row r="67" spans="1:255" ht="18" customHeight="1">
      <c r="B67" s="569" t="s">
        <v>21</v>
      </c>
      <c r="C67" s="564"/>
      <c r="D67" s="531"/>
      <c r="E67" s="531"/>
      <c r="F67" s="531">
        <f>D67-E67</f>
        <v>0</v>
      </c>
      <c r="G67" s="532"/>
      <c r="H67" s="532"/>
      <c r="I67" s="491"/>
      <c r="J67" s="552"/>
    </row>
    <row r="68" spans="1:255" ht="18" customHeight="1">
      <c r="B68" s="570" t="s">
        <v>569</v>
      </c>
      <c r="C68" s="571">
        <f>'WS 2- Service Changes'!K33</f>
        <v>0</v>
      </c>
      <c r="D68" s="572">
        <f>'WS 2- Service Changes'!J33</f>
        <v>0</v>
      </c>
      <c r="E68" s="531"/>
      <c r="F68" s="531">
        <f>D68-E68</f>
        <v>0</v>
      </c>
      <c r="G68" s="533">
        <f>'WS 2- Service Changes'!L33</f>
        <v>0</v>
      </c>
      <c r="H68" s="533">
        <f>'WS 2- Service Changes'!N33</f>
        <v>0</v>
      </c>
      <c r="I68" s="491"/>
      <c r="J68" s="491"/>
    </row>
    <row r="69" spans="1:255" s="29" customFormat="1" ht="18" customHeight="1">
      <c r="A69" s="28"/>
      <c r="B69" s="565" t="s">
        <v>29</v>
      </c>
      <c r="C69" s="535">
        <f t="shared" ref="C69:H69" si="2">SUM(C54:C68)</f>
        <v>0</v>
      </c>
      <c r="D69" s="535">
        <f t="shared" si="2"/>
        <v>-6029.1</v>
      </c>
      <c r="E69" s="535">
        <f t="shared" si="2"/>
        <v>-969.59999999999991</v>
      </c>
      <c r="F69" s="535">
        <f t="shared" si="2"/>
        <v>-5059.5</v>
      </c>
      <c r="G69" s="535">
        <f t="shared" si="2"/>
        <v>0</v>
      </c>
      <c r="H69" s="508">
        <f t="shared" si="2"/>
        <v>0</v>
      </c>
      <c r="I69" s="547"/>
      <c r="J69" s="548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</row>
    <row r="70" spans="1:255" ht="6" customHeight="1">
      <c r="B70" s="573"/>
      <c r="C70" s="574"/>
      <c r="D70" s="575"/>
      <c r="E70" s="575"/>
      <c r="F70" s="575"/>
      <c r="G70" s="534"/>
      <c r="H70" s="534"/>
      <c r="I70" s="491"/>
      <c r="J70" s="553"/>
    </row>
    <row r="71" spans="1:255" s="29" customFormat="1" ht="18" customHeight="1">
      <c r="A71" s="28"/>
      <c r="B71" s="565" t="s">
        <v>575</v>
      </c>
      <c r="C71" s="535">
        <f t="shared" ref="C71:H71" si="3">C69+C53</f>
        <v>919.8</v>
      </c>
      <c r="D71" s="535">
        <f t="shared" si="3"/>
        <v>169789.59999999995</v>
      </c>
      <c r="E71" s="535">
        <f t="shared" si="3"/>
        <v>118564.6</v>
      </c>
      <c r="F71" s="535">
        <f t="shared" si="3"/>
        <v>51224.999999999985</v>
      </c>
      <c r="G71" s="535">
        <f t="shared" si="3"/>
        <v>0</v>
      </c>
      <c r="H71" s="508">
        <f t="shared" si="3"/>
        <v>-111.8</v>
      </c>
      <c r="I71" s="547"/>
      <c r="J71" s="548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</row>
    <row r="72" spans="1:255" ht="18" customHeight="1">
      <c r="B72" s="576" t="s">
        <v>68</v>
      </c>
      <c r="C72" s="567"/>
      <c r="D72" s="568"/>
      <c r="E72" s="568"/>
      <c r="F72" s="550"/>
      <c r="G72" s="550"/>
      <c r="H72" s="550"/>
      <c r="I72" s="491"/>
      <c r="J72" s="553"/>
    </row>
    <row r="73" spans="1:255" s="10" customFormat="1" ht="18" customHeight="1">
      <c r="B73" s="577" t="s">
        <v>19</v>
      </c>
      <c r="C73" s="493"/>
      <c r="D73" s="578"/>
      <c r="E73" s="578"/>
      <c r="F73" s="554">
        <f>IF(F72=0,0,(F71-F72)/F72)</f>
        <v>0</v>
      </c>
      <c r="G73" s="554"/>
      <c r="H73" s="554"/>
      <c r="I73" s="490"/>
      <c r="J73" s="490"/>
    </row>
    <row r="74" spans="1:255" ht="18" customHeight="1">
      <c r="B74" s="563" t="s">
        <v>576</v>
      </c>
      <c r="C74" s="579"/>
      <c r="D74" s="580"/>
      <c r="E74" s="580"/>
      <c r="F74" s="581">
        <f>IF(F18=0,0,(F71-F18)/F18)</f>
        <v>-5.5257086263466065E-2</v>
      </c>
      <c r="G74" s="581"/>
      <c r="H74" s="581"/>
      <c r="I74" s="491"/>
      <c r="J74" s="491"/>
    </row>
    <row r="75" spans="1:255">
      <c r="B75" s="491"/>
      <c r="C75" s="491"/>
      <c r="D75" s="491"/>
      <c r="E75" s="491"/>
      <c r="F75" s="491"/>
      <c r="G75" s="491"/>
      <c r="H75" s="491"/>
      <c r="I75" s="491"/>
      <c r="J75" s="491"/>
      <c r="K75"/>
    </row>
    <row r="76" spans="1:255" customFormat="1" ht="21" customHeight="1">
      <c r="B76" s="488"/>
      <c r="C76" s="488"/>
      <c r="D76" s="488"/>
      <c r="E76" s="488"/>
      <c r="F76" s="488"/>
      <c r="G76" s="488"/>
      <c r="H76" s="488"/>
      <c r="I76" s="488"/>
      <c r="J76" s="488"/>
    </row>
    <row r="77" spans="1:255" customFormat="1">
      <c r="B77" s="488"/>
      <c r="C77" s="488"/>
      <c r="D77" s="488"/>
      <c r="E77" s="488"/>
      <c r="F77" s="488"/>
      <c r="G77" s="488"/>
      <c r="H77" s="488"/>
      <c r="I77" s="488"/>
      <c r="J77" s="488"/>
    </row>
    <row r="78" spans="1:255" customFormat="1">
      <c r="B78" s="488"/>
      <c r="C78" s="488"/>
      <c r="D78" s="488"/>
      <c r="E78" s="488"/>
      <c r="F78" s="488"/>
      <c r="G78" s="488"/>
      <c r="H78" s="488"/>
      <c r="I78" s="488"/>
      <c r="J78" s="488"/>
    </row>
    <row r="79" spans="1:255" customFormat="1">
      <c r="B79" s="488"/>
      <c r="C79" s="488"/>
      <c r="D79" s="488"/>
      <c r="E79" s="488"/>
      <c r="F79" s="488"/>
      <c r="G79" s="488"/>
      <c r="H79" s="488"/>
      <c r="I79" s="488"/>
      <c r="J79" s="488"/>
    </row>
    <row r="80" spans="1:255" customFormat="1">
      <c r="B80" s="488"/>
      <c r="C80" s="488"/>
      <c r="D80" s="488"/>
      <c r="E80" s="488"/>
      <c r="F80" s="488"/>
      <c r="G80" s="488"/>
      <c r="H80" s="488"/>
      <c r="I80" s="488"/>
      <c r="J80" s="488"/>
    </row>
    <row r="81" customFormat="1"/>
    <row r="82" customFormat="1"/>
    <row r="83" customFormat="1"/>
    <row r="84" customFormat="1"/>
    <row r="85" customFormat="1"/>
    <row r="86" customFormat="1"/>
  </sheetData>
  <mergeCells count="2">
    <mergeCell ref="B1:H1"/>
    <mergeCell ref="B2:H2"/>
  </mergeCells>
  <phoneticPr fontId="8" type="noConversion"/>
  <printOptions horizontalCentered="1"/>
  <pageMargins left="0.25" right="0.19" top="0.98425196850393704" bottom="0.98425196850393704" header="0.511811023622047" footer="0.511811023622047"/>
  <pageSetup paperSize="17" scale="8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2:Q39"/>
  <sheetViews>
    <sheetView showGridLines="0" zoomScale="90" zoomScaleNormal="100" workbookViewId="0">
      <selection activeCell="F65" sqref="F65"/>
    </sheetView>
  </sheetViews>
  <sheetFormatPr defaultRowHeight="12.75"/>
  <cols>
    <col min="1" max="1" width="3.7109375" customWidth="1"/>
    <col min="2" max="2" width="3.28515625" customWidth="1"/>
    <col min="3" max="3" width="30.42578125" style="51" customWidth="1"/>
    <col min="4" max="7" width="8.7109375" style="51" customWidth="1"/>
    <col min="8" max="8" width="8.140625" style="51" customWidth="1"/>
    <col min="9" max="9" width="11.28515625" style="51" customWidth="1"/>
    <col min="10" max="10" width="8.7109375" style="51" customWidth="1"/>
    <col min="11" max="11" width="7.140625" style="51" customWidth="1"/>
    <col min="12" max="12" width="8.42578125" style="51" customWidth="1"/>
    <col min="13" max="13" width="7" style="51" customWidth="1"/>
    <col min="14" max="14" width="8.42578125" style="51" customWidth="1"/>
    <col min="15" max="15" width="7" style="51" customWidth="1"/>
    <col min="16" max="16" width="2.7109375" style="56" customWidth="1"/>
    <col min="17" max="16384" width="9.140625" style="51"/>
  </cols>
  <sheetData>
    <row r="2" spans="1:17" ht="15.75">
      <c r="C2" s="684" t="s">
        <v>585</v>
      </c>
      <c r="D2" s="684"/>
      <c r="E2" s="684"/>
      <c r="F2" s="684"/>
      <c r="G2" s="684"/>
      <c r="H2" s="684"/>
      <c r="I2" s="684"/>
    </row>
    <row r="3" spans="1:17" ht="15.75">
      <c r="C3" s="201" t="s">
        <v>583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189"/>
      <c r="P3" s="46"/>
    </row>
    <row r="4" spans="1:17">
      <c r="E4" s="503"/>
      <c r="F4" s="503"/>
      <c r="G4" s="503"/>
    </row>
    <row r="5" spans="1:17" ht="42" customHeight="1">
      <c r="C5" s="693" t="s">
        <v>23</v>
      </c>
      <c r="D5" s="686" t="s">
        <v>580</v>
      </c>
      <c r="E5" s="699"/>
      <c r="F5" s="696" t="s">
        <v>581</v>
      </c>
      <c r="G5" s="697"/>
      <c r="H5" s="699"/>
      <c r="I5" s="696" t="s">
        <v>582</v>
      </c>
      <c r="J5" s="697"/>
      <c r="K5" s="698"/>
      <c r="L5" s="686" t="s">
        <v>22</v>
      </c>
      <c r="M5" s="687"/>
      <c r="N5" s="687"/>
      <c r="O5" s="688"/>
      <c r="P5" s="55"/>
    </row>
    <row r="6" spans="1:17" ht="24.75" customHeight="1">
      <c r="C6" s="694"/>
      <c r="D6" s="52" t="s">
        <v>24</v>
      </c>
      <c r="E6" s="505" t="s">
        <v>25</v>
      </c>
      <c r="F6" s="504" t="s">
        <v>24</v>
      </c>
      <c r="G6" s="505" t="s">
        <v>25</v>
      </c>
      <c r="H6" s="504" t="s">
        <v>67</v>
      </c>
      <c r="I6" s="505" t="s">
        <v>24</v>
      </c>
      <c r="J6" s="504" t="s">
        <v>25</v>
      </c>
      <c r="K6" s="505" t="s">
        <v>67</v>
      </c>
      <c r="L6" s="690">
        <v>2013</v>
      </c>
      <c r="M6" s="691"/>
      <c r="N6" s="690">
        <f>L6+1</f>
        <v>2014</v>
      </c>
      <c r="O6" s="691"/>
      <c r="P6" s="47"/>
    </row>
    <row r="7" spans="1:17">
      <c r="C7" s="695"/>
      <c r="D7" s="155" t="s">
        <v>1</v>
      </c>
      <c r="E7" s="507" t="s">
        <v>1</v>
      </c>
      <c r="F7" s="506" t="s">
        <v>1</v>
      </c>
      <c r="G7" s="507" t="s">
        <v>1</v>
      </c>
      <c r="H7" s="506" t="s">
        <v>26</v>
      </c>
      <c r="I7" s="507" t="s">
        <v>1</v>
      </c>
      <c r="J7" s="506" t="s">
        <v>1</v>
      </c>
      <c r="K7" s="507" t="s">
        <v>26</v>
      </c>
      <c r="L7" s="155" t="s">
        <v>1</v>
      </c>
      <c r="M7" s="196" t="s">
        <v>66</v>
      </c>
      <c r="N7" s="155" t="s">
        <v>1</v>
      </c>
      <c r="O7" s="155" t="s">
        <v>66</v>
      </c>
      <c r="P7" s="6"/>
    </row>
    <row r="8" spans="1:17">
      <c r="C8" s="192"/>
      <c r="D8" s="187"/>
      <c r="E8" s="509"/>
      <c r="F8" s="510"/>
      <c r="G8" s="511"/>
      <c r="H8" s="536"/>
      <c r="I8" s="519"/>
      <c r="J8" s="536"/>
      <c r="K8" s="519"/>
      <c r="L8" s="264"/>
      <c r="M8" s="265"/>
      <c r="N8" s="264"/>
      <c r="O8" s="266"/>
      <c r="P8" s="6"/>
    </row>
    <row r="9" spans="1:17">
      <c r="C9" s="41" t="s">
        <v>69</v>
      </c>
      <c r="D9" s="253"/>
      <c r="E9" s="492"/>
      <c r="F9" s="512"/>
      <c r="G9" s="513"/>
      <c r="H9" s="537"/>
      <c r="I9" s="522"/>
      <c r="J9" s="537"/>
      <c r="K9" s="522"/>
      <c r="L9" s="267"/>
      <c r="M9" s="268"/>
      <c r="N9" s="267"/>
      <c r="O9" s="269"/>
      <c r="P9" s="6"/>
    </row>
    <row r="10" spans="1:17" ht="12" customHeight="1">
      <c r="C10" s="689"/>
      <c r="D10" s="256"/>
      <c r="E10" s="514"/>
      <c r="F10" s="515"/>
      <c r="G10" s="514"/>
      <c r="H10" s="515"/>
      <c r="I10" s="514"/>
      <c r="J10" s="515"/>
      <c r="K10" s="514"/>
      <c r="L10" s="256"/>
      <c r="M10" s="257"/>
      <c r="N10" s="256"/>
      <c r="O10" s="258"/>
      <c r="P10" s="48"/>
      <c r="Q10" s="270" t="s">
        <v>466</v>
      </c>
    </row>
    <row r="11" spans="1:17" ht="12" customHeight="1">
      <c r="C11" s="689"/>
      <c r="D11" s="256"/>
      <c r="E11" s="514"/>
      <c r="F11" s="515"/>
      <c r="G11" s="514"/>
      <c r="H11" s="515"/>
      <c r="I11" s="514"/>
      <c r="J11" s="515"/>
      <c r="K11" s="514"/>
      <c r="L11" s="256"/>
      <c r="M11" s="257"/>
      <c r="N11" s="256"/>
      <c r="O11" s="258"/>
      <c r="P11" s="48"/>
      <c r="Q11" s="270"/>
    </row>
    <row r="12" spans="1:17" ht="39.75" customHeight="1">
      <c r="C12" s="199" t="s">
        <v>534</v>
      </c>
      <c r="D12" s="259"/>
      <c r="E12" s="516"/>
      <c r="F12" s="517"/>
      <c r="G12" s="516">
        <f>F12</f>
        <v>0</v>
      </c>
      <c r="H12" s="517"/>
      <c r="I12" s="516">
        <f>D12+F12</f>
        <v>0</v>
      </c>
      <c r="J12" s="517">
        <f>E12+G12</f>
        <v>0</v>
      </c>
      <c r="K12" s="516"/>
      <c r="L12" s="259"/>
      <c r="M12" s="260"/>
      <c r="N12" s="259"/>
      <c r="O12" s="261"/>
      <c r="P12" s="49"/>
    </row>
    <row r="13" spans="1:17" s="36" customFormat="1" ht="24.75" customHeight="1">
      <c r="A13"/>
      <c r="B13"/>
      <c r="C13" s="53" t="s">
        <v>72</v>
      </c>
      <c r="D13" s="226">
        <f t="shared" ref="D13:O13" si="0">SUM(D8:D12)</f>
        <v>0</v>
      </c>
      <c r="E13" s="518">
        <f t="shared" si="0"/>
        <v>0</v>
      </c>
      <c r="F13" s="518">
        <f t="shared" si="0"/>
        <v>0</v>
      </c>
      <c r="G13" s="518">
        <f t="shared" si="0"/>
        <v>0</v>
      </c>
      <c r="H13" s="518">
        <f t="shared" si="0"/>
        <v>0</v>
      </c>
      <c r="I13" s="518">
        <f t="shared" si="0"/>
        <v>0</v>
      </c>
      <c r="J13" s="518">
        <f t="shared" si="0"/>
        <v>0</v>
      </c>
      <c r="K13" s="518">
        <f t="shared" si="0"/>
        <v>0</v>
      </c>
      <c r="L13" s="226">
        <f t="shared" si="0"/>
        <v>0</v>
      </c>
      <c r="M13" s="226">
        <f t="shared" si="0"/>
        <v>0</v>
      </c>
      <c r="N13" s="226">
        <f t="shared" si="0"/>
        <v>0</v>
      </c>
      <c r="O13" s="226">
        <f t="shared" si="0"/>
        <v>0</v>
      </c>
      <c r="P13" s="43"/>
    </row>
    <row r="14" spans="1:17" ht="12" customHeight="1">
      <c r="C14" s="194"/>
      <c r="D14" s="264"/>
      <c r="E14" s="519"/>
      <c r="F14" s="520"/>
      <c r="G14" s="521"/>
      <c r="H14" s="536"/>
      <c r="I14" s="519"/>
      <c r="J14" s="536"/>
      <c r="K14" s="519"/>
      <c r="L14" s="264"/>
      <c r="M14" s="265"/>
      <c r="N14" s="264"/>
      <c r="O14" s="266"/>
      <c r="P14" s="44"/>
    </row>
    <row r="15" spans="1:17" ht="12" customHeight="1">
      <c r="C15" s="41" t="s">
        <v>70</v>
      </c>
      <c r="D15" s="267"/>
      <c r="E15" s="522"/>
      <c r="F15" s="489"/>
      <c r="G15" s="487"/>
      <c r="H15" s="537"/>
      <c r="I15" s="522"/>
      <c r="J15" s="537"/>
      <c r="K15" s="522"/>
      <c r="L15" s="267"/>
      <c r="M15" s="268"/>
      <c r="N15" s="267"/>
      <c r="O15" s="269"/>
      <c r="P15" s="44"/>
    </row>
    <row r="16" spans="1:17" ht="12" customHeight="1">
      <c r="C16" s="54"/>
      <c r="D16" s="267"/>
      <c r="E16" s="522"/>
      <c r="F16" s="489"/>
      <c r="G16" s="487"/>
      <c r="H16" s="537"/>
      <c r="I16" s="522"/>
      <c r="J16" s="537"/>
      <c r="K16" s="522"/>
      <c r="L16" s="267"/>
      <c r="M16" s="268"/>
      <c r="N16" s="267"/>
      <c r="O16" s="269"/>
      <c r="P16" s="44"/>
    </row>
    <row r="17" spans="3:16" ht="12" customHeight="1">
      <c r="C17" s="689" t="s">
        <v>621</v>
      </c>
      <c r="D17" s="256"/>
      <c r="E17" s="514"/>
      <c r="F17" s="515"/>
      <c r="G17" s="514" t="s">
        <v>33</v>
      </c>
      <c r="H17" s="515"/>
      <c r="I17" s="514" t="s">
        <v>33</v>
      </c>
      <c r="J17" s="515" t="s">
        <v>33</v>
      </c>
      <c r="K17" s="522"/>
      <c r="L17" s="267"/>
      <c r="M17" s="268"/>
      <c r="N17" s="267"/>
      <c r="O17" s="269"/>
      <c r="P17" s="44"/>
    </row>
    <row r="18" spans="3:16" ht="12" customHeight="1">
      <c r="C18" s="692"/>
      <c r="D18" s="256"/>
      <c r="E18" s="514"/>
      <c r="F18" s="515">
        <v>1010.5</v>
      </c>
      <c r="G18" s="514">
        <v>0</v>
      </c>
      <c r="H18" s="515"/>
      <c r="I18" s="514">
        <f t="shared" ref="I18:I19" si="1">D18+F18</f>
        <v>1010.5</v>
      </c>
      <c r="J18" s="515">
        <f t="shared" ref="J18:J19" si="2">E18+G18</f>
        <v>0</v>
      </c>
      <c r="K18" s="522"/>
      <c r="L18" s="267"/>
      <c r="M18" s="268"/>
      <c r="N18" s="267"/>
      <c r="O18" s="269"/>
      <c r="P18" s="44"/>
    </row>
    <row r="19" spans="3:16" ht="12" customHeight="1">
      <c r="C19" s="40" t="s">
        <v>622</v>
      </c>
      <c r="D19" s="256"/>
      <c r="E19" s="257"/>
      <c r="F19" s="256">
        <v>66.599999999999994</v>
      </c>
      <c r="G19" s="257">
        <v>0</v>
      </c>
      <c r="H19" s="515"/>
      <c r="I19" s="514">
        <f t="shared" si="1"/>
        <v>66.599999999999994</v>
      </c>
      <c r="J19" s="515">
        <f t="shared" si="2"/>
        <v>0</v>
      </c>
      <c r="K19" s="514"/>
      <c r="L19" s="256"/>
      <c r="M19" s="257"/>
      <c r="N19" s="256"/>
      <c r="O19" s="258"/>
      <c r="P19" s="37"/>
    </row>
    <row r="20" spans="3:16" ht="12" customHeight="1">
      <c r="C20" s="689" t="s">
        <v>623</v>
      </c>
      <c r="D20" s="256"/>
      <c r="E20" s="257"/>
      <c r="F20" s="256">
        <v>288.3</v>
      </c>
      <c r="G20" s="257">
        <v>0</v>
      </c>
      <c r="H20" s="515"/>
      <c r="I20" s="514">
        <f>D20+F20</f>
        <v>288.3</v>
      </c>
      <c r="J20" s="515">
        <f>E20+G20</f>
        <v>0</v>
      </c>
      <c r="K20" s="514"/>
      <c r="L20" s="256"/>
      <c r="M20" s="257"/>
      <c r="N20" s="256"/>
      <c r="O20" s="258"/>
      <c r="P20" s="37"/>
    </row>
    <row r="21" spans="3:16" ht="12" customHeight="1">
      <c r="C21" s="689"/>
      <c r="D21" s="256"/>
      <c r="E21" s="257"/>
      <c r="F21" s="256"/>
      <c r="G21" s="257"/>
      <c r="H21" s="515"/>
      <c r="I21" s="514">
        <f t="shared" ref="I21:I27" si="3">D21+F21</f>
        <v>0</v>
      </c>
      <c r="J21" s="515">
        <f t="shared" ref="J21:J27" si="4">E21+G21</f>
        <v>0</v>
      </c>
      <c r="K21" s="514"/>
      <c r="L21" s="256"/>
      <c r="M21" s="257"/>
      <c r="N21" s="256"/>
      <c r="O21" s="258"/>
      <c r="P21" s="37"/>
    </row>
    <row r="22" spans="3:16" ht="12" customHeight="1">
      <c r="C22" s="199" t="s">
        <v>624</v>
      </c>
      <c r="D22" s="256"/>
      <c r="E22" s="257"/>
      <c r="F22" s="256">
        <v>464.5</v>
      </c>
      <c r="G22" s="257">
        <v>465.5</v>
      </c>
      <c r="H22" s="515"/>
      <c r="I22" s="514">
        <f t="shared" si="3"/>
        <v>464.5</v>
      </c>
      <c r="J22" s="515">
        <f t="shared" si="4"/>
        <v>465.5</v>
      </c>
      <c r="K22" s="514"/>
      <c r="L22" s="256"/>
      <c r="M22" s="257"/>
      <c r="N22" s="256"/>
      <c r="O22" s="258"/>
      <c r="P22" s="37"/>
    </row>
    <row r="23" spans="3:16" ht="12" customHeight="1">
      <c r="C23" s="199" t="s">
        <v>625</v>
      </c>
      <c r="D23" s="256"/>
      <c r="E23" s="257"/>
      <c r="F23" s="256">
        <v>50</v>
      </c>
      <c r="G23" s="257">
        <v>0</v>
      </c>
      <c r="H23" s="515"/>
      <c r="I23" s="514">
        <f t="shared" si="3"/>
        <v>50</v>
      </c>
      <c r="J23" s="515">
        <f t="shared" si="4"/>
        <v>0</v>
      </c>
      <c r="K23" s="514"/>
      <c r="L23" s="256"/>
      <c r="M23" s="257"/>
      <c r="N23" s="256"/>
      <c r="O23" s="258"/>
      <c r="P23" s="37"/>
    </row>
    <row r="24" spans="3:16" ht="12" customHeight="1">
      <c r="C24" s="199" t="s">
        <v>626</v>
      </c>
      <c r="D24" s="256"/>
      <c r="E24" s="257"/>
      <c r="F24" s="256">
        <v>84.8</v>
      </c>
      <c r="G24" s="257">
        <v>0</v>
      </c>
      <c r="H24" s="515"/>
      <c r="I24" s="514">
        <f t="shared" si="3"/>
        <v>84.8</v>
      </c>
      <c r="J24" s="515">
        <f t="shared" si="4"/>
        <v>0</v>
      </c>
      <c r="K24" s="514"/>
      <c r="L24" s="256"/>
      <c r="M24" s="257"/>
      <c r="N24" s="256"/>
      <c r="O24" s="258"/>
      <c r="P24" s="37"/>
    </row>
    <row r="25" spans="3:16" ht="12" customHeight="1">
      <c r="C25" s="199" t="s">
        <v>627</v>
      </c>
      <c r="D25" s="515"/>
      <c r="E25" s="514"/>
      <c r="F25" s="256">
        <v>50.4</v>
      </c>
      <c r="G25" s="257">
        <v>0</v>
      </c>
      <c r="H25" s="515"/>
      <c r="I25" s="514">
        <f t="shared" si="3"/>
        <v>50.4</v>
      </c>
      <c r="J25" s="515">
        <f t="shared" si="4"/>
        <v>0</v>
      </c>
      <c r="K25" s="514"/>
      <c r="L25" s="256"/>
      <c r="M25" s="257"/>
      <c r="N25" s="256"/>
      <c r="O25" s="258"/>
      <c r="P25" s="37"/>
    </row>
    <row r="26" spans="3:16" ht="12" customHeight="1">
      <c r="C26" s="199" t="s">
        <v>628</v>
      </c>
      <c r="D26" s="256"/>
      <c r="E26" s="257"/>
      <c r="F26" s="256">
        <v>400</v>
      </c>
      <c r="G26" s="257">
        <v>0</v>
      </c>
      <c r="H26" s="515"/>
      <c r="I26" s="514">
        <f t="shared" si="3"/>
        <v>400</v>
      </c>
      <c r="J26" s="515">
        <f t="shared" si="4"/>
        <v>0</v>
      </c>
      <c r="K26" s="514"/>
      <c r="L26" s="256"/>
      <c r="M26" s="257"/>
      <c r="N26" s="256"/>
      <c r="O26" s="258"/>
      <c r="P26" s="37"/>
    </row>
    <row r="27" spans="3:16" ht="12" customHeight="1">
      <c r="C27" s="199" t="s">
        <v>629</v>
      </c>
      <c r="D27" s="256"/>
      <c r="E27" s="257"/>
      <c r="F27" s="256">
        <v>10</v>
      </c>
      <c r="G27" s="257">
        <v>0</v>
      </c>
      <c r="H27" s="515"/>
      <c r="I27" s="514">
        <f t="shared" si="3"/>
        <v>10</v>
      </c>
      <c r="J27" s="515">
        <f t="shared" si="4"/>
        <v>0</v>
      </c>
      <c r="K27" s="514"/>
      <c r="L27" s="256"/>
      <c r="M27" s="257"/>
      <c r="N27" s="256"/>
      <c r="O27" s="258"/>
      <c r="P27" s="37"/>
    </row>
    <row r="28" spans="3:16" ht="12" customHeight="1">
      <c r="C28" s="199"/>
      <c r="D28" s="256"/>
      <c r="E28" s="257"/>
      <c r="F28" s="256"/>
      <c r="G28" s="257"/>
      <c r="H28" s="256"/>
      <c r="I28" s="514"/>
      <c r="J28" s="515"/>
      <c r="K28" s="514"/>
      <c r="L28" s="256"/>
      <c r="M28" s="257"/>
      <c r="N28" s="256"/>
      <c r="O28" s="258"/>
      <c r="P28" s="37"/>
    </row>
    <row r="29" spans="3:16" ht="12" customHeight="1">
      <c r="C29" s="40"/>
      <c r="D29" s="256"/>
      <c r="E29" s="257"/>
      <c r="F29" s="256"/>
      <c r="G29" s="257"/>
      <c r="H29" s="256"/>
      <c r="I29" s="514"/>
      <c r="J29" s="515"/>
      <c r="K29" s="514"/>
      <c r="L29" s="256"/>
      <c r="M29" s="257"/>
      <c r="N29" s="256"/>
      <c r="O29" s="258"/>
      <c r="P29" s="37"/>
    </row>
    <row r="30" spans="3:16" ht="12" customHeight="1">
      <c r="C30" s="40"/>
      <c r="D30" s="256"/>
      <c r="E30" s="257"/>
      <c r="F30" s="256"/>
      <c r="G30" s="257"/>
      <c r="H30" s="256"/>
      <c r="I30" s="514"/>
      <c r="J30" s="515"/>
      <c r="K30" s="514"/>
      <c r="L30" s="256"/>
      <c r="M30" s="257"/>
      <c r="N30" s="256"/>
      <c r="O30" s="258"/>
      <c r="P30" s="37"/>
    </row>
    <row r="31" spans="3:16" ht="12" customHeight="1">
      <c r="C31" s="41"/>
      <c r="D31" s="256"/>
      <c r="E31" s="257"/>
      <c r="F31" s="256"/>
      <c r="G31" s="257"/>
      <c r="H31" s="256"/>
      <c r="I31" s="514"/>
      <c r="J31" s="515"/>
      <c r="K31" s="514"/>
      <c r="L31" s="256"/>
      <c r="M31" s="257"/>
      <c r="N31" s="256"/>
      <c r="O31" s="258"/>
      <c r="P31" s="37"/>
    </row>
    <row r="32" spans="3:16" ht="12" customHeight="1">
      <c r="C32" s="689"/>
      <c r="D32" s="256"/>
      <c r="E32" s="257"/>
      <c r="F32" s="259"/>
      <c r="G32" s="257"/>
      <c r="H32" s="259"/>
      <c r="I32" s="516"/>
      <c r="J32" s="515"/>
      <c r="K32" s="516"/>
      <c r="L32" s="262"/>
      <c r="M32" s="263"/>
      <c r="N32" s="259"/>
      <c r="O32" s="261"/>
      <c r="P32" s="37"/>
    </row>
    <row r="33" spans="1:16" ht="12" customHeight="1">
      <c r="C33" s="689"/>
      <c r="D33" s="256"/>
      <c r="E33" s="257">
        <f>D33</f>
        <v>0</v>
      </c>
      <c r="F33" s="259"/>
      <c r="G33" s="257"/>
      <c r="H33" s="259"/>
      <c r="I33" s="516">
        <f>D33+F33</f>
        <v>0</v>
      </c>
      <c r="J33" s="515">
        <f>E33+G33</f>
        <v>0</v>
      </c>
      <c r="K33" s="516"/>
      <c r="L33" s="262"/>
      <c r="M33" s="263"/>
      <c r="N33" s="259"/>
      <c r="O33" s="261"/>
      <c r="P33" s="37"/>
    </row>
    <row r="34" spans="1:16">
      <c r="C34" s="40"/>
      <c r="D34" s="256"/>
      <c r="E34" s="257"/>
      <c r="F34" s="259"/>
      <c r="G34" s="260"/>
      <c r="H34" s="259"/>
      <c r="I34" s="516"/>
      <c r="J34" s="517"/>
      <c r="K34" s="516"/>
      <c r="L34" s="259"/>
      <c r="M34" s="260"/>
      <c r="N34" s="259"/>
      <c r="O34" s="261"/>
      <c r="P34" s="37"/>
    </row>
    <row r="35" spans="1:16" s="36" customFormat="1" ht="18" customHeight="1">
      <c r="A35"/>
      <c r="B35"/>
      <c r="C35" s="53" t="s">
        <v>73</v>
      </c>
      <c r="D35" s="226">
        <f t="shared" ref="D35:O35" si="5">SUM(D14:D34)</f>
        <v>0</v>
      </c>
      <c r="E35" s="226">
        <f t="shared" si="5"/>
        <v>0</v>
      </c>
      <c r="F35" s="226">
        <f t="shared" si="5"/>
        <v>2425.1</v>
      </c>
      <c r="G35" s="226">
        <f t="shared" si="5"/>
        <v>465.5</v>
      </c>
      <c r="H35" s="226">
        <f t="shared" si="5"/>
        <v>0</v>
      </c>
      <c r="I35" s="518">
        <f t="shared" si="5"/>
        <v>2425.1</v>
      </c>
      <c r="J35" s="518">
        <f t="shared" si="5"/>
        <v>465.5</v>
      </c>
      <c r="K35" s="518">
        <f t="shared" si="5"/>
        <v>0</v>
      </c>
      <c r="L35" s="226">
        <f t="shared" si="5"/>
        <v>0</v>
      </c>
      <c r="M35" s="226">
        <f t="shared" si="5"/>
        <v>0</v>
      </c>
      <c r="N35" s="226">
        <f t="shared" si="5"/>
        <v>0</v>
      </c>
      <c r="O35" s="226">
        <f t="shared" si="5"/>
        <v>0</v>
      </c>
      <c r="P35" s="43"/>
    </row>
    <row r="36" spans="1:16">
      <c r="C36" s="54"/>
      <c r="D36" s="254"/>
      <c r="E36" s="255"/>
      <c r="F36" s="254"/>
      <c r="G36" s="255" t="s">
        <v>33</v>
      </c>
      <c r="H36" s="254"/>
      <c r="I36" s="556"/>
      <c r="J36" s="557" t="s">
        <v>33</v>
      </c>
      <c r="K36" s="556"/>
      <c r="L36" s="256"/>
      <c r="M36" s="257"/>
      <c r="N36" s="256"/>
      <c r="O36" s="258"/>
      <c r="P36" s="50"/>
    </row>
    <row r="37" spans="1:16" s="36" customFormat="1" ht="18" customHeight="1">
      <c r="A37"/>
      <c r="B37"/>
      <c r="C37" s="53" t="s">
        <v>71</v>
      </c>
      <c r="D37" s="226">
        <f t="shared" ref="D37:O37" si="6">D13+D35</f>
        <v>0</v>
      </c>
      <c r="E37" s="226">
        <f t="shared" si="6"/>
        <v>0</v>
      </c>
      <c r="F37" s="226">
        <f t="shared" si="6"/>
        <v>2425.1</v>
      </c>
      <c r="G37" s="226">
        <f t="shared" si="6"/>
        <v>465.5</v>
      </c>
      <c r="H37" s="226">
        <f t="shared" si="6"/>
        <v>0</v>
      </c>
      <c r="I37" s="518">
        <f t="shared" si="6"/>
        <v>2425.1</v>
      </c>
      <c r="J37" s="518">
        <f t="shared" si="6"/>
        <v>465.5</v>
      </c>
      <c r="K37" s="518">
        <f t="shared" si="6"/>
        <v>0</v>
      </c>
      <c r="L37" s="226">
        <f>L13+L35</f>
        <v>0</v>
      </c>
      <c r="M37" s="226">
        <f t="shared" si="6"/>
        <v>0</v>
      </c>
      <c r="N37" s="226">
        <f t="shared" si="6"/>
        <v>0</v>
      </c>
      <c r="O37" s="226">
        <f t="shared" si="6"/>
        <v>0</v>
      </c>
      <c r="P37" s="43"/>
    </row>
    <row r="38" spans="1:16" s="36" customFormat="1" ht="18" customHeight="1">
      <c r="A38"/>
      <c r="B38"/>
      <c r="C38" s="53" t="s">
        <v>587</v>
      </c>
      <c r="D38" s="226"/>
      <c r="E38" s="226"/>
      <c r="F38" s="226"/>
      <c r="G38" s="226"/>
      <c r="H38" s="226"/>
      <c r="I38" s="518">
        <f>+'WS 1 -Rec''d Base Changes '!D71</f>
        <v>169789.59999999995</v>
      </c>
      <c r="J38" s="518">
        <f>+'WS 1 -Rec''d Base Changes '!F71</f>
        <v>51224.999999999985</v>
      </c>
      <c r="K38" s="518"/>
      <c r="L38" s="226"/>
      <c r="M38" s="226"/>
      <c r="N38" s="226"/>
      <c r="O38" s="226"/>
      <c r="P38" s="43"/>
    </row>
    <row r="39" spans="1:16">
      <c r="C39" s="53" t="s">
        <v>586</v>
      </c>
      <c r="D39" s="226"/>
      <c r="E39" s="226"/>
      <c r="F39" s="226"/>
      <c r="G39" s="226"/>
      <c r="H39" s="226"/>
      <c r="I39" s="518">
        <f>+I38+I37</f>
        <v>172214.69999999995</v>
      </c>
      <c r="J39" s="518">
        <f>+J38+J37</f>
        <v>51690.499999999985</v>
      </c>
      <c r="K39" s="518"/>
      <c r="L39" s="226"/>
      <c r="M39" s="226"/>
      <c r="N39" s="226"/>
      <c r="O39" s="226"/>
    </row>
  </sheetData>
  <mergeCells count="12">
    <mergeCell ref="C2:I2"/>
    <mergeCell ref="C5:C7"/>
    <mergeCell ref="I5:K5"/>
    <mergeCell ref="F5:H5"/>
    <mergeCell ref="D5:E5"/>
    <mergeCell ref="L5:O5"/>
    <mergeCell ref="C10:C11"/>
    <mergeCell ref="L6:M6"/>
    <mergeCell ref="N6:O6"/>
    <mergeCell ref="C32:C33"/>
    <mergeCell ref="C20:C21"/>
    <mergeCell ref="C17:C18"/>
  </mergeCells>
  <phoneticPr fontId="8" type="noConversion"/>
  <printOptions horizontalCentered="1" verticalCentered="1"/>
  <pageMargins left="0.31496062992126" right="0.27559055118110198" top="0.74803149606299202" bottom="0.70866141732283505" header="0.511811023622047" footer="0.511811023622047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65"/>
      <c r="B1" s="193"/>
      <c r="C1" s="193"/>
      <c r="D1" s="700" t="s">
        <v>487</v>
      </c>
      <c r="E1" s="701"/>
      <c r="F1" s="702" t="s">
        <v>488</v>
      </c>
      <c r="G1" s="704" t="s">
        <v>489</v>
      </c>
    </row>
    <row r="2" spans="1:7" ht="60">
      <c r="A2" s="366" t="s">
        <v>490</v>
      </c>
      <c r="B2" s="367"/>
      <c r="C2" s="367"/>
      <c r="D2" s="366" t="s">
        <v>491</v>
      </c>
      <c r="E2" s="368" t="s">
        <v>492</v>
      </c>
      <c r="F2" s="703"/>
      <c r="G2" s="705" t="s">
        <v>489</v>
      </c>
    </row>
    <row r="3" spans="1:7" ht="15">
      <c r="A3" s="369"/>
      <c r="B3" s="370"/>
      <c r="C3" s="370"/>
      <c r="D3" s="371"/>
      <c r="E3" s="372"/>
      <c r="F3" s="373"/>
      <c r="G3" s="195"/>
    </row>
    <row r="4" spans="1:7" ht="15">
      <c r="A4" s="374">
        <v>2004</v>
      </c>
      <c r="B4" s="375"/>
      <c r="C4" s="375"/>
      <c r="D4" s="376">
        <v>2.0510000000000002</v>
      </c>
      <c r="E4" s="377">
        <v>13.667999999999999</v>
      </c>
      <c r="F4" s="376">
        <v>15.718999999999999</v>
      </c>
      <c r="G4" s="378" t="s">
        <v>493</v>
      </c>
    </row>
    <row r="5" spans="1:7" ht="15">
      <c r="A5" s="369"/>
      <c r="B5" s="370"/>
      <c r="C5" s="370"/>
      <c r="D5" s="379"/>
      <c r="E5" s="380"/>
      <c r="F5" s="379"/>
      <c r="G5" s="373"/>
    </row>
    <row r="6" spans="1:7" ht="15">
      <c r="A6" s="369">
        <v>2005</v>
      </c>
      <c r="B6" s="370"/>
      <c r="C6" s="370"/>
      <c r="D6" s="379">
        <v>0</v>
      </c>
      <c r="E6" s="380">
        <v>6.5000000000000002E-2</v>
      </c>
      <c r="F6" s="379">
        <f t="shared" ref="F6:F16" si="0">SUM(D6:E6)</f>
        <v>6.5000000000000002E-2</v>
      </c>
      <c r="G6" s="373" t="s">
        <v>494</v>
      </c>
    </row>
    <row r="7" spans="1:7" ht="15">
      <c r="A7" s="374"/>
      <c r="B7" s="375"/>
      <c r="C7" s="375"/>
      <c r="D7" s="381">
        <v>0</v>
      </c>
      <c r="E7" s="382">
        <v>0.629</v>
      </c>
      <c r="F7" s="383">
        <f t="shared" si="0"/>
        <v>0.629</v>
      </c>
      <c r="G7" s="378" t="s">
        <v>495</v>
      </c>
    </row>
    <row r="8" spans="1:7" ht="15">
      <c r="A8" s="369">
        <v>2006</v>
      </c>
      <c r="B8" s="370"/>
      <c r="C8" s="370"/>
      <c r="D8" s="384">
        <v>0</v>
      </c>
      <c r="E8" s="385">
        <v>8.0000000000000002E-3</v>
      </c>
      <c r="F8" s="379">
        <f t="shared" si="0"/>
        <v>8.0000000000000002E-3</v>
      </c>
      <c r="G8" s="373" t="s">
        <v>494</v>
      </c>
    </row>
    <row r="9" spans="1:7" ht="15">
      <c r="A9" s="374"/>
      <c r="B9" s="375"/>
      <c r="C9" s="375"/>
      <c r="D9" s="381">
        <v>0</v>
      </c>
      <c r="E9" s="382">
        <v>0.51700000000000002</v>
      </c>
      <c r="F9" s="383">
        <f t="shared" si="0"/>
        <v>0.51700000000000002</v>
      </c>
      <c r="G9" s="378" t="s">
        <v>496</v>
      </c>
    </row>
    <row r="10" spans="1:7" ht="15">
      <c r="A10" s="386">
        <v>2007</v>
      </c>
      <c r="B10" s="387"/>
      <c r="C10" s="387"/>
      <c r="D10" s="388">
        <v>0.35</v>
      </c>
      <c r="E10" s="389">
        <v>-1.9E-2</v>
      </c>
      <c r="F10" s="390">
        <f t="shared" si="0"/>
        <v>0.33099999999999996</v>
      </c>
      <c r="G10" s="391" t="s">
        <v>497</v>
      </c>
    </row>
    <row r="11" spans="1:7" ht="15">
      <c r="A11" s="369">
        <v>2008</v>
      </c>
      <c r="B11" s="370"/>
      <c r="C11" s="370"/>
      <c r="D11" s="384"/>
      <c r="E11" s="385">
        <v>0.13200000000000001</v>
      </c>
      <c r="F11" s="379">
        <f t="shared" si="0"/>
        <v>0.13200000000000001</v>
      </c>
      <c r="G11" s="373" t="s">
        <v>494</v>
      </c>
    </row>
    <row r="12" spans="1:7" ht="15">
      <c r="A12" s="374"/>
      <c r="B12" s="375"/>
      <c r="C12" s="375"/>
      <c r="D12" s="381">
        <v>-0.35</v>
      </c>
      <c r="E12" s="382">
        <f>-D12</f>
        <v>0.35</v>
      </c>
      <c r="F12" s="383">
        <f t="shared" si="0"/>
        <v>0</v>
      </c>
      <c r="G12" s="378" t="s">
        <v>498</v>
      </c>
    </row>
    <row r="13" spans="1:7" ht="15">
      <c r="A13" s="369">
        <v>2009</v>
      </c>
      <c r="B13" s="370"/>
      <c r="C13" s="370"/>
      <c r="D13" s="384"/>
      <c r="E13" s="385">
        <v>1.4E-2</v>
      </c>
      <c r="F13" s="379">
        <f>SUM(D13:E13)</f>
        <v>1.4E-2</v>
      </c>
      <c r="G13" s="373" t="s">
        <v>494</v>
      </c>
    </row>
    <row r="14" spans="1:7" ht="15">
      <c r="A14" s="374"/>
      <c r="B14" s="375"/>
      <c r="C14" s="375"/>
      <c r="D14" s="381">
        <f>-1.051+0.5</f>
        <v>-0.55099999999999993</v>
      </c>
      <c r="E14" s="382">
        <f>-D14</f>
        <v>0.55099999999999993</v>
      </c>
      <c r="F14" s="381">
        <f t="shared" si="0"/>
        <v>0</v>
      </c>
      <c r="G14" s="378" t="s">
        <v>499</v>
      </c>
    </row>
    <row r="15" spans="1:7" ht="15">
      <c r="A15" s="374">
        <v>2010</v>
      </c>
      <c r="B15" s="375"/>
      <c r="C15" s="375"/>
      <c r="D15" s="381"/>
      <c r="E15" s="381">
        <f>0.007+0.076</f>
        <v>8.3000000000000004E-2</v>
      </c>
      <c r="F15" s="381">
        <f>SUM(D15:E15)</f>
        <v>8.3000000000000004E-2</v>
      </c>
      <c r="G15" s="391" t="s">
        <v>494</v>
      </c>
    </row>
    <row r="16" spans="1:7" ht="15" hidden="1">
      <c r="A16" s="374"/>
      <c r="B16" s="375"/>
      <c r="C16" s="375"/>
      <c r="D16" s="381"/>
      <c r="E16" s="382"/>
      <c r="F16" s="381">
        <f t="shared" si="0"/>
        <v>0</v>
      </c>
      <c r="G16" s="378"/>
    </row>
    <row r="17" spans="1:7" ht="15">
      <c r="A17" s="374"/>
      <c r="B17" s="375"/>
      <c r="C17" s="375"/>
      <c r="D17" s="392">
        <f>SUM(D4:D16)</f>
        <v>1.5000000000000002</v>
      </c>
      <c r="E17" s="392">
        <f>SUM(E4:E16)</f>
        <v>15.997999999999996</v>
      </c>
      <c r="F17" s="392">
        <f>SUM(F4:F16)</f>
        <v>17.497999999999998</v>
      </c>
      <c r="G17" s="378" t="s">
        <v>500</v>
      </c>
    </row>
  </sheetData>
  <mergeCells count="3">
    <mergeCell ref="D1:E1"/>
    <mergeCell ref="F1:F2"/>
    <mergeCell ref="G1:G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94" bestFit="1" customWidth="1"/>
    <col min="2" max="2" width="8.28515625" style="394" bestFit="1" customWidth="1"/>
    <col min="3" max="3" width="8.28515625" style="440" customWidth="1"/>
    <col min="4" max="4" width="9.28515625" style="394" bestFit="1" customWidth="1"/>
    <col min="5" max="5" width="8.28515625" style="440" customWidth="1"/>
    <col min="6" max="6" width="9.85546875" style="394" bestFit="1" customWidth="1"/>
    <col min="7" max="7" width="8.7109375" style="440" customWidth="1"/>
    <col min="8" max="8" width="9.5703125" style="440" customWidth="1"/>
    <col min="9" max="9" width="8.42578125" style="440" customWidth="1"/>
    <col min="10" max="10" width="9.7109375" style="394" hidden="1" customWidth="1"/>
    <col min="11" max="13" width="8.42578125" style="440" hidden="1" customWidth="1"/>
    <col min="14" max="14" width="9.7109375" style="394" hidden="1" customWidth="1"/>
    <col min="15" max="15" width="8.7109375" style="440" hidden="1" customWidth="1"/>
    <col min="16" max="16" width="9.7109375" style="394" hidden="1" customWidth="1"/>
    <col min="17" max="17" width="8.85546875" style="440" hidden="1" customWidth="1"/>
    <col min="18" max="18" width="9.7109375" style="394" hidden="1" customWidth="1"/>
    <col min="19" max="19" width="0" style="394" hidden="1" customWidth="1"/>
    <col min="20" max="20" width="9.7109375" style="394" hidden="1" customWidth="1"/>
    <col min="21" max="21" width="0" style="394" hidden="1" customWidth="1"/>
    <col min="22" max="16384" width="9.140625" style="394"/>
  </cols>
  <sheetData>
    <row r="1" spans="1:21" ht="22.5" customHeight="1">
      <c r="A1" s="710" t="s">
        <v>554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  <c r="N1" s="711"/>
      <c r="O1" s="711"/>
      <c r="P1" s="711"/>
      <c r="Q1" s="711"/>
      <c r="R1" s="393"/>
    </row>
    <row r="2" spans="1:21" ht="22.5" customHeight="1" thickBot="1">
      <c r="A2" s="712"/>
      <c r="B2" s="713"/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393"/>
    </row>
    <row r="3" spans="1:21" s="396" customFormat="1" ht="30.75" customHeight="1">
      <c r="A3" s="395" t="s">
        <v>501</v>
      </c>
      <c r="B3" s="709" t="s">
        <v>553</v>
      </c>
      <c r="C3" s="708"/>
      <c r="D3" s="706" t="s">
        <v>531</v>
      </c>
      <c r="E3" s="714"/>
      <c r="F3" s="709" t="s">
        <v>530</v>
      </c>
      <c r="G3" s="708"/>
      <c r="H3" s="709" t="s">
        <v>289</v>
      </c>
      <c r="I3" s="708"/>
      <c r="J3" s="706" t="s">
        <v>530</v>
      </c>
      <c r="K3" s="714"/>
      <c r="L3" s="709" t="s">
        <v>289</v>
      </c>
      <c r="M3" s="708"/>
      <c r="N3" s="709" t="s">
        <v>502</v>
      </c>
      <c r="O3" s="708"/>
      <c r="P3" s="706" t="s">
        <v>503</v>
      </c>
      <c r="Q3" s="708"/>
      <c r="R3" s="706" t="s">
        <v>504</v>
      </c>
      <c r="S3" s="707"/>
      <c r="T3" s="706" t="s">
        <v>505</v>
      </c>
      <c r="U3" s="708"/>
    </row>
    <row r="4" spans="1:21" s="403" customFormat="1" ht="22.5" customHeight="1" thickBot="1">
      <c r="A4" s="397"/>
      <c r="B4" s="398" t="s">
        <v>506</v>
      </c>
      <c r="C4" s="399" t="s">
        <v>507</v>
      </c>
      <c r="D4" s="398" t="s">
        <v>506</v>
      </c>
      <c r="E4" s="399" t="s">
        <v>507</v>
      </c>
      <c r="F4" s="398" t="s">
        <v>506</v>
      </c>
      <c r="G4" s="399" t="s">
        <v>507</v>
      </c>
      <c r="H4" s="398" t="s">
        <v>506</v>
      </c>
      <c r="I4" s="399" t="s">
        <v>507</v>
      </c>
      <c r="J4" s="398" t="s">
        <v>506</v>
      </c>
      <c r="K4" s="400" t="s">
        <v>507</v>
      </c>
      <c r="L4" s="398" t="s">
        <v>506</v>
      </c>
      <c r="M4" s="399" t="s">
        <v>507</v>
      </c>
      <c r="N4" s="398" t="s">
        <v>506</v>
      </c>
      <c r="O4" s="399" t="s">
        <v>507</v>
      </c>
      <c r="P4" s="398" t="s">
        <v>506</v>
      </c>
      <c r="Q4" s="400" t="s">
        <v>507</v>
      </c>
      <c r="R4" s="398" t="s">
        <v>506</v>
      </c>
      <c r="S4" s="401" t="s">
        <v>507</v>
      </c>
      <c r="T4" s="402" t="s">
        <v>506</v>
      </c>
      <c r="U4" s="399" t="s">
        <v>507</v>
      </c>
    </row>
    <row r="5" spans="1:21" s="403" customFormat="1" ht="22.5" customHeight="1">
      <c r="A5" s="404" t="s">
        <v>508</v>
      </c>
      <c r="B5" s="398"/>
      <c r="C5" s="405"/>
      <c r="D5" s="398"/>
      <c r="E5" s="405"/>
      <c r="F5" s="398"/>
      <c r="G5" s="407"/>
      <c r="H5" s="441"/>
      <c r="I5" s="405"/>
      <c r="J5" s="402"/>
      <c r="K5" s="441"/>
      <c r="L5" s="445"/>
      <c r="M5" s="446"/>
      <c r="N5" s="398"/>
      <c r="O5" s="406"/>
      <c r="P5" s="398"/>
      <c r="Q5" s="407"/>
      <c r="R5" s="408"/>
      <c r="S5" s="409"/>
      <c r="T5" s="410"/>
      <c r="U5" s="411"/>
    </row>
    <row r="6" spans="1:21" s="11" customFormat="1" ht="22.5" customHeight="1">
      <c r="A6" s="412" t="s">
        <v>509</v>
      </c>
      <c r="B6" s="413">
        <v>26</v>
      </c>
      <c r="C6" s="414"/>
      <c r="D6" s="413">
        <v>26</v>
      </c>
      <c r="E6" s="414"/>
      <c r="F6" s="413"/>
      <c r="G6" s="417"/>
      <c r="H6" s="417">
        <f>B6+D6+F6</f>
        <v>52</v>
      </c>
      <c r="I6" s="414"/>
      <c r="J6" s="416"/>
      <c r="K6" s="442"/>
      <c r="L6" s="447"/>
      <c r="M6" s="448"/>
      <c r="N6" s="413"/>
      <c r="O6" s="415"/>
      <c r="P6" s="413">
        <f t="shared" ref="P6:Q13" si="0">B6+D6+F6+J6+N6</f>
        <v>52</v>
      </c>
      <c r="Q6" s="417">
        <f t="shared" si="0"/>
        <v>0</v>
      </c>
      <c r="R6" s="418"/>
      <c r="S6" s="419"/>
      <c r="T6" s="420">
        <f>P6+R6</f>
        <v>52</v>
      </c>
      <c r="U6" s="421">
        <f>Q6+S6</f>
        <v>0</v>
      </c>
    </row>
    <row r="7" spans="1:21" s="11" customFormat="1" ht="22.5" customHeight="1">
      <c r="A7" s="412" t="s">
        <v>510</v>
      </c>
      <c r="B7" s="413"/>
      <c r="C7" s="414"/>
      <c r="D7" s="413"/>
      <c r="E7" s="414"/>
      <c r="F7" s="413"/>
      <c r="G7" s="417"/>
      <c r="H7" s="417"/>
      <c r="I7" s="414"/>
      <c r="J7" s="416"/>
      <c r="K7" s="442"/>
      <c r="L7" s="447"/>
      <c r="M7" s="448"/>
      <c r="N7" s="413"/>
      <c r="O7" s="415"/>
      <c r="P7" s="413">
        <f t="shared" si="0"/>
        <v>0</v>
      </c>
      <c r="Q7" s="417">
        <f t="shared" si="0"/>
        <v>0</v>
      </c>
      <c r="R7" s="418">
        <f>15+15</f>
        <v>30</v>
      </c>
      <c r="S7" s="419"/>
      <c r="T7" s="420">
        <f t="shared" ref="T7:U27" si="1">P7+R7</f>
        <v>30</v>
      </c>
      <c r="U7" s="421">
        <f t="shared" si="1"/>
        <v>0</v>
      </c>
    </row>
    <row r="8" spans="1:21" s="11" customFormat="1" ht="22.5" customHeight="1">
      <c r="A8" s="422" t="s">
        <v>511</v>
      </c>
      <c r="B8" s="413"/>
      <c r="C8" s="414"/>
      <c r="D8" s="413">
        <v>306</v>
      </c>
      <c r="E8" s="414">
        <v>5.4</v>
      </c>
      <c r="F8" s="413">
        <v>306</v>
      </c>
      <c r="G8" s="417"/>
      <c r="H8" s="417">
        <f t="shared" ref="H8:H17" si="2">B8+D8+F8</f>
        <v>612</v>
      </c>
      <c r="I8" s="414">
        <f>C8+E8+G8</f>
        <v>5.4</v>
      </c>
      <c r="J8" s="416"/>
      <c r="K8" s="442"/>
      <c r="L8" s="447"/>
      <c r="M8" s="448"/>
      <c r="N8" s="413"/>
      <c r="O8" s="415"/>
      <c r="P8" s="413">
        <f t="shared" si="0"/>
        <v>612</v>
      </c>
      <c r="Q8" s="417">
        <f t="shared" si="0"/>
        <v>5.4</v>
      </c>
      <c r="R8" s="418"/>
      <c r="S8" s="419"/>
      <c r="T8" s="420">
        <f t="shared" si="1"/>
        <v>612</v>
      </c>
      <c r="U8" s="421">
        <f t="shared" si="1"/>
        <v>5.4</v>
      </c>
    </row>
    <row r="9" spans="1:21" s="11" customFormat="1" ht="22.5" customHeight="1">
      <c r="A9" s="412" t="s">
        <v>512</v>
      </c>
      <c r="B9" s="413"/>
      <c r="C9" s="414"/>
      <c r="D9" s="413"/>
      <c r="E9" s="414"/>
      <c r="F9" s="413">
        <v>525</v>
      </c>
      <c r="G9" s="417">
        <v>11</v>
      </c>
      <c r="H9" s="417">
        <f t="shared" si="2"/>
        <v>525</v>
      </c>
      <c r="I9" s="414">
        <f>C9+E9+G9</f>
        <v>11</v>
      </c>
      <c r="J9" s="416">
        <v>525</v>
      </c>
      <c r="K9" s="442"/>
      <c r="L9" s="447"/>
      <c r="M9" s="448"/>
      <c r="N9" s="413"/>
      <c r="O9" s="415"/>
      <c r="P9" s="413">
        <f t="shared" si="0"/>
        <v>1050</v>
      </c>
      <c r="Q9" s="417">
        <f t="shared" si="0"/>
        <v>11</v>
      </c>
      <c r="R9" s="418"/>
      <c r="S9" s="419"/>
      <c r="T9" s="420">
        <f t="shared" si="1"/>
        <v>1050</v>
      </c>
      <c r="U9" s="421">
        <f t="shared" si="1"/>
        <v>11</v>
      </c>
    </row>
    <row r="10" spans="1:21" s="11" customFormat="1" ht="22.5" customHeight="1">
      <c r="A10" s="412" t="s">
        <v>513</v>
      </c>
      <c r="B10" s="413"/>
      <c r="C10" s="414"/>
      <c r="D10" s="413"/>
      <c r="E10" s="414"/>
      <c r="F10" s="413"/>
      <c r="G10" s="417"/>
      <c r="H10" s="417"/>
      <c r="I10" s="414"/>
      <c r="J10" s="416"/>
      <c r="K10" s="442"/>
      <c r="L10" s="447"/>
      <c r="M10" s="448"/>
      <c r="N10" s="413"/>
      <c r="O10" s="415"/>
      <c r="P10" s="413">
        <f t="shared" si="0"/>
        <v>0</v>
      </c>
      <c r="Q10" s="417">
        <f t="shared" si="0"/>
        <v>0</v>
      </c>
      <c r="R10" s="418">
        <f>1103+1103</f>
        <v>2206</v>
      </c>
      <c r="S10" s="419">
        <v>18.489999999999998</v>
      </c>
      <c r="T10" s="420">
        <f>P10+R10</f>
        <v>2206</v>
      </c>
      <c r="U10" s="421">
        <f t="shared" si="1"/>
        <v>18.489999999999998</v>
      </c>
    </row>
    <row r="11" spans="1:21" s="11" customFormat="1" ht="22.5" customHeight="1">
      <c r="A11" s="412" t="s">
        <v>514</v>
      </c>
      <c r="B11" s="413"/>
      <c r="C11" s="414"/>
      <c r="D11" s="413"/>
      <c r="E11" s="414"/>
      <c r="F11" s="413"/>
      <c r="G11" s="417"/>
      <c r="H11" s="417"/>
      <c r="I11" s="414"/>
      <c r="J11" s="416">
        <v>511</v>
      </c>
      <c r="K11" s="442">
        <v>11</v>
      </c>
      <c r="L11" s="447"/>
      <c r="M11" s="448"/>
      <c r="N11" s="413">
        <v>511</v>
      </c>
      <c r="O11" s="415"/>
      <c r="P11" s="413">
        <f t="shared" si="0"/>
        <v>1022</v>
      </c>
      <c r="Q11" s="417">
        <f t="shared" si="0"/>
        <v>11</v>
      </c>
      <c r="R11" s="418"/>
      <c r="S11" s="419"/>
      <c r="T11" s="420">
        <f>P11+R11</f>
        <v>1022</v>
      </c>
      <c r="U11" s="421">
        <f t="shared" si="1"/>
        <v>11</v>
      </c>
    </row>
    <row r="12" spans="1:21" s="11" customFormat="1" ht="22.5" customHeight="1">
      <c r="A12" s="422" t="s">
        <v>515</v>
      </c>
      <c r="B12" s="413">
        <v>10</v>
      </c>
      <c r="C12" s="414"/>
      <c r="D12" s="413"/>
      <c r="E12" s="414"/>
      <c r="F12" s="413"/>
      <c r="G12" s="417"/>
      <c r="H12" s="417">
        <f t="shared" si="2"/>
        <v>10</v>
      </c>
      <c r="I12" s="414"/>
      <c r="J12" s="416"/>
      <c r="K12" s="442"/>
      <c r="L12" s="447"/>
      <c r="M12" s="448"/>
      <c r="N12" s="413"/>
      <c r="O12" s="415"/>
      <c r="P12" s="413">
        <f t="shared" si="0"/>
        <v>10</v>
      </c>
      <c r="Q12" s="417">
        <f t="shared" si="0"/>
        <v>0</v>
      </c>
      <c r="R12" s="418"/>
      <c r="S12" s="419"/>
      <c r="T12" s="420">
        <f t="shared" si="1"/>
        <v>10</v>
      </c>
      <c r="U12" s="421">
        <f t="shared" si="1"/>
        <v>0</v>
      </c>
    </row>
    <row r="13" spans="1:21" s="11" customFormat="1" ht="22.5" hidden="1" customHeight="1">
      <c r="A13" s="412" t="s">
        <v>516</v>
      </c>
      <c r="B13" s="413"/>
      <c r="C13" s="414"/>
      <c r="D13" s="413"/>
      <c r="E13" s="414"/>
      <c r="F13" s="413"/>
      <c r="G13" s="417"/>
      <c r="H13" s="417">
        <f t="shared" si="2"/>
        <v>0</v>
      </c>
      <c r="I13" s="414"/>
      <c r="J13" s="416"/>
      <c r="K13" s="442"/>
      <c r="L13" s="447"/>
      <c r="M13" s="448"/>
      <c r="N13" s="413"/>
      <c r="O13" s="415"/>
      <c r="P13" s="413">
        <f t="shared" si="0"/>
        <v>0</v>
      </c>
      <c r="Q13" s="417">
        <f t="shared" si="0"/>
        <v>0</v>
      </c>
      <c r="R13" s="418"/>
      <c r="S13" s="419"/>
      <c r="T13" s="420">
        <f t="shared" si="1"/>
        <v>0</v>
      </c>
      <c r="U13" s="421">
        <f t="shared" si="1"/>
        <v>0</v>
      </c>
    </row>
    <row r="14" spans="1:21" s="11" customFormat="1" ht="22.5" customHeight="1">
      <c r="A14" s="423" t="s">
        <v>555</v>
      </c>
      <c r="B14" s="413"/>
      <c r="C14" s="414"/>
      <c r="D14" s="413"/>
      <c r="E14" s="414"/>
      <c r="F14" s="413"/>
      <c r="G14" s="417"/>
      <c r="H14" s="417"/>
      <c r="I14" s="414"/>
      <c r="J14" s="416"/>
      <c r="K14" s="442"/>
      <c r="L14" s="447"/>
      <c r="M14" s="448"/>
      <c r="N14" s="413"/>
      <c r="O14" s="415"/>
      <c r="P14" s="413">
        <f t="shared" ref="P14:P19" si="3">B14+D14+F14+J14+N14</f>
        <v>0</v>
      </c>
      <c r="Q14" s="417"/>
      <c r="R14" s="418"/>
      <c r="S14" s="419"/>
      <c r="T14" s="420">
        <f t="shared" si="1"/>
        <v>0</v>
      </c>
      <c r="U14" s="421"/>
    </row>
    <row r="15" spans="1:21" s="11" customFormat="1" ht="22.5" customHeight="1">
      <c r="A15" s="412" t="s">
        <v>517</v>
      </c>
      <c r="B15" s="413"/>
      <c r="C15" s="414"/>
      <c r="D15" s="413"/>
      <c r="E15" s="414"/>
      <c r="F15" s="413"/>
      <c r="G15" s="417"/>
      <c r="H15" s="417"/>
      <c r="I15" s="414"/>
      <c r="J15" s="416"/>
      <c r="K15" s="442"/>
      <c r="L15" s="447"/>
      <c r="M15" s="448"/>
      <c r="N15" s="413"/>
      <c r="O15" s="415"/>
      <c r="P15" s="413">
        <f t="shared" si="3"/>
        <v>0</v>
      </c>
      <c r="Q15" s="417">
        <f>C15+E15+G15+K15+O15</f>
        <v>0</v>
      </c>
      <c r="R15" s="418">
        <v>28</v>
      </c>
      <c r="S15" s="419"/>
      <c r="T15" s="420">
        <f t="shared" si="1"/>
        <v>28</v>
      </c>
      <c r="U15" s="421">
        <f>Q15+S15</f>
        <v>0</v>
      </c>
    </row>
    <row r="16" spans="1:21" s="11" customFormat="1" ht="22.5" customHeight="1">
      <c r="A16" s="422" t="s">
        <v>518</v>
      </c>
      <c r="B16" s="413">
        <v>3</v>
      </c>
      <c r="C16" s="414"/>
      <c r="D16" s="413"/>
      <c r="E16" s="414"/>
      <c r="F16" s="413"/>
      <c r="G16" s="417"/>
      <c r="H16" s="417">
        <f t="shared" si="2"/>
        <v>3</v>
      </c>
      <c r="I16" s="414"/>
      <c r="J16" s="416"/>
      <c r="K16" s="442"/>
      <c r="L16" s="447"/>
      <c r="M16" s="448"/>
      <c r="N16" s="413"/>
      <c r="O16" s="415"/>
      <c r="P16" s="413">
        <f t="shared" si="3"/>
        <v>3</v>
      </c>
      <c r="Q16" s="417">
        <f>C16+E16+G16+K16+O16</f>
        <v>0</v>
      </c>
      <c r="R16" s="418"/>
      <c r="S16" s="419"/>
      <c r="T16" s="420">
        <f t="shared" si="1"/>
        <v>3</v>
      </c>
      <c r="U16" s="421">
        <f>Q16+S16</f>
        <v>0</v>
      </c>
    </row>
    <row r="17" spans="1:21" s="11" customFormat="1" ht="22.5" hidden="1" customHeight="1">
      <c r="A17" s="422" t="s">
        <v>510</v>
      </c>
      <c r="B17" s="413"/>
      <c r="C17" s="414"/>
      <c r="D17" s="413"/>
      <c r="E17" s="414"/>
      <c r="F17" s="413"/>
      <c r="G17" s="417"/>
      <c r="H17" s="417">
        <f t="shared" si="2"/>
        <v>0</v>
      </c>
      <c r="I17" s="414"/>
      <c r="J17" s="416"/>
      <c r="K17" s="442"/>
      <c r="L17" s="447"/>
      <c r="M17" s="448"/>
      <c r="N17" s="413"/>
      <c r="O17" s="415"/>
      <c r="P17" s="413">
        <f t="shared" si="3"/>
        <v>0</v>
      </c>
      <c r="Q17" s="417"/>
      <c r="R17" s="424"/>
      <c r="S17" s="425"/>
      <c r="T17" s="420">
        <f t="shared" si="1"/>
        <v>0</v>
      </c>
      <c r="U17" s="421"/>
    </row>
    <row r="18" spans="1:21" s="11" customFormat="1" ht="22.5" customHeight="1">
      <c r="A18" s="422" t="s">
        <v>519</v>
      </c>
      <c r="B18" s="413"/>
      <c r="C18" s="414"/>
      <c r="D18" s="413"/>
      <c r="E18" s="414"/>
      <c r="F18" s="413"/>
      <c r="G18" s="417"/>
      <c r="H18" s="417"/>
      <c r="I18" s="414"/>
      <c r="J18" s="416">
        <v>41</v>
      </c>
      <c r="K18" s="442">
        <v>1.2</v>
      </c>
      <c r="L18" s="447"/>
      <c r="M18" s="448"/>
      <c r="N18" s="413">
        <v>41</v>
      </c>
      <c r="O18" s="415"/>
      <c r="P18" s="413">
        <f t="shared" si="3"/>
        <v>82</v>
      </c>
      <c r="Q18" s="417">
        <f>C18+E18+G18+K18+O18</f>
        <v>1.2</v>
      </c>
      <c r="R18" s="424"/>
      <c r="S18" s="425"/>
      <c r="T18" s="420">
        <f t="shared" si="1"/>
        <v>82</v>
      </c>
      <c r="U18" s="421">
        <f>Q18+S18</f>
        <v>1.2</v>
      </c>
    </row>
    <row r="19" spans="1:21" s="11" customFormat="1" ht="22.5" customHeight="1">
      <c r="A19" s="422" t="s">
        <v>520</v>
      </c>
      <c r="B19" s="413"/>
      <c r="C19" s="414"/>
      <c r="D19" s="413"/>
      <c r="E19" s="414"/>
      <c r="F19" s="413"/>
      <c r="G19" s="417"/>
      <c r="H19" s="417"/>
      <c r="I19" s="414"/>
      <c r="J19" s="416"/>
      <c r="K19" s="442"/>
      <c r="L19" s="447"/>
      <c r="M19" s="448"/>
      <c r="N19" s="413"/>
      <c r="O19" s="415"/>
      <c r="P19" s="413">
        <f t="shared" si="3"/>
        <v>0</v>
      </c>
      <c r="Q19" s="417">
        <f>C19+E19+G19+K19+O19</f>
        <v>0</v>
      </c>
      <c r="R19" s="424">
        <f>218+218</f>
        <v>436</v>
      </c>
      <c r="S19" s="425">
        <v>3.32</v>
      </c>
      <c r="T19" s="420">
        <f t="shared" si="1"/>
        <v>436</v>
      </c>
      <c r="U19" s="421">
        <f>Q19+S19</f>
        <v>3.32</v>
      </c>
    </row>
    <row r="20" spans="1:21" s="11" customFormat="1" ht="22.5" customHeight="1">
      <c r="A20" s="423" t="s">
        <v>521</v>
      </c>
      <c r="B20" s="413"/>
      <c r="C20" s="414"/>
      <c r="D20" s="413"/>
      <c r="E20" s="414"/>
      <c r="F20" s="413"/>
      <c r="G20" s="417"/>
      <c r="H20" s="417"/>
      <c r="I20" s="414"/>
      <c r="J20" s="416"/>
      <c r="K20" s="442"/>
      <c r="L20" s="447"/>
      <c r="M20" s="448"/>
      <c r="N20" s="413"/>
      <c r="O20" s="415"/>
      <c r="P20" s="413"/>
      <c r="Q20" s="417"/>
      <c r="R20" s="424"/>
      <c r="S20" s="425"/>
      <c r="T20" s="420"/>
      <c r="U20" s="421"/>
    </row>
    <row r="21" spans="1:21" s="11" customFormat="1" ht="22.5" hidden="1" customHeight="1">
      <c r="A21" s="422" t="s">
        <v>522</v>
      </c>
      <c r="B21" s="413"/>
      <c r="C21" s="414"/>
      <c r="D21" s="413"/>
      <c r="E21" s="414"/>
      <c r="F21" s="413"/>
      <c r="G21" s="417"/>
      <c r="H21" s="417"/>
      <c r="I21" s="414"/>
      <c r="J21" s="416"/>
      <c r="K21" s="442"/>
      <c r="L21" s="447"/>
      <c r="M21" s="448"/>
      <c r="N21" s="413"/>
      <c r="O21" s="415"/>
      <c r="P21" s="413">
        <f t="shared" ref="P21:Q27" si="4">B21+D21+F21+J21+N21</f>
        <v>0</v>
      </c>
      <c r="Q21" s="417">
        <f t="shared" si="4"/>
        <v>0</v>
      </c>
      <c r="R21" s="424"/>
      <c r="S21" s="425"/>
      <c r="T21" s="420">
        <f t="shared" si="1"/>
        <v>0</v>
      </c>
      <c r="U21" s="421">
        <f t="shared" si="1"/>
        <v>0</v>
      </c>
    </row>
    <row r="22" spans="1:21" s="11" customFormat="1" ht="22.5" hidden="1" customHeight="1">
      <c r="A22" s="422" t="s">
        <v>523</v>
      </c>
      <c r="B22" s="413"/>
      <c r="C22" s="414"/>
      <c r="D22" s="413"/>
      <c r="E22" s="414"/>
      <c r="F22" s="413"/>
      <c r="G22" s="417"/>
      <c r="H22" s="417"/>
      <c r="I22" s="414"/>
      <c r="J22" s="416"/>
      <c r="K22" s="442"/>
      <c r="L22" s="447"/>
      <c r="M22" s="448"/>
      <c r="N22" s="413"/>
      <c r="O22" s="415"/>
      <c r="P22" s="413">
        <f t="shared" si="4"/>
        <v>0</v>
      </c>
      <c r="Q22" s="417">
        <f t="shared" si="4"/>
        <v>0</v>
      </c>
      <c r="R22" s="424"/>
      <c r="S22" s="425"/>
      <c r="T22" s="420">
        <f t="shared" si="1"/>
        <v>0</v>
      </c>
      <c r="U22" s="421">
        <f t="shared" si="1"/>
        <v>0</v>
      </c>
    </row>
    <row r="23" spans="1:21" s="11" customFormat="1" ht="22.5" customHeight="1">
      <c r="A23" s="422" t="s">
        <v>524</v>
      </c>
      <c r="B23" s="413"/>
      <c r="C23" s="414"/>
      <c r="D23" s="413"/>
      <c r="E23" s="414"/>
      <c r="F23" s="413"/>
      <c r="G23" s="417"/>
      <c r="H23" s="417"/>
      <c r="I23" s="414"/>
      <c r="J23" s="416"/>
      <c r="K23" s="442"/>
      <c r="L23" s="447"/>
      <c r="M23" s="448"/>
      <c r="N23" s="413"/>
      <c r="O23" s="415"/>
      <c r="P23" s="413">
        <f t="shared" si="4"/>
        <v>0</v>
      </c>
      <c r="Q23" s="417">
        <f t="shared" si="4"/>
        <v>0</v>
      </c>
      <c r="R23" s="424">
        <f>39+39</f>
        <v>78</v>
      </c>
      <c r="S23" s="425"/>
      <c r="T23" s="420">
        <f t="shared" si="1"/>
        <v>78</v>
      </c>
      <c r="U23" s="421">
        <f t="shared" si="1"/>
        <v>0</v>
      </c>
    </row>
    <row r="24" spans="1:21" s="11" customFormat="1" ht="22.5" customHeight="1">
      <c r="A24" s="422" t="s">
        <v>525</v>
      </c>
      <c r="B24" s="413"/>
      <c r="C24" s="414"/>
      <c r="D24" s="413"/>
      <c r="E24" s="414"/>
      <c r="F24" s="413"/>
      <c r="G24" s="417"/>
      <c r="H24" s="417"/>
      <c r="I24" s="414"/>
      <c r="J24" s="416"/>
      <c r="K24" s="442"/>
      <c r="L24" s="447"/>
      <c r="M24" s="448"/>
      <c r="N24" s="413"/>
      <c r="O24" s="415"/>
      <c r="P24" s="413">
        <f t="shared" si="4"/>
        <v>0</v>
      </c>
      <c r="Q24" s="417">
        <f t="shared" si="4"/>
        <v>0</v>
      </c>
      <c r="R24" s="424">
        <f>27</f>
        <v>27</v>
      </c>
      <c r="S24" s="425">
        <f>4.64-4.64</f>
        <v>0</v>
      </c>
      <c r="T24" s="420">
        <f t="shared" si="1"/>
        <v>27</v>
      </c>
      <c r="U24" s="421">
        <f t="shared" si="1"/>
        <v>0</v>
      </c>
    </row>
    <row r="25" spans="1:21" s="11" customFormat="1" ht="22.5" customHeight="1">
      <c r="A25" s="422" t="s">
        <v>526</v>
      </c>
      <c r="B25" s="413"/>
      <c r="C25" s="414"/>
      <c r="D25" s="413"/>
      <c r="E25" s="414"/>
      <c r="F25" s="413"/>
      <c r="G25" s="417"/>
      <c r="H25" s="417"/>
      <c r="I25" s="414"/>
      <c r="J25" s="416"/>
      <c r="K25" s="442"/>
      <c r="L25" s="447"/>
      <c r="M25" s="448"/>
      <c r="N25" s="413"/>
      <c r="O25" s="415"/>
      <c r="P25" s="413">
        <f t="shared" si="4"/>
        <v>0</v>
      </c>
      <c r="Q25" s="417">
        <f t="shared" si="4"/>
        <v>0</v>
      </c>
      <c r="R25" s="424">
        <f>18+18</f>
        <v>36</v>
      </c>
      <c r="S25" s="425"/>
      <c r="T25" s="420">
        <f t="shared" si="1"/>
        <v>36</v>
      </c>
      <c r="U25" s="421">
        <f t="shared" si="1"/>
        <v>0</v>
      </c>
    </row>
    <row r="26" spans="1:21" s="11" customFormat="1" ht="22.5" customHeight="1">
      <c r="A26" s="422" t="s">
        <v>527</v>
      </c>
      <c r="B26" s="413"/>
      <c r="C26" s="414"/>
      <c r="D26" s="413"/>
      <c r="E26" s="414"/>
      <c r="F26" s="413"/>
      <c r="G26" s="417"/>
      <c r="H26" s="417"/>
      <c r="I26" s="414"/>
      <c r="J26" s="416"/>
      <c r="K26" s="442"/>
      <c r="L26" s="447"/>
      <c r="M26" s="448"/>
      <c r="N26" s="413"/>
      <c r="O26" s="415"/>
      <c r="P26" s="413">
        <f t="shared" si="4"/>
        <v>0</v>
      </c>
      <c r="Q26" s="417">
        <f t="shared" si="4"/>
        <v>0</v>
      </c>
      <c r="R26" s="424">
        <f>35+35</f>
        <v>70</v>
      </c>
      <c r="S26" s="425"/>
      <c r="T26" s="420">
        <f t="shared" si="1"/>
        <v>70</v>
      </c>
      <c r="U26" s="421">
        <f t="shared" si="1"/>
        <v>0</v>
      </c>
    </row>
    <row r="27" spans="1:21" s="11" customFormat="1" ht="22.5" customHeight="1" thickBot="1">
      <c r="A27" s="426" t="s">
        <v>528</v>
      </c>
      <c r="B27" s="427"/>
      <c r="C27" s="428"/>
      <c r="D27" s="427"/>
      <c r="E27" s="428"/>
      <c r="F27" s="427"/>
      <c r="G27" s="431"/>
      <c r="H27" s="451"/>
      <c r="I27" s="452"/>
      <c r="J27" s="430"/>
      <c r="K27" s="443"/>
      <c r="L27" s="449"/>
      <c r="M27" s="450"/>
      <c r="N27" s="427"/>
      <c r="O27" s="429"/>
      <c r="P27" s="427">
        <f t="shared" si="4"/>
        <v>0</v>
      </c>
      <c r="Q27" s="431">
        <f t="shared" si="4"/>
        <v>0</v>
      </c>
      <c r="R27" s="424">
        <f>12+12</f>
        <v>24</v>
      </c>
      <c r="S27" s="425"/>
      <c r="T27" s="420">
        <f t="shared" si="1"/>
        <v>24</v>
      </c>
      <c r="U27" s="421">
        <f t="shared" si="1"/>
        <v>0</v>
      </c>
    </row>
    <row r="28" spans="1:21" s="11" customFormat="1" ht="22.5" customHeight="1" thickBot="1">
      <c r="A28" s="432" t="s">
        <v>529</v>
      </c>
      <c r="B28" s="433">
        <f t="shared" ref="B28:T28" si="5">SUM(B6:B27)</f>
        <v>39</v>
      </c>
      <c r="C28" s="434">
        <f t="shared" si="5"/>
        <v>0</v>
      </c>
      <c r="D28" s="435">
        <f t="shared" si="5"/>
        <v>332</v>
      </c>
      <c r="E28" s="435">
        <f t="shared" si="5"/>
        <v>5.4</v>
      </c>
      <c r="F28" s="435">
        <f t="shared" si="5"/>
        <v>831</v>
      </c>
      <c r="G28" s="435">
        <f t="shared" si="5"/>
        <v>11</v>
      </c>
      <c r="H28" s="435">
        <f>SUM(H6:H27)</f>
        <v>1202</v>
      </c>
      <c r="I28" s="435">
        <f>SUM(I6:I27)</f>
        <v>16.399999999999999</v>
      </c>
      <c r="J28" s="435">
        <f t="shared" si="5"/>
        <v>1077</v>
      </c>
      <c r="K28" s="444">
        <f t="shared" si="5"/>
        <v>12.2</v>
      </c>
      <c r="L28" s="433"/>
      <c r="M28" s="435"/>
      <c r="N28" s="435">
        <f t="shared" si="5"/>
        <v>552</v>
      </c>
      <c r="O28" s="435">
        <f t="shared" si="5"/>
        <v>0</v>
      </c>
      <c r="P28" s="435">
        <f t="shared" si="5"/>
        <v>2831</v>
      </c>
      <c r="Q28" s="434">
        <f t="shared" si="5"/>
        <v>28.599999999999998</v>
      </c>
      <c r="R28" s="435">
        <f t="shared" si="5"/>
        <v>2935</v>
      </c>
      <c r="S28" s="434">
        <f t="shared" si="5"/>
        <v>21.81</v>
      </c>
      <c r="T28" s="434">
        <f t="shared" si="5"/>
        <v>5766</v>
      </c>
      <c r="U28" s="434">
        <f>Q28+S28</f>
        <v>50.41</v>
      </c>
    </row>
    <row r="29" spans="1:21" ht="22.5" customHeight="1">
      <c r="A29" s="436"/>
      <c r="B29" s="437"/>
      <c r="C29" s="438"/>
      <c r="D29" s="437"/>
      <c r="E29" s="437"/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7"/>
      <c r="Q29" s="438"/>
      <c r="S29" s="439"/>
      <c r="T29" s="439"/>
      <c r="U29" s="439"/>
    </row>
    <row r="30" spans="1:21" ht="22.5" customHeight="1">
      <c r="A30" s="456" t="s">
        <v>535</v>
      </c>
      <c r="B30" s="457"/>
      <c r="C30" s="439"/>
      <c r="Q30" s="439"/>
      <c r="S30" s="439"/>
      <c r="T30" s="439"/>
      <c r="U30" s="439"/>
    </row>
    <row r="31" spans="1:21" ht="22.5" customHeight="1">
      <c r="A31" s="456" t="s">
        <v>536</v>
      </c>
      <c r="B31" s="457">
        <v>83</v>
      </c>
      <c r="C31" s="439"/>
      <c r="Q31" s="439"/>
      <c r="S31" s="439"/>
      <c r="T31" s="439"/>
      <c r="U31" s="439"/>
    </row>
    <row r="32" spans="1:21" ht="22.5" customHeight="1">
      <c r="A32" s="456" t="s">
        <v>537</v>
      </c>
      <c r="B32" s="457">
        <v>134</v>
      </c>
      <c r="C32" s="439"/>
      <c r="Q32" s="439"/>
      <c r="S32" s="439"/>
      <c r="T32" s="439"/>
      <c r="U32" s="439"/>
    </row>
    <row r="33" spans="1:3" ht="22.5" customHeight="1">
      <c r="A33" s="456" t="s">
        <v>538</v>
      </c>
      <c r="B33" s="457">
        <v>63</v>
      </c>
      <c r="C33" s="439"/>
    </row>
    <row r="34" spans="1:3" ht="22.5" customHeight="1">
      <c r="A34" s="457"/>
      <c r="B34" s="458">
        <f>SUM(B28:B33)</f>
        <v>319</v>
      </c>
      <c r="C34" s="439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8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25" customWidth="1"/>
    <col min="2" max="2" width="21.5703125" style="25" customWidth="1"/>
    <col min="3" max="5" width="15.28515625" style="25" customWidth="1"/>
    <col min="6" max="6" width="11.140625" style="25" customWidth="1"/>
    <col min="7" max="7" width="12.5703125" style="25" customWidth="1"/>
    <col min="8" max="8" width="1" style="25" customWidth="1"/>
    <col min="9" max="16384" width="9.140625" style="25"/>
  </cols>
  <sheetData>
    <row r="1" spans="1:13" s="30" customFormat="1" ht="26.25" customHeight="1">
      <c r="A1" s="715"/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13" ht="26.25" customHeight="1">
      <c r="A2" s="717" t="s">
        <v>542</v>
      </c>
      <c r="B2" s="717"/>
      <c r="C2" s="717"/>
      <c r="D2" s="717"/>
      <c r="E2" s="717"/>
      <c r="F2" s="717"/>
      <c r="G2" s="717"/>
      <c r="H2" s="21"/>
      <c r="I2" s="21"/>
      <c r="J2" s="21"/>
      <c r="K2" s="21"/>
      <c r="L2" s="21"/>
      <c r="M2" s="21"/>
    </row>
    <row r="3" spans="1:13" ht="23.25" customHeight="1"/>
    <row r="4" spans="1:13" ht="48" customHeight="1">
      <c r="B4" s="38"/>
      <c r="C4" s="1" t="s">
        <v>543</v>
      </c>
      <c r="D4" s="170" t="s">
        <v>544</v>
      </c>
      <c r="E4" s="1" t="s">
        <v>545</v>
      </c>
      <c r="F4" s="33" t="s">
        <v>546</v>
      </c>
      <c r="G4" s="39"/>
    </row>
    <row r="5" spans="1:13" s="31" customFormat="1" ht="23.25" customHeight="1">
      <c r="B5" s="5" t="s">
        <v>0</v>
      </c>
      <c r="C5" s="7" t="s">
        <v>1</v>
      </c>
      <c r="D5" s="13" t="s">
        <v>1</v>
      </c>
      <c r="E5" s="7" t="s">
        <v>1</v>
      </c>
      <c r="F5" s="174" t="s">
        <v>1</v>
      </c>
      <c r="G5" s="162" t="s">
        <v>31</v>
      </c>
    </row>
    <row r="6" spans="1:13" ht="21" customHeight="1">
      <c r="B6" s="163" t="s">
        <v>3</v>
      </c>
      <c r="C6" s="164"/>
      <c r="D6" s="171">
        <f>'WS 1 -Rec''d Base Changes '!D7</f>
        <v>169702.7</v>
      </c>
      <c r="E6" s="164"/>
      <c r="F6" s="175">
        <f>E6-D6</f>
        <v>-169702.7</v>
      </c>
      <c r="G6" s="167">
        <f>IF(F6=0,0,F6/D6*100)</f>
        <v>-100</v>
      </c>
      <c r="I6" s="42"/>
    </row>
    <row r="7" spans="1:13" ht="21" customHeight="1">
      <c r="B7" s="114" t="s">
        <v>7</v>
      </c>
      <c r="C7" s="161"/>
      <c r="D7" s="172">
        <f>'WS 1 -Rec''d Base Changes '!E7</f>
        <v>115916.2</v>
      </c>
      <c r="E7" s="161"/>
      <c r="F7" s="176">
        <f>E7-D7</f>
        <v>-115916.2</v>
      </c>
      <c r="G7" s="168">
        <f>IF(F7=0,0,F7/D7*100)</f>
        <v>-100</v>
      </c>
      <c r="I7" s="42"/>
    </row>
    <row r="8" spans="1:13" ht="25.5" customHeight="1">
      <c r="B8" s="163" t="s">
        <v>35</v>
      </c>
      <c r="C8" s="164">
        <f>C6-C7</f>
        <v>0</v>
      </c>
      <c r="D8" s="171">
        <f>D6-D7</f>
        <v>53786.500000000015</v>
      </c>
      <c r="E8" s="164">
        <f>E6-E7</f>
        <v>0</v>
      </c>
      <c r="F8" s="175">
        <f>E8-D8</f>
        <v>-53786.500000000015</v>
      </c>
      <c r="G8" s="167">
        <f>IF(F8=0,0,F8/D8*100)</f>
        <v>-100</v>
      </c>
      <c r="I8" s="42"/>
    </row>
    <row r="9" spans="1:13" ht="25.5" customHeight="1">
      <c r="B9" s="165" t="s">
        <v>5</v>
      </c>
      <c r="C9" s="166"/>
      <c r="D9" s="173">
        <f>'WS 1 -Rec''d Base Changes '!C7</f>
        <v>919.8</v>
      </c>
      <c r="E9" s="178"/>
      <c r="F9" s="177">
        <f>E9-D9</f>
        <v>-919.8</v>
      </c>
      <c r="G9" s="169">
        <f>IF(F9=0,0,F9/D9*100)</f>
        <v>-100</v>
      </c>
      <c r="I9" s="42"/>
    </row>
    <row r="10" spans="1:13">
      <c r="B10" s="718" t="s">
        <v>547</v>
      </c>
      <c r="C10" s="719"/>
      <c r="D10" s="719"/>
      <c r="E10" s="719"/>
      <c r="F10" s="719"/>
      <c r="G10" s="719"/>
    </row>
    <row r="11" spans="1:13">
      <c r="B11" s="720"/>
      <c r="C11" s="720"/>
      <c r="D11" s="720"/>
      <c r="E11" s="720"/>
      <c r="F11" s="720"/>
      <c r="G11" s="720"/>
    </row>
    <row r="15" spans="1:13" ht="15.75">
      <c r="B15" s="17"/>
      <c r="C15" s="17"/>
      <c r="D15" s="17"/>
      <c r="E15" s="18"/>
      <c r="K15" s="16"/>
    </row>
    <row r="16" spans="1:13" ht="15.75">
      <c r="K16" s="45"/>
    </row>
    <row r="17" spans="11:11" ht="15.75">
      <c r="K17" s="45"/>
    </row>
    <row r="18" spans="11:11" ht="15.75">
      <c r="K18" s="45"/>
    </row>
  </sheetData>
  <mergeCells count="3">
    <mergeCell ref="A1:M1"/>
    <mergeCell ref="A2:G2"/>
    <mergeCell ref="B10:G11"/>
  </mergeCells>
  <phoneticPr fontId="8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36" customWidth="1"/>
    <col min="3" max="6" width="12.7109375" style="190" customWidth="1"/>
    <col min="7" max="7" width="17.28515625" style="190" customWidth="1"/>
    <col min="8" max="8" width="17" style="190" customWidth="1"/>
    <col min="9" max="16384" width="8.85546875" style="190"/>
  </cols>
  <sheetData>
    <row r="1" spans="1:22" ht="18">
      <c r="A1" s="200" t="s">
        <v>74</v>
      </c>
      <c r="B1" s="227"/>
      <c r="C1" s="200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</row>
    <row r="2" spans="1:22" ht="18">
      <c r="A2" s="200" t="s">
        <v>75</v>
      </c>
      <c r="B2" s="227"/>
      <c r="C2" s="200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</row>
    <row r="4" spans="1:22" ht="15.75">
      <c r="A4" s="722" t="s">
        <v>23</v>
      </c>
      <c r="B4" s="723" t="s">
        <v>290</v>
      </c>
      <c r="C4" s="722" t="s">
        <v>76</v>
      </c>
      <c r="D4" s="722"/>
      <c r="E4" s="722" t="s">
        <v>539</v>
      </c>
      <c r="F4" s="722"/>
      <c r="G4" s="721" t="s">
        <v>540</v>
      </c>
      <c r="H4" s="721" t="s">
        <v>541</v>
      </c>
    </row>
    <row r="5" spans="1:22" ht="48" customHeight="1">
      <c r="A5" s="722"/>
      <c r="B5" s="724"/>
      <c r="C5" s="202">
        <v>2011</v>
      </c>
      <c r="D5" s="202">
        <v>2012</v>
      </c>
      <c r="E5" s="202">
        <v>2011</v>
      </c>
      <c r="F5" s="202">
        <v>2012</v>
      </c>
      <c r="G5" s="721"/>
      <c r="H5" s="721"/>
    </row>
    <row r="6" spans="1:22" hidden="1">
      <c r="A6" s="203" t="s">
        <v>77</v>
      </c>
      <c r="B6" s="228"/>
      <c r="C6" s="204"/>
      <c r="D6" s="204"/>
      <c r="E6" s="205">
        <f>SUM(C6:C8)</f>
        <v>703.2</v>
      </c>
      <c r="F6" s="205">
        <f>SUM(D6:D8)</f>
        <v>35</v>
      </c>
      <c r="H6" s="191"/>
    </row>
    <row r="7" spans="1:22" hidden="1">
      <c r="A7" s="206" t="s">
        <v>78</v>
      </c>
      <c r="B7" s="229" t="s">
        <v>291</v>
      </c>
      <c r="C7" s="207">
        <v>668.2</v>
      </c>
      <c r="D7" s="207">
        <v>0</v>
      </c>
      <c r="E7" s="208"/>
      <c r="F7" s="208"/>
      <c r="H7" s="191"/>
    </row>
    <row r="8" spans="1:22" hidden="1">
      <c r="A8" s="209" t="s">
        <v>79</v>
      </c>
      <c r="B8" s="230" t="s">
        <v>292</v>
      </c>
      <c r="C8" s="207">
        <v>35</v>
      </c>
      <c r="D8" s="207">
        <v>35</v>
      </c>
      <c r="E8" s="208"/>
      <c r="F8" s="208"/>
      <c r="H8" s="191"/>
    </row>
    <row r="9" spans="1:22" hidden="1">
      <c r="A9" s="213" t="s">
        <v>81</v>
      </c>
      <c r="B9" s="231"/>
      <c r="C9" s="204"/>
      <c r="D9" s="204"/>
      <c r="E9" s="205">
        <f>SUM(C9:C13)</f>
        <v>14420.2</v>
      </c>
      <c r="F9" s="205">
        <f>SUM(D9:D13)</f>
        <v>28764.6</v>
      </c>
      <c r="H9" s="191"/>
    </row>
    <row r="10" spans="1:22" hidden="1">
      <c r="A10" s="209" t="s">
        <v>79</v>
      </c>
      <c r="B10" s="230" t="s">
        <v>294</v>
      </c>
      <c r="C10" s="207">
        <v>995.7</v>
      </c>
      <c r="D10" s="207">
        <v>1025.7</v>
      </c>
      <c r="E10" s="208"/>
      <c r="F10" s="208"/>
      <c r="H10" s="191"/>
    </row>
    <row r="11" spans="1:22" hidden="1">
      <c r="A11" s="209" t="s">
        <v>82</v>
      </c>
      <c r="B11" s="230" t="s">
        <v>295</v>
      </c>
      <c r="C11" s="207">
        <v>6218.2</v>
      </c>
      <c r="D11" s="207">
        <v>6404.7</v>
      </c>
      <c r="E11" s="208"/>
      <c r="F11" s="208"/>
      <c r="H11" s="191"/>
    </row>
    <row r="12" spans="1:22" hidden="1">
      <c r="A12" s="209" t="s">
        <v>80</v>
      </c>
      <c r="B12" s="230" t="s">
        <v>293</v>
      </c>
      <c r="C12" s="207">
        <v>7206.3</v>
      </c>
      <c r="D12" s="207">
        <v>0</v>
      </c>
      <c r="E12" s="208"/>
      <c r="F12" s="208"/>
      <c r="H12" s="191"/>
    </row>
    <row r="13" spans="1:22" hidden="1">
      <c r="A13" s="210" t="s">
        <v>83</v>
      </c>
      <c r="B13" s="230" t="s">
        <v>296</v>
      </c>
      <c r="C13" s="211">
        <v>0</v>
      </c>
      <c r="D13" s="211">
        <v>21334.2</v>
      </c>
      <c r="E13" s="212"/>
      <c r="F13" s="212"/>
      <c r="H13" s="191"/>
    </row>
    <row r="14" spans="1:22" hidden="1">
      <c r="A14" s="213" t="s">
        <v>84</v>
      </c>
      <c r="B14" s="240"/>
      <c r="C14" s="204"/>
      <c r="D14" s="204"/>
      <c r="E14" s="205">
        <f>C15</f>
        <v>-538.20000000000005</v>
      </c>
      <c r="F14" s="205">
        <f>D15</f>
        <v>0</v>
      </c>
      <c r="H14" s="191"/>
    </row>
    <row r="15" spans="1:22" ht="25.5" hidden="1">
      <c r="A15" s="210" t="s">
        <v>85</v>
      </c>
      <c r="B15" s="241" t="s">
        <v>297</v>
      </c>
      <c r="C15" s="211">
        <v>-538.20000000000005</v>
      </c>
      <c r="D15" s="211">
        <v>0</v>
      </c>
      <c r="E15" s="212"/>
      <c r="F15" s="212"/>
      <c r="H15" s="191"/>
    </row>
    <row r="16" spans="1:22" hidden="1">
      <c r="A16" s="213" t="s">
        <v>86</v>
      </c>
      <c r="B16" s="242"/>
      <c r="C16" s="204"/>
      <c r="D16" s="204"/>
      <c r="E16" s="205">
        <f>SUM(C17:C19)</f>
        <v>30.900000000000006</v>
      </c>
      <c r="F16" s="205">
        <f>SUM(D17:D19)</f>
        <v>0</v>
      </c>
      <c r="H16" s="191"/>
    </row>
    <row r="17" spans="1:8" hidden="1">
      <c r="A17" s="209" t="s">
        <v>87</v>
      </c>
      <c r="B17" s="230" t="s">
        <v>298</v>
      </c>
      <c r="C17" s="207">
        <v>110.9</v>
      </c>
      <c r="D17" s="207">
        <v>0</v>
      </c>
      <c r="E17" s="208"/>
      <c r="F17" s="208"/>
      <c r="H17" s="191"/>
    </row>
    <row r="18" spans="1:8" hidden="1">
      <c r="A18" s="209" t="s">
        <v>88</v>
      </c>
      <c r="B18" s="230" t="s">
        <v>299</v>
      </c>
      <c r="C18" s="207">
        <v>-230</v>
      </c>
      <c r="D18" s="207">
        <v>0</v>
      </c>
      <c r="E18" s="208"/>
      <c r="F18" s="208"/>
      <c r="H18" s="191"/>
    </row>
    <row r="19" spans="1:8" hidden="1">
      <c r="A19" s="210" t="s">
        <v>89</v>
      </c>
      <c r="B19" s="243" t="s">
        <v>300</v>
      </c>
      <c r="C19" s="211">
        <v>150</v>
      </c>
      <c r="D19" s="211">
        <v>0</v>
      </c>
      <c r="E19" s="212"/>
      <c r="F19" s="212"/>
      <c r="H19" s="191"/>
    </row>
    <row r="20" spans="1:8" hidden="1">
      <c r="A20" s="213" t="s">
        <v>90</v>
      </c>
      <c r="B20" s="244"/>
      <c r="C20" s="204"/>
      <c r="D20" s="204"/>
      <c r="E20" s="205">
        <f>SUM(C20:C23)</f>
        <v>551.59999999999991</v>
      </c>
      <c r="F20" s="205">
        <f>SUM(D20:D23)</f>
        <v>365.6</v>
      </c>
      <c r="H20" s="191"/>
    </row>
    <row r="21" spans="1:8" hidden="1">
      <c r="A21" s="209" t="s">
        <v>91</v>
      </c>
      <c r="B21" s="230" t="s">
        <v>301</v>
      </c>
      <c r="C21" s="207">
        <v>124</v>
      </c>
      <c r="D21" s="207">
        <v>0</v>
      </c>
      <c r="E21" s="208"/>
      <c r="F21" s="208"/>
      <c r="H21" s="191"/>
    </row>
    <row r="22" spans="1:8" hidden="1">
      <c r="A22" s="209" t="s">
        <v>92</v>
      </c>
      <c r="B22" s="230" t="s">
        <v>302</v>
      </c>
      <c r="C22" s="207">
        <v>72.7</v>
      </c>
      <c r="D22" s="207">
        <v>0</v>
      </c>
      <c r="E22" s="208"/>
      <c r="F22" s="208"/>
      <c r="H22" s="191"/>
    </row>
    <row r="23" spans="1:8" hidden="1">
      <c r="A23" s="210" t="s">
        <v>79</v>
      </c>
      <c r="B23" s="241" t="s">
        <v>303</v>
      </c>
      <c r="C23" s="211">
        <v>354.9</v>
      </c>
      <c r="D23" s="211">
        <v>365.6</v>
      </c>
      <c r="E23" s="212"/>
      <c r="F23" s="212"/>
      <c r="H23" s="191"/>
    </row>
    <row r="24" spans="1:8" hidden="1">
      <c r="A24" s="213" t="s">
        <v>93</v>
      </c>
      <c r="B24" s="242"/>
      <c r="C24" s="204"/>
      <c r="D24" s="204"/>
      <c r="E24" s="205">
        <f>SUM(C24:C26)</f>
        <v>1051.8</v>
      </c>
      <c r="F24" s="205">
        <f>SUM(D24:D26)</f>
        <v>900</v>
      </c>
      <c r="H24" s="191"/>
    </row>
    <row r="25" spans="1:8" hidden="1">
      <c r="A25" s="209" t="s">
        <v>94</v>
      </c>
      <c r="B25" s="230" t="s">
        <v>304</v>
      </c>
      <c r="C25" s="207">
        <v>151.80000000000001</v>
      </c>
      <c r="D25" s="207">
        <v>0</v>
      </c>
      <c r="E25" s="208"/>
      <c r="F25" s="208"/>
      <c r="H25" s="191"/>
    </row>
    <row r="26" spans="1:8" hidden="1">
      <c r="A26" s="210" t="s">
        <v>95</v>
      </c>
      <c r="B26" s="243" t="s">
        <v>305</v>
      </c>
      <c r="C26" s="211">
        <v>900</v>
      </c>
      <c r="D26" s="211">
        <v>900</v>
      </c>
      <c r="E26" s="212"/>
      <c r="F26" s="212"/>
      <c r="H26" s="191"/>
    </row>
    <row r="27" spans="1:8" hidden="1">
      <c r="A27" s="213" t="s">
        <v>96</v>
      </c>
      <c r="B27" s="244"/>
      <c r="C27" s="204"/>
      <c r="D27" s="204"/>
      <c r="E27" s="205">
        <f>SUM(C27:C72)</f>
        <v>4804.3000000000011</v>
      </c>
      <c r="F27" s="205">
        <f>SUM(D27:D72)</f>
        <v>0</v>
      </c>
      <c r="H27" s="191"/>
    </row>
    <row r="28" spans="1:8" hidden="1">
      <c r="A28" s="209" t="s">
        <v>97</v>
      </c>
      <c r="B28" s="230" t="s">
        <v>306</v>
      </c>
      <c r="C28" s="207">
        <v>-42.3</v>
      </c>
      <c r="D28" s="207">
        <v>0</v>
      </c>
      <c r="E28" s="208"/>
      <c r="F28" s="208"/>
      <c r="H28" s="191"/>
    </row>
    <row r="29" spans="1:8" hidden="1">
      <c r="A29" s="209" t="s">
        <v>98</v>
      </c>
      <c r="B29" s="230" t="s">
        <v>307</v>
      </c>
      <c r="C29" s="207">
        <v>-26.9</v>
      </c>
      <c r="D29" s="207">
        <v>0</v>
      </c>
      <c r="E29" s="208"/>
      <c r="F29" s="208"/>
      <c r="H29" s="191"/>
    </row>
    <row r="30" spans="1:8" hidden="1">
      <c r="A30" s="209" t="s">
        <v>99</v>
      </c>
      <c r="B30" s="230" t="s">
        <v>308</v>
      </c>
      <c r="C30" s="207">
        <v>-24.3</v>
      </c>
      <c r="D30" s="207">
        <v>0</v>
      </c>
      <c r="E30" s="208"/>
      <c r="F30" s="208"/>
      <c r="H30" s="191"/>
    </row>
    <row r="31" spans="1:8" hidden="1">
      <c r="A31" s="209" t="s">
        <v>100</v>
      </c>
      <c r="B31" s="230" t="s">
        <v>309</v>
      </c>
      <c r="C31" s="207">
        <v>-8.8000000000000007</v>
      </c>
      <c r="D31" s="207">
        <v>0</v>
      </c>
      <c r="E31" s="208"/>
      <c r="F31" s="208"/>
      <c r="H31" s="191"/>
    </row>
    <row r="32" spans="1:8" hidden="1">
      <c r="A32" s="209" t="s">
        <v>101</v>
      </c>
      <c r="B32" s="230" t="s">
        <v>310</v>
      </c>
      <c r="C32" s="207">
        <v>-88.4</v>
      </c>
      <c r="D32" s="207">
        <v>0</v>
      </c>
      <c r="E32" s="208"/>
      <c r="F32" s="208"/>
      <c r="H32" s="191"/>
    </row>
    <row r="33" spans="1:8" hidden="1">
      <c r="A33" s="209" t="s">
        <v>102</v>
      </c>
      <c r="B33" s="230" t="s">
        <v>311</v>
      </c>
      <c r="C33" s="207">
        <v>-45.1</v>
      </c>
      <c r="D33" s="207">
        <v>0</v>
      </c>
      <c r="E33" s="208"/>
      <c r="F33" s="208"/>
      <c r="H33" s="191"/>
    </row>
    <row r="34" spans="1:8" hidden="1">
      <c r="A34" s="209" t="s">
        <v>103</v>
      </c>
      <c r="B34" s="230" t="s">
        <v>312</v>
      </c>
      <c r="C34" s="207">
        <v>-50</v>
      </c>
      <c r="D34" s="207">
        <v>0</v>
      </c>
      <c r="E34" s="208"/>
      <c r="F34" s="208"/>
      <c r="H34" s="191"/>
    </row>
    <row r="35" spans="1:8" hidden="1">
      <c r="A35" s="209" t="s">
        <v>104</v>
      </c>
      <c r="B35" s="230" t="s">
        <v>313</v>
      </c>
      <c r="C35" s="207">
        <v>2000</v>
      </c>
      <c r="D35" s="207">
        <v>0</v>
      </c>
      <c r="E35" s="208"/>
      <c r="F35" s="208"/>
      <c r="H35" s="191"/>
    </row>
    <row r="36" spans="1:8" hidden="1">
      <c r="A36" s="209" t="s">
        <v>105</v>
      </c>
      <c r="B36" s="230" t="s">
        <v>314</v>
      </c>
      <c r="C36" s="207">
        <v>364.7</v>
      </c>
      <c r="D36" s="207">
        <v>0</v>
      </c>
      <c r="E36" s="208"/>
      <c r="F36" s="208"/>
      <c r="H36" s="191"/>
    </row>
    <row r="37" spans="1:8" hidden="1">
      <c r="A37" s="209" t="s">
        <v>106</v>
      </c>
      <c r="B37" s="230" t="s">
        <v>315</v>
      </c>
      <c r="C37" s="207">
        <v>823.7</v>
      </c>
      <c r="D37" s="207">
        <v>0</v>
      </c>
      <c r="E37" s="208"/>
      <c r="F37" s="208"/>
      <c r="H37" s="191"/>
    </row>
    <row r="38" spans="1:8" hidden="1">
      <c r="A38" s="209" t="s">
        <v>107</v>
      </c>
      <c r="B38" s="230" t="s">
        <v>316</v>
      </c>
      <c r="C38" s="207">
        <v>-86.1</v>
      </c>
      <c r="D38" s="207">
        <v>0</v>
      </c>
      <c r="E38" s="208"/>
      <c r="F38" s="208"/>
      <c r="H38" s="191"/>
    </row>
    <row r="39" spans="1:8" hidden="1">
      <c r="A39" s="209" t="s">
        <v>108</v>
      </c>
      <c r="B39" s="230" t="s">
        <v>317</v>
      </c>
      <c r="C39" s="207">
        <v>-85.7</v>
      </c>
      <c r="D39" s="207">
        <v>0</v>
      </c>
      <c r="E39" s="208"/>
      <c r="F39" s="208"/>
      <c r="H39" s="191"/>
    </row>
    <row r="40" spans="1:8" hidden="1">
      <c r="A40" s="209" t="s">
        <v>109</v>
      </c>
      <c r="B40" s="230" t="s">
        <v>318</v>
      </c>
      <c r="C40" s="207">
        <v>-47.7</v>
      </c>
      <c r="D40" s="207">
        <v>0</v>
      </c>
      <c r="E40" s="208"/>
      <c r="F40" s="208"/>
      <c r="H40" s="191"/>
    </row>
    <row r="41" spans="1:8" hidden="1">
      <c r="A41" s="209" t="s">
        <v>110</v>
      </c>
      <c r="B41" s="230" t="s">
        <v>319</v>
      </c>
      <c r="C41" s="207">
        <v>474.5</v>
      </c>
      <c r="D41" s="207">
        <v>0</v>
      </c>
      <c r="E41" s="208"/>
      <c r="F41" s="208"/>
      <c r="H41" s="191"/>
    </row>
    <row r="42" spans="1:8" hidden="1">
      <c r="A42" s="209" t="s">
        <v>111</v>
      </c>
      <c r="B42" s="230" t="s">
        <v>320</v>
      </c>
      <c r="C42" s="207">
        <v>102</v>
      </c>
      <c r="D42" s="207">
        <v>0</v>
      </c>
      <c r="E42" s="208"/>
      <c r="F42" s="208"/>
      <c r="H42" s="191"/>
    </row>
    <row r="43" spans="1:8" hidden="1">
      <c r="A43" s="209" t="s">
        <v>112</v>
      </c>
      <c r="B43" s="230" t="s">
        <v>321</v>
      </c>
      <c r="C43" s="207">
        <v>182.3</v>
      </c>
      <c r="D43" s="207">
        <v>0</v>
      </c>
      <c r="E43" s="208"/>
      <c r="F43" s="208"/>
      <c r="H43" s="191"/>
    </row>
    <row r="44" spans="1:8" hidden="1">
      <c r="A44" s="209" t="s">
        <v>113</v>
      </c>
      <c r="B44" s="230" t="s">
        <v>322</v>
      </c>
      <c r="C44" s="207">
        <v>154</v>
      </c>
      <c r="D44" s="207">
        <v>0</v>
      </c>
      <c r="E44" s="208"/>
      <c r="F44" s="208"/>
      <c r="H44" s="191"/>
    </row>
    <row r="45" spans="1:8" hidden="1">
      <c r="A45" s="209" t="s">
        <v>114</v>
      </c>
      <c r="B45" s="230" t="s">
        <v>323</v>
      </c>
      <c r="C45" s="207">
        <v>42.3</v>
      </c>
      <c r="D45" s="207">
        <v>0</v>
      </c>
      <c r="E45" s="208"/>
      <c r="F45" s="208"/>
      <c r="H45" s="191"/>
    </row>
    <row r="46" spans="1:8" hidden="1">
      <c r="A46" s="209" t="s">
        <v>115</v>
      </c>
      <c r="B46" s="230" t="s">
        <v>324</v>
      </c>
      <c r="C46" s="207">
        <v>82.6</v>
      </c>
      <c r="D46" s="207">
        <v>0</v>
      </c>
      <c r="E46" s="208"/>
      <c r="F46" s="208"/>
      <c r="H46" s="191"/>
    </row>
    <row r="47" spans="1:8" hidden="1">
      <c r="A47" s="209" t="s">
        <v>116</v>
      </c>
      <c r="B47" s="230" t="s">
        <v>325</v>
      </c>
      <c r="C47" s="207">
        <v>44.6</v>
      </c>
      <c r="D47" s="207">
        <v>0</v>
      </c>
      <c r="E47" s="208"/>
      <c r="F47" s="208"/>
      <c r="H47" s="191"/>
    </row>
    <row r="48" spans="1:8" hidden="1">
      <c r="A48" s="209" t="s">
        <v>117</v>
      </c>
      <c r="B48" s="230" t="s">
        <v>326</v>
      </c>
      <c r="C48" s="207">
        <v>27.8</v>
      </c>
      <c r="D48" s="207">
        <v>0</v>
      </c>
      <c r="E48" s="208"/>
      <c r="F48" s="208"/>
      <c r="H48" s="191"/>
    </row>
    <row r="49" spans="1:8" hidden="1">
      <c r="A49" s="209" t="s">
        <v>118</v>
      </c>
      <c r="B49" s="230" t="s">
        <v>327</v>
      </c>
      <c r="C49" s="207">
        <v>26.9</v>
      </c>
      <c r="D49" s="207">
        <v>0</v>
      </c>
      <c r="E49" s="208"/>
      <c r="F49" s="208"/>
      <c r="H49" s="191"/>
    </row>
    <row r="50" spans="1:8" hidden="1">
      <c r="A50" s="209" t="s">
        <v>99</v>
      </c>
      <c r="B50" s="230" t="s">
        <v>328</v>
      </c>
      <c r="C50" s="207">
        <v>24.3</v>
      </c>
      <c r="D50" s="207">
        <v>0</v>
      </c>
      <c r="E50" s="208"/>
      <c r="F50" s="208"/>
      <c r="H50" s="191"/>
    </row>
    <row r="51" spans="1:8" hidden="1">
      <c r="A51" s="209" t="s">
        <v>119</v>
      </c>
      <c r="B51" s="230" t="s">
        <v>329</v>
      </c>
      <c r="C51" s="207">
        <v>20.6</v>
      </c>
      <c r="D51" s="207">
        <v>0</v>
      </c>
      <c r="E51" s="208"/>
      <c r="F51" s="208"/>
      <c r="H51" s="191"/>
    </row>
    <row r="52" spans="1:8" hidden="1">
      <c r="A52" s="209" t="s">
        <v>100</v>
      </c>
      <c r="B52" s="230" t="s">
        <v>330</v>
      </c>
      <c r="C52" s="207">
        <v>8.8000000000000007</v>
      </c>
      <c r="D52" s="207">
        <v>0</v>
      </c>
      <c r="E52" s="208"/>
      <c r="F52" s="208"/>
      <c r="H52" s="191"/>
    </row>
    <row r="53" spans="1:8" hidden="1">
      <c r="A53" s="209" t="s">
        <v>120</v>
      </c>
      <c r="B53" s="230" t="s">
        <v>331</v>
      </c>
      <c r="C53" s="207">
        <v>7</v>
      </c>
      <c r="D53" s="207">
        <v>0</v>
      </c>
      <c r="E53" s="208"/>
      <c r="F53" s="208"/>
      <c r="H53" s="191"/>
    </row>
    <row r="54" spans="1:8" hidden="1">
      <c r="A54" s="209" t="s">
        <v>121</v>
      </c>
      <c r="B54" s="230" t="s">
        <v>332</v>
      </c>
      <c r="C54" s="207">
        <v>120</v>
      </c>
      <c r="D54" s="207">
        <v>0</v>
      </c>
      <c r="E54" s="208"/>
      <c r="F54" s="208"/>
      <c r="H54" s="191"/>
    </row>
    <row r="55" spans="1:8" hidden="1">
      <c r="A55" s="209" t="s">
        <v>122</v>
      </c>
      <c r="B55" s="230" t="s">
        <v>333</v>
      </c>
      <c r="C55" s="207">
        <v>1</v>
      </c>
      <c r="D55" s="207">
        <v>0</v>
      </c>
      <c r="E55" s="208"/>
      <c r="F55" s="208"/>
      <c r="H55" s="191"/>
    </row>
    <row r="56" spans="1:8" hidden="1">
      <c r="A56" s="209" t="s">
        <v>123</v>
      </c>
      <c r="B56" s="230" t="s">
        <v>334</v>
      </c>
      <c r="C56" s="207">
        <v>7.6</v>
      </c>
      <c r="D56" s="207">
        <v>0</v>
      </c>
      <c r="E56" s="208"/>
      <c r="F56" s="208"/>
      <c r="H56" s="191"/>
    </row>
    <row r="57" spans="1:8" hidden="1">
      <c r="A57" s="209" t="s">
        <v>124</v>
      </c>
      <c r="B57" s="230" t="s">
        <v>335</v>
      </c>
      <c r="C57" s="207">
        <v>8.1999999999999993</v>
      </c>
      <c r="D57" s="207">
        <v>0</v>
      </c>
      <c r="E57" s="208"/>
      <c r="F57" s="208"/>
      <c r="H57" s="191"/>
    </row>
    <row r="58" spans="1:8" hidden="1">
      <c r="A58" s="209" t="s">
        <v>125</v>
      </c>
      <c r="B58" s="230" t="s">
        <v>336</v>
      </c>
      <c r="C58" s="207">
        <v>10.8</v>
      </c>
      <c r="D58" s="207">
        <v>0</v>
      </c>
      <c r="E58" s="208"/>
      <c r="F58" s="208"/>
      <c r="H58" s="191"/>
    </row>
    <row r="59" spans="1:8" hidden="1">
      <c r="A59" s="209" t="s">
        <v>126</v>
      </c>
      <c r="B59" s="230" t="s">
        <v>337</v>
      </c>
      <c r="C59" s="207">
        <v>11.2</v>
      </c>
      <c r="D59" s="207">
        <v>0</v>
      </c>
      <c r="E59" s="208"/>
      <c r="F59" s="208"/>
      <c r="H59" s="191"/>
    </row>
    <row r="60" spans="1:8" hidden="1">
      <c r="A60" s="209" t="s">
        <v>127</v>
      </c>
      <c r="B60" s="230" t="s">
        <v>338</v>
      </c>
      <c r="C60" s="207">
        <v>10</v>
      </c>
      <c r="D60" s="207">
        <v>0</v>
      </c>
      <c r="E60" s="208"/>
      <c r="F60" s="208"/>
      <c r="H60" s="191"/>
    </row>
    <row r="61" spans="1:8" hidden="1">
      <c r="A61" s="209" t="s">
        <v>128</v>
      </c>
      <c r="B61" s="230" t="s">
        <v>339</v>
      </c>
      <c r="C61" s="207">
        <v>9.5</v>
      </c>
      <c r="D61" s="207">
        <v>0</v>
      </c>
      <c r="E61" s="208"/>
      <c r="F61" s="208"/>
      <c r="H61" s="191"/>
    </row>
    <row r="62" spans="1:8" hidden="1">
      <c r="A62" s="209" t="s">
        <v>129</v>
      </c>
      <c r="B62" s="230" t="s">
        <v>340</v>
      </c>
      <c r="C62" s="207">
        <v>9</v>
      </c>
      <c r="D62" s="207">
        <v>0</v>
      </c>
      <c r="E62" s="208"/>
      <c r="F62" s="208"/>
      <c r="H62" s="191"/>
    </row>
    <row r="63" spans="1:8" hidden="1">
      <c r="A63" s="209" t="s">
        <v>130</v>
      </c>
      <c r="B63" s="230" t="s">
        <v>341</v>
      </c>
      <c r="C63" s="207">
        <v>6</v>
      </c>
      <c r="D63" s="207">
        <v>0</v>
      </c>
      <c r="E63" s="208"/>
      <c r="F63" s="208"/>
      <c r="H63" s="191"/>
    </row>
    <row r="64" spans="1:8" hidden="1">
      <c r="A64" s="209" t="s">
        <v>131</v>
      </c>
      <c r="B64" s="230" t="s">
        <v>342</v>
      </c>
      <c r="C64" s="207">
        <v>122.8</v>
      </c>
      <c r="D64" s="207">
        <v>0</v>
      </c>
      <c r="E64" s="208"/>
      <c r="F64" s="208"/>
      <c r="H64" s="191"/>
    </row>
    <row r="65" spans="1:8" hidden="1">
      <c r="A65" s="209" t="s">
        <v>101</v>
      </c>
      <c r="B65" s="230" t="s">
        <v>343</v>
      </c>
      <c r="C65" s="207">
        <v>88.4</v>
      </c>
      <c r="D65" s="207">
        <v>0</v>
      </c>
      <c r="E65" s="208"/>
      <c r="F65" s="208"/>
      <c r="H65" s="191"/>
    </row>
    <row r="66" spans="1:8" hidden="1">
      <c r="A66" s="209" t="s">
        <v>132</v>
      </c>
      <c r="B66" s="230" t="s">
        <v>344</v>
      </c>
      <c r="C66" s="207">
        <v>66.400000000000006</v>
      </c>
      <c r="D66" s="207">
        <v>0</v>
      </c>
      <c r="E66" s="208"/>
      <c r="F66" s="208"/>
      <c r="H66" s="191"/>
    </row>
    <row r="67" spans="1:8" ht="25.5" hidden="1">
      <c r="A67" s="209" t="s">
        <v>133</v>
      </c>
      <c r="B67" s="230" t="s">
        <v>345</v>
      </c>
      <c r="C67" s="207">
        <v>65.8</v>
      </c>
      <c r="D67" s="207">
        <v>0</v>
      </c>
      <c r="E67" s="208"/>
      <c r="F67" s="208"/>
      <c r="H67" s="191"/>
    </row>
    <row r="68" spans="1:8" hidden="1">
      <c r="A68" s="209" t="s">
        <v>134</v>
      </c>
      <c r="B68" s="230" t="s">
        <v>346</v>
      </c>
      <c r="C68" s="207">
        <v>83.3</v>
      </c>
      <c r="D68" s="207">
        <v>0</v>
      </c>
      <c r="E68" s="208"/>
      <c r="F68" s="208"/>
      <c r="H68" s="191"/>
    </row>
    <row r="69" spans="1:8" hidden="1">
      <c r="A69" s="209" t="s">
        <v>135</v>
      </c>
      <c r="B69" s="230" t="s">
        <v>339</v>
      </c>
      <c r="C69" s="207">
        <v>85.7</v>
      </c>
      <c r="D69" s="207">
        <v>0</v>
      </c>
      <c r="E69" s="208"/>
      <c r="F69" s="208"/>
      <c r="H69" s="191"/>
    </row>
    <row r="70" spans="1:8" hidden="1">
      <c r="A70" s="209" t="s">
        <v>136</v>
      </c>
      <c r="B70" s="230" t="s">
        <v>340</v>
      </c>
      <c r="C70" s="207">
        <v>47.7</v>
      </c>
      <c r="D70" s="207">
        <v>0</v>
      </c>
      <c r="E70" s="208"/>
      <c r="F70" s="208"/>
      <c r="H70" s="191"/>
    </row>
    <row r="71" spans="1:8" hidden="1">
      <c r="A71" s="209" t="s">
        <v>137</v>
      </c>
      <c r="B71" s="230" t="s">
        <v>347</v>
      </c>
      <c r="C71" s="207">
        <v>45.1</v>
      </c>
      <c r="D71" s="207">
        <v>0</v>
      </c>
      <c r="E71" s="208"/>
      <c r="F71" s="208"/>
      <c r="H71" s="191"/>
    </row>
    <row r="72" spans="1:8" hidden="1">
      <c r="A72" s="210" t="s">
        <v>138</v>
      </c>
      <c r="B72" s="241" t="s">
        <v>348</v>
      </c>
      <c r="C72" s="211">
        <v>125</v>
      </c>
      <c r="D72" s="211">
        <v>0</v>
      </c>
      <c r="E72" s="212"/>
      <c r="F72" s="212"/>
      <c r="H72" s="191"/>
    </row>
    <row r="73" spans="1:8" hidden="1">
      <c r="A73" s="213" t="s">
        <v>139</v>
      </c>
      <c r="B73" s="242"/>
      <c r="C73" s="204"/>
      <c r="D73" s="204"/>
      <c r="E73" s="205">
        <f>SUM(C73:C81)</f>
        <v>37677.9</v>
      </c>
      <c r="F73" s="205">
        <f>SUM(D73:D81)</f>
        <v>9737.7999999999993</v>
      </c>
      <c r="H73" s="191"/>
    </row>
    <row r="74" spans="1:8" hidden="1">
      <c r="A74" s="209" t="s">
        <v>140</v>
      </c>
      <c r="B74" s="230" t="s">
        <v>349</v>
      </c>
      <c r="C74" s="207">
        <v>0</v>
      </c>
      <c r="D74" s="207">
        <v>871</v>
      </c>
      <c r="E74" s="208"/>
      <c r="F74" s="208"/>
      <c r="H74" s="191"/>
    </row>
    <row r="75" spans="1:8" hidden="1">
      <c r="A75" s="209" t="s">
        <v>141</v>
      </c>
      <c r="B75" s="230" t="s">
        <v>350</v>
      </c>
      <c r="C75" s="207">
        <v>921</v>
      </c>
      <c r="D75" s="207">
        <v>1060</v>
      </c>
      <c r="E75" s="208"/>
      <c r="F75" s="208"/>
      <c r="H75" s="191"/>
    </row>
    <row r="76" spans="1:8" hidden="1">
      <c r="A76" s="209" t="s">
        <v>142</v>
      </c>
      <c r="B76" s="230" t="s">
        <v>351</v>
      </c>
      <c r="C76" s="207">
        <v>47.7</v>
      </c>
      <c r="D76" s="207">
        <v>0</v>
      </c>
      <c r="E76" s="208"/>
      <c r="F76" s="208"/>
      <c r="H76" s="191"/>
    </row>
    <row r="77" spans="1:8" hidden="1">
      <c r="A77" s="209" t="s">
        <v>143</v>
      </c>
      <c r="B77" s="230" t="s">
        <v>352</v>
      </c>
      <c r="C77" s="207">
        <v>206</v>
      </c>
      <c r="D77" s="207">
        <v>0</v>
      </c>
      <c r="E77" s="208"/>
      <c r="F77" s="208"/>
      <c r="H77" s="191"/>
    </row>
    <row r="78" spans="1:8" hidden="1">
      <c r="A78" s="209" t="s">
        <v>144</v>
      </c>
      <c r="B78" s="230" t="s">
        <v>353</v>
      </c>
      <c r="C78" s="207">
        <v>29981.200000000001</v>
      </c>
      <c r="D78" s="207">
        <v>0</v>
      </c>
      <c r="E78" s="208"/>
      <c r="F78" s="208"/>
      <c r="H78" s="191"/>
    </row>
    <row r="79" spans="1:8" hidden="1">
      <c r="A79" s="209" t="s">
        <v>145</v>
      </c>
      <c r="B79" s="230" t="s">
        <v>354</v>
      </c>
      <c r="C79" s="207">
        <v>0</v>
      </c>
      <c r="D79" s="207">
        <v>871</v>
      </c>
      <c r="E79" s="208"/>
      <c r="F79" s="208"/>
      <c r="H79" s="191"/>
    </row>
    <row r="80" spans="1:8" hidden="1">
      <c r="A80" s="209" t="s">
        <v>95</v>
      </c>
      <c r="B80" s="230" t="s">
        <v>355</v>
      </c>
      <c r="C80" s="207">
        <v>922</v>
      </c>
      <c r="D80" s="207">
        <v>935.8</v>
      </c>
      <c r="E80" s="208"/>
      <c r="F80" s="208"/>
      <c r="H80" s="191"/>
    </row>
    <row r="81" spans="1:8" hidden="1">
      <c r="A81" s="210" t="s">
        <v>146</v>
      </c>
      <c r="B81" s="243" t="s">
        <v>356</v>
      </c>
      <c r="C81" s="211">
        <v>5600</v>
      </c>
      <c r="D81" s="211">
        <v>6000</v>
      </c>
      <c r="E81" s="212"/>
      <c r="F81" s="212"/>
      <c r="H81" s="191"/>
    </row>
    <row r="82" spans="1:8" hidden="1">
      <c r="A82" s="213" t="s">
        <v>147</v>
      </c>
      <c r="B82" s="244"/>
      <c r="C82" s="204"/>
      <c r="D82" s="204"/>
      <c r="E82" s="205">
        <f>SUM(C82:C84)</f>
        <v>373</v>
      </c>
      <c r="F82" s="205">
        <f>SUM(D82:D84)</f>
        <v>257.10000000000002</v>
      </c>
      <c r="H82" s="191"/>
    </row>
    <row r="83" spans="1:8" hidden="1">
      <c r="A83" s="214" t="s">
        <v>148</v>
      </c>
      <c r="B83" s="230" t="s">
        <v>357</v>
      </c>
      <c r="C83" s="207">
        <v>122.3</v>
      </c>
      <c r="D83" s="207">
        <v>0</v>
      </c>
      <c r="E83" s="208"/>
      <c r="F83" s="208"/>
      <c r="H83" s="191"/>
    </row>
    <row r="84" spans="1:8" hidden="1">
      <c r="A84" s="215" t="s">
        <v>95</v>
      </c>
      <c r="B84" s="241" t="s">
        <v>358</v>
      </c>
      <c r="C84" s="211">
        <v>250.7</v>
      </c>
      <c r="D84" s="211">
        <v>257.10000000000002</v>
      </c>
      <c r="E84" s="212"/>
      <c r="F84" s="212"/>
      <c r="H84" s="191"/>
    </row>
    <row r="85" spans="1:8" hidden="1">
      <c r="A85" s="213" t="s">
        <v>149</v>
      </c>
      <c r="B85" s="242"/>
      <c r="C85" s="204"/>
      <c r="D85" s="204"/>
      <c r="E85" s="205">
        <f>SUM(C85:C95)</f>
        <v>-43078.1</v>
      </c>
      <c r="F85" s="205">
        <f>SUM(D85:D95)</f>
        <v>-56927.8</v>
      </c>
      <c r="H85" s="191"/>
    </row>
    <row r="86" spans="1:8" hidden="1">
      <c r="A86" s="209" t="s">
        <v>150</v>
      </c>
      <c r="B86" s="230" t="s">
        <v>359</v>
      </c>
      <c r="C86" s="207">
        <v>20800</v>
      </c>
      <c r="D86" s="207">
        <v>20800</v>
      </c>
      <c r="E86" s="208"/>
      <c r="F86" s="208"/>
      <c r="H86" s="191"/>
    </row>
    <row r="87" spans="1:8" hidden="1">
      <c r="A87" s="209" t="s">
        <v>151</v>
      </c>
      <c r="B87" s="230" t="s">
        <v>360</v>
      </c>
      <c r="C87" s="207">
        <v>-4363.8999999999996</v>
      </c>
      <c r="D87" s="207">
        <v>-8727.7999999999993</v>
      </c>
      <c r="E87" s="208"/>
      <c r="F87" s="208"/>
      <c r="H87" s="191"/>
    </row>
    <row r="88" spans="1:8" hidden="1">
      <c r="A88" s="209" t="s">
        <v>152</v>
      </c>
      <c r="B88" s="230" t="s">
        <v>361</v>
      </c>
      <c r="C88" s="207">
        <v>8085.8</v>
      </c>
      <c r="D88" s="207">
        <v>0</v>
      </c>
      <c r="E88" s="208"/>
      <c r="F88" s="208"/>
      <c r="H88" s="191"/>
    </row>
    <row r="89" spans="1:8" hidden="1">
      <c r="A89" s="209" t="s">
        <v>153</v>
      </c>
      <c r="B89" s="230" t="s">
        <v>362</v>
      </c>
      <c r="C89" s="207">
        <v>-158.5</v>
      </c>
      <c r="D89" s="207">
        <v>-158.5</v>
      </c>
      <c r="E89" s="208"/>
      <c r="F89" s="208"/>
      <c r="H89" s="191"/>
    </row>
    <row r="90" spans="1:8" hidden="1">
      <c r="A90" s="209" t="s">
        <v>154</v>
      </c>
      <c r="B90" s="230" t="s">
        <v>363</v>
      </c>
      <c r="C90" s="207">
        <v>-79.599999999999994</v>
      </c>
      <c r="D90" s="207">
        <v>-79.599999999999994</v>
      </c>
      <c r="E90" s="208"/>
      <c r="F90" s="208"/>
      <c r="H90" s="191"/>
    </row>
    <row r="91" spans="1:8" hidden="1">
      <c r="A91" s="209" t="s">
        <v>155</v>
      </c>
      <c r="B91" s="230" t="s">
        <v>364</v>
      </c>
      <c r="C91" s="207">
        <v>-69000</v>
      </c>
      <c r="D91" s="207">
        <v>-69000</v>
      </c>
      <c r="E91" s="208"/>
      <c r="F91" s="208"/>
      <c r="H91" s="191"/>
    </row>
    <row r="92" spans="1:8" hidden="1">
      <c r="A92" s="209" t="s">
        <v>156</v>
      </c>
      <c r="B92" s="230" t="s">
        <v>365</v>
      </c>
      <c r="C92" s="207">
        <v>158.5</v>
      </c>
      <c r="D92" s="207">
        <v>158.5</v>
      </c>
      <c r="E92" s="208"/>
      <c r="F92" s="208"/>
      <c r="H92" s="191"/>
    </row>
    <row r="93" spans="1:8" hidden="1">
      <c r="A93" s="209" t="s">
        <v>157</v>
      </c>
      <c r="B93" s="230" t="s">
        <v>366</v>
      </c>
      <c r="C93" s="207">
        <v>79.599999999999994</v>
      </c>
      <c r="D93" s="207">
        <v>79.599999999999994</v>
      </c>
      <c r="E93" s="208"/>
      <c r="F93" s="208"/>
      <c r="H93" s="191"/>
    </row>
    <row r="94" spans="1:8" hidden="1">
      <c r="A94" s="209" t="s">
        <v>158</v>
      </c>
      <c r="B94" s="230" t="s">
        <v>367</v>
      </c>
      <c r="C94" s="207">
        <v>1200</v>
      </c>
      <c r="D94" s="207">
        <v>0</v>
      </c>
      <c r="E94" s="208"/>
      <c r="F94" s="208"/>
      <c r="H94" s="191"/>
    </row>
    <row r="95" spans="1:8" hidden="1">
      <c r="A95" s="210" t="s">
        <v>159</v>
      </c>
      <c r="B95" s="243" t="s">
        <v>368</v>
      </c>
      <c r="C95" s="211">
        <v>200</v>
      </c>
      <c r="D95" s="211">
        <v>0</v>
      </c>
      <c r="E95" s="212"/>
      <c r="F95" s="212"/>
      <c r="H95" s="191"/>
    </row>
    <row r="96" spans="1:8" hidden="1">
      <c r="A96" s="213" t="s">
        <v>160</v>
      </c>
      <c r="B96" s="244"/>
      <c r="C96" s="204"/>
      <c r="D96" s="204"/>
      <c r="E96" s="205">
        <f>C97</f>
        <v>534.9</v>
      </c>
      <c r="F96" s="205">
        <f>D97</f>
        <v>545.6</v>
      </c>
      <c r="H96" s="191"/>
    </row>
    <row r="97" spans="1:8" hidden="1">
      <c r="A97" s="210" t="s">
        <v>95</v>
      </c>
      <c r="B97" s="241" t="s">
        <v>369</v>
      </c>
      <c r="C97" s="211">
        <v>534.9</v>
      </c>
      <c r="D97" s="211">
        <v>545.6</v>
      </c>
      <c r="E97" s="212"/>
      <c r="F97" s="212"/>
      <c r="H97" s="191"/>
    </row>
    <row r="98" spans="1:8" hidden="1">
      <c r="A98" s="213" t="s">
        <v>161</v>
      </c>
      <c r="B98" s="242"/>
      <c r="C98" s="204"/>
      <c r="D98" s="204"/>
      <c r="E98" s="205">
        <f>SUM(C98:C101)</f>
        <v>1841</v>
      </c>
      <c r="F98" s="205">
        <f>SUM(D98:D101)</f>
        <v>-630</v>
      </c>
      <c r="H98" s="191"/>
    </row>
    <row r="99" spans="1:8" hidden="1">
      <c r="A99" s="209" t="s">
        <v>162</v>
      </c>
      <c r="B99" s="230" t="s">
        <v>370</v>
      </c>
      <c r="C99" s="207">
        <v>429.2</v>
      </c>
      <c r="D99" s="207">
        <v>0</v>
      </c>
      <c r="E99" s="208"/>
      <c r="F99" s="208"/>
      <c r="H99" s="191"/>
    </row>
    <row r="100" spans="1:8" hidden="1">
      <c r="A100" s="209" t="s">
        <v>163</v>
      </c>
      <c r="B100" s="230" t="s">
        <v>371</v>
      </c>
      <c r="C100" s="207">
        <v>817.6</v>
      </c>
      <c r="D100" s="207">
        <v>-630</v>
      </c>
      <c r="E100" s="208"/>
      <c r="F100" s="208"/>
      <c r="H100" s="191"/>
    </row>
    <row r="101" spans="1:8" hidden="1">
      <c r="A101" s="210" t="s">
        <v>164</v>
      </c>
      <c r="B101" s="243" t="s">
        <v>372</v>
      </c>
      <c r="C101" s="211">
        <v>594.20000000000005</v>
      </c>
      <c r="D101" s="211">
        <v>0</v>
      </c>
      <c r="E101" s="212"/>
      <c r="F101" s="212"/>
      <c r="H101" s="191"/>
    </row>
    <row r="102" spans="1:8" hidden="1">
      <c r="A102" s="213" t="s">
        <v>165</v>
      </c>
      <c r="B102" s="244"/>
      <c r="C102" s="204"/>
      <c r="D102" s="204"/>
      <c r="E102" s="205">
        <f>C103</f>
        <v>532.4</v>
      </c>
      <c r="F102" s="205">
        <f>D103</f>
        <v>548.4</v>
      </c>
      <c r="H102" s="191"/>
    </row>
    <row r="103" spans="1:8" hidden="1">
      <c r="A103" s="210" t="s">
        <v>166</v>
      </c>
      <c r="B103" s="241" t="s">
        <v>373</v>
      </c>
      <c r="C103" s="211">
        <v>532.4</v>
      </c>
      <c r="D103" s="211">
        <v>548.4</v>
      </c>
      <c r="E103" s="212"/>
      <c r="F103" s="212"/>
      <c r="H103" s="191"/>
    </row>
    <row r="104" spans="1:8" hidden="1">
      <c r="A104" s="213" t="s">
        <v>167</v>
      </c>
      <c r="B104" s="242"/>
      <c r="C104" s="204"/>
      <c r="D104" s="204"/>
      <c r="E104" s="205">
        <f>SUM(C104:C107)</f>
        <v>141.49999999999994</v>
      </c>
      <c r="F104" s="205">
        <f>SUM(D104:D107)</f>
        <v>519.9</v>
      </c>
      <c r="H104" s="191"/>
    </row>
    <row r="105" spans="1:8" hidden="1">
      <c r="A105" s="209" t="s">
        <v>166</v>
      </c>
      <c r="B105" s="230" t="s">
        <v>374</v>
      </c>
      <c r="C105" s="207">
        <v>504.8</v>
      </c>
      <c r="D105" s="207">
        <v>519.9</v>
      </c>
      <c r="E105" s="208"/>
      <c r="F105" s="208"/>
      <c r="H105" s="191"/>
    </row>
    <row r="106" spans="1:8" hidden="1">
      <c r="A106" s="209" t="s">
        <v>168</v>
      </c>
      <c r="B106" s="230" t="s">
        <v>375</v>
      </c>
      <c r="C106" s="207">
        <v>26</v>
      </c>
      <c r="D106" s="207">
        <v>0</v>
      </c>
      <c r="E106" s="208"/>
      <c r="F106" s="208"/>
      <c r="H106" s="191"/>
    </row>
    <row r="107" spans="1:8" hidden="1">
      <c r="A107" s="210" t="s">
        <v>169</v>
      </c>
      <c r="B107" s="243" t="s">
        <v>376</v>
      </c>
      <c r="C107" s="211">
        <v>-389.3</v>
      </c>
      <c r="D107" s="211">
        <v>0</v>
      </c>
      <c r="E107" s="212"/>
      <c r="F107" s="212"/>
      <c r="H107" s="191"/>
    </row>
    <row r="108" spans="1:8" hidden="1">
      <c r="A108" s="213" t="s">
        <v>170</v>
      </c>
      <c r="B108" s="244"/>
      <c r="C108" s="204"/>
      <c r="D108" s="204"/>
      <c r="E108" s="205">
        <f>SUM(C108:C112)</f>
        <v>1054.5</v>
      </c>
      <c r="F108" s="205">
        <f>SUM(D108:D112)</f>
        <v>332.2</v>
      </c>
      <c r="H108" s="191"/>
    </row>
    <row r="109" spans="1:8" hidden="1">
      <c r="A109" s="209" t="s">
        <v>171</v>
      </c>
      <c r="B109" s="230" t="s">
        <v>377</v>
      </c>
      <c r="C109" s="207">
        <v>689</v>
      </c>
      <c r="D109" s="207">
        <v>0</v>
      </c>
      <c r="E109" s="208"/>
      <c r="F109" s="208"/>
      <c r="H109" s="191"/>
    </row>
    <row r="110" spans="1:8" hidden="1">
      <c r="A110" s="209" t="s">
        <v>172</v>
      </c>
      <c r="B110" s="230" t="s">
        <v>378</v>
      </c>
      <c r="C110" s="207">
        <v>100.6</v>
      </c>
      <c r="D110" s="207">
        <v>0</v>
      </c>
      <c r="E110" s="208"/>
      <c r="F110" s="208"/>
      <c r="H110" s="191"/>
    </row>
    <row r="111" spans="1:8" hidden="1">
      <c r="A111" s="209" t="s">
        <v>79</v>
      </c>
      <c r="B111" s="230" t="s">
        <v>379</v>
      </c>
      <c r="C111" s="207">
        <v>328.9</v>
      </c>
      <c r="D111" s="207">
        <v>332.2</v>
      </c>
      <c r="E111" s="208"/>
      <c r="F111" s="208"/>
      <c r="H111" s="191"/>
    </row>
    <row r="112" spans="1:8" hidden="1">
      <c r="A112" s="210" t="s">
        <v>173</v>
      </c>
      <c r="B112" s="241" t="s">
        <v>380</v>
      </c>
      <c r="C112" s="211">
        <v>-64</v>
      </c>
      <c r="D112" s="211">
        <v>0</v>
      </c>
      <c r="E112" s="212"/>
      <c r="F112" s="212"/>
      <c r="H112" s="191"/>
    </row>
    <row r="113" spans="1:8" hidden="1">
      <c r="A113" s="216" t="s">
        <v>174</v>
      </c>
      <c r="B113" s="242"/>
      <c r="C113" s="204"/>
      <c r="D113" s="204"/>
      <c r="E113" s="205">
        <f>SUM(C113:C116)</f>
        <v>76.5</v>
      </c>
      <c r="F113" s="205">
        <f>SUM(D113:D116)</f>
        <v>-342.1</v>
      </c>
      <c r="H113" s="191"/>
    </row>
    <row r="114" spans="1:8" hidden="1">
      <c r="A114" s="209" t="s">
        <v>166</v>
      </c>
      <c r="B114" s="230" t="s">
        <v>381</v>
      </c>
      <c r="C114" s="207">
        <v>195.1</v>
      </c>
      <c r="D114" s="207">
        <v>200.9</v>
      </c>
      <c r="E114" s="208"/>
      <c r="F114" s="208"/>
      <c r="H114" s="191"/>
    </row>
    <row r="115" spans="1:8" hidden="1">
      <c r="A115" s="209" t="s">
        <v>175</v>
      </c>
      <c r="B115" s="230" t="s">
        <v>382</v>
      </c>
      <c r="C115" s="207">
        <v>-118.6</v>
      </c>
      <c r="D115" s="207">
        <v>0</v>
      </c>
      <c r="E115" s="208"/>
      <c r="F115" s="208"/>
      <c r="H115" s="191"/>
    </row>
    <row r="116" spans="1:8" hidden="1">
      <c r="A116" s="217" t="s">
        <v>176</v>
      </c>
      <c r="B116" s="243" t="s">
        <v>383</v>
      </c>
      <c r="C116" s="211">
        <v>0</v>
      </c>
      <c r="D116" s="211">
        <v>-543</v>
      </c>
      <c r="E116" s="212"/>
      <c r="F116" s="212"/>
      <c r="H116" s="191"/>
    </row>
    <row r="117" spans="1:8" hidden="1">
      <c r="A117" s="213" t="s">
        <v>177</v>
      </c>
      <c r="B117" s="244"/>
      <c r="C117" s="204"/>
      <c r="D117" s="204"/>
      <c r="E117" s="205">
        <f>SUM(C117:C119)</f>
        <v>349.7</v>
      </c>
      <c r="F117" s="205">
        <f>SUM(D117:D119)</f>
        <v>-474.8</v>
      </c>
      <c r="H117" s="191"/>
    </row>
    <row r="118" spans="1:8" ht="25.5" hidden="1">
      <c r="A118" s="209" t="s">
        <v>178</v>
      </c>
      <c r="B118" s="230" t="s">
        <v>384</v>
      </c>
      <c r="C118" s="207">
        <v>325</v>
      </c>
      <c r="D118" s="207">
        <v>-500</v>
      </c>
      <c r="E118" s="208"/>
      <c r="F118" s="208"/>
      <c r="H118" s="191"/>
    </row>
    <row r="119" spans="1:8" hidden="1">
      <c r="A119" s="209" t="s">
        <v>95</v>
      </c>
      <c r="B119" s="230" t="s">
        <v>385</v>
      </c>
      <c r="C119" s="207">
        <v>24.7</v>
      </c>
      <c r="D119" s="207">
        <v>25.2</v>
      </c>
      <c r="E119" s="208"/>
      <c r="F119" s="208"/>
      <c r="H119" s="191"/>
    </row>
    <row r="120" spans="1:8" hidden="1">
      <c r="A120" s="210"/>
      <c r="B120" s="241"/>
      <c r="C120" s="211"/>
      <c r="D120" s="211"/>
      <c r="E120" s="212"/>
      <c r="F120" s="212"/>
      <c r="H120" s="191"/>
    </row>
    <row r="121" spans="1:8" hidden="1">
      <c r="A121" s="213" t="s">
        <v>179</v>
      </c>
      <c r="B121" s="242"/>
      <c r="C121" s="204">
        <v>7745</v>
      </c>
      <c r="D121" s="204">
        <v>0</v>
      </c>
      <c r="E121" s="205">
        <f>C121</f>
        <v>7745</v>
      </c>
      <c r="F121" s="205">
        <f>D121</f>
        <v>0</v>
      </c>
      <c r="H121" s="191"/>
    </row>
    <row r="122" spans="1:8" hidden="1">
      <c r="A122" s="218"/>
      <c r="B122" s="243"/>
      <c r="C122" s="211"/>
      <c r="D122" s="211"/>
      <c r="E122" s="212"/>
      <c r="F122" s="212"/>
      <c r="H122" s="191"/>
    </row>
    <row r="123" spans="1:8" hidden="1">
      <c r="A123" s="213" t="s">
        <v>180</v>
      </c>
      <c r="B123" s="244"/>
      <c r="C123" s="204"/>
      <c r="D123" s="204"/>
      <c r="E123" s="205">
        <f>SUM(C123:C129)</f>
        <v>1003.8</v>
      </c>
      <c r="F123" s="205">
        <f>SUM(D123:D129)</f>
        <v>992.8</v>
      </c>
      <c r="H123" s="191"/>
    </row>
    <row r="124" spans="1:8" hidden="1">
      <c r="A124" s="209" t="s">
        <v>181</v>
      </c>
      <c r="B124" s="230" t="s">
        <v>386</v>
      </c>
      <c r="C124" s="207">
        <v>-36.6</v>
      </c>
      <c r="D124" s="207">
        <v>0</v>
      </c>
      <c r="E124" s="208"/>
      <c r="F124" s="208"/>
      <c r="H124" s="191"/>
    </row>
    <row r="125" spans="1:8" hidden="1">
      <c r="A125" s="209" t="s">
        <v>182</v>
      </c>
      <c r="B125" s="230" t="s">
        <v>387</v>
      </c>
      <c r="C125" s="207">
        <v>36.6</v>
      </c>
      <c r="D125" s="207">
        <v>0</v>
      </c>
      <c r="E125" s="208"/>
      <c r="F125" s="208"/>
      <c r="H125" s="191"/>
    </row>
    <row r="126" spans="1:8" hidden="1">
      <c r="A126" s="209" t="s">
        <v>183</v>
      </c>
      <c r="B126" s="230" t="s">
        <v>388</v>
      </c>
      <c r="C126" s="207">
        <v>11</v>
      </c>
      <c r="D126" s="207">
        <v>0</v>
      </c>
      <c r="E126" s="208"/>
      <c r="F126" s="208"/>
      <c r="H126" s="191"/>
    </row>
    <row r="127" spans="1:8" hidden="1">
      <c r="A127" s="209" t="s">
        <v>95</v>
      </c>
      <c r="B127" s="230" t="s">
        <v>389</v>
      </c>
      <c r="C127" s="207">
        <v>775.3</v>
      </c>
      <c r="D127" s="207">
        <v>775.3</v>
      </c>
      <c r="E127" s="208"/>
      <c r="F127" s="208"/>
      <c r="H127" s="191"/>
    </row>
    <row r="128" spans="1:8" hidden="1">
      <c r="A128" s="209" t="s">
        <v>184</v>
      </c>
      <c r="B128" s="230" t="s">
        <v>390</v>
      </c>
      <c r="C128" s="207">
        <v>117.5</v>
      </c>
      <c r="D128" s="207">
        <v>117.5</v>
      </c>
      <c r="E128" s="208"/>
      <c r="F128" s="208"/>
      <c r="H128" s="191"/>
    </row>
    <row r="129" spans="1:8" hidden="1">
      <c r="A129" s="210" t="s">
        <v>185</v>
      </c>
      <c r="B129" s="241" t="s">
        <v>391</v>
      </c>
      <c r="C129" s="211">
        <v>100</v>
      </c>
      <c r="D129" s="211">
        <v>100</v>
      </c>
      <c r="E129" s="212"/>
      <c r="F129" s="212"/>
      <c r="H129" s="191"/>
    </row>
    <row r="130" spans="1:8" hidden="1">
      <c r="A130" s="213" t="s">
        <v>186</v>
      </c>
      <c r="B130" s="242" t="s">
        <v>33</v>
      </c>
      <c r="C130" s="204"/>
      <c r="D130" s="204"/>
      <c r="E130" s="205">
        <f>SUM(C130:C132)</f>
        <v>49.4</v>
      </c>
      <c r="F130" s="205">
        <f>SUM(D130:D132)</f>
        <v>4.4000000000000004</v>
      </c>
      <c r="H130" s="191"/>
    </row>
    <row r="131" spans="1:8" hidden="1">
      <c r="A131" s="209" t="s">
        <v>187</v>
      </c>
      <c r="B131" s="230" t="s">
        <v>392</v>
      </c>
      <c r="C131" s="207">
        <v>45</v>
      </c>
      <c r="D131" s="207">
        <v>0</v>
      </c>
      <c r="E131" s="208"/>
      <c r="F131" s="208"/>
      <c r="H131" s="191"/>
    </row>
    <row r="132" spans="1:8" hidden="1">
      <c r="A132" s="210" t="s">
        <v>166</v>
      </c>
      <c r="B132" s="243" t="s">
        <v>393</v>
      </c>
      <c r="C132" s="211">
        <v>4.4000000000000004</v>
      </c>
      <c r="D132" s="211">
        <v>4.4000000000000004</v>
      </c>
      <c r="E132" s="212"/>
      <c r="F132" s="212"/>
      <c r="H132" s="191"/>
    </row>
    <row r="133" spans="1:8" hidden="1">
      <c r="A133" s="213" t="s">
        <v>188</v>
      </c>
      <c r="B133" s="244"/>
      <c r="C133" s="204"/>
      <c r="D133" s="204"/>
      <c r="E133" s="205">
        <f>SUM(C133:C143)</f>
        <v>928.3</v>
      </c>
      <c r="F133" s="205">
        <f>SUM(D133:D143)</f>
        <v>787</v>
      </c>
      <c r="H133" s="191"/>
    </row>
    <row r="134" spans="1:8" hidden="1">
      <c r="A134" s="209" t="s">
        <v>189</v>
      </c>
      <c r="B134" s="230" t="s">
        <v>394</v>
      </c>
      <c r="C134" s="207">
        <v>60.1</v>
      </c>
      <c r="D134" s="207">
        <v>0</v>
      </c>
      <c r="E134" s="208"/>
      <c r="F134" s="208"/>
      <c r="H134" s="191"/>
    </row>
    <row r="135" spans="1:8" hidden="1">
      <c r="A135" s="209" t="s">
        <v>190</v>
      </c>
      <c r="B135" s="230" t="s">
        <v>395</v>
      </c>
      <c r="C135" s="207">
        <v>14.5</v>
      </c>
      <c r="D135" s="207">
        <v>0</v>
      </c>
      <c r="E135" s="208"/>
      <c r="F135" s="208"/>
      <c r="H135" s="191"/>
    </row>
    <row r="136" spans="1:8" hidden="1">
      <c r="A136" s="209" t="s">
        <v>191</v>
      </c>
      <c r="B136" s="230" t="s">
        <v>396</v>
      </c>
      <c r="C136" s="207">
        <v>77.7</v>
      </c>
      <c r="D136" s="207">
        <v>0</v>
      </c>
      <c r="E136" s="208"/>
      <c r="F136" s="208"/>
      <c r="H136" s="191"/>
    </row>
    <row r="137" spans="1:8" hidden="1">
      <c r="A137" s="209" t="s">
        <v>190</v>
      </c>
      <c r="B137" s="230" t="s">
        <v>397</v>
      </c>
      <c r="C137" s="207">
        <v>46.3</v>
      </c>
      <c r="D137" s="207">
        <v>0</v>
      </c>
      <c r="E137" s="208"/>
      <c r="F137" s="208"/>
      <c r="H137" s="191"/>
    </row>
    <row r="138" spans="1:8" hidden="1">
      <c r="A138" s="209" t="s">
        <v>192</v>
      </c>
      <c r="B138" s="230" t="s">
        <v>398</v>
      </c>
      <c r="C138" s="207">
        <v>36.9</v>
      </c>
      <c r="D138" s="207">
        <v>0</v>
      </c>
      <c r="E138" s="208"/>
      <c r="F138" s="208"/>
      <c r="H138" s="191"/>
    </row>
    <row r="139" spans="1:8" hidden="1">
      <c r="A139" s="209" t="s">
        <v>193</v>
      </c>
      <c r="B139" s="230" t="s">
        <v>399</v>
      </c>
      <c r="C139" s="207">
        <v>15</v>
      </c>
      <c r="D139" s="207">
        <v>17</v>
      </c>
      <c r="E139" s="208"/>
      <c r="F139" s="208"/>
      <c r="H139" s="191"/>
    </row>
    <row r="140" spans="1:8" hidden="1">
      <c r="A140" s="209" t="s">
        <v>194</v>
      </c>
      <c r="B140" s="230" t="s">
        <v>400</v>
      </c>
      <c r="C140" s="207">
        <v>120.3</v>
      </c>
      <c r="D140" s="207">
        <v>94</v>
      </c>
      <c r="E140" s="208"/>
      <c r="F140" s="208"/>
      <c r="H140" s="191"/>
    </row>
    <row r="141" spans="1:8" hidden="1">
      <c r="A141" s="209" t="s">
        <v>195</v>
      </c>
      <c r="B141" s="230" t="s">
        <v>401</v>
      </c>
      <c r="C141" s="207">
        <v>15.5</v>
      </c>
      <c r="D141" s="207">
        <v>15</v>
      </c>
      <c r="E141" s="208"/>
      <c r="F141" s="208"/>
      <c r="H141" s="191"/>
    </row>
    <row r="142" spans="1:8" hidden="1">
      <c r="A142" s="209" t="s">
        <v>196</v>
      </c>
      <c r="B142" s="230" t="s">
        <v>402</v>
      </c>
      <c r="C142" s="207">
        <v>542</v>
      </c>
      <c r="D142" s="207">
        <v>661</v>
      </c>
      <c r="E142" s="208"/>
      <c r="F142" s="208"/>
      <c r="H142" s="191"/>
    </row>
    <row r="143" spans="1:8" hidden="1">
      <c r="A143" s="210"/>
      <c r="B143" s="241"/>
      <c r="C143" s="211">
        <v>0</v>
      </c>
      <c r="D143" s="211">
        <v>0</v>
      </c>
      <c r="E143" s="212"/>
      <c r="F143" s="212"/>
      <c r="H143" s="191"/>
    </row>
    <row r="144" spans="1:8" hidden="1">
      <c r="A144" s="213" t="s">
        <v>197</v>
      </c>
      <c r="B144" s="242"/>
      <c r="C144" s="204"/>
      <c r="D144" s="204"/>
      <c r="E144" s="205">
        <f>SUM(C144:C148)</f>
        <v>1246.2</v>
      </c>
      <c r="F144" s="205">
        <f>SUM(D144:D148)</f>
        <v>1388</v>
      </c>
      <c r="H144" s="191"/>
    </row>
    <row r="145" spans="1:8" hidden="1">
      <c r="A145" s="209" t="s">
        <v>198</v>
      </c>
      <c r="B145" s="230" t="s">
        <v>403</v>
      </c>
      <c r="C145" s="207">
        <v>110</v>
      </c>
      <c r="D145" s="207">
        <v>0</v>
      </c>
      <c r="E145" s="208"/>
      <c r="F145" s="208"/>
      <c r="H145" s="191"/>
    </row>
    <row r="146" spans="1:8" hidden="1">
      <c r="A146" s="209" t="s">
        <v>199</v>
      </c>
      <c r="B146" s="230" t="s">
        <v>404</v>
      </c>
      <c r="C146" s="207">
        <v>191.8</v>
      </c>
      <c r="D146" s="207">
        <v>0</v>
      </c>
      <c r="E146" s="208"/>
      <c r="F146" s="208"/>
      <c r="H146" s="191"/>
    </row>
    <row r="147" spans="1:8" hidden="1">
      <c r="A147" s="209" t="s">
        <v>95</v>
      </c>
      <c r="B147" s="230" t="s">
        <v>405</v>
      </c>
      <c r="C147" s="207">
        <v>774.4</v>
      </c>
      <c r="D147" s="207">
        <v>790</v>
      </c>
      <c r="E147" s="208"/>
      <c r="F147" s="208"/>
      <c r="H147" s="191"/>
    </row>
    <row r="148" spans="1:8" hidden="1">
      <c r="A148" s="210" t="s">
        <v>200</v>
      </c>
      <c r="B148" s="243" t="s">
        <v>406</v>
      </c>
      <c r="C148" s="211">
        <v>170</v>
      </c>
      <c r="D148" s="211">
        <v>598</v>
      </c>
      <c r="E148" s="212"/>
      <c r="F148" s="212"/>
      <c r="H148" s="191"/>
    </row>
    <row r="149" spans="1:8" hidden="1">
      <c r="A149" s="213" t="s">
        <v>201</v>
      </c>
      <c r="B149" s="244"/>
      <c r="C149" s="204"/>
      <c r="D149" s="204"/>
      <c r="E149" s="205">
        <f>C150</f>
        <v>143.4</v>
      </c>
      <c r="F149" s="205">
        <f>D150</f>
        <v>0</v>
      </c>
      <c r="H149" s="191"/>
    </row>
    <row r="150" spans="1:8" hidden="1">
      <c r="A150" s="215" t="s">
        <v>202</v>
      </c>
      <c r="B150" s="241" t="s">
        <v>407</v>
      </c>
      <c r="C150" s="211">
        <v>143.4</v>
      </c>
      <c r="D150" s="211">
        <v>0</v>
      </c>
      <c r="E150" s="212"/>
      <c r="F150" s="212"/>
      <c r="H150" s="191"/>
    </row>
    <row r="151" spans="1:8" hidden="1">
      <c r="A151" s="213" t="s">
        <v>203</v>
      </c>
      <c r="B151" s="242"/>
      <c r="C151" s="204"/>
      <c r="D151" s="204"/>
      <c r="E151" s="205">
        <f>SUM(C151:C165)</f>
        <v>1501.3000000000002</v>
      </c>
      <c r="F151" s="205">
        <f>SUM(D151:D165)</f>
        <v>707.7</v>
      </c>
      <c r="H151" s="191"/>
    </row>
    <row r="152" spans="1:8" hidden="1">
      <c r="A152" s="209" t="s">
        <v>204</v>
      </c>
      <c r="B152" s="230" t="s">
        <v>408</v>
      </c>
      <c r="C152" s="207">
        <v>45.9</v>
      </c>
      <c r="D152" s="207">
        <v>0</v>
      </c>
      <c r="E152" s="208"/>
      <c r="F152" s="208"/>
      <c r="H152" s="191"/>
    </row>
    <row r="153" spans="1:8" hidden="1">
      <c r="A153" s="209" t="s">
        <v>205</v>
      </c>
      <c r="B153" s="230" t="s">
        <v>409</v>
      </c>
      <c r="C153" s="207">
        <v>45.9</v>
      </c>
      <c r="D153" s="207">
        <v>0</v>
      </c>
      <c r="E153" s="208"/>
      <c r="F153" s="208"/>
      <c r="H153" s="191"/>
    </row>
    <row r="154" spans="1:8" hidden="1">
      <c r="A154" s="209" t="s">
        <v>206</v>
      </c>
      <c r="B154" s="230" t="s">
        <v>410</v>
      </c>
      <c r="C154" s="207">
        <v>45.9</v>
      </c>
      <c r="D154" s="207">
        <v>0</v>
      </c>
      <c r="E154" s="208"/>
      <c r="F154" s="208"/>
      <c r="H154" s="191"/>
    </row>
    <row r="155" spans="1:8" ht="25.5" hidden="1">
      <c r="A155" s="209" t="s">
        <v>207</v>
      </c>
      <c r="B155" s="230" t="s">
        <v>411</v>
      </c>
      <c r="C155" s="207">
        <v>45.9</v>
      </c>
      <c r="D155" s="207">
        <v>0</v>
      </c>
      <c r="E155" s="208"/>
      <c r="F155" s="208"/>
      <c r="H155" s="191"/>
    </row>
    <row r="156" spans="1:8" hidden="1">
      <c r="A156" s="209" t="s">
        <v>208</v>
      </c>
      <c r="B156" s="230" t="s">
        <v>412</v>
      </c>
      <c r="C156" s="207">
        <v>45.9</v>
      </c>
      <c r="D156" s="207">
        <v>0</v>
      </c>
      <c r="E156" s="208"/>
      <c r="F156" s="208"/>
      <c r="H156" s="191"/>
    </row>
    <row r="157" spans="1:8" hidden="1">
      <c r="A157" s="209" t="s">
        <v>209</v>
      </c>
      <c r="B157" s="230" t="s">
        <v>413</v>
      </c>
      <c r="C157" s="207">
        <v>37.1</v>
      </c>
      <c r="D157" s="207">
        <v>0</v>
      </c>
      <c r="E157" s="208"/>
      <c r="F157" s="208"/>
      <c r="H157" s="191"/>
    </row>
    <row r="158" spans="1:8" hidden="1">
      <c r="A158" s="209" t="s">
        <v>210</v>
      </c>
      <c r="B158" s="230" t="s">
        <v>414</v>
      </c>
      <c r="C158" s="207">
        <v>37.1</v>
      </c>
      <c r="D158" s="207">
        <v>0</v>
      </c>
      <c r="E158" s="208"/>
      <c r="F158" s="208"/>
      <c r="H158" s="191"/>
    </row>
    <row r="159" spans="1:8" hidden="1">
      <c r="A159" s="209" t="s">
        <v>211</v>
      </c>
      <c r="B159" s="230" t="s">
        <v>415</v>
      </c>
      <c r="C159" s="207">
        <v>74.3</v>
      </c>
      <c r="D159" s="207">
        <v>0</v>
      </c>
      <c r="E159" s="208"/>
      <c r="F159" s="208"/>
      <c r="H159" s="191"/>
    </row>
    <row r="160" spans="1:8" hidden="1">
      <c r="A160" s="209" t="s">
        <v>212</v>
      </c>
      <c r="B160" s="230" t="s">
        <v>416</v>
      </c>
      <c r="C160" s="207">
        <v>37.1</v>
      </c>
      <c r="D160" s="207">
        <v>0</v>
      </c>
      <c r="E160" s="208"/>
      <c r="F160" s="208"/>
      <c r="H160" s="191"/>
    </row>
    <row r="161" spans="1:8" hidden="1">
      <c r="A161" s="209" t="s">
        <v>213</v>
      </c>
      <c r="B161" s="230" t="s">
        <v>417</v>
      </c>
      <c r="C161" s="207">
        <v>259.7</v>
      </c>
      <c r="D161" s="207">
        <v>0</v>
      </c>
      <c r="E161" s="208"/>
      <c r="F161" s="208"/>
      <c r="H161" s="191"/>
    </row>
    <row r="162" spans="1:8" hidden="1">
      <c r="A162" s="209" t="s">
        <v>214</v>
      </c>
      <c r="B162" s="230" t="s">
        <v>418</v>
      </c>
      <c r="C162" s="207">
        <v>154.80000000000001</v>
      </c>
      <c r="D162" s="207">
        <v>0</v>
      </c>
      <c r="E162" s="208"/>
      <c r="F162" s="208"/>
      <c r="H162" s="191"/>
    </row>
    <row r="163" spans="1:8" hidden="1">
      <c r="A163" s="209" t="s">
        <v>215</v>
      </c>
      <c r="B163" s="230" t="s">
        <v>419</v>
      </c>
      <c r="C163" s="207">
        <v>111.4</v>
      </c>
      <c r="D163" s="207">
        <v>0</v>
      </c>
      <c r="E163" s="208"/>
      <c r="F163" s="208"/>
      <c r="H163" s="191"/>
    </row>
    <row r="164" spans="1:8" hidden="1">
      <c r="A164" s="209" t="s">
        <v>216</v>
      </c>
      <c r="B164" s="230" t="s">
        <v>420</v>
      </c>
      <c r="C164" s="207">
        <v>-135.4</v>
      </c>
      <c r="D164" s="207">
        <v>0</v>
      </c>
      <c r="E164" s="208"/>
      <c r="F164" s="208"/>
      <c r="H164" s="191"/>
    </row>
    <row r="165" spans="1:8" hidden="1">
      <c r="A165" s="210" t="s">
        <v>95</v>
      </c>
      <c r="B165" s="243" t="s">
        <v>421</v>
      </c>
      <c r="C165" s="211">
        <v>695.7</v>
      </c>
      <c r="D165" s="211">
        <v>707.7</v>
      </c>
      <c r="E165" s="212"/>
      <c r="F165" s="212"/>
      <c r="H165" s="191"/>
    </row>
    <row r="166" spans="1:8" hidden="1">
      <c r="A166" s="213" t="s">
        <v>217</v>
      </c>
      <c r="B166" s="244"/>
      <c r="C166" s="204"/>
      <c r="D166" s="204"/>
      <c r="E166" s="205">
        <f>SUM(C166:C171)</f>
        <v>322.2</v>
      </c>
      <c r="F166" s="205">
        <f>SUM(D166:D171)</f>
        <v>0</v>
      </c>
      <c r="H166" s="191"/>
    </row>
    <row r="167" spans="1:8" hidden="1">
      <c r="A167" s="209" t="s">
        <v>218</v>
      </c>
      <c r="B167" s="230" t="s">
        <v>422</v>
      </c>
      <c r="C167" s="207">
        <v>66.400000000000006</v>
      </c>
      <c r="D167" s="207">
        <v>0</v>
      </c>
      <c r="E167" s="208"/>
      <c r="F167" s="208"/>
      <c r="H167" s="191"/>
    </row>
    <row r="168" spans="1:8" hidden="1">
      <c r="A168" s="209" t="s">
        <v>219</v>
      </c>
      <c r="B168" s="230" t="s">
        <v>423</v>
      </c>
      <c r="C168" s="207">
        <v>114.3</v>
      </c>
      <c r="D168" s="207">
        <v>0</v>
      </c>
      <c r="E168" s="208"/>
      <c r="F168" s="208"/>
      <c r="H168" s="191"/>
    </row>
    <row r="169" spans="1:8" hidden="1">
      <c r="A169" s="209" t="s">
        <v>220</v>
      </c>
      <c r="B169" s="230" t="s">
        <v>424</v>
      </c>
      <c r="C169" s="207">
        <v>52.9</v>
      </c>
      <c r="D169" s="207">
        <v>0</v>
      </c>
      <c r="E169" s="208"/>
      <c r="F169" s="208"/>
      <c r="H169" s="191"/>
    </row>
    <row r="170" spans="1:8" hidden="1">
      <c r="A170" s="209" t="s">
        <v>221</v>
      </c>
      <c r="B170" s="230" t="s">
        <v>425</v>
      </c>
      <c r="C170" s="207">
        <v>46.6</v>
      </c>
      <c r="D170" s="207">
        <v>0</v>
      </c>
      <c r="E170" s="208"/>
      <c r="F170" s="208"/>
      <c r="H170" s="191"/>
    </row>
    <row r="171" spans="1:8" hidden="1">
      <c r="A171" s="210" t="s">
        <v>222</v>
      </c>
      <c r="B171" s="241" t="s">
        <v>426</v>
      </c>
      <c r="C171" s="211">
        <v>42</v>
      </c>
      <c r="D171" s="211">
        <v>0</v>
      </c>
      <c r="E171" s="212"/>
      <c r="F171" s="212"/>
      <c r="H171" s="191"/>
    </row>
    <row r="172" spans="1:8" hidden="1">
      <c r="A172" s="213" t="s">
        <v>223</v>
      </c>
      <c r="B172" s="242"/>
      <c r="C172" s="204"/>
      <c r="D172" s="204"/>
      <c r="E172" s="205">
        <f>SUM(C172:C177)</f>
        <v>3212.9</v>
      </c>
      <c r="F172" s="205">
        <f>SUM(D172:D177)</f>
        <v>265.8</v>
      </c>
      <c r="H172" s="191"/>
    </row>
    <row r="173" spans="1:8" hidden="1">
      <c r="A173" s="209" t="s">
        <v>224</v>
      </c>
      <c r="B173" s="230" t="s">
        <v>427</v>
      </c>
      <c r="C173" s="207">
        <v>1932.9</v>
      </c>
      <c r="D173" s="207">
        <v>265.8</v>
      </c>
      <c r="E173" s="208"/>
      <c r="F173" s="208"/>
      <c r="H173" s="191"/>
    </row>
    <row r="174" spans="1:8" hidden="1">
      <c r="A174" s="209" t="s">
        <v>225</v>
      </c>
      <c r="B174" s="230" t="s">
        <v>428</v>
      </c>
      <c r="C174" s="207">
        <v>893</v>
      </c>
      <c r="D174" s="207">
        <v>0</v>
      </c>
      <c r="E174" s="208"/>
      <c r="F174" s="208"/>
      <c r="H174" s="191"/>
    </row>
    <row r="175" spans="1:8" hidden="1">
      <c r="A175" s="209" t="s">
        <v>226</v>
      </c>
      <c r="B175" s="230" t="s">
        <v>429</v>
      </c>
      <c r="C175" s="207">
        <v>236</v>
      </c>
      <c r="D175" s="207">
        <v>0</v>
      </c>
      <c r="E175" s="208"/>
      <c r="F175" s="208"/>
      <c r="H175" s="191"/>
    </row>
    <row r="176" spans="1:8" hidden="1">
      <c r="A176" s="209" t="s">
        <v>227</v>
      </c>
      <c r="B176" s="230" t="s">
        <v>430</v>
      </c>
      <c r="C176" s="207">
        <v>0</v>
      </c>
      <c r="D176" s="207">
        <v>0</v>
      </c>
      <c r="E176" s="208"/>
      <c r="F176" s="208"/>
      <c r="H176" s="191"/>
    </row>
    <row r="177" spans="1:8" hidden="1">
      <c r="A177" s="209" t="s">
        <v>228</v>
      </c>
      <c r="B177" s="230" t="s">
        <v>431</v>
      </c>
      <c r="C177" s="207">
        <v>151</v>
      </c>
      <c r="D177" s="207">
        <v>0</v>
      </c>
      <c r="E177" s="208"/>
      <c r="F177" s="208"/>
      <c r="H177" s="191"/>
    </row>
    <row r="178" spans="1:8" hidden="1">
      <c r="A178" s="210"/>
      <c r="B178" s="243"/>
      <c r="C178" s="211"/>
      <c r="D178" s="211"/>
      <c r="E178" s="212"/>
      <c r="F178" s="212"/>
      <c r="H178" s="191"/>
    </row>
    <row r="179" spans="1:8" hidden="1">
      <c r="A179" s="213" t="s">
        <v>229</v>
      </c>
      <c r="B179" s="244"/>
      <c r="C179" s="204"/>
      <c r="D179" s="204"/>
      <c r="E179" s="205">
        <f>SUM(C179:C182)</f>
        <v>33</v>
      </c>
      <c r="F179" s="205">
        <f>SUM(D179:D182)</f>
        <v>0</v>
      </c>
      <c r="H179" s="191"/>
    </row>
    <row r="180" spans="1:8" hidden="1">
      <c r="A180" s="209" t="s">
        <v>230</v>
      </c>
      <c r="B180" s="230" t="s">
        <v>432</v>
      </c>
      <c r="C180" s="207">
        <v>27.5</v>
      </c>
      <c r="D180" s="207">
        <v>0</v>
      </c>
      <c r="E180" s="208"/>
      <c r="F180" s="208"/>
      <c r="H180" s="191"/>
    </row>
    <row r="181" spans="1:8" hidden="1">
      <c r="A181" s="209" t="s">
        <v>230</v>
      </c>
      <c r="B181" s="230" t="s">
        <v>433</v>
      </c>
      <c r="C181" s="207">
        <v>5.5</v>
      </c>
      <c r="D181" s="207">
        <v>0</v>
      </c>
      <c r="E181" s="208"/>
      <c r="F181" s="208"/>
      <c r="H181" s="191"/>
    </row>
    <row r="182" spans="1:8" hidden="1">
      <c r="A182" s="210"/>
      <c r="B182" s="241"/>
      <c r="C182" s="211">
        <v>0</v>
      </c>
      <c r="D182" s="211">
        <v>0</v>
      </c>
      <c r="E182" s="212"/>
      <c r="F182" s="212"/>
      <c r="H182" s="191"/>
    </row>
    <row r="183" spans="1:8" hidden="1">
      <c r="A183" s="213" t="s">
        <v>231</v>
      </c>
      <c r="B183" s="242"/>
      <c r="C183" s="204"/>
      <c r="D183" s="204"/>
      <c r="E183" s="205">
        <f>SUM(C183:C186)</f>
        <v>67.2</v>
      </c>
      <c r="F183" s="205">
        <f>SUM(D183:D186)</f>
        <v>59.900000000000006</v>
      </c>
      <c r="H183" s="191"/>
    </row>
    <row r="184" spans="1:8" hidden="1">
      <c r="A184" s="209" t="s">
        <v>232</v>
      </c>
      <c r="B184" s="230" t="s">
        <v>434</v>
      </c>
      <c r="C184" s="207">
        <v>0</v>
      </c>
      <c r="D184" s="207">
        <v>-9.6</v>
      </c>
      <c r="E184" s="208"/>
      <c r="F184" s="208"/>
      <c r="H184" s="191"/>
    </row>
    <row r="185" spans="1:8" hidden="1">
      <c r="A185" s="209" t="s">
        <v>95</v>
      </c>
      <c r="B185" s="230" t="s">
        <v>435</v>
      </c>
      <c r="C185" s="207">
        <v>63.2</v>
      </c>
      <c r="D185" s="207">
        <v>65.400000000000006</v>
      </c>
      <c r="E185" s="208"/>
      <c r="F185" s="208"/>
      <c r="H185" s="191"/>
    </row>
    <row r="186" spans="1:8" hidden="1">
      <c r="A186" s="210" t="s">
        <v>233</v>
      </c>
      <c r="B186" s="243" t="s">
        <v>436</v>
      </c>
      <c r="C186" s="211">
        <v>4</v>
      </c>
      <c r="D186" s="211">
        <v>4.0999999999999996</v>
      </c>
      <c r="E186" s="212"/>
      <c r="F186" s="212"/>
      <c r="H186" s="191"/>
    </row>
    <row r="187" spans="1:8" hidden="1">
      <c r="A187" s="219" t="s">
        <v>234</v>
      </c>
      <c r="B187" s="244"/>
      <c r="C187" s="207"/>
      <c r="D187" s="207"/>
      <c r="E187" s="208">
        <f>SUM(C188:C189)</f>
        <v>105.1</v>
      </c>
      <c r="F187" s="208">
        <f>SUM(D188:D189)</f>
        <v>45.400000000000006</v>
      </c>
      <c r="H187" s="191"/>
    </row>
    <row r="188" spans="1:8" hidden="1">
      <c r="A188" s="209" t="s">
        <v>232</v>
      </c>
      <c r="B188" s="230"/>
      <c r="C188" s="207">
        <v>0</v>
      </c>
      <c r="D188" s="207">
        <v>-62.5</v>
      </c>
      <c r="E188" s="208"/>
      <c r="F188" s="208"/>
      <c r="H188" s="191"/>
    </row>
    <row r="189" spans="1:8" hidden="1">
      <c r="A189" s="210" t="s">
        <v>235</v>
      </c>
      <c r="B189" s="241"/>
      <c r="C189" s="211">
        <v>105.1</v>
      </c>
      <c r="D189" s="211">
        <v>107.9</v>
      </c>
      <c r="E189" s="212"/>
      <c r="F189" s="212"/>
      <c r="H189" s="191"/>
    </row>
    <row r="190" spans="1:8" hidden="1">
      <c r="A190" s="213" t="s">
        <v>236</v>
      </c>
      <c r="B190" s="242"/>
      <c r="C190" s="204"/>
      <c r="D190" s="204"/>
      <c r="E190" s="205">
        <f>SUM(C190:C194)</f>
        <v>299.40000000000003</v>
      </c>
      <c r="F190" s="205">
        <f>SUM(D190:D194)</f>
        <v>32.5</v>
      </c>
      <c r="H190" s="191"/>
    </row>
    <row r="191" spans="1:8" hidden="1">
      <c r="A191" s="209" t="s">
        <v>237</v>
      </c>
      <c r="B191" s="230" t="s">
        <v>437</v>
      </c>
      <c r="C191" s="207">
        <v>279.10000000000002</v>
      </c>
      <c r="D191" s="207">
        <v>14</v>
      </c>
      <c r="E191" s="208"/>
      <c r="F191" s="208"/>
      <c r="H191" s="191"/>
    </row>
    <row r="192" spans="1:8" hidden="1">
      <c r="A192" s="209" t="s">
        <v>232</v>
      </c>
      <c r="B192" s="230" t="s">
        <v>438</v>
      </c>
      <c r="C192" s="207">
        <v>0</v>
      </c>
      <c r="D192" s="207">
        <v>-2.5</v>
      </c>
      <c r="E192" s="208"/>
      <c r="F192" s="208"/>
      <c r="H192" s="191"/>
    </row>
    <row r="193" spans="1:8" hidden="1">
      <c r="A193" s="209" t="s">
        <v>238</v>
      </c>
      <c r="B193" s="230" t="s">
        <v>439</v>
      </c>
      <c r="C193" s="207">
        <v>16.600000000000001</v>
      </c>
      <c r="D193" s="207">
        <v>17.2</v>
      </c>
      <c r="E193" s="208"/>
      <c r="F193" s="208"/>
      <c r="H193" s="191"/>
    </row>
    <row r="194" spans="1:8" hidden="1">
      <c r="A194" s="210" t="s">
        <v>239</v>
      </c>
      <c r="B194" s="243" t="s">
        <v>440</v>
      </c>
      <c r="C194" s="211">
        <v>3.7</v>
      </c>
      <c r="D194" s="211">
        <v>3.8</v>
      </c>
      <c r="E194" s="212"/>
      <c r="F194" s="212"/>
      <c r="H194" s="191"/>
    </row>
    <row r="195" spans="1:8" hidden="1">
      <c r="A195" s="213" t="s">
        <v>240</v>
      </c>
      <c r="B195" s="244"/>
      <c r="C195" s="204"/>
      <c r="D195" s="204"/>
      <c r="E195" s="205">
        <f>C196</f>
        <v>12</v>
      </c>
      <c r="F195" s="205">
        <f>D196</f>
        <v>11.9</v>
      </c>
      <c r="H195" s="191"/>
    </row>
    <row r="196" spans="1:8" hidden="1">
      <c r="A196" s="210" t="s">
        <v>238</v>
      </c>
      <c r="B196" s="241"/>
      <c r="C196" s="211">
        <v>12</v>
      </c>
      <c r="D196" s="211">
        <v>11.9</v>
      </c>
      <c r="E196" s="212"/>
      <c r="F196" s="212"/>
      <c r="H196" s="191"/>
    </row>
    <row r="197" spans="1:8" hidden="1">
      <c r="A197" s="213" t="s">
        <v>241</v>
      </c>
      <c r="B197" s="244"/>
      <c r="C197" s="204"/>
      <c r="D197" s="204"/>
      <c r="E197" s="205">
        <f>SUM(C197:C202)</f>
        <v>1398.1000000000001</v>
      </c>
      <c r="F197" s="205">
        <f>SUM(D197:D202)</f>
        <v>195</v>
      </c>
      <c r="H197" s="191"/>
    </row>
    <row r="198" spans="1:8" hidden="1">
      <c r="A198" s="209" t="s">
        <v>242</v>
      </c>
      <c r="B198" s="230" t="s">
        <v>441</v>
      </c>
      <c r="C198" s="207">
        <v>680.3</v>
      </c>
      <c r="D198" s="207">
        <v>0</v>
      </c>
      <c r="E198" s="208"/>
      <c r="F198" s="208"/>
      <c r="H198" s="191"/>
    </row>
    <row r="199" spans="1:8" hidden="1">
      <c r="A199" s="209" t="s">
        <v>243</v>
      </c>
      <c r="B199" s="230" t="s">
        <v>442</v>
      </c>
      <c r="C199" s="207">
        <v>60</v>
      </c>
      <c r="D199" s="207">
        <v>195</v>
      </c>
      <c r="E199" s="208"/>
      <c r="F199" s="208"/>
      <c r="H199" s="191"/>
    </row>
    <row r="200" spans="1:8" hidden="1">
      <c r="A200" s="209" t="s">
        <v>244</v>
      </c>
      <c r="B200" s="230" t="s">
        <v>443</v>
      </c>
      <c r="C200" s="207">
        <v>24.7</v>
      </c>
      <c r="D200" s="207">
        <v>0</v>
      </c>
      <c r="E200" s="208"/>
      <c r="F200" s="208"/>
      <c r="H200" s="191"/>
    </row>
    <row r="201" spans="1:8" hidden="1">
      <c r="A201" s="209" t="s">
        <v>245</v>
      </c>
      <c r="B201" s="230" t="s">
        <v>444</v>
      </c>
      <c r="C201" s="207">
        <v>1313.4</v>
      </c>
      <c r="D201" s="207">
        <v>0</v>
      </c>
      <c r="E201" s="208"/>
      <c r="F201" s="208"/>
      <c r="H201" s="191"/>
    </row>
    <row r="202" spans="1:8" hidden="1">
      <c r="A202" s="210" t="s">
        <v>246</v>
      </c>
      <c r="B202" s="241" t="s">
        <v>445</v>
      </c>
      <c r="C202" s="211">
        <v>-680.3</v>
      </c>
      <c r="D202" s="211">
        <v>0</v>
      </c>
      <c r="E202" s="212"/>
      <c r="F202" s="212"/>
      <c r="H202" s="191"/>
    </row>
    <row r="203" spans="1:8">
      <c r="A203" s="220" t="s">
        <v>247</v>
      </c>
      <c r="B203" s="242"/>
      <c r="C203" s="204"/>
      <c r="D203" s="204"/>
      <c r="E203" s="205"/>
      <c r="F203" s="205"/>
      <c r="H203" s="191"/>
    </row>
    <row r="204" spans="1:8">
      <c r="A204" s="363" t="s">
        <v>485</v>
      </c>
      <c r="B204" s="242"/>
      <c r="C204" s="207">
        <f>E204</f>
        <v>163907.80000000002</v>
      </c>
      <c r="D204" s="207"/>
      <c r="E204" s="208">
        <f>161883.2+2024.6</f>
        <v>163907.80000000002</v>
      </c>
      <c r="F204" s="208"/>
      <c r="H204" s="191"/>
    </row>
    <row r="205" spans="1:8">
      <c r="A205" s="362"/>
      <c r="B205" s="242"/>
      <c r="C205" s="207"/>
      <c r="D205" s="207"/>
      <c r="E205" s="208"/>
      <c r="F205" s="208"/>
      <c r="H205" s="191"/>
    </row>
    <row r="206" spans="1:8">
      <c r="A206" s="209" t="s">
        <v>248</v>
      </c>
      <c r="B206" s="230" t="s">
        <v>446</v>
      </c>
      <c r="C206" s="207">
        <v>250</v>
      </c>
      <c r="D206" s="207">
        <v>0</v>
      </c>
      <c r="E206" s="208"/>
      <c r="F206" s="208"/>
      <c r="G206" s="339">
        <f>E206-C206</f>
        <v>-250</v>
      </c>
      <c r="H206" s="350">
        <f>F206-D206</f>
        <v>0</v>
      </c>
    </row>
    <row r="207" spans="1:8" ht="25.5">
      <c r="A207" s="209" t="s">
        <v>249</v>
      </c>
      <c r="B207" s="230" t="s">
        <v>447</v>
      </c>
      <c r="C207" s="207">
        <v>1500</v>
      </c>
      <c r="D207" s="207">
        <v>0</v>
      </c>
      <c r="E207" s="208">
        <v>1000</v>
      </c>
      <c r="F207" s="208"/>
      <c r="G207" s="339">
        <f t="shared" ref="G207:G265" si="0">E207-C207</f>
        <v>-500</v>
      </c>
      <c r="H207" s="350">
        <f t="shared" ref="H207:H265" si="1">F207-D207</f>
        <v>0</v>
      </c>
    </row>
    <row r="208" spans="1:8" ht="25.5">
      <c r="A208" s="209" t="s">
        <v>250</v>
      </c>
      <c r="B208" s="230" t="s">
        <v>448</v>
      </c>
      <c r="C208" s="207">
        <v>56.7</v>
      </c>
      <c r="D208" s="207">
        <v>0</v>
      </c>
      <c r="E208" s="208">
        <v>56.7</v>
      </c>
      <c r="F208" s="208"/>
      <c r="G208" s="339">
        <f t="shared" si="0"/>
        <v>0</v>
      </c>
      <c r="H208" s="350">
        <f t="shared" si="1"/>
        <v>0</v>
      </c>
    </row>
    <row r="209" spans="1:8">
      <c r="A209" s="209" t="s">
        <v>251</v>
      </c>
      <c r="B209" s="230" t="s">
        <v>449</v>
      </c>
      <c r="C209" s="207">
        <v>191</v>
      </c>
      <c r="D209" s="207">
        <v>0</v>
      </c>
      <c r="E209" s="208">
        <f>319-39</f>
        <v>280</v>
      </c>
      <c r="F209" s="208"/>
      <c r="G209" s="339">
        <f t="shared" si="0"/>
        <v>89</v>
      </c>
      <c r="H209" s="350">
        <f t="shared" si="1"/>
        <v>0</v>
      </c>
    </row>
    <row r="210" spans="1:8">
      <c r="A210" s="209" t="s">
        <v>252</v>
      </c>
      <c r="B210" s="230" t="s">
        <v>450</v>
      </c>
      <c r="C210" s="207">
        <v>-34</v>
      </c>
      <c r="D210" s="207">
        <v>-36</v>
      </c>
      <c r="E210" s="208"/>
      <c r="F210" s="208"/>
      <c r="G210" s="339">
        <f t="shared" si="0"/>
        <v>34</v>
      </c>
      <c r="H210" s="350">
        <f t="shared" si="1"/>
        <v>36</v>
      </c>
    </row>
    <row r="211" spans="1:8">
      <c r="A211" s="209" t="s">
        <v>140</v>
      </c>
      <c r="B211" s="230" t="s">
        <v>451</v>
      </c>
      <c r="C211" s="207">
        <v>249</v>
      </c>
      <c r="D211" s="207">
        <v>1237</v>
      </c>
      <c r="E211" s="208">
        <v>39</v>
      </c>
      <c r="F211" s="208">
        <v>332</v>
      </c>
      <c r="G211" s="339">
        <f t="shared" si="0"/>
        <v>-210</v>
      </c>
      <c r="H211" s="350">
        <f t="shared" si="1"/>
        <v>-905</v>
      </c>
    </row>
    <row r="212" spans="1:8">
      <c r="A212" s="209" t="s">
        <v>95</v>
      </c>
      <c r="B212" s="230" t="s">
        <v>452</v>
      </c>
      <c r="C212" s="207">
        <v>815.7</v>
      </c>
      <c r="D212" s="207">
        <v>840.2</v>
      </c>
      <c r="E212" s="208">
        <f>205.8+176.6</f>
        <v>382.4</v>
      </c>
      <c r="F212" s="208">
        <f>210.9+181</f>
        <v>391.9</v>
      </c>
      <c r="G212" s="339">
        <f t="shared" si="0"/>
        <v>-433.30000000000007</v>
      </c>
      <c r="H212" s="350">
        <f t="shared" si="1"/>
        <v>-448.30000000000007</v>
      </c>
    </row>
    <row r="213" spans="1:8">
      <c r="A213" s="210" t="s">
        <v>253</v>
      </c>
      <c r="B213" s="241" t="s">
        <v>453</v>
      </c>
      <c r="C213" s="211">
        <v>9</v>
      </c>
      <c r="D213" s="211">
        <v>9.3000000000000007</v>
      </c>
      <c r="E213" s="212">
        <v>226.7</v>
      </c>
      <c r="F213" s="212">
        <v>232.3</v>
      </c>
      <c r="G213" s="361">
        <f t="shared" si="0"/>
        <v>217.7</v>
      </c>
      <c r="H213" s="353">
        <f t="shared" si="1"/>
        <v>223</v>
      </c>
    </row>
    <row r="214" spans="1:8" hidden="1">
      <c r="A214" s="220" t="s">
        <v>254</v>
      </c>
      <c r="B214" s="244"/>
      <c r="C214" s="204"/>
      <c r="D214" s="204"/>
      <c r="E214" s="205">
        <f>C215</f>
        <v>181</v>
      </c>
      <c r="F214" s="205">
        <f>D215</f>
        <v>186.5</v>
      </c>
      <c r="G214" s="339">
        <f t="shared" si="0"/>
        <v>181</v>
      </c>
      <c r="H214" s="350">
        <f t="shared" si="1"/>
        <v>186.5</v>
      </c>
    </row>
    <row r="215" spans="1:8" hidden="1">
      <c r="A215" s="210" t="s">
        <v>255</v>
      </c>
      <c r="B215" s="241" t="s">
        <v>454</v>
      </c>
      <c r="C215" s="211">
        <v>181</v>
      </c>
      <c r="D215" s="211">
        <v>186.5</v>
      </c>
      <c r="E215" s="212"/>
      <c r="F215" s="212"/>
      <c r="G215" s="339">
        <f t="shared" si="0"/>
        <v>-181</v>
      </c>
      <c r="H215" s="350">
        <f t="shared" si="1"/>
        <v>-186.5</v>
      </c>
    </row>
    <row r="216" spans="1:8" hidden="1">
      <c r="A216" s="220" t="s">
        <v>256</v>
      </c>
      <c r="B216" s="242"/>
      <c r="C216" s="204"/>
      <c r="D216" s="204"/>
      <c r="E216" s="205">
        <f>C217</f>
        <v>-10</v>
      </c>
      <c r="F216" s="205">
        <f>D217</f>
        <v>-10</v>
      </c>
      <c r="G216" s="339">
        <f t="shared" si="0"/>
        <v>-10</v>
      </c>
      <c r="H216" s="350">
        <f t="shared" si="1"/>
        <v>-10</v>
      </c>
    </row>
    <row r="217" spans="1:8" hidden="1">
      <c r="A217" s="209" t="s">
        <v>257</v>
      </c>
      <c r="B217" s="230" t="s">
        <v>455</v>
      </c>
      <c r="C217" s="207">
        <v>-10</v>
      </c>
      <c r="D217" s="207">
        <v>-10</v>
      </c>
      <c r="E217" s="208"/>
      <c r="F217" s="208"/>
      <c r="G217" s="339">
        <f t="shared" si="0"/>
        <v>10</v>
      </c>
      <c r="H217" s="350">
        <f t="shared" si="1"/>
        <v>10</v>
      </c>
    </row>
    <row r="218" spans="1:8" hidden="1">
      <c r="A218" s="210"/>
      <c r="B218" s="243"/>
      <c r="C218" s="211"/>
      <c r="D218" s="211"/>
      <c r="E218" s="212"/>
      <c r="F218" s="212"/>
      <c r="G218" s="339">
        <f t="shared" si="0"/>
        <v>0</v>
      </c>
      <c r="H218" s="350">
        <f t="shared" si="1"/>
        <v>0</v>
      </c>
    </row>
    <row r="219" spans="1:8" hidden="1">
      <c r="A219" s="213" t="s">
        <v>258</v>
      </c>
      <c r="B219" s="245" t="s">
        <v>33</v>
      </c>
      <c r="C219" s="204"/>
      <c r="D219" s="204"/>
      <c r="E219" s="205">
        <f>SUM(C219:C221)</f>
        <v>219.5</v>
      </c>
      <c r="F219" s="205">
        <f>SUM(D219:D221)</f>
        <v>222.6</v>
      </c>
      <c r="G219" s="339">
        <f t="shared" si="0"/>
        <v>219.5</v>
      </c>
      <c r="H219" s="350">
        <f t="shared" si="1"/>
        <v>222.6</v>
      </c>
    </row>
    <row r="220" spans="1:8" hidden="1">
      <c r="A220" s="221" t="s">
        <v>259</v>
      </c>
      <c r="B220" s="230" t="s">
        <v>456</v>
      </c>
      <c r="C220" s="207">
        <v>148</v>
      </c>
      <c r="D220" s="207">
        <v>27</v>
      </c>
      <c r="E220" s="208"/>
      <c r="F220" s="208"/>
      <c r="G220" s="339">
        <f t="shared" si="0"/>
        <v>-148</v>
      </c>
      <c r="H220" s="350">
        <f t="shared" si="1"/>
        <v>-27</v>
      </c>
    </row>
    <row r="221" spans="1:8" hidden="1">
      <c r="A221" s="210" t="s">
        <v>260</v>
      </c>
      <c r="B221" s="241" t="s">
        <v>457</v>
      </c>
      <c r="C221" s="211">
        <v>71.5</v>
      </c>
      <c r="D221" s="211">
        <v>195.6</v>
      </c>
      <c r="E221" s="212"/>
      <c r="F221" s="212"/>
      <c r="G221" s="339">
        <f t="shared" si="0"/>
        <v>-71.5</v>
      </c>
      <c r="H221" s="350">
        <f t="shared" si="1"/>
        <v>-195.6</v>
      </c>
    </row>
    <row r="222" spans="1:8" hidden="1">
      <c r="A222" s="213" t="s">
        <v>261</v>
      </c>
      <c r="B222" s="242"/>
      <c r="C222" s="204"/>
      <c r="D222" s="204"/>
      <c r="E222" s="205">
        <f>C223</f>
        <v>865.5</v>
      </c>
      <c r="F222" s="205">
        <f>D223</f>
        <v>882.8</v>
      </c>
      <c r="G222" s="339">
        <f t="shared" si="0"/>
        <v>865.5</v>
      </c>
      <c r="H222" s="350">
        <f t="shared" si="1"/>
        <v>882.8</v>
      </c>
    </row>
    <row r="223" spans="1:8" hidden="1">
      <c r="A223" s="210" t="s">
        <v>262</v>
      </c>
      <c r="B223" s="246" t="s">
        <v>458</v>
      </c>
      <c r="C223" s="211">
        <v>865.5</v>
      </c>
      <c r="D223" s="211">
        <v>882.8</v>
      </c>
      <c r="E223" s="212"/>
      <c r="F223" s="212"/>
      <c r="G223" s="339">
        <f t="shared" si="0"/>
        <v>-865.5</v>
      </c>
      <c r="H223" s="350">
        <f t="shared" si="1"/>
        <v>-882.8</v>
      </c>
    </row>
    <row r="224" spans="1:8" hidden="1">
      <c r="A224" s="213" t="s">
        <v>263</v>
      </c>
      <c r="B224" s="245" t="s">
        <v>33</v>
      </c>
      <c r="C224" s="204"/>
      <c r="D224" s="204"/>
      <c r="E224" s="205">
        <f>C225</f>
        <v>-480</v>
      </c>
      <c r="F224" s="205">
        <f>D225</f>
        <v>0</v>
      </c>
      <c r="G224" s="339">
        <f t="shared" si="0"/>
        <v>-480</v>
      </c>
      <c r="H224" s="350">
        <f t="shared" si="1"/>
        <v>0</v>
      </c>
    </row>
    <row r="225" spans="1:8" hidden="1">
      <c r="A225" s="210" t="s">
        <v>264</v>
      </c>
      <c r="B225" s="241" t="s">
        <v>459</v>
      </c>
      <c r="C225" s="211">
        <v>-480</v>
      </c>
      <c r="D225" s="211">
        <v>0</v>
      </c>
      <c r="E225" s="212"/>
      <c r="F225" s="212"/>
      <c r="G225" s="339">
        <f t="shared" si="0"/>
        <v>480</v>
      </c>
      <c r="H225" s="350">
        <f t="shared" si="1"/>
        <v>0</v>
      </c>
    </row>
    <row r="226" spans="1:8" hidden="1">
      <c r="A226" s="213" t="s">
        <v>265</v>
      </c>
      <c r="B226" s="242"/>
      <c r="C226" s="204"/>
      <c r="D226" s="204"/>
      <c r="E226" s="205">
        <f>SUM(C226:C236)</f>
        <v>188000</v>
      </c>
      <c r="F226" s="205">
        <f>SUM(D226:D236)</f>
        <v>0</v>
      </c>
      <c r="G226" s="339">
        <f t="shared" si="0"/>
        <v>188000</v>
      </c>
      <c r="H226" s="350">
        <f t="shared" si="1"/>
        <v>0</v>
      </c>
    </row>
    <row r="227" spans="1:8" hidden="1">
      <c r="A227" s="209" t="s">
        <v>259</v>
      </c>
      <c r="B227" s="230"/>
      <c r="C227" s="207">
        <v>27000</v>
      </c>
      <c r="D227" s="207">
        <v>0</v>
      </c>
      <c r="E227" s="208"/>
      <c r="F227" s="208"/>
      <c r="G227" s="339">
        <f t="shared" si="0"/>
        <v>-27000</v>
      </c>
      <c r="H227" s="350">
        <f t="shared" si="1"/>
        <v>0</v>
      </c>
    </row>
    <row r="228" spans="1:8" hidden="1">
      <c r="A228" s="209" t="s">
        <v>266</v>
      </c>
      <c r="B228" s="230"/>
      <c r="C228" s="207">
        <v>16000</v>
      </c>
      <c r="D228" s="207">
        <v>0</v>
      </c>
      <c r="E228" s="208"/>
      <c r="F228" s="208"/>
      <c r="G228" s="339">
        <f t="shared" si="0"/>
        <v>-16000</v>
      </c>
      <c r="H228" s="350">
        <f t="shared" si="1"/>
        <v>0</v>
      </c>
    </row>
    <row r="229" spans="1:8" hidden="1">
      <c r="A229" s="209" t="s">
        <v>267</v>
      </c>
      <c r="B229" s="230"/>
      <c r="C229" s="207">
        <v>20000</v>
      </c>
      <c r="D229" s="207">
        <v>0</v>
      </c>
      <c r="E229" s="208"/>
      <c r="F229" s="208"/>
      <c r="G229" s="339">
        <f t="shared" si="0"/>
        <v>-20000</v>
      </c>
      <c r="H229" s="350">
        <f t="shared" si="1"/>
        <v>0</v>
      </c>
    </row>
    <row r="230" spans="1:8" hidden="1">
      <c r="A230" s="209" t="s">
        <v>268</v>
      </c>
      <c r="B230" s="230"/>
      <c r="C230" s="207">
        <v>11000</v>
      </c>
      <c r="D230" s="207">
        <v>0</v>
      </c>
      <c r="E230" s="208"/>
      <c r="F230" s="208"/>
      <c r="G230" s="339">
        <f t="shared" si="0"/>
        <v>-11000</v>
      </c>
      <c r="H230" s="350">
        <f t="shared" si="1"/>
        <v>0</v>
      </c>
    </row>
    <row r="231" spans="1:8" hidden="1">
      <c r="A231" s="209" t="s">
        <v>269</v>
      </c>
      <c r="B231" s="230"/>
      <c r="C231" s="207">
        <v>4000</v>
      </c>
      <c r="D231" s="207">
        <v>0</v>
      </c>
      <c r="E231" s="208"/>
      <c r="F231" s="208"/>
      <c r="G231" s="339">
        <f t="shared" si="0"/>
        <v>-4000</v>
      </c>
      <c r="H231" s="350">
        <f t="shared" si="1"/>
        <v>0</v>
      </c>
    </row>
    <row r="232" spans="1:8" hidden="1">
      <c r="A232" s="209" t="s">
        <v>270</v>
      </c>
      <c r="B232" s="230"/>
      <c r="C232" s="207">
        <v>4000</v>
      </c>
      <c r="D232" s="207">
        <v>0</v>
      </c>
      <c r="E232" s="208"/>
      <c r="F232" s="208"/>
      <c r="G232" s="339">
        <f t="shared" si="0"/>
        <v>-4000</v>
      </c>
      <c r="H232" s="350">
        <f t="shared" si="1"/>
        <v>0</v>
      </c>
    </row>
    <row r="233" spans="1:8" hidden="1">
      <c r="A233" s="209" t="s">
        <v>271</v>
      </c>
      <c r="B233" s="230"/>
      <c r="C233" s="207">
        <v>3000</v>
      </c>
      <c r="D233" s="207">
        <v>0</v>
      </c>
      <c r="E233" s="208"/>
      <c r="F233" s="208"/>
      <c r="G233" s="339">
        <f t="shared" si="0"/>
        <v>-3000</v>
      </c>
      <c r="H233" s="350">
        <f t="shared" si="1"/>
        <v>0</v>
      </c>
    </row>
    <row r="234" spans="1:8" hidden="1">
      <c r="A234" s="209" t="s">
        <v>272</v>
      </c>
      <c r="B234" s="230"/>
      <c r="C234" s="207">
        <v>8000</v>
      </c>
      <c r="D234" s="207">
        <v>0</v>
      </c>
      <c r="E234" s="208"/>
      <c r="F234" s="208"/>
      <c r="G234" s="339">
        <f t="shared" si="0"/>
        <v>-8000</v>
      </c>
      <c r="H234" s="350">
        <f t="shared" si="1"/>
        <v>0</v>
      </c>
    </row>
    <row r="235" spans="1:8" hidden="1">
      <c r="A235" s="209" t="s">
        <v>273</v>
      </c>
      <c r="B235" s="230"/>
      <c r="C235" s="207">
        <v>92000</v>
      </c>
      <c r="D235" s="207">
        <v>0</v>
      </c>
      <c r="E235" s="208"/>
      <c r="F235" s="208"/>
      <c r="G235" s="339">
        <f t="shared" si="0"/>
        <v>-92000</v>
      </c>
      <c r="H235" s="350">
        <f t="shared" si="1"/>
        <v>0</v>
      </c>
    </row>
    <row r="236" spans="1:8" hidden="1">
      <c r="A236" s="210" t="s">
        <v>274</v>
      </c>
      <c r="B236" s="243"/>
      <c r="C236" s="211">
        <v>3000</v>
      </c>
      <c r="D236" s="211">
        <v>0</v>
      </c>
      <c r="E236" s="212"/>
      <c r="F236" s="212"/>
      <c r="G236" s="339">
        <f t="shared" si="0"/>
        <v>-3000</v>
      </c>
      <c r="H236" s="350">
        <f t="shared" si="1"/>
        <v>0</v>
      </c>
    </row>
    <row r="237" spans="1:8" hidden="1">
      <c r="A237" s="213" t="s">
        <v>275</v>
      </c>
      <c r="B237" s="244"/>
      <c r="C237" s="204"/>
      <c r="D237" s="204"/>
      <c r="E237" s="205">
        <f>C238</f>
        <v>6900</v>
      </c>
      <c r="F237" s="205">
        <f>D238</f>
        <v>0</v>
      </c>
      <c r="G237" s="339">
        <f t="shared" si="0"/>
        <v>6900</v>
      </c>
      <c r="H237" s="350">
        <f t="shared" si="1"/>
        <v>0</v>
      </c>
    </row>
    <row r="238" spans="1:8" hidden="1">
      <c r="A238" s="210" t="s">
        <v>276</v>
      </c>
      <c r="B238" s="241"/>
      <c r="C238" s="211">
        <v>6900</v>
      </c>
      <c r="D238" s="211"/>
      <c r="E238" s="212"/>
      <c r="F238" s="212"/>
      <c r="G238" s="339">
        <f t="shared" si="0"/>
        <v>-6900</v>
      </c>
      <c r="H238" s="350">
        <f t="shared" si="1"/>
        <v>0</v>
      </c>
    </row>
    <row r="239" spans="1:8" hidden="1">
      <c r="A239" s="237" t="s">
        <v>277</v>
      </c>
      <c r="B239" s="247"/>
      <c r="C239" s="204"/>
      <c r="D239" s="204"/>
      <c r="E239" s="205">
        <f>SUM(C239:C243)</f>
        <v>42875</v>
      </c>
      <c r="F239" s="205">
        <f>SUM(D239:D243)</f>
        <v>16355.9</v>
      </c>
      <c r="G239" s="339">
        <f t="shared" si="0"/>
        <v>42875</v>
      </c>
      <c r="H239" s="350">
        <f t="shared" si="1"/>
        <v>16355.9</v>
      </c>
    </row>
    <row r="240" spans="1:8" hidden="1">
      <c r="A240" s="238" t="s">
        <v>259</v>
      </c>
      <c r="B240" s="248" t="s">
        <v>460</v>
      </c>
      <c r="C240" s="207">
        <v>26661</v>
      </c>
      <c r="D240" s="207">
        <v>0</v>
      </c>
      <c r="E240" s="208"/>
      <c r="F240" s="208"/>
      <c r="G240" s="339">
        <f t="shared" si="0"/>
        <v>-26661</v>
      </c>
      <c r="H240" s="350">
        <f t="shared" si="1"/>
        <v>0</v>
      </c>
    </row>
    <row r="241" spans="1:8" hidden="1">
      <c r="A241" s="238" t="s">
        <v>278</v>
      </c>
      <c r="B241" s="248"/>
      <c r="C241" s="207">
        <v>2746.8</v>
      </c>
      <c r="D241" s="207">
        <v>0</v>
      </c>
      <c r="E241" s="208"/>
      <c r="F241" s="208"/>
      <c r="G241" s="339">
        <f t="shared" si="0"/>
        <v>-2746.8</v>
      </c>
      <c r="H241" s="350">
        <f t="shared" si="1"/>
        <v>0</v>
      </c>
    </row>
    <row r="242" spans="1:8" ht="25.5" hidden="1">
      <c r="A242" s="238" t="s">
        <v>279</v>
      </c>
      <c r="B242" s="248"/>
      <c r="C242" s="207">
        <v>6997.4</v>
      </c>
      <c r="D242" s="207">
        <v>15983.9</v>
      </c>
      <c r="E242" s="208"/>
      <c r="F242" s="208"/>
      <c r="G242" s="339">
        <f t="shared" si="0"/>
        <v>-6997.4</v>
      </c>
      <c r="H242" s="350">
        <f t="shared" si="1"/>
        <v>-15983.9</v>
      </c>
    </row>
    <row r="243" spans="1:8" ht="25.5" hidden="1">
      <c r="A243" s="239" t="s">
        <v>280</v>
      </c>
      <c r="B243" s="249"/>
      <c r="C243" s="211">
        <v>6469.8</v>
      </c>
      <c r="D243" s="211">
        <v>372</v>
      </c>
      <c r="E243" s="212"/>
      <c r="F243" s="212"/>
      <c r="G243" s="339">
        <f t="shared" si="0"/>
        <v>-6469.8</v>
      </c>
      <c r="H243" s="350">
        <f t="shared" si="1"/>
        <v>-372</v>
      </c>
    </row>
    <row r="244" spans="1:8" hidden="1">
      <c r="A244" s="213" t="s">
        <v>281</v>
      </c>
      <c r="B244" s="250"/>
      <c r="C244" s="204"/>
      <c r="D244" s="204"/>
      <c r="E244" s="205">
        <f>C245</f>
        <v>31.6</v>
      </c>
      <c r="F244" s="205">
        <f>D245</f>
        <v>6.2</v>
      </c>
      <c r="G244" s="339">
        <f t="shared" si="0"/>
        <v>31.6</v>
      </c>
      <c r="H244" s="350">
        <f t="shared" si="1"/>
        <v>6.2</v>
      </c>
    </row>
    <row r="245" spans="1:8" hidden="1">
      <c r="A245" s="210" t="s">
        <v>282</v>
      </c>
      <c r="B245" s="241" t="s">
        <v>461</v>
      </c>
      <c r="C245" s="211">
        <v>31.6</v>
      </c>
      <c r="D245" s="211">
        <v>6.2</v>
      </c>
      <c r="E245" s="212"/>
      <c r="F245" s="212"/>
      <c r="G245" s="339">
        <f t="shared" si="0"/>
        <v>-31.6</v>
      </c>
      <c r="H245" s="350">
        <f t="shared" si="1"/>
        <v>-6.2</v>
      </c>
    </row>
    <row r="246" spans="1:8" hidden="1">
      <c r="A246" s="222" t="s">
        <v>283</v>
      </c>
      <c r="B246" s="251"/>
      <c r="C246" s="204"/>
      <c r="D246" s="204"/>
      <c r="E246" s="205">
        <f>SUM(C246:C251)</f>
        <v>454047.3</v>
      </c>
      <c r="F246" s="205">
        <f>SUM(D246:D251)</f>
        <v>103782.09999999999</v>
      </c>
      <c r="G246" s="339">
        <f t="shared" si="0"/>
        <v>454047.3</v>
      </c>
      <c r="H246" s="350">
        <f t="shared" si="1"/>
        <v>103782.09999999999</v>
      </c>
    </row>
    <row r="247" spans="1:8" hidden="1">
      <c r="A247" s="223" t="s">
        <v>284</v>
      </c>
      <c r="B247" s="252"/>
      <c r="C247" s="207">
        <v>266300</v>
      </c>
      <c r="D247" s="207">
        <v>67800</v>
      </c>
      <c r="E247" s="208"/>
      <c r="F247" s="208"/>
      <c r="G247" s="339">
        <f t="shared" si="0"/>
        <v>-266300</v>
      </c>
      <c r="H247" s="350">
        <f t="shared" si="1"/>
        <v>-67800</v>
      </c>
    </row>
    <row r="248" spans="1:8" hidden="1">
      <c r="A248" s="223" t="s">
        <v>285</v>
      </c>
      <c r="B248" s="252"/>
      <c r="C248" s="207">
        <v>75995.8</v>
      </c>
      <c r="D248" s="207">
        <v>63755.8</v>
      </c>
      <c r="E248" s="208"/>
      <c r="F248" s="208"/>
      <c r="G248" s="339">
        <f t="shared" si="0"/>
        <v>-75995.8</v>
      </c>
      <c r="H248" s="350">
        <f t="shared" si="1"/>
        <v>-63755.8</v>
      </c>
    </row>
    <row r="249" spans="1:8" hidden="1">
      <c r="A249" s="223" t="s">
        <v>286</v>
      </c>
      <c r="B249" s="252"/>
      <c r="C249" s="207">
        <v>65891.199999999997</v>
      </c>
      <c r="D249" s="207">
        <v>-27773.7</v>
      </c>
      <c r="E249" s="208"/>
      <c r="F249" s="208"/>
      <c r="G249" s="339">
        <f t="shared" si="0"/>
        <v>-65891.199999999997</v>
      </c>
      <c r="H249" s="350">
        <f t="shared" si="1"/>
        <v>27773.7</v>
      </c>
    </row>
    <row r="250" spans="1:8" hidden="1">
      <c r="A250" s="217" t="s">
        <v>287</v>
      </c>
      <c r="B250" s="232"/>
      <c r="C250" s="207">
        <v>16931.8</v>
      </c>
      <c r="D250" s="207">
        <v>0</v>
      </c>
      <c r="E250" s="208"/>
      <c r="F250" s="208"/>
      <c r="G250" s="339">
        <f t="shared" si="0"/>
        <v>-16931.8</v>
      </c>
      <c r="H250" s="350">
        <f t="shared" si="1"/>
        <v>0</v>
      </c>
    </row>
    <row r="251" spans="1:8" hidden="1">
      <c r="A251" s="215" t="s">
        <v>288</v>
      </c>
      <c r="B251" s="233"/>
      <c r="C251" s="211">
        <v>28928.5</v>
      </c>
      <c r="D251" s="211">
        <v>0</v>
      </c>
      <c r="E251" s="212"/>
      <c r="F251" s="212"/>
      <c r="G251" s="339">
        <f t="shared" si="0"/>
        <v>-28928.5</v>
      </c>
      <c r="H251" s="350">
        <f t="shared" si="1"/>
        <v>0</v>
      </c>
    </row>
    <row r="252" spans="1:8" ht="18" hidden="1" customHeight="1">
      <c r="A252" s="224" t="s">
        <v>289</v>
      </c>
      <c r="B252" s="234"/>
      <c r="C252" s="225">
        <v>734261.7</v>
      </c>
      <c r="D252" s="225">
        <v>111598.5</v>
      </c>
      <c r="E252" s="225">
        <f>SUM(E6:E251)</f>
        <v>897116.89999999991</v>
      </c>
      <c r="F252" s="225">
        <f>SUM(F6:F251)</f>
        <v>110504.19999999998</v>
      </c>
      <c r="G252" s="339">
        <f t="shared" si="0"/>
        <v>162855.19999999995</v>
      </c>
      <c r="H252" s="350">
        <f t="shared" si="1"/>
        <v>-1094.3000000000175</v>
      </c>
    </row>
    <row r="253" spans="1:8">
      <c r="A253" s="351"/>
      <c r="B253" s="235"/>
      <c r="G253" s="339"/>
      <c r="H253" s="350"/>
    </row>
    <row r="254" spans="1:8">
      <c r="A254" s="352"/>
      <c r="B254" s="249"/>
      <c r="C254" s="339">
        <f>SUM(C206:C213)</f>
        <v>3037.3999999999996</v>
      </c>
      <c r="D254" s="339">
        <f>SUM(D206:D213)</f>
        <v>2050.5</v>
      </c>
      <c r="G254" s="339"/>
      <c r="H254" s="350"/>
    </row>
    <row r="255" spans="1:8">
      <c r="A255" s="352" t="s">
        <v>259</v>
      </c>
      <c r="B255" s="249"/>
      <c r="C255" s="364">
        <v>2395.9</v>
      </c>
      <c r="E255" s="453">
        <v>2395.9</v>
      </c>
      <c r="F255" s="453">
        <v>2664.7</v>
      </c>
      <c r="G255" s="454">
        <f>E255</f>
        <v>2395.9</v>
      </c>
      <c r="H255" s="455">
        <f>F255</f>
        <v>2664.7</v>
      </c>
    </row>
    <row r="256" spans="1:8">
      <c r="A256" s="352" t="s">
        <v>480</v>
      </c>
      <c r="B256" s="249"/>
      <c r="C256" s="364">
        <v>699.2</v>
      </c>
      <c r="E256" s="190">
        <v>699.2</v>
      </c>
      <c r="F256" s="190">
        <v>695</v>
      </c>
      <c r="G256" s="339">
        <f t="shared" si="0"/>
        <v>0</v>
      </c>
      <c r="H256" s="350">
        <f t="shared" si="1"/>
        <v>695</v>
      </c>
    </row>
    <row r="257" spans="1:8">
      <c r="A257" s="352" t="s">
        <v>481</v>
      </c>
      <c r="B257" s="249"/>
      <c r="C257" s="364">
        <v>348.3</v>
      </c>
      <c r="E257" s="345">
        <v>348.3</v>
      </c>
      <c r="F257" s="345">
        <v>355.3</v>
      </c>
      <c r="G257" s="346">
        <f t="shared" si="0"/>
        <v>0</v>
      </c>
      <c r="H257" s="353">
        <f t="shared" si="1"/>
        <v>355.3</v>
      </c>
    </row>
    <row r="258" spans="1:8">
      <c r="A258" s="352"/>
      <c r="B258" s="249"/>
      <c r="G258" s="339"/>
      <c r="H258" s="350"/>
    </row>
    <row r="259" spans="1:8" s="347" customFormat="1">
      <c r="A259" s="197" t="s">
        <v>482</v>
      </c>
      <c r="B259" s="340"/>
      <c r="C259" s="198">
        <f>SUM(C254:C257)</f>
        <v>6480.7999999999993</v>
      </c>
      <c r="E259" s="198">
        <f>SUM(E206:E213)+SUM(E255:E258)</f>
        <v>5428.2000000000007</v>
      </c>
      <c r="F259" s="198">
        <f>SUM(F206:F213)+SUM(F255:F258)</f>
        <v>4671.2</v>
      </c>
      <c r="G259" s="198">
        <f>SUM(G206:G213)+SUM(G255:G258)</f>
        <v>1343.3</v>
      </c>
      <c r="H259" s="354">
        <f>SUM(H206:H213)+SUM(H255:H258)</f>
        <v>2620.6999999999998</v>
      </c>
    </row>
    <row r="260" spans="1:8">
      <c r="A260" s="352"/>
      <c r="B260" s="249"/>
      <c r="G260" s="339"/>
      <c r="H260" s="350"/>
    </row>
    <row r="261" spans="1:8" s="348" customFormat="1">
      <c r="A261" s="355" t="s">
        <v>483</v>
      </c>
      <c r="B261" s="356"/>
      <c r="E261" s="349">
        <f>E259-E255</f>
        <v>3032.3000000000006</v>
      </c>
      <c r="F261" s="349">
        <f>F259-F255</f>
        <v>2006.5</v>
      </c>
      <c r="G261" s="349">
        <f>G259-G255</f>
        <v>-1052.6000000000001</v>
      </c>
      <c r="H261" s="357">
        <f>H259-H255</f>
        <v>-44</v>
      </c>
    </row>
    <row r="262" spans="1:8">
      <c r="A262" s="352"/>
      <c r="B262" s="249"/>
      <c r="G262" s="339"/>
      <c r="H262" s="350"/>
    </row>
    <row r="263" spans="1:8">
      <c r="A263" s="352" t="s">
        <v>486</v>
      </c>
      <c r="B263" s="249"/>
      <c r="C263" s="339">
        <f>C259+C204</f>
        <v>170388.6</v>
      </c>
      <c r="D263" s="339"/>
      <c r="E263" s="339">
        <f>E259+E204</f>
        <v>169336.00000000003</v>
      </c>
      <c r="G263" s="339"/>
      <c r="H263" s="350"/>
    </row>
    <row r="264" spans="1:8">
      <c r="A264" s="352"/>
      <c r="B264" s="249"/>
      <c r="D264" s="339">
        <f>E263-C263</f>
        <v>-1052.5999999999767</v>
      </c>
      <c r="G264" s="339"/>
      <c r="H264" s="350"/>
    </row>
    <row r="265" spans="1:8">
      <c r="A265" s="352" t="s">
        <v>484</v>
      </c>
      <c r="B265" s="249"/>
      <c r="E265" s="190">
        <v>1037</v>
      </c>
      <c r="F265" s="190">
        <v>8550</v>
      </c>
      <c r="G265" s="339">
        <f t="shared" si="0"/>
        <v>1037</v>
      </c>
      <c r="H265" s="350">
        <f t="shared" si="1"/>
        <v>8550</v>
      </c>
    </row>
    <row r="266" spans="1:8">
      <c r="A266" s="358"/>
      <c r="B266" s="359"/>
      <c r="C266" s="345"/>
      <c r="D266" s="345"/>
      <c r="E266" s="345"/>
      <c r="F266" s="345"/>
      <c r="G266" s="345"/>
      <c r="H266" s="360"/>
    </row>
    <row r="268" spans="1:8">
      <c r="D268" s="339">
        <f>D264-C254</f>
        <v>-4089.9999999999764</v>
      </c>
    </row>
    <row r="269" spans="1:8">
      <c r="D269" s="339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8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25" customWidth="1"/>
    <col min="3" max="3" width="37.7109375" style="25" customWidth="1"/>
    <col min="4" max="4" width="12.42578125" style="25" customWidth="1"/>
    <col min="5" max="5" width="10.7109375" style="25" customWidth="1"/>
    <col min="6" max="6" width="12.140625" style="25" customWidth="1"/>
    <col min="7" max="7" width="11" style="25" customWidth="1"/>
    <col min="8" max="8" width="9.140625" style="25"/>
    <col min="9" max="10" width="12.140625" style="32" customWidth="1"/>
    <col min="11" max="11" width="3" style="25" customWidth="1"/>
    <col min="12" max="16384" width="9.140625" style="25"/>
  </cols>
  <sheetData>
    <row r="1" spans="1:14" s="30" customFormat="1" ht="26.25" customHeight="1">
      <c r="A1" s="715"/>
      <c r="B1" s="715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</row>
    <row r="2" spans="1:14" ht="26.25" customHeight="1">
      <c r="A2" s="19"/>
      <c r="B2" s="19"/>
      <c r="C2" s="731" t="s">
        <v>548</v>
      </c>
      <c r="D2" s="731"/>
      <c r="E2" s="731"/>
      <c r="F2" s="731"/>
      <c r="G2" s="731"/>
      <c r="H2" s="731"/>
      <c r="I2" s="731"/>
      <c r="J2" s="731"/>
      <c r="K2" s="20"/>
      <c r="L2" s="20"/>
      <c r="M2" s="20"/>
      <c r="N2" s="20"/>
    </row>
    <row r="3" spans="1:14" ht="15" customHeight="1" thickBot="1">
      <c r="C3" s="34"/>
      <c r="D3" s="35"/>
      <c r="E3" s="35"/>
      <c r="F3" s="35"/>
      <c r="G3" s="35"/>
      <c r="I3" s="25"/>
      <c r="J3" s="25"/>
    </row>
    <row r="4" spans="1:14" s="2" customFormat="1" ht="36" customHeight="1">
      <c r="C4" s="284"/>
      <c r="D4" s="729" t="s">
        <v>549</v>
      </c>
      <c r="E4" s="732" t="s">
        <v>550</v>
      </c>
      <c r="F4" s="732" t="s">
        <v>551</v>
      </c>
      <c r="G4" s="725" t="s">
        <v>552</v>
      </c>
      <c r="H4" s="726"/>
      <c r="I4" s="285" t="s">
        <v>16</v>
      </c>
      <c r="J4" s="286"/>
    </row>
    <row r="5" spans="1:14" s="31" customFormat="1" ht="15" customHeight="1">
      <c r="C5" s="287"/>
      <c r="D5" s="730"/>
      <c r="E5" s="733"/>
      <c r="F5" s="733"/>
      <c r="G5" s="727"/>
      <c r="H5" s="728"/>
      <c r="I5" s="1">
        <v>2012</v>
      </c>
      <c r="J5" s="288">
        <v>2013</v>
      </c>
    </row>
    <row r="6" spans="1:14" ht="18.75" customHeight="1">
      <c r="C6" s="289" t="s">
        <v>0</v>
      </c>
      <c r="D6" s="5" t="s">
        <v>1</v>
      </c>
      <c r="E6" s="23" t="s">
        <v>1</v>
      </c>
      <c r="F6" s="23" t="s">
        <v>1</v>
      </c>
      <c r="G6" s="6" t="s">
        <v>1</v>
      </c>
      <c r="H6" s="6" t="s">
        <v>2</v>
      </c>
      <c r="I6" s="183" t="s">
        <v>1</v>
      </c>
      <c r="J6" s="290" t="s">
        <v>1</v>
      </c>
    </row>
    <row r="7" spans="1:14" ht="21" customHeight="1">
      <c r="C7" s="291" t="s">
        <v>3</v>
      </c>
      <c r="D7" s="157">
        <f>'WS 1 -Rec''d Base Changes '!D18</f>
        <v>171100.5</v>
      </c>
      <c r="E7" s="160"/>
      <c r="F7" s="160">
        <f>'WS 1 -Rec''d Base Changes '!D71</f>
        <v>169789.59999999995</v>
      </c>
      <c r="G7" s="117">
        <f>F7-D7</f>
        <v>-1310.9000000000524</v>
      </c>
      <c r="H7" s="117">
        <f>IF(D7=0,"NA",G7/D7*100)</f>
        <v>-0.76615790135040662</v>
      </c>
      <c r="I7" s="158" t="e">
        <f>#REF!</f>
        <v>#REF!</v>
      </c>
      <c r="J7" s="292" t="e">
        <f>#REF!</f>
        <v>#REF!</v>
      </c>
    </row>
    <row r="8" spans="1:14" ht="21" customHeight="1">
      <c r="C8" s="293" t="s">
        <v>4</v>
      </c>
      <c r="D8" s="115">
        <f>'WS 1 -Rec''d Base Changes '!E18</f>
        <v>116879.4</v>
      </c>
      <c r="E8" s="159"/>
      <c r="F8" s="159">
        <f>'WS 1 -Rec''d Base Changes '!E71</f>
        <v>118564.6</v>
      </c>
      <c r="G8" s="116">
        <f>F8-D8</f>
        <v>1685.2000000000116</v>
      </c>
      <c r="H8" s="116">
        <f>IF(D8=0,"NA",G8/D8*100)</f>
        <v>1.4418280723549333</v>
      </c>
      <c r="I8" s="113" t="e">
        <f>#REF!</f>
        <v>#REF!</v>
      </c>
      <c r="J8" s="294" t="e">
        <f>#REF!</f>
        <v>#REF!</v>
      </c>
    </row>
    <row r="9" spans="1:14" ht="21" customHeight="1">
      <c r="C9" s="295" t="s">
        <v>35</v>
      </c>
      <c r="D9" s="184">
        <f>D7-D8</f>
        <v>54221.100000000006</v>
      </c>
      <c r="E9" s="185">
        <f>E7-E8</f>
        <v>0</v>
      </c>
      <c r="F9" s="185">
        <f>F7-F8</f>
        <v>51224.999999999942</v>
      </c>
      <c r="G9" s="182">
        <f>F9-D9</f>
        <v>-2996.100000000064</v>
      </c>
      <c r="H9" s="182">
        <f>IF(D9=0,"NA",G9/D9*100)</f>
        <v>-5.5257086263466881</v>
      </c>
      <c r="I9" s="186" t="e">
        <f>I7-I8</f>
        <v>#REF!</v>
      </c>
      <c r="J9" s="296" t="e">
        <f>J7-J8</f>
        <v>#REF!</v>
      </c>
    </row>
    <row r="10" spans="1:14" ht="28.5" customHeight="1" thickBot="1">
      <c r="C10" s="297" t="s">
        <v>5</v>
      </c>
      <c r="D10" s="298">
        <f>'WS 1 -Rec''d Base Changes '!C18</f>
        <v>919.8</v>
      </c>
      <c r="E10" s="299"/>
      <c r="F10" s="299">
        <f>'WS 1 -Rec''d Base Changes '!C71</f>
        <v>919.8</v>
      </c>
      <c r="G10" s="300">
        <f>F10-D10</f>
        <v>0</v>
      </c>
      <c r="H10" s="300">
        <f>IF(D10=0,"NA",G10/D10*100)</f>
        <v>0</v>
      </c>
      <c r="I10" s="301" t="e">
        <f>#REF!</f>
        <v>#REF!</v>
      </c>
      <c r="J10" s="302" t="e">
        <f>#REF!</f>
        <v>#REF!</v>
      </c>
    </row>
    <row r="11" spans="1:14" ht="18.75" customHeight="1">
      <c r="C11" s="271" t="s">
        <v>468</v>
      </c>
      <c r="D11" s="272"/>
      <c r="E11" s="273" t="e">
        <f>#REF!</f>
        <v>#REF!</v>
      </c>
      <c r="F11" s="273" t="e">
        <f>#REF!</f>
        <v>#REF!</v>
      </c>
      <c r="G11" s="274"/>
      <c r="H11" s="274"/>
      <c r="I11" s="275" t="e">
        <f>#REF!</f>
        <v>#REF!</v>
      </c>
      <c r="J11" s="276"/>
      <c r="L11" t="s">
        <v>465</v>
      </c>
    </row>
    <row r="12" spans="1:14" ht="15.75" customHeight="1">
      <c r="C12" s="277" t="s">
        <v>469</v>
      </c>
      <c r="D12" s="180"/>
      <c r="E12" s="179" t="e">
        <f>E9-E11</f>
        <v>#REF!</v>
      </c>
      <c r="F12" s="179" t="e">
        <f>F9-F11</f>
        <v>#REF!</v>
      </c>
      <c r="G12" s="180"/>
      <c r="H12" s="180"/>
      <c r="I12" s="187"/>
      <c r="J12" s="278"/>
    </row>
    <row r="13" spans="1:14" ht="15.75" customHeight="1" thickBot="1">
      <c r="C13" s="279" t="s">
        <v>470</v>
      </c>
      <c r="D13" s="280"/>
      <c r="E13" s="281" t="e">
        <f>IF(E12=0,0,E12/E11)</f>
        <v>#REF!</v>
      </c>
      <c r="F13" s="281" t="e">
        <f>IF(F12=0,0,F12/F11)</f>
        <v>#REF!</v>
      </c>
      <c r="G13" s="280"/>
      <c r="H13" s="280"/>
      <c r="I13" s="282"/>
      <c r="J13" s="283"/>
    </row>
    <row r="14" spans="1:14" ht="9.75" customHeight="1" thickBot="1">
      <c r="I14" s="25"/>
      <c r="J14" s="25"/>
    </row>
    <row r="15" spans="1:14" ht="18" customHeight="1">
      <c r="C15" s="303" t="s">
        <v>473</v>
      </c>
      <c r="D15" s="344" t="e">
        <f>E15/(D9)</f>
        <v>#REF!</v>
      </c>
      <c r="E15" s="273" t="e">
        <f>#REF!</f>
        <v>#REF!</v>
      </c>
      <c r="F15" s="461" t="e">
        <f>E15</f>
        <v>#REF!</v>
      </c>
      <c r="G15"/>
      <c r="I15" s="25"/>
      <c r="J15" s="25"/>
      <c r="K15" t="s">
        <v>472</v>
      </c>
    </row>
    <row r="16" spans="1:14" ht="18" customHeight="1">
      <c r="C16" s="305" t="s">
        <v>467</v>
      </c>
      <c r="D16" s="341"/>
      <c r="E16" s="181">
        <f>'WS 2- Service Changes'!E37</f>
        <v>0</v>
      </c>
      <c r="F16" s="462">
        <f>'WS 2- Service Changes'!J37</f>
        <v>465.5</v>
      </c>
      <c r="G16"/>
      <c r="I16" s="25"/>
      <c r="J16" s="25"/>
      <c r="K16" t="s">
        <v>478</v>
      </c>
    </row>
    <row r="17" spans="3:11" ht="15" customHeight="1">
      <c r="C17" s="277" t="s">
        <v>27</v>
      </c>
      <c r="D17" s="342"/>
      <c r="E17" s="338" t="e">
        <f>E15-E16</f>
        <v>#REF!</v>
      </c>
      <c r="F17" s="463" t="e">
        <f>F15-F16</f>
        <v>#REF!</v>
      </c>
      <c r="G17"/>
      <c r="I17" s="25"/>
      <c r="J17" s="25"/>
      <c r="K17"/>
    </row>
    <row r="18" spans="3:11" ht="15" customHeight="1" thickBot="1">
      <c r="C18" s="279" t="s">
        <v>474</v>
      </c>
      <c r="D18" s="343"/>
      <c r="E18" s="281" t="e">
        <f>E16/E15*D15</f>
        <v>#REF!</v>
      </c>
      <c r="F18" s="464" t="e">
        <f>F16/F15*D15</f>
        <v>#REF!</v>
      </c>
      <c r="G18"/>
      <c r="I18" s="25"/>
      <c r="J18" s="25"/>
      <c r="K18"/>
    </row>
    <row r="19" spans="3:11" ht="9.75" customHeight="1" thickBot="1">
      <c r="I19" s="25"/>
      <c r="J19" s="25"/>
    </row>
    <row r="20" spans="3:11" ht="18" customHeight="1">
      <c r="C20" s="303" t="s">
        <v>475</v>
      </c>
      <c r="D20" s="344" t="e">
        <f>E20/D9</f>
        <v>#REF!</v>
      </c>
      <c r="E20" s="273" t="e">
        <f>#REF!</f>
        <v>#REF!</v>
      </c>
      <c r="F20" s="461" t="e">
        <f>E20</f>
        <v>#REF!</v>
      </c>
      <c r="G20"/>
      <c r="I20" s="25"/>
      <c r="J20" s="25"/>
      <c r="K20" t="s">
        <v>476</v>
      </c>
    </row>
    <row r="21" spans="3:11" ht="18" customHeight="1">
      <c r="C21" s="305" t="s">
        <v>467</v>
      </c>
      <c r="D21" s="156"/>
      <c r="E21" s="181">
        <f>'WS 2- Service Changes'!E37-'Table3 2011 Rec''d Base Bud CM'!E16</f>
        <v>0</v>
      </c>
      <c r="F21" s="462">
        <f>'WS 2- Service Changes'!J37-'Table3 2011 Rec''d Base Bud CM'!F16</f>
        <v>0</v>
      </c>
      <c r="G21"/>
      <c r="I21" s="25"/>
      <c r="J21" s="25"/>
      <c r="K21" t="s">
        <v>478</v>
      </c>
    </row>
    <row r="22" spans="3:11" ht="15" customHeight="1">
      <c r="C22" s="277" t="s">
        <v>27</v>
      </c>
      <c r="D22" s="24"/>
      <c r="E22" s="338" t="e">
        <f>E21-E20</f>
        <v>#REF!</v>
      </c>
      <c r="F22" s="463" t="e">
        <f>F21-F20</f>
        <v>#REF!</v>
      </c>
      <c r="G22"/>
      <c r="I22" s="25"/>
      <c r="J22" s="25"/>
      <c r="K22"/>
    </row>
    <row r="23" spans="3:11" ht="15" customHeight="1" thickBot="1">
      <c r="C23" s="279" t="s">
        <v>479</v>
      </c>
      <c r="D23" s="304"/>
      <c r="E23" s="281">
        <f>IF(E21=0,0,E21/E20*D20)</f>
        <v>0</v>
      </c>
      <c r="F23" s="464">
        <f>IF(F21=0,0,F21/F20*D20)</f>
        <v>0</v>
      </c>
      <c r="G23"/>
      <c r="I23" s="25"/>
      <c r="J23" s="25"/>
      <c r="K23"/>
    </row>
    <row r="24" spans="3:11" ht="9.75" customHeight="1" thickBot="1">
      <c r="I24" s="25"/>
      <c r="J24" s="25"/>
    </row>
    <row r="25" spans="3:11" ht="18" customHeight="1">
      <c r="C25" s="303" t="s">
        <v>471</v>
      </c>
      <c r="D25" s="344" t="e">
        <f>E25/(D9)</f>
        <v>#REF!</v>
      </c>
      <c r="E25" s="273" t="e">
        <f>#REF!</f>
        <v>#REF!</v>
      </c>
      <c r="F25" s="461" t="e">
        <f>E25</f>
        <v>#REF!</v>
      </c>
      <c r="G25"/>
      <c r="I25" s="25"/>
      <c r="J25" s="25"/>
      <c r="K25" t="s">
        <v>476</v>
      </c>
    </row>
    <row r="26" spans="3:11" ht="18" customHeight="1">
      <c r="C26" s="305" t="s">
        <v>467</v>
      </c>
      <c r="D26" s="156"/>
      <c r="E26" s="181">
        <f>'WS 2- Service Changes'!E37</f>
        <v>0</v>
      </c>
      <c r="F26" s="462">
        <f>'WS 2- Service Changes'!J37</f>
        <v>465.5</v>
      </c>
      <c r="G26"/>
      <c r="I26" s="25"/>
      <c r="J26" s="25"/>
      <c r="K26" t="s">
        <v>477</v>
      </c>
    </row>
    <row r="27" spans="3:11" ht="15" customHeight="1">
      <c r="C27" s="277" t="s">
        <v>27</v>
      </c>
      <c r="D27" s="24"/>
      <c r="E27" s="338" t="e">
        <f>E25-E26</f>
        <v>#REF!</v>
      </c>
      <c r="F27" s="463" t="e">
        <f>F25-F26</f>
        <v>#REF!</v>
      </c>
      <c r="G27"/>
      <c r="I27" s="25"/>
      <c r="J27" s="25"/>
      <c r="K27"/>
    </row>
    <row r="28" spans="3:11" ht="15" customHeight="1" thickBot="1">
      <c r="C28" s="279" t="s">
        <v>28</v>
      </c>
      <c r="D28" s="304"/>
      <c r="E28" s="281" t="e">
        <f>E26/E25*D25</f>
        <v>#REF!</v>
      </c>
      <c r="F28" s="464" t="e">
        <f>F26/F25*D25</f>
        <v>#REF!</v>
      </c>
      <c r="G28"/>
      <c r="I28" s="25"/>
      <c r="J28" s="25"/>
      <c r="K28"/>
    </row>
    <row r="29" spans="3:11">
      <c r="I29" s="25"/>
      <c r="J29" s="25"/>
    </row>
    <row r="30" spans="3:11">
      <c r="I30" s="25"/>
      <c r="J30" s="25"/>
    </row>
    <row r="31" spans="3:11">
      <c r="I31" s="25"/>
      <c r="J31" s="25"/>
    </row>
    <row r="32" spans="3:11">
      <c r="I32" s="25"/>
      <c r="J32" s="25"/>
    </row>
    <row r="33" spans="9:10">
      <c r="I33" s="25"/>
      <c r="J33" s="25"/>
    </row>
    <row r="34" spans="9:10">
      <c r="I34" s="25"/>
      <c r="J34" s="25"/>
    </row>
    <row r="35" spans="9:10">
      <c r="I35" s="25"/>
      <c r="J35" s="25"/>
    </row>
    <row r="36" spans="9:10">
      <c r="I36" s="25"/>
      <c r="J36" s="25"/>
    </row>
    <row r="37" spans="9:10">
      <c r="I37" s="25"/>
      <c r="J37" s="25"/>
    </row>
    <row r="38" spans="9:10">
      <c r="I38" s="25"/>
      <c r="J38" s="25"/>
    </row>
    <row r="39" spans="9:10">
      <c r="I39" s="25"/>
      <c r="J39" s="25"/>
    </row>
    <row r="40" spans="9:10">
      <c r="I40" s="25"/>
      <c r="J40" s="25"/>
    </row>
    <row r="41" spans="9:10">
      <c r="I41" s="25"/>
      <c r="J41" s="25"/>
    </row>
    <row r="42" spans="9:10">
      <c r="I42" s="25"/>
      <c r="J42" s="25"/>
    </row>
    <row r="43" spans="9:10">
      <c r="I43" s="25"/>
      <c r="J43" s="25"/>
    </row>
    <row r="44" spans="9:10">
      <c r="I44" s="25"/>
      <c r="J44" s="25"/>
    </row>
    <row r="45" spans="9:10">
      <c r="I45" s="25"/>
      <c r="J45" s="25"/>
    </row>
    <row r="46" spans="9:10">
      <c r="I46" s="25"/>
      <c r="J46" s="25"/>
    </row>
    <row r="47" spans="9:10">
      <c r="I47" s="25"/>
      <c r="J47" s="25"/>
    </row>
  </sheetData>
  <mergeCells count="6">
    <mergeCell ref="A1:N1"/>
    <mergeCell ref="G4:H5"/>
    <mergeCell ref="D4:D5"/>
    <mergeCell ref="C2:J2"/>
    <mergeCell ref="F4:F5"/>
    <mergeCell ref="E4:E5"/>
  </mergeCells>
  <phoneticPr fontId="8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66"/>
      <c r="B1" s="465">
        <v>2011</v>
      </c>
      <c r="C1" s="470">
        <v>2012</v>
      </c>
      <c r="D1" s="472">
        <v>2013</v>
      </c>
    </row>
    <row r="2" spans="1:4">
      <c r="A2" s="467"/>
      <c r="B2" s="359" t="s">
        <v>507</v>
      </c>
      <c r="C2" s="471" t="s">
        <v>507</v>
      </c>
      <c r="D2" s="473" t="s">
        <v>507</v>
      </c>
    </row>
    <row r="3" spans="1:4">
      <c r="A3" s="468" t="s">
        <v>559</v>
      </c>
      <c r="B3" s="474" t="e">
        <f>#REF!</f>
        <v>#REF!</v>
      </c>
      <c r="C3" s="475" t="e">
        <f>B11</f>
        <v>#REF!</v>
      </c>
      <c r="D3" s="476" t="e">
        <f>C11</f>
        <v>#REF!</v>
      </c>
    </row>
    <row r="4" spans="1:4">
      <c r="A4" s="468" t="s">
        <v>557</v>
      </c>
      <c r="B4" s="474"/>
      <c r="C4" s="475"/>
      <c r="D4" s="476"/>
    </row>
    <row r="5" spans="1:4">
      <c r="A5" s="468" t="s">
        <v>562</v>
      </c>
      <c r="B5" s="474"/>
      <c r="C5" s="475"/>
      <c r="D5" s="476"/>
    </row>
    <row r="6" spans="1:4">
      <c r="A6" s="468" t="s">
        <v>558</v>
      </c>
      <c r="B6" s="474">
        <f>'Operating Impact'!C28</f>
        <v>0</v>
      </c>
      <c r="C6" s="475">
        <f>'Operating Impact'!E28</f>
        <v>5.4</v>
      </c>
      <c r="D6" s="476">
        <f>'Operating Impact'!G28</f>
        <v>11</v>
      </c>
    </row>
    <row r="7" spans="1:4" ht="25.5">
      <c r="A7" s="483" t="s">
        <v>563</v>
      </c>
      <c r="B7" s="484">
        <v>3</v>
      </c>
      <c r="C7" s="485">
        <v>0</v>
      </c>
      <c r="D7" s="486">
        <v>0</v>
      </c>
    </row>
    <row r="8" spans="1:4" ht="25.5">
      <c r="A8" s="483" t="s">
        <v>564</v>
      </c>
      <c r="B8" s="484">
        <v>0</v>
      </c>
      <c r="C8" s="485">
        <v>0</v>
      </c>
      <c r="D8" s="486">
        <v>0</v>
      </c>
    </row>
    <row r="9" spans="1:4">
      <c r="A9" s="467" t="s">
        <v>561</v>
      </c>
      <c r="B9" s="477">
        <f>'WS 2- Service Changes'!K37</f>
        <v>0</v>
      </c>
      <c r="C9" s="478">
        <f>'WS 2- Service Changes'!M37</f>
        <v>0</v>
      </c>
      <c r="D9" s="479">
        <f>'WS 2- Service Changes'!O37</f>
        <v>0</v>
      </c>
    </row>
    <row r="10" spans="1:4">
      <c r="A10" s="468"/>
      <c r="B10" s="474"/>
      <c r="C10" s="475"/>
      <c r="D10" s="476"/>
    </row>
    <row r="11" spans="1:4" ht="13.5" thickBot="1">
      <c r="A11" s="469" t="s">
        <v>560</v>
      </c>
      <c r="B11" s="480" t="e">
        <f>SUM(B3:B10)</f>
        <v>#REF!</v>
      </c>
      <c r="C11" s="481" t="e">
        <f>SUM(C3:C10)</f>
        <v>#REF!</v>
      </c>
      <c r="D11" s="482" t="e">
        <f>SUM(D3:D10)</f>
        <v>#REF!</v>
      </c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Appendix 2 - Budget by Category</vt:lpstr>
      <vt:lpstr>WS 1 -Rec'd Base Changes </vt:lpstr>
      <vt:lpstr>WS 2- Service Changes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'Table 2 2010 Variance Review'!Print_Area</vt:lpstr>
      <vt:lpstr>'Table3 2011 Rec''d Base Bud CM'!Print_Area</vt:lpstr>
      <vt:lpstr>'WS 1 -Rec''d Base Changes '!Print_Area</vt:lpstr>
      <vt:lpstr>'WS 2- Service Changes'!Print_Area</vt:lpstr>
      <vt:lpstr>'Appendix 2 - Budget by Category'!Print_Titles</vt:lpstr>
      <vt:lpstr>Outlooks!Print_Titles</vt:lpstr>
      <vt:lpstr>'WS 1 -Rec''d Base Changes '!Print_Titles</vt:lpstr>
      <vt:lpstr>'WS 2- Service Changes'!Print_Titles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2011-11-28T17:35:57Z</cp:lastPrinted>
  <dcterms:created xsi:type="dcterms:W3CDTF">2004-10-07T19:14:42Z</dcterms:created>
  <dcterms:modified xsi:type="dcterms:W3CDTF">2012-07-30T20:15:59Z</dcterms:modified>
</cp:coreProperties>
</file>