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unt by On Duty" sheetId="2" r:id="rId5"/>
    <sheet state="visible" name="Count by Officer Race" sheetId="3" r:id="rId6"/>
    <sheet state="visible" name="Sheet2" sheetId="4" r:id="rId7"/>
    <sheet state="visible" name="Count by Injury" sheetId="5" r:id="rId8"/>
    <sheet state="visible" name="Count by Person Race" sheetId="6" r:id="rId9"/>
  </sheets>
  <definedNames>
    <definedName hidden="1" localSheetId="3" name="_xlnm._FilterDatabase">Sheet2!$G$1:$G$1000</definedName>
  </definedNames>
  <calcPr/>
  <pivotCaches>
    <pivotCache cacheId="0" r:id="rId10"/>
    <pivotCache cacheId="1" r:id="rId11"/>
  </pivotCaches>
</workbook>
</file>

<file path=xl/sharedStrings.xml><?xml version="1.0" encoding="utf-8"?>
<sst xmlns="http://schemas.openxmlformats.org/spreadsheetml/2006/main" count="6423" uniqueCount="1017">
  <si>
    <t>Incident</t>
  </si>
  <si>
    <t>Suspect</t>
  </si>
  <si>
    <t>Officer</t>
  </si>
  <si>
    <t xml:space="preserve">
</t>
  </si>
  <si>
    <t>DATE</t>
  </si>
  <si>
    <t>INC NO.</t>
  </si>
  <si>
    <t>LOCATION</t>
  </si>
  <si>
    <t>SEX</t>
  </si>
  <si>
    <t>RACE</t>
  </si>
  <si>
    <t>AGE</t>
  </si>
  <si>
    <t>INJURY</t>
  </si>
  <si>
    <t>WEAPON</t>
  </si>
  <si>
    <t>ON DUTY</t>
  </si>
  <si>
    <t>RESPONSE TYPE</t>
  </si>
  <si>
    <t>NUM OF OFFICERS</t>
  </si>
  <si>
    <t>Synopsis</t>
  </si>
  <si>
    <t xml:space="preserve"> </t>
  </si>
  <si>
    <t>7000 CULLEN BLVD</t>
  </si>
  <si>
    <t>M</t>
  </si>
  <si>
    <t>H</t>
  </si>
  <si>
    <t>Wounded</t>
  </si>
  <si>
    <t>Other</t>
  </si>
  <si>
    <t>W</t>
  </si>
  <si>
    <t>None</t>
  </si>
  <si>
    <t>Y</t>
  </si>
  <si>
    <t>Emergency Call</t>
  </si>
  <si>
    <t xml:space="preserve">An officer was conducting a traffic stop and had two persons detained when an unrelated suspect ambushed the officer and struck him with a pipe. The officer shot the suspect who was transported to Ben Taub.
</t>
  </si>
  <si>
    <t>6300 DUMFRIES DR</t>
  </si>
  <si>
    <t>Firearm</t>
  </si>
  <si>
    <t>B</t>
  </si>
  <si>
    <t>Traffic Stop</t>
  </si>
  <si>
    <t xml:space="preserve">An officer observed a traffic violation, turned on his emergency lights and sirens, and attempted to pull the vehicle over on a traffic stop. The driver ignored the officer’s commands to pull over and began to actively flee. After 1.5 miles, the suspect stopped his vehicle, exited, and continued to flee on foot. The suspect presented a handgun and was ordered by the officer to drop the weapon numerous times. The suspect ignored these commands. In fear of his life, the officer discharged his duty weapon multiple times striking the suspect with non-life threatening injuries. The officer was not injured.
</t>
  </si>
  <si>
    <t>6500 CAPRIDGE DR</t>
  </si>
  <si>
    <t>U</t>
  </si>
  <si>
    <t>Killed</t>
  </si>
  <si>
    <t>2 or More</t>
  </si>
  <si>
    <t xml:space="preserve">Officers were dispatched to a suicide threat with a weapon. A female caller reported that her husband had a gun, was highly emotional, and just discharged the weapon. Upon officers’ arrival, they observed the suspect walking with a handgun in his right hand. Officers ordered him numerous times to drop the gun and surrender, but he ignored these commands and fired a round into the ground. Moments later, the suspect turned and raised the handgun towards officers. Fearing for their lives, and the lives of those around them, several officers fired their duty weapons striking the suspect multiple times. The suspect was pronounced dead at the scene. </t>
  </si>
  <si>
    <t>8600 S BRAESWOOD BLVD</t>
  </si>
  <si>
    <t>Knife</t>
  </si>
  <si>
    <t xml:space="preserve">HPD officers responded to a suspicious person with a knife call but did not locate the suspect at that location. One officer canvassed the area and saw a witness who stated the suspect stabbed an elderly female before entering her vehicle. The elderly female was lying on the ground near her car. As the officer ordered the suspect out of the complainant’s vehicle, the suspect exited the vehicle and moved quickly towards the officer with a knife. In fear of serious bodily injury or death, the officer fired his duty weapon twice, striking the suspect. HFD transported the elderly female to the hospital where she succumbed to her injuries. </t>
  </si>
  <si>
    <t>3800 NOAH ST</t>
  </si>
  <si>
    <t xml:space="preserve">Officers responded to a suspicious person with a weapon, located the suspect, and gave him verbal commands to cooperate. The suspect ignored the officer and started to approach him. The officer saw what appeared to be a pistol in the suspect’s front pocket. The officer repeatedly ordered the suspect to halt but the suspect kept approaching him causing the officer circled his vehicle to keep a barrier between himself and the suspect. The officer repeatedly ordered the suspect not to reach for the weapon. As backup officers arrived on scene, the suspect turned and reached for his weapon. The officer discharged his weapon striking the suspect several times. The suspect was transported to the hospital where he was pronounced deceased. It was later learned the suspect’s weapon was a BB gun replica of a 9mm Beretta. </t>
  </si>
  <si>
    <t>11700 NORTH FWY OB</t>
  </si>
  <si>
    <t xml:space="preserve">An HPD officer conducted a traffic stop and conducted a DWI investigation. The officer attempted to place the suspect under arrest and a physical altercation ensued. During this confrontation, the suspect was able to gain possession of the officer’s taser and pointed it at him. In fear of serious bodily injury or death, the officer fired multiple times striking the suspect. First aid was provided at the scene but the suspect was later pronounced deceased. </t>
  </si>
  <si>
    <t>7900 LANE ST</t>
  </si>
  <si>
    <t>P</t>
  </si>
  <si>
    <t xml:space="preserve">Officers dispatched to a suspicious person with a weapon. The suspect was shooting in the air and then at officers as they arrived on scene. Officers shot and killed the suspect. Suspect had shot over fifty-five rounds of ammunition. </t>
  </si>
  <si>
    <t>800 GAZIN</t>
  </si>
  <si>
    <t xml:space="preserve">Houston Police Officers responded to a suicide in progress. As the officers engaged the suspect, he charged at them with a pointed object in his hand. Three officers discharged their CED’s at the suspect, which had no effect on him. Officers then discharged several beanbags at the suspect, which also had no effect on the suspect. The suspect charged at the officers with a pointed weapon causing one sergeant to shoot the suspect. The suspect then crawled to a CED that was dropped by an officer, picked it up, and pointed it at the officers. In fear of their lives, several officers discharged their weapons and the suspect, killing him. </t>
  </si>
  <si>
    <t>A</t>
  </si>
  <si>
    <t>400 GREENS RD #2008</t>
  </si>
  <si>
    <t xml:space="preserve">Officers responded to call concerning a suspicious person with a weapon. Officers found the suspect and he ran into the park. While running from officers, he pulled a gun out of his pants. Officers fired several shots at the suspect, but missed. The suspect was taken into custody unharmed. No officers were injured. </t>
  </si>
  <si>
    <t>12300 BRAESRIDGE DR</t>
  </si>
  <si>
    <t>Warrant</t>
  </si>
  <si>
    <t xml:space="preserve">HPD officers arrived at the residence to locate a wanted fugitive. Upon officers’ arrival, they surrounded the residence, knocked, and announced their presence as, “Houston Police." Officers were met by several family members who would not confirm whether the suspect was inside the home. Officers searched the interior of the home for the suspect, which included a dark attic area. During their search, an HPD officer located the suspect hiding behind loose insulation in the attic. The suspect was within close proximity of the officer and suddenly raised his left arm. Fearing for his safety and the safety of the other officers, the officer discharged his duty weapon one time striking the suspect in the arm. The suspect was transported to the hospital with non-life threatening injuries and was released the same day. </t>
  </si>
  <si>
    <t>20100 NORTH FWY IB</t>
  </si>
  <si>
    <t xml:space="preserve">On off-duty officer was in the parking of a gym when a suspect, armed with a knife, charged at the officer. In fear of his life and the life of a Precinct 4 Deputy, the officer shot the suspect multiple times. The suspect is expected to survive his injuries. </t>
  </si>
  <si>
    <t>3900 YELLOWSTONE BLVD</t>
  </si>
  <si>
    <t xml:space="preserve">The officers pulled a car over for a broken headlight. The car turned onto a side street when the suspect and his mother jumped out of the car. After getting out of the car, the suspect pulled a pistol and shot at the officers as they tried to get out of their vehicle. Neither were struck, but one of the officer managed to return fire and also missed. Several more officers arrived on scene and found the suspect hiding underneath a car a few blocks away. </t>
  </si>
  <si>
    <t>2300 FANNIN ST</t>
  </si>
  <si>
    <t>N</t>
  </si>
  <si>
    <t xml:space="preserve">Houston Police officers responded to an assault in progress with a weapon. The responding officers met with the homeowner. As officers were checking the perimeter of the residence, they encountered a male in the backyard holding a semiautomatic weapon to his own neck. The suspect moved into a shed located in the backyard and refused to comply with multiple commands by officers to drop his weapon. The suspect made statements about killing himself and requested his girlfriend be allowed to come to the backyard. The suspect then lowered the weapon from his neck, pointing it in the direction of the officers. Several officers fired their weapons, striking the suspect multiple times. First aid was immediately administered and the suspect was taken by life-flight to Hermann Memorial in critical but stable condition. </t>
  </si>
  <si>
    <t>8100 MARTIN LUTHER KING BLVD</t>
  </si>
  <si>
    <t xml:space="preserve">Houston Police officers responded to an assault in progress with a weapon. The responding officers met with the homeowner. As officers were checking the perimeter of the residence, they encountered a male in the backyard holding a semiautomatic weapon to his own neck. The suspect moved into a shed located in the backyard and refused to comply with multiple commands by officers to drop his weapon. The suspect made statements about killing himself and requested his girlfriend be allowed to come to the backyard. The suspect then lowered the weapon from his neck, pointing it in the direction of the officers. Several officers fired their weapons, striking the suspect multiple times. First aid was immediately administered and the suspect was taken by life-flight to Hermann Memorial in critical but stable condition.
</t>
  </si>
  <si>
    <t>Either this report or the following is true for the case, but not both.  Unsure why both case synopsis are the same.</t>
  </si>
  <si>
    <t>11000 SPOTTSWOOD DR</t>
  </si>
  <si>
    <t>5700 PERSHING ST</t>
  </si>
  <si>
    <t xml:space="preserve">A Pasadena officer stopped a vehicle on traffic and learned it was involved in an Aggravated Robbery. After being asked to exit the vehicle, the driver sped off. A vehicle pursuit ensued into the City of Houston and HPD officers joined the chase. At one point, the two passengers exited the vehicle and officers apprehended them. The driver continued to flee and ultimately crashed into a Pasadena police vehicle and fled on foot. The suspect fired at least one gunshot at the officers and ignored their commands. The suspect turned towards the officers and the officers shot him multiple times. HPD and Pasadena officers shot and killed the suspect. No officers were injured. </t>
  </si>
  <si>
    <t>1400 LOCKWOOD DR</t>
  </si>
  <si>
    <t>400 UVALDE RD</t>
  </si>
  <si>
    <t xml:space="preserve">HPD officers outside the city limits of Houston were part of a crime initiative in Harris County. They stopped and asked the male suspect to step out of the car. The suspect pulled out a pistol, stepped out of the car, and fired his weapon at the officers. Both officers fired multiple rounds, wounding the suspect. The suspect was transported to Ben Taub and is expected to survive. </t>
  </si>
  <si>
    <t>3900 TRISTAN ST</t>
  </si>
  <si>
    <t>10700 S. Gessner</t>
  </si>
  <si>
    <t xml:space="preserve">A citizen flagged down HPD officers regarding a suspicious male with a weapon. In a marked patrol car, officers approached the suspect who immediately fled on foot. Officers pursued the suspect on foot ordering him to stop and not reach for a weapon. As the suspect fled, he pulled a pistol from his waistband, pointed it in the direction of pursuing officers, and possibly discharged his weapon towards officers. Officers, fearing for their lives, shot multiple rounds in the suspect’s direction and struck the suspect. The suspect was pronounced deceased at the scene. </t>
  </si>
  <si>
    <t>16100 S POST OAK RD</t>
  </si>
  <si>
    <t xml:space="preserve">A vehicle pursuit ensued after officers attempted to apprehend three suspects about to rob an armored truck. After officers performed a PIT maneuver and stopped the suspect vehicle, the front seat passenger, armed with an AR style rifle, opened his door and turned towards the officers. An officer shot and injured the suspect, who is expected to survive. Officers successfully apprehended the other two other suspects who attempted to flee. </t>
  </si>
  <si>
    <t>2400 CHARLES RD</t>
  </si>
  <si>
    <t xml:space="preserve">HPD officers responded to a complainant in the middle of the street with a gun pointed to his head. The complainant was speaking with someone on the phone who was trying to help him. As the officers began to speak with the male and set up a perimeter, the male shot himself in the head. One officer on the perimeter discharged his firearm, simultaneously, missing the individual. The complainant died at the scene. </t>
  </si>
  <si>
    <t>2400 Hutton</t>
  </si>
  <si>
    <t xml:space="preserve">Officer was notifed by a citizen that there was an armed individual in the area who was discharging a firearm. The officer along with backup went to the loaction where the individual was reported to be and found the suspect who was armed with a shotgun. The officers told the suspect to drop his weapon at which time the suspect turned the weapon towards them causing the officers to discharge their firearm. The suspect was transported to the hospital and treated for the sustained gunshot wounds. </t>
  </si>
  <si>
    <t>6400 S GESSNER RD</t>
  </si>
  <si>
    <t xml:space="preserve">Houston Police officers observed a vehicle described in a recent robbery. They stopped the vehicle, and the front passenger ran causing officers to pursue on foot. The back-seat passenger also fled on foot. One officer attempted to take the driver into custody, but the driver reversed out of the parking space. The suspect then drove towards the officer and reached for a handgun inside of the vehicle. In fear of his life, the officer discharged his duty weapon striking the suspect’s vehicle. The suspect drove away, crashed, and fled on foot, but officers’ successfully detained the suspect. </t>
  </si>
  <si>
    <t>10000 SOUTHWEST FWY OB</t>
  </si>
  <si>
    <t xml:space="preserve">Houston Police officers attempted a traffic stop but the suspect sped off. When officers finally caught up to the driver, the suspect exited his vehicle with a revolveer and started shooting towards the officers, striking one officer in the arm. All three officers returned fire, shooting and killing the suspect at the scene. The injured officer was treated and released from the hospital. </t>
  </si>
  <si>
    <t>F</t>
  </si>
  <si>
    <t>9300 BISSONNET ST</t>
  </si>
  <si>
    <t xml:space="preserve">Officers conducted a felony stop on two suspects driving a stolen vehicle. Officers arrested the driver, but the front passenger fled to a Burger King parking lot and tried to steal a vehicle from someone waiting in the drive through lane. A pursing officer fired at the suspect when he refused to drop his weapon and instead turned towards the officers with a firearm. The officer chased the suspect through the Burger King and out the back door. Outside again, the officer ordered the suspect to drop his weapon and, in fear of his life and the lives of the patrons, discharged his weapon, striking the suspect. Paramedics arrived and transported the suspect to the hospital for his injuries. </t>
  </si>
  <si>
    <t>5900 SELINSKY RD</t>
  </si>
  <si>
    <t xml:space="preserve">HPD officers responded to a suspicious person with a weapon. When the officers arrived on the scene, they observed a male matching the description of the suspect and confronted him. The officers observed that the suspect was armed with a gun and appeared agitated. The officers gave the suspect repeated verbal commands to drop his weapon, which he ignored. The suspect eventually pointed his gun at the officers causing one of them to shoot and kill the suspect. </t>
  </si>
  <si>
    <t>2600 ALABAMA ST</t>
  </si>
  <si>
    <t xml:space="preserve">Officers were investigating in known drug trafficking area and approached a male who was leaning into the driver door of a vehicle in a parking lot. As the officer and sergeant exited their marked patrol vehicle and summoned the suspect to approach them, the suspect fled on foot. The officers pursued on foot while the sergeant pursued in the patrol car. The sergeant observed the suspect had a gun in his hand and turned towards the officer. The sergeant, in fear of the officer’s life, discharged his duty weapon at the suspect multiple times. The suspect was transported by ambulance to Ben Taub Hospital for a gunshot wound to the leg. </t>
  </si>
  <si>
    <t>5200 AIRLINE DR</t>
  </si>
  <si>
    <t xml:space="preserve">HPD officers responded to a burglar alarm and noticed a large hole as well as a light moving around inside the business. As officers attempted to set up a perimeter, one of the suspect’s hands came out from the hole in the building. The officer ordered the suspect to show both of his hands when the suspect produced a handgun and repeatedly shot at the officer. The suspect fled the scene and shoot at another pursuing officer who in fear of his life returned fire. The suspect continued to flee and attempted to hide under a nearby vehicle, but was quickly located with his handgun and arrested. The suspect sustained two gunshot wounds to his left arm and is expected to survive his injuries. </t>
  </si>
  <si>
    <t>10600 BEECHNUT ST</t>
  </si>
  <si>
    <t xml:space="preserve">Two officers working an extra-job confronted a suspect firing at vehicle in an apartment complex. The shooter turned and ran towards a group of people who were in the area. In fear of the safety of those citizens, the officer discharged his duty weapon multiple times, striking the suspect once in the back. The suspect was transported to SW Memorial in stable condition. </t>
  </si>
  <si>
    <t>12200 BISSONNET ST</t>
  </si>
  <si>
    <t xml:space="preserve">HPD officers were following a vehicle with suspects believed to be involved in numerous robberies in the area. Officers observed several of the suspects exit the vehicle and rush into a game room and commit an aggravated robbery. The suspects fled in two separate vehicles. As they fled, an officer in the lead vehicle tried to stop the suspects from passing him up, at which time one of the suspects shot at the officer. The officer in vehicle following behind the suspect discharged his weapon at the suspect but only struck the vehicle. The suspects’ vehicle ultimately stopped, they fled on foot, and officers were able to apprehend them. No persons were shot during the incident. </t>
  </si>
  <si>
    <t>200 TURNER DR</t>
  </si>
  <si>
    <t>Hands and/or Feet</t>
  </si>
  <si>
    <t xml:space="preserve">An officer observed a suspect who had recently fled a scene. The suspect exited his vehicle, ignored the officer’s commands, and charged him while reaching into his waistband. In fear of his life, the officer discharged his firearm, missed, and struggled with the suspect who was attempting to disarm him. The suspect entered the officer’s patrol vehicle and began to drive off. Fearing the suspect was attempting to take possession of the officer’s firearm inside the vehicle, the officer shot multiple times and struck the suspect. The suspect crashed the patrol vehicle into a ditch and attempted to flee on foot, but responding officers were able to apprehend the suspect who was transported to a hospital with a gunshot wound to the shoulder. </t>
  </si>
  <si>
    <t>7800 HARDING ST</t>
  </si>
  <si>
    <t xml:space="preserve">Narcotics officers, with patrol officers on the scene to provide support, announced themselves at the suspects' home and immediately upon breaching the door came under fire from one or two suspects inside the home. Four Houston police officers were shot and another suffered a knee injury. Two suspects were killed in the exchange of gunfire. </t>
  </si>
  <si>
    <t>11000 SOUTHWEST FWY OB</t>
  </si>
  <si>
    <t xml:space="preserve">Houston Police officers were dispatched to a call regarding a suspicious male with a gun. The caller stated the suspect was walking inside the hotel with a gun in his hand. Officers arrived and made contact with the suspect. The suspect ran from police, attempted to flag down motorists, and pointed his gun at one of the officers. The officers, fearing for their lives and the lives of others, shot the suspect. No officers were injured. The suspect was taken to an area hospital and is listed in critical condition. </t>
  </si>
  <si>
    <t>100 E 44TH ST</t>
  </si>
  <si>
    <t xml:space="preserve">Houston Police Officers were dispatched to a shooting that just occurred. Three individuals were shot by the suspect at that location. Officers located the suspect and approached him as he was struggling with a female. One officer gave the suspect verbal commands to get on the ground. The suspect turned toward the officers with a pistol in front of his body. One HPD officer, in fear of his life, shot the suspect. Officers immediately attempted to administer first aid but the suspect died at the scene. </t>
  </si>
  <si>
    <t>13300 ALMEDA RD</t>
  </si>
  <si>
    <t xml:space="preserve">An individual flagged down an HPD officer and told him a man had a knife and was sitting in a car that did not belong to him. The officer observed the suspect exit the vehicle and charge toward him with the knife. In fear of his, the officer discharged his weapon, missed, and attempted to fire again but the weapon malfunctioned. The suspect fled across several lanes of moving traffic and attempted to open the doors of passing vehicles. The officer discharged his tazer twice, both times with no effect, but eventually apprehended the suspect without further incident. </t>
  </si>
  <si>
    <t>7600 HARRISBURG BLVD</t>
  </si>
  <si>
    <t xml:space="preserve">While HPD SWAT officers were attempting to affect an arrest, a suspect fired a handgun at least two times at the SWAT officers. One of the SWAT officers defended himself and the other officers on the scene by returning fire, killing the suspect. A second suspect fled the scene but was later apprehended with the help of a canine officer. The suspect was transported back to the original scene where he then became unresponsive and died. </t>
  </si>
  <si>
    <t>12300 BELLAIRE BLVD</t>
  </si>
  <si>
    <t xml:space="preserve">Patrol officers responded to a shooting call where a suspect had fled a café to an adjacent gameroom. An officer saw the suspect and ordered him to drop his weapon but the suspect fired a single shot which prompted the officer to return fire. When SWAT arrived, they found the gunman dead from what appears to be a suicide. </t>
  </si>
  <si>
    <t>7100 Beechnut</t>
  </si>
  <si>
    <t xml:space="preserve">An officer was dispatched regarding an unknown white male walking around in the street and striking passing cars with a flag pole. The officer approached the male on foot who then attacked the officer and knocked her down. The male was able to wrap his arm around the officer’s neck and began choking her. The officer regained her stance and tazed the male with negative results. The male continued to charge the officer and ignored her commands to stop. After attempting to create distance, the officer, in fear for her life, discharged her duty weapon once at the suspect, striking and killing the suspect. </t>
  </si>
  <si>
    <t>2800 Eagle Creek</t>
  </si>
  <si>
    <t xml:space="preserve">Houston Police officers were dispatched to a welfare check because a suspect was armed and was reported to have cut himself. Upon arrival, patrol officers made contact with a family member of the suspect who stated he was suffering from a psychological crisis. Officers located the suspect hiding behind bushes in the backyard of the residence. At the time of his discovery, the suspect had no clothing on and was armed with a handgun. Officers made multiple attempts to convince the suspect to drop his weapon but he refused to comply and raised the handgun towards the officers. One of the officers, in fear of his life, fired one time striking and killing the suspect. </t>
  </si>
  <si>
    <t>2500 WINROCK BLVD</t>
  </si>
  <si>
    <t xml:space="preserve">Officers were dispatched to a possible hostage situation at an apartment. After they arrived, they knocked on the front door and heard a gunshot inside and a woman scream. After the officers forced entry, the suspect fired multiple times at them and missed but did successfully shoot the female complainant. The suspect fled out of the back door and encountered officers who ordered him to drop his pistol. The suspect did not comply and was fired upon, dropped his pistol, and initially retreated into the apartment. However, after officers pursued him, he advanced on them with a large knife. In fear of their lives, officers shot and killed the suspect. The female complainant is in stable condition. No officers were injured as a result of the suspect shooting at them. </t>
  </si>
  <si>
    <t>3000 ELGIN ST</t>
  </si>
  <si>
    <t xml:space="preserve">While patrolling, an HPD officer observed an individual standing in a parking lot holding a handgun and pointing it at individuals. Officer Solis exited his patrol vehicle, drew his duty weapon, and pointed it at the suspect while giving verbal commands. The suspect ignored the officer, quickly turned and pointed the handgun at him. The officer, in fear for his safety and those around him, shot at the suspect but missed. The suspect dropped his handgun and surrendered. There were no injuries. </t>
  </si>
  <si>
    <t>16500 Tiffany Court</t>
  </si>
  <si>
    <t xml:space="preserve">Officers were dispatched to a suspicious person with a weapon call. Upon arrival at the scene, the officers learned where the gunshots were coming from, approached, and heard the suspect yelling at the officers. The officers requested the suspect to come outside and talk to them, but he refused, discharged his firearm, and barricaded himself in the apartment. The suspect came out through the back door shooting at the officers causing one officer to return fire. </t>
  </si>
  <si>
    <t>4600 Tidwell</t>
  </si>
  <si>
    <t xml:space="preserve">Officers were patrolling the area when they spotted two masked suspects entering a Family Dollar store. The officers believed this to be a possible robbery in progress so they set up a perimeter outside the front of the store. The two suspects entered the store and attempted to rob the store’s cashiers at gun point. One of the suspects exited the front door of the store charging towards one of the officers who, in fear for his life and for the life of his partner, fired his duty weapon twice at the suspect, striking the suspect’s left leg. The second suspect was found hiding behind the store, a firearm that was found near the hiding suspect was also recovered. </t>
  </si>
  <si>
    <t>7800 W BELLFORT AVE</t>
  </si>
  <si>
    <t xml:space="preserve">An HPD officer was assisting in an investigation, regarding a vehicle that was stolen during an Aggravated-Robbery. The officer approached the driver of the vehicle at which point the driver sped towards the direction of the officer. The officer, in fear of his life, fired his duty weapon once at the suspect, striking the front windshield. The suspect fled the location in the vehicle but crashed, striking a tree at a near-by residence. The suspect fled on foot but was arrested and charged for unauthorized use of a motor vehicle. </t>
  </si>
  <si>
    <t>8600 Helmers St</t>
  </si>
  <si>
    <t xml:space="preserve">The officer responded to a call regarding an aggravated robbery. The officer was informsed that the suspect was armed with a firearm and was given a description of the suspect. The officers searched for and located the suspect and when they confronted him the suspect pulled out a handgun causing the officer to shoot him. </t>
  </si>
  <si>
    <t>3434 Tidwell Rd</t>
  </si>
  <si>
    <t xml:space="preserve">Officer was at a Wells Fargo bank when he spotted a masked suspect attempting to steal a woman's purse from her hands. The officer ordered him to stop at which point the suspect reached for a weapon as he jumped into a waiting vehicle. The officer then saw the suspect look back as if he was going to shoot at the officer so the officer discharged his firearm. </t>
  </si>
  <si>
    <t>10800 Sabo Rd</t>
  </si>
  <si>
    <t xml:space="preserve">Officers were dispatched to a call regarding a citizen folloing a vehicle that was reported stolen. The officer located the vehicle at a loacal gas station and attempted to keep the vehicle in the parking lot by blocking it in. The suspect then began to drive at the officer causing the officer to discharge his weapon several times. </t>
  </si>
  <si>
    <t>10898 Beechnut Street</t>
  </si>
  <si>
    <t xml:space="preserve">An officer was rendering aid to a person down at a Walgreens. The officer heard several gunshots across the street and went to investigate. The officer located the suspect and ordered him to stop. The suspect then turned around quickly and began to raise his weapon toward the officer. Consequently, the officer drew his duty weapon and discharged it one time at the suspect. The suspect showed no indication of being struck and fled northbound from the location on foot. The suspect was not located. </t>
  </si>
  <si>
    <t>9421 Cullen Blvd</t>
  </si>
  <si>
    <t>ther</t>
  </si>
  <si>
    <t xml:space="preserve">Officers were in the course of conducting an investigation when a black vehicle backed up towards them at a high rate of speed. The vehicle struck a female who had been detained by the officers as well as the officer’s patrol vehicle. The vehicle then began driving off at a low rate of speed. One officer pursued the vehicle on foot through the parking lot while continuously telling the driver to stop. The driver refused all verbal commands and when it appeared to the officer that the driver was going to flee the area and potentially pose a risk to others, he discharged his weapon several times striking the suspect. The suspect was transported to Ben Taub General Hospital. The suspect is expected to survive his injuries and will be charged with Failure to Stop and Render Aid. </t>
  </si>
  <si>
    <t>16800 Imperial Valley</t>
  </si>
  <si>
    <t xml:space="preserve">After refusing to obey officers’ commands to drop his firearm, the suspect turned towards officers and pointed it at them. In fear of their lives, HPD officers shot at the suspect injuring him. The suspect survived his injury.
</t>
  </si>
  <si>
    <t>12503 Mews Cir #503C</t>
  </si>
  <si>
    <t>Unknown</t>
  </si>
  <si>
    <t>Emer Call</t>
  </si>
  <si>
    <t xml:space="preserve">An HPD officer was giving commands to a suspect who then reached into his waistband a produced a black object which appeared to be a weapon. While gaining distance from the suspect, the officer fired one time but missed. Neither the suspect nor the officer was injured. </t>
  </si>
  <si>
    <t>8700 South Braeswood</t>
  </si>
  <si>
    <t xml:space="preserve">Officers located a suspect identified in a aggravated robbery to be walking with a gun in his hand eastbound across the freeway towards businesses. The suspect refused to obey officers’ commands and fled on foot. The suspect, still holding his weapon and not following police commands, turned towards an HPD officer who shot and struck him. The suspect was pronounced dead at the scene. </t>
  </si>
  <si>
    <t>Patrol Officers were responding to a disturbance with a weapon call regarding a male pointing a gun. Officers located a male that matched the description walking who ignored several verbal commands to get on the ground. The suspect reached behind his back into his waistband at which time one of the officers observed a firearm in his hand and discharged his weapon hitting the male multiple times.</t>
  </si>
  <si>
    <t>5400 Bellaire Blvd</t>
  </si>
  <si>
    <t>Scissors and screwdriver</t>
  </si>
  <si>
    <t>Officers were dispatched to a robbery in progress and upon arrival at the location observed a suspect matching the description of the robbery suspect. The suspect was observed to have a weapon, thought to be a knife, in each hand (later identifed as a screwdriver and scissors). The suspect refused to obey commands to drop his weapons and to lie on the ground. A Conductive Electronic Device was deployed but did not affect the suspect. The suspect charged toward an officer with weapons in hand and the officer, in fear of his life, discharged his weapon, killing the suspect.</t>
  </si>
  <si>
    <t>5801 N. Houston Rosslyn Road #101</t>
  </si>
  <si>
    <t>HPD officers encountered a suspect armed with a machete and chasing a complainant in the roadway. The suspect ignored the officers’ commands and approached with the machete towards the officers who attempted to back away. When the suspect raised the weapon in a threatening manner and continued to advance on the officers, two officers shot the suspect multiple times. The suspect sustained non-life threatening injuries.</t>
  </si>
  <si>
    <t>4500 Sunburst</t>
  </si>
  <si>
    <t>Vehicle</t>
  </si>
  <si>
    <t>During a car chase, a suspect pointed a firearm at the officer. The officer in fear of his life discharged his firearm at the suspect. As the car chase continued, the same suspect on several occasions fired upon the officer resulting in the officer discharging his weapon. The officer eventually was able to stop the vehicle and take the suspects into custody. Neither the suspects nor the officer were injured.</t>
  </si>
  <si>
    <t>5104 Almeda</t>
  </si>
  <si>
    <t>Officers were advised of a disturbance in the front parking lot. Officers went to the parking lot to investigate and observed the suspect approaching their direction with an assault rifle. After giving the suspect verbal commands, the suspect raised the rifle in the officers’ direction, prompting the officers to discharge their duty weapons. The suspect was struck multiple times, transported to Ben Taub Hospital, where he was listed as Critical, but Stable Condition.</t>
  </si>
  <si>
    <t>11655 Briar Forest Dr.</t>
  </si>
  <si>
    <t>UNK</t>
  </si>
  <si>
    <t>An HPD officer exited the driver side of his patrol car and directed a suspect to stop walking. The suspect turned around and began reaching around his waistband area with his hands. When the officer ordered the suspect to show his hands, the suspect quickly reached to his side and displayed a handgun and fired two rounds toward the officer. The officer returned fire, discharging two rounds. The suspect fled the scene apparently uninjured.</t>
  </si>
  <si>
    <t>14874 Estrellita</t>
  </si>
  <si>
    <t>Machete</t>
  </si>
  <si>
    <t>15906 Blue Ridge</t>
  </si>
  <si>
    <t>6902 Highway 6 N</t>
  </si>
  <si>
    <t>Officers observed several black males exit a vehicle, run into the Jack In The Box, and try to rob it. Officers attempted to intervene and stop the robbery. During the process, shots were fired at multiple armed suspects. One suspect was killed, two injured, and another was uninjured. No officers were injured during the incident.</t>
  </si>
  <si>
    <t>Juvenile</t>
  </si>
  <si>
    <t>Pellet Gun</t>
  </si>
  <si>
    <t>2600 Mayview Dr</t>
  </si>
  <si>
    <t>An officer requested the suspect to exit the vehicle. A struggled ensued and the suspect grabbed for a firearm at his waist at which point the officer shot the suspect who was later pronounced deceased.</t>
  </si>
  <si>
    <t>7600 East Houston Rd</t>
  </si>
  <si>
    <t>Officers arrived on scene and the suspect fired a round at both officers. Fearing for their lives, both officers discharged their duty weapons at the suspect. The suspect then fired a second round while walking toward them. Officers discharged additional rounds at the defendant, striking him two or three times in the torso area. The suspect was taken into surgery, in critical, but stable condition.</t>
  </si>
  <si>
    <t>7800 N LOOP E</t>
  </si>
  <si>
    <t>A police officer became involved in a vehicle pursuit with a suspect who snatched a women’s purse. On two separate occasions the suspect raised his hands with something in them. The officer in fear of his life discharged his firearm on both occasions. The suspect fled the area and was later located at a hospital with multiple gunshot wounds. A second suspect with an unknown injury arrived at the hospital with the initial suspect but fled as officered arrived for questioning.</t>
  </si>
  <si>
    <t>8710 Sterlingame Dr.</t>
  </si>
  <si>
    <t>Officers were given verbal consent to check a homeowner’s shed regarding a possible burglary in progress. Upon gaining access into the shed, officers gave verbal commands to the suspect to exit but he did not comply. While attempting to detain the suspect, a struggle ensued and gunfire erupted between the officers and the suspect. Both officers sustained gunshot wound injuries. The suspect sustained multiple gunshot wounds and was pronounced dead at the scene.</t>
  </si>
  <si>
    <t>Protected By Law</t>
  </si>
  <si>
    <t>Tuning fork</t>
  </si>
  <si>
    <t>An officer responding to a burglary at his residence and observed the suspect walking approximately one block from his residence carrying personal items that appeared to belong to the officer. A physical altercation ensued and the suspect brandished a silver steel object and the officer, in fear of his life, fired his weapon striking the suspect.</t>
  </si>
  <si>
    <t>15950 SW FWY</t>
  </si>
  <si>
    <t>As an officer was driving his personal car, his vehicle was struck by another motorist. Shortly after the collision, the other motorist produced a firearm while both vehicles were stuck in traffic. The HPD officer perceived a deadly threat and discharged his firearm once at the suspect’s vehicle. It is not known if the suspect was struck since he fled.</t>
  </si>
  <si>
    <t>16250 Imperial Valley Dr.</t>
  </si>
  <si>
    <t>Officers were conducting a surveillance operation where suspects were believed to have planned an armored car robbery. As officers attempted to arrest one of the suspects, the suspect exited his vehicle with a long rife. In fear of his life, the officer shot the suspect who was later pronounced dead at the hospital.</t>
  </si>
  <si>
    <t>301 Benmar</t>
  </si>
  <si>
    <t>Officers attempted to stop a speeding vehicle which failed to stop. The vehicle pulled into an apartment complex at which time the driver got out and ran on foot. The suspect was being chased by the officers when he fired a gun at them. The pursuing officers returned fire, striking the suspect multiple times.</t>
  </si>
  <si>
    <t>10235 Almeda Genoa</t>
  </si>
  <si>
    <t>Suspect was arrested after discharging a firearm and taking cash from register inside a fast food restaurant and fleeing to an abandoned building. While officers were establishing a perimeter around the building, two officered bumped into each other causing one of their firearms to accidentally discharge resulting in a K-9 biting both of officers and one suffering a shrapnel wound. Suspect was bit by K-9.</t>
  </si>
  <si>
    <t>11603 Riderwood Dr</t>
  </si>
  <si>
    <t>Physical Force</t>
  </si>
  <si>
    <t>While off duty, an HPD officer’s dog was bit by a loose German Shepherd. The officer knocked on the front door of the suspect’s house to gather information about the dog. The suspect got verbally abusive and the officer called 911. The suspect exited his residence, rushed the officer, and punched the officer causing him injury and disorientation. In fear of his life, the officer fired multiple shots striking the suspect.</t>
  </si>
  <si>
    <t>5450 Weslayan St.</t>
  </si>
  <si>
    <t>The suspect, wearing military-style apparel, began randomly shooting at passersby in a neighborhood strip mall. One victim was critically wounded and another was seriously wounded. Multiple officers returned fire killing the suspect. No officers were injured.</t>
  </si>
  <si>
    <t>7500 Bellaire Blvd.</t>
  </si>
  <si>
    <t>Three suspects entered a jewelry store to commit an aggravated robbery. One of the suspects observed an off duty officer working an extra job at the location and pointed a firearm at the officer. The officer and suspect exchanged gunfire and all three suspects then fled the scene. Two suspects were caught on foot and are currently in custody while one suspect fled the scene in a black Nissan Sentra. There were no known injuries to the officer or suspect.</t>
  </si>
  <si>
    <t>Hammer</t>
  </si>
  <si>
    <t>6300 Airline Dr.</t>
  </si>
  <si>
    <t>The officers were chasing the robbery suspect on foot when the suspect fired a weapon at them. One of the officers returned fire but the suspect did not stop. The foot chase ended when a K9 officer was able to apprehend the suspect. Neither the officers nor the suspect was injured by gunfire.</t>
  </si>
  <si>
    <t>1100 W ALABAMA</t>
  </si>
  <si>
    <t>Realistic BB gun</t>
  </si>
  <si>
    <t>Patrol officers were dispatched to a call regarding an armed suspect. Upon arriving at the location, the officers found and confronted the suspect who was seen to have a pistol in his waistband. The officers attempted to get the suspect to raise his hands away from the pistol but the suspect reached for the weapon and pointed it at the officers forcing them to shoot.</t>
  </si>
  <si>
    <t>6700 Cullen Blvd</t>
  </si>
  <si>
    <t>The patrol officers on-viewed a suspect pointing a pistol directly at them. The officers stopped the patrol car and took cover behind the car doors while they attempted to get the suspect to disarm. The suspect ignored their commands and instead pointed his weapon toward the officers forcing them to shoot.</t>
  </si>
  <si>
    <t>12816 Kingsbridge</t>
  </si>
  <si>
    <t>Officers responding to a criminal mischief call were fired upon as they approached the residence. One of the officers returned fire as they backed away from the residence to take positions of cover. The suspect eventually surrendered after several hours of negotiations and after the suspect fired several more times at the officers.</t>
  </si>
  <si>
    <t>3409 Cavalcade</t>
  </si>
  <si>
    <t>Extra job officers on viewed several males fighting each other at a club. While attempting to break up the fight, one male reached for his waistband. Fearing for the safety of others, the officer drew his weapon. The complainant was pushed, fell into the officer's pistol, and was accidentally shot. The victim is expected to survive.</t>
  </si>
  <si>
    <t>13210 Memorial Dr.</t>
  </si>
  <si>
    <t>Police responded to an active shooter scene where a suspect walked up to a car wash and shot the complainant in the head. The suspect then grabbed an assault rifle and began shooting indiscriminatley. Three bystanders, two men and a woman, were also wounded, as were two Harris County Precinct 5 constable's deputies. A SWAT officer ended the ordeal by shooting and killing the gunman.</t>
  </si>
  <si>
    <t>3600 Gano St.</t>
  </si>
  <si>
    <t>Officers attempted to pull over a vehicle for traffic violations when suspect turned off his head lights and attempted to evade the officers. The suspect reached out from the driver’s window and fired several rounds at the pursuing officers with a handgun and eventually came to an abrupt stop. Officers began a felony stop of the vehicle and the suspect reversed his car and crashed into the front of the patrol car. Officers, fearing for their lives fired multiple rounds at the suspect. The suspect sped off, abandoned the vehicle, and fled on foot. After an extensive search, the suspect was not located.</t>
  </si>
  <si>
    <t>6700 Joyner</t>
  </si>
  <si>
    <t>The officer was following a stolen vehicle while waiting for backup units to arrive. The driver of the vehicle lost control and crashed into a fence at which time the driver fled on foot. The passenger got into the driver's seat at which time the officer gave verbal commands for the person to get out of the vehicle. Instead the driver revved the engine and drove in reverse towrd the officer causing the officer to shoot at the suspect.</t>
  </si>
  <si>
    <t>9600 N. Wayside</t>
  </si>
  <si>
    <t>The officer shot the suspect while on a traffic stop assisting Narcotics Division officers. The suspect had reached between his legs and came up with what the officer believed was a hand gun. The suspect crashed the car after a short chase and was transported to LBJ Hospital where he is expected to live. The officer was not injured.</t>
  </si>
  <si>
    <t>5098 Bingle</t>
  </si>
  <si>
    <t>CRU officers working with the Robbery division officers stopped a robbery suspect. The suspect pointed a gun at the officer forcing the officer to shoot him. No officers were injured. The suspect was taken to Ben Taub and his condition is expected to survive.</t>
  </si>
  <si>
    <t>6027 Ledbetter</t>
  </si>
  <si>
    <t>Officers responded to a person down call and arrived to find the suspect armed with a pistol. The officers gave verbal commands for the suspect to put down the weapon but the suspect ran towards the officers while pointing a gun at them forcing the officer to discharged his firearm.</t>
  </si>
  <si>
    <t>19732 Tomball Pkwy Outbound</t>
  </si>
  <si>
    <t>Robbery suspects entered the bank with their guns drawn. An off-duty Houston police officer working security opened fire on the suspects. No injuries or arrests are reported at this time.</t>
  </si>
  <si>
    <t>200 S. 70th</t>
  </si>
  <si>
    <t>The officers located the suspect of a shooting in progress call and saw that he was armed with a pistol. The officers told the suspect to drop his weapon but the suspect refused and instead, turned toward the officers and pointed his weapon at them forcing the officers to shoot.</t>
  </si>
  <si>
    <t>11300 North Fwy</t>
  </si>
  <si>
    <t>The armed suspects were leaving a business that they had just robbed when they were engaged by the officers. The suspects refused to drop their weapons forcing the officers to shoot.</t>
  </si>
  <si>
    <t>3400 Eastex Fwy SR OB</t>
  </si>
  <si>
    <t>The officer was attempting to detain a suspect who was damaging public property. The suspect charged at the officer at which time the officer attempted to use a conducted energy device to stop him but it had no effect. The suspect continued to charge at the officer causing the officer to have to shoot at the suspect.</t>
  </si>
  <si>
    <t>7110 Mykawa Rd.</t>
  </si>
  <si>
    <t>Southeast Patrol officers responded to a Disturbance / Weapon call. Upon arrival, two HPD sergeants discharged their duty weapons at the suspect who was armed with a shotgun. The suspect was not hit. No reports of injuries.</t>
  </si>
  <si>
    <t>5420 N. Hwy 6</t>
  </si>
  <si>
    <t>The officers were conducing surveillance at an area business in response to a string of robberies that were occurring. The involved officer spotted two suspicious persons enter a a meat market at the location and as he approached the business to investigate further, he saw the males exit the location armed with weapons and firing at persons who were fleeing. The armed suspects saw the officer and began shooting at him forcing the officer to return fire.</t>
  </si>
  <si>
    <t>7129 Lawndale</t>
  </si>
  <si>
    <t>The officer saw two masked men enter the gas station. The officer belived a robbery was about to occur and as he watched them he saw one of them point a weapon at the store clerk causing him to shoot the armed suspect.</t>
  </si>
  <si>
    <t>935 WOOLWORTH</t>
  </si>
  <si>
    <t>Officers initiated a stop on a possible stolen vehicle. The vehicle fled and was pursued by officers until it stopped. The suspect fled into a house, came back out, and pointed a gun at the officers. Both officers fired on the suspect who dropped the gun. No injuries were reported.</t>
  </si>
  <si>
    <t>6011 Van Zandt</t>
  </si>
  <si>
    <t>"Northeast Officer was on a suspicious person call when the suspects shot at him. The officer was transported to Memorial Hermann hospital with a gunshot wound to the left arm. He is reported to be in stable condition. Two suspects were apprehended later by HPD officers. "</t>
  </si>
  <si>
    <t>3800 Hickok Ln.</t>
  </si>
  <si>
    <t>Off duty officer in plain clothes was approached by two suspects while in his vehicle. One suspect pointed a gun at the officer and demanded everything. The suspect then pulled the trigger but the weapon misfired. The officer drew his firearm and shot the suspect. Both suspects fled and were later apprehended.</t>
  </si>
  <si>
    <t>4002 Corder</t>
  </si>
  <si>
    <t>While an HPD officer was chasing a suspect attempting to climb over a fence, the officer grabbed the suspect with his free hand and upon doing so the suspect fell back off the fence into the officer. The officer's weapon discharged striking the suspect in the buttocks.</t>
  </si>
  <si>
    <t>10079 Briarwild Ln.</t>
  </si>
  <si>
    <t>HPD officers were dispatched to a burglary in progress. The burglary suspect brandished a shotgun, later determined a firearm replica, and fled the scene. The suspect was later found with a kife and unresponsive to CED devises. The suspect lunged at an officer who shot the suspect once. The suspect survived.</t>
  </si>
  <si>
    <t>3200 Drew</t>
  </si>
  <si>
    <t>CRU officers stopped a vehicle and gave the driver repeated verbal commmands, which were ignored, to lower his window. The second officer also gave commands and saw the suspect pull out a pistol. Fearing for his and his partner's safety, the officer discharged his weapon and killed the suspect.</t>
  </si>
  <si>
    <t>13630 Veterans Memorial</t>
  </si>
  <si>
    <t>Officers confronted robbery suspects who were leaving a Valu-Pawn they just robbed. Officers discharged their firearms striking three suspects: one died at the scene and two were life-flighted to Hermann Hospital. No officers were injured.</t>
  </si>
  <si>
    <t>913 Panama</t>
  </si>
  <si>
    <t>SWAT responded to a consumer in a mental crisis who barricaded himself into a bedroom and had access to a long-gun. The suspect exited the location with a firearm, failed to follow commands, and was shot by a SWAT officer. The suspect died at the scene and there were no other persons injures.</t>
  </si>
  <si>
    <t>7844 W Tidwell</t>
  </si>
  <si>
    <t>DPS and NW Patrol officers observed three suspects enter a cash store and attempt to rob it. DPS and NW officeres discharged their weapons striking the suspects when they ran at the officers with guns drawn. One suspect was killed, another wounded, and a third was arrested. No officers were injured.</t>
  </si>
  <si>
    <t>777 Bateswood</t>
  </si>
  <si>
    <t>An HPD officer located a burglary suspect at an apartment complex on the second floor. The suspect ignored the officer’s commands, brandished a knife, and charged the officer. As a result, the officer opened fire on the suspect striking him twice in the torso. At this time, the suspect is in critical condition.</t>
  </si>
  <si>
    <t>Off duty HPD officer noticed a vehicle following him while driving home. Once at his house, the suspect jumped out of his vehicle with a gun and the officer shot the suspect twice. Three additional suspects were arrested by responding officers while the other was transported to the hospital. The officer was uninjured.</t>
  </si>
  <si>
    <t>7753 LEONARA</t>
  </si>
  <si>
    <t>A suspect refused verbal commands to come out and raised a shotgun at the officers. One HPD sergeant sought cover and discharged his duty weapon several times but missed the suspect. After SWAT deployed tear gas, the suspect surrendered and was taken into custody without further incident.</t>
  </si>
  <si>
    <t>10011 Hanka</t>
  </si>
  <si>
    <t>While two officers ran after a suspect fleeing on foot, the suspect managed to enter their police vehicle and try to run over one of the officers. The officer in fear of his life shot multiple times at the suspect. The suspect crashed, was taken into custody, and neither the suspect nor officers were injured by a gunshot.</t>
  </si>
  <si>
    <t>6400 Hillcroft</t>
  </si>
  <si>
    <t>ER</t>
  </si>
  <si>
    <t>Patrol officers were at a night club in the process of closing when they heard firearms discharging. As the officers approached a suspicious vehicle, the passenger discharged a pistol at the officers. The officers and a security gaurd returned fire, persued the suspect's vehicle, and captured the suspects.</t>
  </si>
  <si>
    <t>4926 Chennault</t>
  </si>
  <si>
    <t>An officer was dispatched to a weapons disturbance involving a male sitting atop a vehicle and discharging a firearm. The suspect refused the officer's verbal commands and made a movement toward the officer who then discharged his firearm, striking the suspect in the abdomen.</t>
  </si>
  <si>
    <t>1401 St. Joseph Pkwy</t>
  </si>
  <si>
    <t>Officers were called to a CIT patient in crisis. The suspect began to assault the officers at which time one officer discharged his taser at the suspect without any effects. The suspect continue to assault the officers, so the other officer discharged his firearm wounding the suspect in his abdomen. Both officers received minor injuries.</t>
  </si>
  <si>
    <t>3608 Crane St.</t>
  </si>
  <si>
    <t>Officer working and extra job handling a distrubance between two males in the parking lot. A vehicle drove by the location and one occupant discharged a round towards the officer. The officer returned fire and struck the vehicle. The vehicle fled the scene. There were no injuries to the officer.</t>
  </si>
  <si>
    <t>4100 Hoffman</t>
  </si>
  <si>
    <t>An HPD Officer responded to the shooting in progress call. The officer approached the suspect and asked to search him. The suspect pulled up his shirt and began pulling a pistol from his waistband. The officer struggled over the weapon, pulled his own pistol, and shot the suspect. The suspect died at the scene.</t>
  </si>
  <si>
    <t>9900 BEECHNUT ST</t>
  </si>
  <si>
    <t>While evading arrest, the suspect intentionally rammed police vehicles and attempted to hit officers with his pick-up truck. Two officers deployed their weapons at the suspect striking the suspect approximately 2 times. The driver was able to ram his way past the blocking patrol vehicles before striking the center esplanade and then the curb on the opposite side of the 6 lane roadway. After the suspect's vehicle came to a stop on the grass, officers pulled the suspect from the vehicle and administer first-aid until HFD Ambulance Medic #10 arrived. The suspect was transported to Southwest Memorial Hospital where he was later pronounced deceased hours.</t>
  </si>
  <si>
    <t>10234 Tangiers</t>
  </si>
  <si>
    <t>SWAT was called to a residence where an evading suspect was hiding in the attic. The suspect shot several times at the officers who returned fire at the suspect. No one was injured during the shooting. The suspect later surrendered to officers and was taken into custody without any injuries.</t>
  </si>
  <si>
    <t>6200 Gulfton</t>
  </si>
  <si>
    <t>Officers working an extra job observed 3 males walking and one was holding a pistol in plain view. Officers identified themselves and the suspects turned toward the officers. The suspect holding the pistol, raised it and pointed it at the officers. One of the officers discharged his firearm and struck the suspect.</t>
  </si>
  <si>
    <t>1200 Tiny Tree Dr</t>
  </si>
  <si>
    <t>Three suspects fled in a vehicle, they pointed weapons at persuing officers. In fear of his life, an officer discharged his duty weapon multiple times and struck the suspects, killing one, injuring two.</t>
  </si>
  <si>
    <t>115 E. Canino</t>
  </si>
  <si>
    <t>While conducting robbery surveillance, officers observed suspects rob a store with firearms and flee. Officers attempted to box in the suspect but were rammed by the suspect's vehicle. One suspect in the vehicle pointed a gun at the officers who returned fire injuring one suspect from glass fragmentation.</t>
  </si>
  <si>
    <t>12700 South Green</t>
  </si>
  <si>
    <t>Officers were involved in a pursuit which ended with a barricaded suspect in a vehicle and a K-9 was deployed. The suspect got out of the vehicle with a large knife and was shot by 2 Officers. The suspect was pronounced dead at the scene.</t>
  </si>
  <si>
    <t>Officer was monitoring his surveillance cameras when he saw an unknown male approach his front door. There had been muliple break-ins in the area so the officer was on alert when he saw the male approach. The officer ran after the suspect and confronted him in a nearby field. The suspect pointed a firearm at the officer so the officer shot at the suspect. The suspect fled but was not found.</t>
  </si>
  <si>
    <t>2203 Gessner</t>
  </si>
  <si>
    <t>Officer arrived at the scene and found two groups of females involved in a disturbance. As he was attempting to gain control of the scene, a pit-bull charged at him. The officer shot the dog but in the process, the dog's owner was accidently hit in the leg by one of the fired bullets.</t>
  </si>
  <si>
    <t>15100 Wallisville</t>
  </si>
  <si>
    <t>HPD officers conducted a traffic stop but the suspect fled in his vehicle as the officers were attempting to identify him. The suspect came to a stop after striking two other vehicles. The suspect refused to comply with the officers and was shot when his actions led the officers to believe that he was reaching for a weapon.</t>
  </si>
  <si>
    <t>3 GREENS RD</t>
  </si>
  <si>
    <t>A robbery suspect who was attempting to steal a vehicle was confronted by citizens at the location. An officer who was working an extra job nearby arrived at the location and approached the vehicle. As he approached he saw the suspect point a weapon at him. The officr fired his weapon and killed the suspect.</t>
  </si>
  <si>
    <t>11959 SOUTH SAM HOUSTON PARKWAY W</t>
  </si>
  <si>
    <t>Officers pursued a suspect in a vehicle and then on foot. The suspect ran into a wooded area. The officer believed he saw a weapon so he discharged his firearm at the suspect - striking the suspect and another officer.</t>
  </si>
  <si>
    <t>8425 WINKLER DR</t>
  </si>
  <si>
    <t>An HPD officer responded to a home invasion. When the officer encountered the suspect, the suspect fired and missed at the officer. The officer returned fire and also missed the suspect. A total of three suspects were involved. The shooter was arrested and two others remains at large.</t>
  </si>
  <si>
    <t>800 N LOOP E</t>
  </si>
  <si>
    <t>While an off duty HPD officer was refueiling his car, a black male was spotted inside the officer's vehicle burglarizing it. The officer, in fear the suspect would steal his weapon inside the vehicle, grabs his firearm and fired upon the getaway vehicle because the driver had appeared to be reaching down for something.</t>
  </si>
  <si>
    <t>12810 GULF FWY OB</t>
  </si>
  <si>
    <t>HPD officer working an extra job at a bar confronted the suspect who was carrying a handgun outside the location. The suspect ignored the officer's commands to drop the weapon. The suspect pointed his gun at the officer and the officer in fear of his life shot and killed the suspect.</t>
  </si>
  <si>
    <t>14121 ELLA BLVD</t>
  </si>
  <si>
    <t>An HPD officer working an extra job in uniform at a convenient store saw three black males enter with a shotgun pointed inside the store. The officer fired at the suspects who again pointed the weapon at the pursuing officer. The officer again shot and injured a suspect. HCSO worked the shooting.</t>
  </si>
  <si>
    <t>16272 IMPERIAL VALLEY DR</t>
  </si>
  <si>
    <t>Officer responded to a burglary in progress by three HMs. The officer spotted one of the males, instructed him to show his hands and get on the ground. The suspect raised his hands above his head as if to surrender then quickly dropped them toward his waist. As a result, the officer shot and injured the suspect.</t>
  </si>
  <si>
    <t>10902 MONTVERDE LN</t>
  </si>
  <si>
    <t>An HPD officer was responding to a home invasion in progress call when he confronted the suspect upon his arrival to the scene. The suspect pointed a pistol at the officer and the officer, in fear of his life, discharged his duty weapon striking the suspect three times. The suspect was in critical condition.</t>
  </si>
  <si>
    <t>13333 NORTHBOROUGH DR</t>
  </si>
  <si>
    <t>Officers were dispatched to suicide with pistol. Upon arrival, officers contacted the suspect but ignored officer's instructions multiple times. When suspect reached for his waistand, the officer knowing the suspect had a pistol, fired once at suspect. Suspect taken to hospital with non-life threatening injuries.</t>
  </si>
  <si>
    <t>400 N SAM HOUSTON PKWY E</t>
  </si>
  <si>
    <t>The officer received a description of the suspect. The suspect was located and give foot prsuit into a parking gargage. The officer made contact with the suspect at which the suspect raised a pistol in the direction of the officer and was shot by the officer. The susepct was taken to hospital with non-life injuries.</t>
  </si>
  <si>
    <t>14600 BUFFALO SPEEDWAY</t>
  </si>
  <si>
    <t>The front seat passenger ignored the officer's commands and continued to reach under the car seat. Fearing for his saftey the officer discharged his weapon. The suspect fled on foot, made additional furtive movements and was shot, injured, and transported to the hospital and expected to recover.</t>
  </si>
  <si>
    <t>12919 WINDFERN</t>
  </si>
  <si>
    <t>An officer working an extra job received a call of a man walking around the complex with a gun. The officer located the suspect and announced his presence. The suspect turned towards the officer with the shotgun in the ready position. In fear of his life, the officer discharged his firearm but missed the suspect.</t>
  </si>
  <si>
    <t>10650 HEMPSTEAD RD</t>
  </si>
  <si>
    <t>Officer was working an investigation and trying to get a suspect into custody. During the struggle , the suspect fired several rounds at officer and officer returned fire. The suspect then stole the patrol vehicle and left the location. The suspect crashed the patrol vehicle into a tree and was later taken into custody.</t>
  </si>
  <si>
    <t>3100 F.M. 1960</t>
  </si>
  <si>
    <t>An on-duty, plain clothes HPD officer on-viewed a robbery. The officer intervened and discharged his firearm at the suspect. All three suspects left the location in a vehicle. It was learned later that one of the suspects was injured by one of the gunshots.</t>
  </si>
  <si>
    <t>4000 AIRLINE DR</t>
  </si>
  <si>
    <t>Officers attempted to perform a felony stop with their weapons drawn when the suspect placed the vehicle in reverse and backed toward the officers. One officer discharged his weapon but the suspect sped away. The suspect's vehicle came to a stop and he ran away on foot. No arrests made at this time.</t>
  </si>
  <si>
    <t>1100 OLIVER</t>
  </si>
  <si>
    <t>Two officers working extra jobs caught two male robbery suspects who were fleeing. The suspects jumped in their truck and attempted to drive over the officer. Both officers fired and struck the suspects injuring them. Both suspects were arrested and charged.</t>
  </si>
  <si>
    <t>6790 SOUTHWEST FWY OB</t>
  </si>
  <si>
    <t>The suspect forced a female at gun point to return to her vehicle and drive to a known location. The suspect barricaded himself and the complainant into the vehicle and would not come out. After HPD SWAT arrived, the suspect exited the vehicle with a weapon and was shot and killed by two officers.</t>
  </si>
  <si>
    <t>11703 KIRKMEADOW DR</t>
  </si>
  <si>
    <t>The Liverpool Police Department pursued a suspect into the City of Pearland and then Houston which triggered a response by HPD officers. The suspect bailed out of his vehicle with a shotgun. An HPD officer dischared his duty weapon, killing the suspect. No officers were injured.</t>
  </si>
  <si>
    <t>19210 GULF FWY OB</t>
  </si>
  <si>
    <t>The suspect was stopped on traffic. The suspect produced a weapon and fired at officer. The officer and suspect began struggling over the gun. The officer's partner commanded the suspect to drop the weapon but refused. In fear of officer's live, officer discharged his weapon and killed the suspect.</t>
  </si>
  <si>
    <t>4830 HOLLOWAY DR</t>
  </si>
  <si>
    <t>Officer responded to a wanted suspect being at location. Officers arrived and observed the suspect inside a vehicle. When they attempted to apprehend him, he tried to run over the officers with his vehicle. Officers discharged their duty weapons and wounded him. Officers treated with minor injuries.</t>
  </si>
  <si>
    <t>1903 ROSEWOOD LN</t>
  </si>
  <si>
    <t>HPD Narcotics Officer executing a search warrant with DEA. Officer shot suspect 1 time in abdomen. Suspect is expected to survive in injury.</t>
  </si>
  <si>
    <t>11960 AIRLINE DR</t>
  </si>
  <si>
    <t>Officers were dispatched to a suspicious persons call, arrived on scene, and located the individual. The suspect was grabbed by an officer and a struggle ensued. The suspect discharged his firearm striking the officer's vest along his left side. The wounded officer shot and killed the suspect.</t>
  </si>
  <si>
    <t>14700 REDBUD</t>
  </si>
  <si>
    <t>HPD officers conducted a traffic stop in Harris County that originated within the city limits of Houston. The suspect ignored officer commands, yelled obscenities, and grabbed a gun. In fear of his life, the officer shot and killed the suspect.</t>
  </si>
  <si>
    <t>2903 FANNIN</t>
  </si>
  <si>
    <t>Officer was asked for assistance by an unknown black male. As they were walking toward a vehicle another black male joined them and both males began stringing the officer with hands and feet. Officer drew and fired weapon. Both suspects fled after discharge. No one belived to be shot.</t>
  </si>
  <si>
    <t>10406 AMBLEWOOD DR</t>
  </si>
  <si>
    <t>Burglary suspect fled on foot. Officer pursued suspect. The suspect reached toward waistband when officer caught the suspect. Officer discharged forearm striking the suspect in the leg</t>
  </si>
  <si>
    <t>3103 Dacca Drive</t>
  </si>
  <si>
    <t>Robbery suspect hid in trash can. Officer searched area and as he lifted the lid to the trash can, the suspect jumped up from within the can. Officer discharged his weapon - did not strike suspect. Suspect was then arrested.</t>
  </si>
  <si>
    <t>6406 BELARBOR ST</t>
  </si>
  <si>
    <t>Suspect fled from the officer. Suspect was attempting to jump a fence when the officer caught up to him. The suspect turned with a weapon in his hand pointed toward the officer. THe officer discharged his weapon striking and killing the suspect.</t>
  </si>
  <si>
    <t>6211 COLLINGSWORTH</t>
  </si>
  <si>
    <t>Metal Pole</t>
  </si>
  <si>
    <t>Person was a suspect to a home invasion call. Officer found him weilding a iron pole and swinging at the officers. Stun guns were deployed but did not affect the suspect. A bean bag shot gun was going to be deployed at which time the suspect began moving toward the officers with the metal pipe. Officer discharged his firearm striking the suspect.</t>
  </si>
  <si>
    <t>11050 SOUTHWEST FWY OB</t>
  </si>
  <si>
    <t>Officers responded to loud noise complaint and were advised that occupants of a vehicle were shooting at persons. The suspected vehicle was driving at the officers. The officers attempted to move to safety but the vehicle swerved toward the officer. The officer discharged his weapon at the vehicle. Unknown if anyone was injured.</t>
  </si>
  <si>
    <t>2219 Stevens</t>
  </si>
  <si>
    <t>Officers responded to a family violence call. When officers entered the residence the suspect ran to the front of the house spun around in a shooting position pointing something black at the officers. One officer discharged his weapon striking the suspect in the chest. The suspect was transported to Ben Taub.</t>
  </si>
  <si>
    <t>9638 PLAINFIELD</t>
  </si>
  <si>
    <t>The officer gained initial control of the robbery suspect and was bale to place one cuff on him prior to the suspect breaking free. the officer followed the suspect, maintaining a safe distance, as the suspect would walk and then stop to threaten t he officer. The gap between the officer and the suspect continued to diminish until the officer felt that the suspect was intent on injuring him or that the suspect wanted the officer to shoot him. The officer discharged his weapon striking the complainant in the chest - killing him.</t>
  </si>
  <si>
    <t>7300 ARDMORE ST</t>
  </si>
  <si>
    <t>Officer responded to a BMV in progress and observed 2 suspects behind the complainant's vehicle with tires removed. The officer gave verbal commands to suspects who ignored and got into their vehicle drove toward officer. Fearing for his life, officer discharged his weapon. 1 suspect arrested, 1 fled the scene.</t>
  </si>
  <si>
    <t>An off-duty HPD office was at his home sleeping when 3 suspects forced entry into his apartment. One of the suspects was holding gun which turned out to be a BB gun. Not knowing that information, the officer feared for his life and fired three times at the suspect holding the gun. The suspect was pronounced DOA.</t>
  </si>
  <si>
    <t>BB Gun</t>
  </si>
  <si>
    <t>914 DALLAS ST</t>
  </si>
  <si>
    <t>Lumber</t>
  </si>
  <si>
    <t>On-duty officer was informed that the suspect had stolen an item. The officer followed the suspect into the street and identified himself. Suspect walked away, picked up a piece of lumber and swinging it at officer in close range. Fearing for his life, the officer discharged his firearm and shot him in the arm.</t>
  </si>
  <si>
    <t>700 W GULF BANK RD</t>
  </si>
  <si>
    <t>Off Duty HPD officer observed a robbery in progress when the officer intervened, the suspect revealed he had a pistol and pulled it on the officer. The HPD officer pulled his own weapon and discharged it striking the suspect in the chest and the left leg. Suspect was able to flee the scene but was later found dead.</t>
  </si>
  <si>
    <t>6568 T.C.JESTER BLVD.</t>
  </si>
  <si>
    <t>On duty HPD officer responding to hold-up alarm encountered three suspects exiting the business. One of the fleeing suspect pointed a weapon at the officer. The officer discharged his weapon at the suspect but missed. All three suspects were apprehended and the stolen money and property were recovered. One suspect received minor injuries from a K9.</t>
  </si>
  <si>
    <t>3900 PORTSMOUTH</t>
  </si>
  <si>
    <t>The HPD officer was off-duty and his girlfriend were walking on the street when three suspects approached them. The suspects displayed a handgun (BB) and demanded the property of the complainants. The officer drew his weapon firing and striking two of the suspects. Two suspects injured, all three apprehended.</t>
  </si>
  <si>
    <t>855 GREENS RD</t>
  </si>
  <si>
    <t>Police shot and killed a suspected armed robber during a pursuit that ended in a neighborhood near Greenspoint Mall in north Houston. After crashing, the suspect fired upon police, fled on foot, and again raised his firearm at the officer who shot and killed the suspect.</t>
  </si>
  <si>
    <t>9220 NATHANIEL</t>
  </si>
  <si>
    <t>Officers located a stolen vehilce, pursued it until it crashed. The driver fled on foot and firing a shot at another officer, who fired his weapon not striking the suspect. Suspect was apprehended with the aid a K-9 unit who after being kicked retaliated against the suspect.</t>
  </si>
  <si>
    <t>5700 W LITTLE YORK RD</t>
  </si>
  <si>
    <t>Off-duty officer working an extra-job confronted a suspicious suspect looking in the windows of closed businesses. When the officer challenged the suspect, he ran around a dark corner and made a fertive motion. Officer believed he was in danger discharged his weapon killing the suspect.</t>
  </si>
  <si>
    <t>08125 MILLS</t>
  </si>
  <si>
    <t>Two patrol officers responded to a domestic distubance call at an apartment complex. Upon arrival, officers asked complainant questions regarding the distubance, before she could answer, suspect opened the door and charging at officers with a knife. Officer discharged two time at suspect, suspect expected to suvive.</t>
  </si>
  <si>
    <t>10516 KATY FWY OB</t>
  </si>
  <si>
    <t>Two officers working a uniformed extra job responded to an on-viewed assault. Upon arriving at the vehicle where the assault occurred, one officer saw a pistol between he legs of the suspect who drove off and fired a single shot. The officer returned fired and shortly afterwards the suspect was apprehended.</t>
  </si>
  <si>
    <t>12606 WESTPARK DR</t>
  </si>
  <si>
    <t>The officer pulled into a parking lot and observed an unknown BM exiting the store carrying a box with store clerk in pursuit. The officer commanded the suspect to stop. The suspect was able to get into his vehicle and attempted to run over the officer. The officer pulled his weapon and discharged twice at the suspect's vehicle. The suspect fled the scene. It unclear if the suspect was injured.</t>
  </si>
  <si>
    <t>3528 N BRAESWOOD BLVD</t>
  </si>
  <si>
    <t>The suspect made forced entry into the complainants residence in an attempt to take several articles. The responding officer was charged by the suspect causing the officer to discharge his firearm one time, missing the suspect. The suspect was arrested and charged.</t>
  </si>
  <si>
    <t>7001 HILLCROFT</t>
  </si>
  <si>
    <t>An officer responded to an Assist the Officer call. The suspect was inside with the complainant and refused to exit the apartment. As an officer approached the back window it exploded outward putting the officer in fear of his life and fired into the apartment. There were no injuries and suspect sent to a psychological center.</t>
  </si>
  <si>
    <t>6800 MISTY MORNING TRACE</t>
  </si>
  <si>
    <t>An off duty robbery officer shot at a car burglar at 0400 in Ft. Bend County. Multiple suspects were apprehended by Fort Bend County Sheriff's Deputies. There were no injuries.</t>
  </si>
  <si>
    <t>14001 FONDREN RD</t>
  </si>
  <si>
    <t>The suspect was observed driving a reportedly stolen vehicle during the course of apprehension, the suspect refused verbal commands and attempted to extricate the officer's duty weapon. In response the officer discharged his weapon at the suspect striking him on the left side.</t>
  </si>
  <si>
    <t>10225 SCOTT</t>
  </si>
  <si>
    <t>Suspect ignored officer's commands to drop the knife. Suspect attempted to stab a female and an officer in fear of the complainant's life shot and killed the suspect.</t>
  </si>
  <si>
    <t>6060 GULFTON</t>
  </si>
  <si>
    <t>Glass Shard</t>
  </si>
  <si>
    <t>Suspect dives outside of a house through a window and refuses to comply with officer's commands. The suspect charges the officer with a glass shard in hand. The officer in fear for his life shoots the suspect twice. The suspect is hospitalized but expected to survive.</t>
  </si>
  <si>
    <t>2600 HADLEY ST</t>
  </si>
  <si>
    <t>HPD officers patrolling 10 District observed two suspects walking in the street where a sidewalk was provided. When the officers attempted to stop the suspects they fled capture by running in different directions. One suspect produced a weapon and was shot by the officer.</t>
  </si>
  <si>
    <t>00000 OUTSIDE</t>
  </si>
  <si>
    <t>HPD SWAT officers were assisting HPD Narcotic Officers execute a search warrant. The suspect was shot and killed during the no-knock warrant entry after the suspect pointed a firearm at the officers.</t>
  </si>
  <si>
    <t>13600 EAST FWY OB</t>
  </si>
  <si>
    <t>Officers were investigating BMVs, one suspect attempted to evade arrest by jumping into the suspect's vehicle and at a high rate of speed left the road way crashing the stolen vehicle. The suspect fled on foot, pointing his weapon at pursing officers. Officers fired at and wounded the suspect. No HPD officers were injured.</t>
  </si>
  <si>
    <t>2000 ALLEN PKWY OB</t>
  </si>
  <si>
    <t>Officers conducted a traffic stop. The driver ignored officers commands to exit the vehicle, drove off, and fired upon officers running to their patrol cars. Suspect fired upon officers again while evading, exited car, fired again, and was ultimately killed by officers in fear of their lives.</t>
  </si>
  <si>
    <t>9290 WOODFAIR DR</t>
  </si>
  <si>
    <t>Responded to a disturbance where witnesses said the suspect had a weapon. The officers demanded the suspect remove his hands from his pockets, suspect produced a weapon, one officer fired multiple time striking and killing the suspect.</t>
  </si>
  <si>
    <t>13662 WESTHEIMER RD</t>
  </si>
  <si>
    <t>On duty HPD officers responded to a robbery. One susp. was arrested and handcuffed. Susp produced a weapon fired at HPD SGT. who returned fire; susp fled the building firing at a second officer who returned fire. Susp fled and was found later with gunshot wounds.</t>
  </si>
  <si>
    <t>660 MAXEY RD</t>
  </si>
  <si>
    <t>On duty officers responded to discharging firearms call for service. The suspect continued shooting his AK-47 at police cars and officers as they arrived. One officer returned fire. The suspect was taken into custody without further incident by SWAT officers.</t>
  </si>
  <si>
    <t>5725 FONDREN RD</t>
  </si>
  <si>
    <t>On duty officers responded to a call of Discharging Firearms. When the officers arrived the suspect began shooting at the responding officers. K-9 officer responding to assist the officer. The suspect tried to shoot the K-9 officer, who returned fire killing the suspect.</t>
  </si>
  <si>
    <t>8875 W BELLFORT ST</t>
  </si>
  <si>
    <t>Two HPD officers arrive at location and observed the suspect stabbing the victim. The officers ordered the suspect to cease the attack but the victim refused to comply and placed vehicle in reverse towards the victim. One officer fired and appeared to strike the suspect.</t>
  </si>
  <si>
    <t>16031 CLARKE SPRINGS DR</t>
  </si>
  <si>
    <t>An HPD officer was chasing a stolen vehicle, suspect evaded, and one of the suspects pointed a rifle at the officer. The officer, in fear of his life, shot and missed the suspect. Suspect arrested and charged.</t>
  </si>
  <si>
    <t>12710 BRANT ROCK DR</t>
  </si>
  <si>
    <t>While officers were attempting to serve a felony warrant, the suspect opened the door, produced a firearm, and pointed it in their direction. An officer in fear of his life shot and wounded the suspect.</t>
  </si>
  <si>
    <t>7044 FM 1960 E, Humble, TX</t>
  </si>
  <si>
    <t>An off-duty HPD officer entered the bank in Humble, was forced to the floor, and disarmed at gunpoint. The officer's partner was outside, observed the robbers exit, demanded their surrender, and killed one suspect after a shotgun was aimed at the officer.</t>
  </si>
  <si>
    <t>05887 WESTHEIMER RD B</t>
  </si>
  <si>
    <t>Two armed suspects entered and attempted to rob a jewelry store. One of the suspects pointed a pistol at an HPD officer working an extra job. The officer shot and wounded the suspect. The second suspect fired at the officer, missed, and fled the scene.</t>
  </si>
  <si>
    <t>4700 ALLEN ST</t>
  </si>
  <si>
    <t>Off duty officers working an extra job encountered suspicious males at the parking lot. Officers attempted to stop the vehicle and investigate, but the driver pointed a pistol at one of the officers and attempted to run them over. Officers fired and missed the suspects.</t>
  </si>
  <si>
    <t>4700 WENDA</t>
  </si>
  <si>
    <t>During a traffic stop, a HPD officer confronted a suspect that fled on foot, jumped a fence, and brandished a handgun. One of the officers feared for his life and his partner's life, discharging his weapon. No injuries were reported at the time of this incident and the passenger was arrested for P.O.M.</t>
  </si>
  <si>
    <t>7411 BANYAN ST</t>
  </si>
  <si>
    <t>While ringing the doorbell, the patrol officer hears a loud blast from inside. SWAT was notified, attempted a rescue, and received gunfire from the suspect who fled out the back door. Upon exiting the suspect pointed a firearm at SWAT officers who shot the suspect.</t>
  </si>
  <si>
    <t>JACINTO CITY TEXAS</t>
  </si>
  <si>
    <t>Suspect shot two Jacinto City Officers who questioned him regarding a previous incident. One Officer was wounded in the chest and the other in the arm. Several officers and SWAT responded, suspect shot at officers again, SWAT returned fire and hit suspect in the leg.</t>
  </si>
  <si>
    <t>6725 SHERWOOD DR</t>
  </si>
  <si>
    <t>While executing a search warrant, the suspect ran into a back room, reached into his waistband, and ignored verbal commands given by the officers. An officer feared the suspect was reaching for a weapon and shot the suspect. A pellet gun was found near suspect.</t>
  </si>
  <si>
    <t>600 SADDLE ROCK DR</t>
  </si>
  <si>
    <t>While attempting to conduct a traffic stop, the suspect fired upon a pair of officers and striking one in both arms. The other officer returned fire killing the suspect.</t>
  </si>
  <si>
    <t>5800 W AIRPORT BLVD</t>
  </si>
  <si>
    <t>Suspect discharged a firearm multiple times at HPD officers and citizens. HPD officers discharge their firearms at the suspect and wounded him.</t>
  </si>
  <si>
    <t>4911 DUMFRIES DR</t>
  </si>
  <si>
    <t>Scissors</t>
  </si>
  <si>
    <t>Suspect charged at officer with scissors in his hand. Officer fearing for his life, discharged weapon at suspect multiple times. Suspect was struck with multiple rounds and collapsed to the ground and died.</t>
  </si>
  <si>
    <t>1500 WASHINGTON AVE</t>
  </si>
  <si>
    <t>While conducting a felony stop the suspect accelerated his vehicle toward the passenger side of the patrol car. Officers fearing for the passenger side officer's life discharged their firearm, missing the suspect. No injuries; suspect arrested.</t>
  </si>
  <si>
    <t>15707 EASTEX FWY SER W</t>
  </si>
  <si>
    <t>Officers attempted to detain a suspect who resisted and reached in his vehicle near the backseat. Officer shot and injured the suspect. A handgun was found in rear seat of vehicle during crime scene processing.</t>
  </si>
  <si>
    <t>2900 S GESSNER DR</t>
  </si>
  <si>
    <t>Officers saw the suspect holding the child in his arm, continually putting a knife to the throat of the child. Suspect fled into the bathroom with the child. Officer fearing for the safety of the child, discharged his firearm killing the suspect.</t>
  </si>
  <si>
    <t>11800 TAYLORCREST</t>
  </si>
  <si>
    <t>HPD Officer initiated a traffic stop. The suspects fled in a vehicle which snagged on a concrete barrier. Officers approached, but driver gunned the vehicle and drove at officers who opened fire. No injuries occurred. Both were arrested.</t>
  </si>
  <si>
    <t>614 W GREENS RD</t>
  </si>
  <si>
    <t>Suspect took complainant's vehicle without consent. Suspect attempted to strike at least two officers with the van while fleeing. The HPD officers in fear of their life/lives of fellow officers, fired and struck the suspect in the leg.</t>
  </si>
  <si>
    <t>10919 SAGETRAIL DR</t>
  </si>
  <si>
    <t>Off duty officer at home noticed a suspect attempt to break into his parked car. Officer retrieved his firearm, ordered the suspect to halt, suspect charged the officer who fearing for his life fired upon the suspect who escaped. Injuries unknown.</t>
  </si>
  <si>
    <t>2200 BASTROP ST</t>
  </si>
  <si>
    <t>On duty police units arrived to scene when a suspect previously displayed a weapon. Suspect refused verbal commands, reaches for his weapon, and put officers in fear of their life. Suspect was shot twice and is expected to survive.</t>
  </si>
  <si>
    <t>1018 S GESSNER DR</t>
  </si>
  <si>
    <t>Three armed unknown suspects walked into an electronics store, attempted to rob it, and were fired upon by an off-duty officer working an extra job.</t>
  </si>
  <si>
    <t>1500 W BAY AREA BLVD</t>
  </si>
  <si>
    <t>Off-duty HPD officer working an extra job observed a suspect break into a Chevy truck. Suspect disobey officer's commands, made combative movement for his waistband, appeared to pull a item from his jacket, and the officer fired fearing for his life. Suspect fled.</t>
  </si>
  <si>
    <t>1500 Ruthven</t>
  </si>
  <si>
    <t>The suspect refused to get out of the car as order by the officers. Instead the suspect drove at the officer hitting him with the vehicle. The officer attempted to get out of the vehicles path but the suspect drove at the officer again. During this exchange the officer was able to shoot at the vehicle multiple times.</t>
  </si>
  <si>
    <t>10900 Gulf Freeway</t>
  </si>
  <si>
    <t>Two armed suspects attempted to rob a store where the officer was shopping. The officer confronted the robbery suspects and an exchange of gunfire occurred. The suspects fled the scene.</t>
  </si>
  <si>
    <t>4827 Brisbane</t>
  </si>
  <si>
    <t>The suspect fired at the officer as the officer was arriving at an assault in progress call. The suspect then fled ina vehicle. The vehicle was pursued and at the conclusion of the pursuit, the suspect got out of the vehicle with a shotgun and pointed it at the officers causing them to shoot at the suspect.</t>
  </si>
  <si>
    <t>6910 Old North Belt Dr.</t>
  </si>
  <si>
    <t>Officer was notified that an armed suspect was threatening to kill himself. When the officer pulled into the parking lot where the suspect was reported to be, the suspect shot at the officer. THe officer returned fire but missed. the suspect then ran from the scene but was chased and arrested by the officer.</t>
  </si>
  <si>
    <t>7313 Northline</t>
  </si>
  <si>
    <t>The officer was chasing a robbery suspect when the suspect slowed to a walk and was reaching into his pocket as he was turning to ward the officer. The officer believed the suspect was reaching for a weapon so he fired at the suspect but did not hit him.</t>
  </si>
  <si>
    <t>12810 Ashford Pine Dr.</t>
  </si>
  <si>
    <t>The suspect pointed a shotgun at officers who had responded to a suspicious person call. The officers fired at the suspect but missed at which time the suspect went into his home. SWAT was called and as they were going to gain entry into the home they were fired upon causing them to return fire.</t>
  </si>
  <si>
    <t>3300 Sampson</t>
  </si>
  <si>
    <t>The suspect of a suspicious person call confronted the officer with his hand behind him as if he had a weapon. The suspect then moved towards the officer causing the officer to have to discharge his weapon at the suspect.</t>
  </si>
  <si>
    <t>5800 South Gessner</t>
  </si>
  <si>
    <t>A burglary suspect was being chased by officers when he went into a back yard to hide. The officer attempted to open the gate but it would not open so he peered through the gate and saw the suspect reaching for his waistband. The officer shot at the suspect but did not hit him. The suspect then fled the scene.</t>
  </si>
  <si>
    <t>4309 Polk</t>
  </si>
  <si>
    <t>Pen</t>
  </si>
  <si>
    <t>The officers arrived at the scene of a disturbance call and were informed that the suspect was being violent and threatened to kill the other residents at the location. The officers confronted the suspect at which time the suspect was moving towards one of the officers with an object in his hand and he was making slashing movements. The other officer fearing that he was armed with a knife fired his weapon at the suspect.</t>
  </si>
  <si>
    <t>2002 Dowling</t>
  </si>
  <si>
    <t>Officers were in the process of detaining the occupants of a vehicle who were reported to have just robbed a convenience store. The passenger of the vehicle got out of the car and appeared to be getting on the ground but instead charged at one of teh officers. The officer fired at the suspect but missed. The suspect fled from the scene.</t>
  </si>
  <si>
    <t>2100 Cambridge St</t>
  </si>
  <si>
    <t>The officer located a murder suspect walking down the street. The officer approached the suspect who then stopped and turned toward the officer while raising a weapon towards the officer causing the officer to shoot the suspect.</t>
  </si>
  <si>
    <t>8826 Beechnut</t>
  </si>
  <si>
    <t>Officers responded to an armed suspicious person call. The suspect was located and as the officers were giving verbal commands to the suspect, the suspect reached to the small of his back and pointed an object at the officers. The officers fired at the suspect striking him one time.</t>
  </si>
  <si>
    <t>4527 Lomitas</t>
  </si>
  <si>
    <t>Suspects who were involved in a disturbance got into a vehicle to flee the location. The vehicle was being driven at the officer who fired his weapon at the vehicle fearing that the driver was trying to hit him with the car.</t>
  </si>
  <si>
    <t>1500 Nagle</t>
  </si>
  <si>
    <t>Officers arrived at a scene to find a large group of people involved in a disturbance. As the officers tried to get control of the crowd, a suspect armed with a knife confronted the officers. The armed suspect refused to comply with the verbal commands of the officers forcing them to shoot him.</t>
  </si>
  <si>
    <t>6000 Black Maple</t>
  </si>
  <si>
    <t>A burglary suspect was fleeing on foot when he turned and fired a weapon at the officer who was chasing him. The officer returned fire and shot the suspect in the leg.</t>
  </si>
  <si>
    <t>4700 Gloryland</t>
  </si>
  <si>
    <t>Shots were heard outside a church during a funeral in which an officer was attending. The officer went outside and was told that the shooter had gotten into a vehicle. the officer saw the vehicle as it was leaving and began to run after it. The officer saw the back passenger window down and then heard another gunshot. The officer belived that he was being shot at and returned fire. The vehicle then sped away from the location.</t>
  </si>
  <si>
    <t>11727 W. Sam Houston Pkwy</t>
  </si>
  <si>
    <t>Officer responded to a call in which the suspcet had called his wife and threatened to go to her job and kill her. Upon arriving, the officer found the suspect and saw that he was hiding his hand behind his back. THe suspecty then made a sudden movement with his hand causing the officer to shoot the suspect.</t>
  </si>
  <si>
    <t>3100 Old Spanish Trail</t>
  </si>
  <si>
    <t>Officer observed a suspicious male walking between cars in business parking lot. The officer stopped the suspect to talk to him at which time the suspect ran from the officer and jumped into a waiting vehicle. The driver drove at the officer causing the officer to fire his weapon at the driver fearing that he was going to be run over.</t>
  </si>
  <si>
    <t>1600 N Wayside</t>
  </si>
  <si>
    <t>The officer was driving when a vehicle pulled up beside him. An occupant in the vehicle pointed a weapon at the officer causing the officer to shoot at the suspect vehicle.</t>
  </si>
  <si>
    <t>1000 McGowan</t>
  </si>
  <si>
    <t>The officers were conducting a felony traffic stop after a pursuit ended by the suspect wrecking his vehicle. The suspect got out of the car but then reached back into the vehicle to get something. The suspect then made an erratic movement causing the officers to believe he had retrieved a weapon from the car and was going to shoot at them. An officer fired his weapon at the suspect but did not hit him.</t>
  </si>
  <si>
    <t>7200 Bissonnet Street</t>
  </si>
  <si>
    <t>Officers attempted to contain a group of males fitting the description of those involved in an assault in progress. One of the males was ignoring verbal commands. He was reaching into his waistband area as he was turning towards the officers. One of the reponding officers belived that he was reaching for a weapon so the officer shot the suspect.</t>
  </si>
  <si>
    <t>6000 Hollister</t>
  </si>
  <si>
    <t>Officers responded to a scene in which multiple persons were reported to be shot. Upon arrival the suspect fired at the responding officers. The officers exchanged gunfire with the suspect who then forced a citizen from their vehicle and fled. As the officers pursued the suspect, the suspect continued to fire at the officers. The suspect eventually wrecked the vehicle and when the officers approached to apprehend him, they found the suspect unresponsive.</t>
  </si>
  <si>
    <t>10001 Westpark</t>
  </si>
  <si>
    <t>The officer saw the suspect point a weapon at another person. The offier then chased the suspect on foot and twice during the pursuit the suspect turned to face the officer while reachinf for his weapon causing the officer to shoot at the suspect.</t>
  </si>
  <si>
    <t>15800 Blueridge Rd</t>
  </si>
  <si>
    <t>Officer was attempting to gain control of an armed suspect when the suspect pointed his weapon at a passing vehicle. The officer believed that the suspect was going to shoot the occupants of the vehicle so he was forced to shoot the suspect.</t>
  </si>
  <si>
    <t>2610 Beatty</t>
  </si>
  <si>
    <t>Two suspects in a vehicle were observed firing a weapon as they approached the officers patrol car. It was believed that the suspects were shooting at the officer so he exited the vehicle. The suspects continued to drive toward him while firing a weapon so the officer returned fire.</t>
  </si>
  <si>
    <t>2019 Dewalt St</t>
  </si>
  <si>
    <t>Officers were conducting a surveillance assignment when the suspect approached the vehicle they were in and confronted them. The suspect keyed the vehicle with a box cutter and then attacked one of the officers with the box cutter causing the officers to shoot the suspect.</t>
  </si>
  <si>
    <t>11200 Fondren Rd</t>
  </si>
  <si>
    <t>Suspect was holding a person at knife point when the officers arrived at the scene. The suspect then attempted to stab the person but the person was able to grab the suspects hand. The officers shot the suspect thereby keeping th person from sustaining any more injuries.</t>
  </si>
  <si>
    <t>1467 Main</t>
  </si>
  <si>
    <t>The officer was attempting to gain control of a suspect when the suspect lunged at the officer yelling to shoot him causing the officer to discharged one time.</t>
  </si>
  <si>
    <t>9200 N. Wayside</t>
  </si>
  <si>
    <t>Officers recived a call in which the suspect had just shot two persons. The officers found the suspect and were attempting to apprehend him when the suspect produced a weapon and pointed it at the officers. In response, the officers shot the suspect.</t>
  </si>
  <si>
    <t>17300 Tomball Parway Service Rd</t>
  </si>
  <si>
    <t>Disturbance suspect was located walking on the suspect. The suspect was ordered to stop. The suspect stopped and then turned toward the officers with a weapon in his hands. The officers told the suspect to drop the weapon but he pointed it at the officers so the officers shot the suspect.</t>
  </si>
  <si>
    <t>10550 Gulf Freway</t>
  </si>
  <si>
    <t>Officers observed a suspicious person run into a business. The officers stopped to in vestigate and when they entered the business they saw an armed suspect behimd the counter. The officers fired at the suspect when the suspect turned his weapon towards them.</t>
  </si>
  <si>
    <t>5335 Gulf Freeway</t>
  </si>
  <si>
    <t>An armed suspect approached three undercover officers and attempted to rob them. The officers were able to produce their weapons and shoot the suspect.</t>
  </si>
  <si>
    <t>9755 Court Glen</t>
  </si>
  <si>
    <t>Felony suspect ran from officers who were attempting to arrest him. Officer chased suspect to an apartment where the officer attempted to arrest him. The suspect pushed the officer against the wall and then reached toward his waitband area. the officer shot the suspect fearing that thet suspect was reaching for a weapon.</t>
  </si>
  <si>
    <t>5400 Wilmington</t>
  </si>
  <si>
    <t>Officers stopped an individual who they observed to be violating municipal ordinances. The suspect ran from the officers and during the pursuit he made gestures which made the pursing officer believe that the suspect was armed and attempting to draw a weapon. This action caused the officer to fire at the suspect.</t>
  </si>
  <si>
    <t>Officer heard the alarm sounding from his vehicle. He went outside to check on the vehicle. He observed the suspect fleeing from his vehicle. THe officer attempted to block his path when he noticed that the suspect was carrying an object that he believed to be a weapon. The officer fired at the suspect but did not hit him. the suspect was able to jump a fence and flee from the location.</t>
  </si>
  <si>
    <t>10531 Gulf Freeway</t>
  </si>
  <si>
    <t>Officers approached BMV suspect's vehicle and gave commands for the occupants to show their hands. Instead the driver attempted to flee in the vehicle striking one officer. The suspect then drove at the second officer striking him as well. Both officers discharged their weapons at this time and shot the suspect.</t>
  </si>
  <si>
    <t>5003 Ridgecreek Dr</t>
  </si>
  <si>
    <t>Officer arrived on scene to find a burglary in prgress. As he tried to control the suspects, one of them walked to a vehicle and appeared to get soemthing out of it. The suspect then made a move toward the officer. The officer believed the suspect to be armed so he shot at him.</t>
  </si>
  <si>
    <t>8301 Allwood St</t>
  </si>
  <si>
    <t>Narcotics unit was executing a search warrant at a residence and when they gained entry a suspect was found inside with a shotgun. The suspect raised the shotgun toward the officers causing an officer to shoot the suspect.</t>
  </si>
  <si>
    <t>3820 Sherwood Ln</t>
  </si>
  <si>
    <t>The officer was attempting to arrest a suspect who was caught trying to steal a car. The suspect fought the officer and tried to get the officers weapon. The officer fired one time at the suspect but did not hit him.</t>
  </si>
  <si>
    <t>13106 Abalone Way</t>
  </si>
  <si>
    <t>Suspect was involved in a physical altercation with the officer following a vehicle pursuit. The suspect physically assaulted the officer and made attempts to get the officers weapon out of its holster before the officer was able to push the suspect away from him. This allowed the officer to draw his weapon and shoot the suspect.</t>
  </si>
  <si>
    <t>7024 Lawndale</t>
  </si>
  <si>
    <t>The suspect was involved in a physical altercation with the officer. The male suspect then went to his vehicle and retrieved a weapon which he discharged twice. The suspect and his companion ran to their vehicle and as they were driving off the suspect pointed the weapon at the officer causing the officer to fire at the suspect's vehicle.</t>
  </si>
  <si>
    <t>9810 Gulf Freeway</t>
  </si>
  <si>
    <t>THe officer was attempting to control a disturbance when a suspect armed with a knife approached the officer. The suspect refused to stop causing the officer to have to shoot him.</t>
  </si>
  <si>
    <t>17595 Tomball Parkway</t>
  </si>
  <si>
    <t>Officer returned to his vehicle to find that a suspect had forced his trunk open and was going through its contents. The officer identified himself at which time the suspect jumped into a nearby vehicle and drove at the officer causing the officer to shoot and injury the suspect.</t>
  </si>
  <si>
    <t>9300 Tidwell</t>
  </si>
  <si>
    <t>Officer saw a suspect vehicle ram into another vehicle. The officer then approached the suspect who was now out of the vehicle and attempted to gain control of him but a physical altercation occurred. The suspect over powered the officer causing the officer to shoot him.</t>
  </si>
  <si>
    <t>4506 Sherwood</t>
  </si>
  <si>
    <t>The officer was conducting surveillance when he saw an armed suspect approaching his vehicle. The suspect then got into the passengers seat of the officers car with his weapon pointing at the officer. The officer was forced to shoot the suspect.</t>
  </si>
  <si>
    <t>3322 Yellowstone</t>
  </si>
  <si>
    <t>Officer was notified of a burglary of a motor vehicle in progress. When the officer went to investigate he found the suspects to be leaving the location. The suspects then stopped their car and shot at the officer. The officer returned fire but does not believe to have shot any of the suspects.</t>
  </si>
  <si>
    <t>500 Rusk St</t>
  </si>
  <si>
    <t>The officers were advised of an armed suspect being in the area. The officers found the suspect and saw that he had a weapon. The suspect was advancing towards the officers forcing the officers to shoot him.</t>
  </si>
  <si>
    <t>3000 Oklahoma</t>
  </si>
  <si>
    <t>The officer stopped a vehicle for a traffic violation. When the vehicle stopped one of the passengers jumped out with a shotgun and pointed it at the officer. The officer took cover and watched as the other occupants ran from teh vehicle. The armed suspect refused to drop the weapon causing the officer to have to shoot the suspect.</t>
  </si>
  <si>
    <t>9700 Braeburn Glen</t>
  </si>
  <si>
    <t>The officer was handcuffing one suspect when he found a pistol on him. A second suspect then drove his vehicle into the officers patrol car. The suspect then exited the vehicle and ran at the officer with his hand behind his back. The officer believed the suspect to be armed so he was forced to shoot the suspect.</t>
  </si>
  <si>
    <t>10200 Forum Park</t>
  </si>
  <si>
    <t>The officer confronted a suspect who had just stabbed another person. The suspect fought with the officer and attempted to take the officers taser from its holster - thinking that the taser was the officer's gun. The officer managed to get her weapon out and shoot at the suspect.</t>
  </si>
  <si>
    <t>The suspect was attempting to gain entry into the residence when the officer was forced to shoot him.</t>
  </si>
  <si>
    <t>7221 Weyburn St</t>
  </si>
  <si>
    <t>A narcotics unit was executing a serach warrant when they were attacked by a pit-bull at the location. The officer shot the animal causing injury to the suspect when shotgun pellets ricoched of the ground.</t>
  </si>
  <si>
    <t>600 Mercury</t>
  </si>
  <si>
    <t>A uniformed off duty officer was driving on the freeway when someone shot at him. The officer saw the suspect's vehicle and followed it down a dead-end street. The suspect made a u-turn at which time the officer stopped and got out of his vehicle in an attempt to stop the driver. As the suspect vehicle approached the officer, a passenger in the car started shooting at him again causing the officer to return fire. The vehicle then fled the scene.</t>
  </si>
  <si>
    <t>1600 Dunaway St</t>
  </si>
  <si>
    <t>Officer pursued a vehicle that was being driven by a suspect who was involved in a shooting in progress call. The suspect lost control of the vehicle and hit a tree at which time the suspect got out of the vehicle with a rifle in his hands. The suspect pointed the weapon at the officer causing the officer to shoot at the suspect.</t>
  </si>
  <si>
    <t>17435 Imperial Valley</t>
  </si>
  <si>
    <t>Officers attempted to stop a vehicle that was reported to have been involved in a robbery but the suspect refused to stop. A pursuit ensued until the suspect wrecked his vehicle at which time he ran from the officers on foot. The suspect pointed a weapon at the pursing officer causing the officer to shoot at the suspect.</t>
  </si>
  <si>
    <t>4401 W. 18TH ST</t>
  </si>
  <si>
    <t>Officer was directing traffic when he heard screms from a nearby gas station. The officer went to see what the commotion was and saw the suspect stabbing a person. The suspect refused to stop stabbing the individual forcing the officer to shoot him.</t>
  </si>
  <si>
    <t>4537 Bricker</t>
  </si>
  <si>
    <t>Officer was chasing a home invasion suspect on foot when the suspect fired a weapon at the officer forcing the officer to return fire.</t>
  </si>
  <si>
    <t>5114 Georgia</t>
  </si>
  <si>
    <t>Armed suspect confronted and fired his weapon at officers responding to a shooting in progress call. Officers were forced to shoot the suspect when the suspect raised and pointed his weapon at them.</t>
  </si>
  <si>
    <t>8100 Schneider</t>
  </si>
  <si>
    <t>Officers pursued a vehicle that they had just seen ramming a patrol car. During the pursuit the vehicle stopped and began to back up toward the officers. The officers exited the patrol as the suspect vehicle was driving towrd them and fired on the vehicle.</t>
  </si>
  <si>
    <t>The officer was in his residence when the suspects forced their way into his home. The officer fired at and shot the suspects.</t>
  </si>
  <si>
    <t>8800 Curry</t>
  </si>
  <si>
    <t>The officer arrived at the scene of a suspicious person call and saw a group of males fitting the description given. The males walked away from the approaching officer and before turning the street corner, one of the males fired a wepoan at the officer strinking the patrol car. The officer attempted to follow the shooter and the shooter once gain fired at the officer. The officer returned fire before the suspect ran from the scene.</t>
  </si>
  <si>
    <t>A suspect that was being arrested became violent and struck the officer in the face. The suspect then charged at the officer forcing the officer to shoot at the suspect.</t>
  </si>
  <si>
    <t>5351 W. Alabama</t>
  </si>
  <si>
    <t>The officer was attempting to gain control of a group of persons involved in a disturbance when one of the persons drew a weapon and fired into the air. The officer ordered the person to drop the weapon but he turned toward the officer instead causing the officer to shoot at the suspect.</t>
  </si>
  <si>
    <t>800 Northwest Mall</t>
  </si>
  <si>
    <t>Suspect was discharging a firearm from his vehicle. When he saw the officer approaching his vehicle, he attempted to flee but wrecked into a parked car. The officer then saw the suspect exit the vehicle with gun causing him to shoot the suspect.</t>
  </si>
  <si>
    <t>2121 Main</t>
  </si>
  <si>
    <t>S</t>
  </si>
  <si>
    <t>Officer recieved a report of an armed person at the bus station. When the officer confronted him, the suspect drew a firearm and began firing at the officer. The suspect exchanged gunfire with officers at multiple locations. During the exchnages, both officers and the suspect sustained gunshot wounds. The ordeal ended when the suspect shot himself.</t>
  </si>
  <si>
    <t>An unknown suspect was trying to enter the residence forcing the officer to shoot at the suspect.</t>
  </si>
  <si>
    <t>1 Goodson</t>
  </si>
  <si>
    <t>The officer pursued a vehicle that was occupied by suspects of a disturbance. The vehicle was wrecked at which time the driver got out of the car and started reaching into his pocket causing the officer to shoot him.</t>
  </si>
  <si>
    <t>6767 Bennington</t>
  </si>
  <si>
    <t>The officer was attempting to gain control of two suspects that were seated in a car. He then saw that one of the suspects was sitting on a pistol. As the officer began to back away from the car he saw the suspect make a move toward the pistol forcing the officer to shot him.</t>
  </si>
  <si>
    <t>207 Buckboard</t>
  </si>
  <si>
    <t>The officers were executing a narcotics search warrant when the suspects fired at and shot one one of the officers.</t>
  </si>
  <si>
    <t>1900 W. Gray</t>
  </si>
  <si>
    <t>An off duty officer on viewed a disturbance. He was trying to break up the parties involved when he heard someone say that they had a gun. The officer looked and saw a male reaching toward his waistband area so the officer shot him. A person with that individual made a threatening move so the officer discharged and shot him as well.</t>
  </si>
  <si>
    <t>13824 Rosetta</t>
  </si>
  <si>
    <t>Officer was approached to assist with a disturbance. The officer confronted the suspect who was armed with a knife. The suspect refused to drop the knife forcing the officer to have to shoot him.</t>
  </si>
  <si>
    <t>3403 Mangum</t>
  </si>
  <si>
    <t>The officer saw two masked suspects armed with weapons enter a store so he pulled into the parking lot of the location and set up in a position of cover. Teh officer engaged the suspects as they existed the store in an attempt to detain them. One of the suspects pointed his weapon at the officer causing the officer to shoot at the suspect.</t>
  </si>
  <si>
    <t>3800 Jensen</t>
  </si>
  <si>
    <t>Officers stopped the suspect for a violation of a municipal ordinance. The suspect then attempted to get something from his pocket at which time the officers engaged in a physical confrontation with the suspect. The suspect was able to break free and pulled a weapon from his pocket and pointed it at the officer causing the officer to shoot the suspect.</t>
  </si>
  <si>
    <t>9802 Forum Park</t>
  </si>
  <si>
    <t>The officer located a pair of armde robbery suspects sitting in a vehicle. The suspects fled the vehicle when the officer attempted to contain them. The officer saw that one of the suspects had a pistol and as the suspect ran, she turned and pointed the weapon at the officer causing the officer to shoot the suspect.</t>
  </si>
  <si>
    <t>5100 Westheimer Rd</t>
  </si>
  <si>
    <t>Officers were attempting to contain a pair of suspects who were in a vehicle. THe officers saw a firearm being discharged from the vehicle and as they approached the vehicle, the suspect pointed the weapon outside the vehicle at them. The officer were attempting to get the suspects to exit the vehicle when one of the suspects made a move as if to attempt ot shoot at the officers causing the officers to shoot at the suspect.</t>
  </si>
  <si>
    <t>4202 Fidelity, Jacinto City</t>
  </si>
  <si>
    <t>An armed domestic violence suspect ran from the scene when the officers arrived. The suspect shot at the officers multiple times as they attempted to contain him within a confined area. The suspect raised his weapon to fire on the officers again when he shot multiple times.</t>
  </si>
  <si>
    <t>7526 Rhobell</t>
  </si>
  <si>
    <t>Officer pursed a robbery suspect into the backyard of an abandoned house. The officer was attempting to apprehend the suspect when the suspect reached toward his waistband casuing the officer to believe that the suspect was reaching for a weapon.</t>
  </si>
  <si>
    <t>14300 Minetta Street</t>
  </si>
  <si>
    <t>The officer confronted an armed suspect. The suspect made a threatening move casuing the officer to shoot at at the suspect.</t>
  </si>
  <si>
    <t>4800 Laura Koppe</t>
  </si>
  <si>
    <t>The officers were chasing a suspect when the suspect turned at fired a weapon at them. One of the officers was then able to catch the suspect and was engaged in a physical altercation with him in an attempt to disarm the suspect. The suspect was attempting to get into a position to shoot the officer causing the other officer to shoot the suspect before the suspect could fire his weapon.</t>
  </si>
  <si>
    <t>181 West Dyna</t>
  </si>
  <si>
    <t>Officers pulled over a vehicle and were told that the occupants of another vehicle had threatened them with a weapon. The officers located the suspect vehicle and saw that the occupants were in the process of burglarizing a building. The officers attempted to apprehend the suspects at which point the suspect in the vehicle attempted to flee the scene by driving at the officers casuing the officers to shoot at him. The officers then attempted to contain the remaing suspects when one of the suspects made a move as if to reach for a weapon causing the officers to shoot at him.</t>
  </si>
  <si>
    <t>16206 Alden Ridge</t>
  </si>
  <si>
    <t>Officer was chasing a suspect on foot when he saw the suspect reaching for something in his waistband. The suspect jumped a fence and as the officer was jumping the fence in pursuit the suspect turned toward the officer while raising his arm making the officer beleive that he was going to shoot at him.</t>
  </si>
  <si>
    <t>4000 Southwest Freeway</t>
  </si>
  <si>
    <t>The officer saw a speeding vehicle and conducted a traffic stop. The officer belived the suspect to be intoxicated so he had him get out of the vehicle. The suspect then resisted when the officer attempted to handcuff him. THe suspect tried to push the officer into the moving lanes of traffic and over the guard rail of the freeway. The suspect then began to walk toward his vehicle while reaching into his waitband area causing the officer to believe that he was reaching for a weapon so teh officer shot at the suspect.</t>
  </si>
  <si>
    <t>The officer was notified that his vehicle was being burglarized so he went out to investigate. He saw the suspect walking from his vehicle and belived him to be armed since he kept a weapon inside the vehicle. The suspect was walking towrd another person making the officer belive that the suspect meant to do harm to taht person so he fired at the suspect.</t>
  </si>
  <si>
    <t>908 Thompson</t>
  </si>
  <si>
    <t>The officer arrived at the scene of a shooting call. Witnesses at the scene pointed out a suspect and that suspect refused to stop when the officer attempted to detain him. The suspect was hiding his hands and after turning a corner he turned towards the officer causing the officer to shoot at the suspect.</t>
  </si>
  <si>
    <t>14561 Northwest Freeway</t>
  </si>
  <si>
    <t>Officer observed masked robbery suspects enter the bank where he was working. The officer saw that the suspects were armed and discharged his weapon. The suspects then fled on foot.</t>
  </si>
  <si>
    <t>1300 W. Donovan St</t>
  </si>
  <si>
    <t>An aggravated assault suspect attempted to flee the scene of the offense by driving his vehicle at the officer causing the officer to shot at the suspect.</t>
  </si>
  <si>
    <t>The officer on-viewed a disturbance in which the suspect was pulling a female from a vehicle. The officer confronted the suspect at which time the suspect pointed a weapon at the officer causing the officer to shoot the suspect.</t>
  </si>
  <si>
    <t>550 F.M. 1959</t>
  </si>
  <si>
    <t>The officers were looking for a possible burglary suspect when an armed male walked out of a building. The suspect did not drop his weapon when ordered to do so causing the officers to shoot at the suspect.</t>
  </si>
  <si>
    <t>8221 Gulf Freeway</t>
  </si>
  <si>
    <t>Toy Gun</t>
  </si>
  <si>
    <t>A suspicious person suspect was located. He was found to be armed and refused to drop his weapon after being confronted by the officer forcing the officer to shoot at the suspect.</t>
  </si>
  <si>
    <t>600 Greenspoint</t>
  </si>
  <si>
    <t>The officer saw an unknown male break into a vehicle. The officer confronted the suspect and saw that the suspect had a black object in his hand. The suspect refused to drop the object and instead began to raise the object as if to point it at the officer causing the officer to discharge his firearm.</t>
  </si>
  <si>
    <t>The officer saw the suspect breaking into a vehicle. The suspect then fled on foot when he was confronted by the officer. The officer chased the suspect and during the pursuit, the suspect reached into his waitband has he turned to face the officer causing the officer to shoot the suspect.</t>
  </si>
  <si>
    <t>2900 W. Sam Houston Pkwy</t>
  </si>
  <si>
    <t>An undercover operation was being conducted when the armed suspect entered the hotel room where the officers were operating. The suspect pointed his weapon at the officer causing the officers to return fire.</t>
  </si>
  <si>
    <t>12109 Westheimer</t>
  </si>
  <si>
    <t>Suspect fought the officer who pulled him over on traffic. The suspect then ran to his vehicle where he grabbed a pistol and pointed it at the officer causing the officer to have to shoot him.</t>
  </si>
  <si>
    <t>Arlington Texas</t>
  </si>
  <si>
    <t>Officer was visiting Arlington Texas when the suspect confronted him and threatened him with a firearm causing the officer to shoot him.</t>
  </si>
  <si>
    <t>3400 Woodchase</t>
  </si>
  <si>
    <t>The suspect was armed with a knife. He refused to drop the knife when told to do so, instead the suspect appeared to be ready to attack the officer. The officer discharged his weapon at this point.</t>
  </si>
  <si>
    <t>The officer was attempting to arrest the suspect when the suspect pulled away from the officer. The officer pulled out his weapon as the suspect was moving toward him. The officer and the suspect were involved in a struggle when the officers weapon accidentally discharged.</t>
  </si>
  <si>
    <t>1200 Oak Meadows</t>
  </si>
  <si>
    <t>Officers were set up on a location where a robbery was to occur. THe suspects arrived at the scene and when confronted the armed suspect pointed his weapon at the officers and moved toward them causing the officers to shoot him.</t>
  </si>
  <si>
    <t>7325 Bellerive Dr</t>
  </si>
  <si>
    <t>The officers on viewed a robbery in progress. As the suspect was fleeing from the robbery scene he pointed a weapon at the officer. The officer fired his weapon fearing that the suspect was going to shoot him.</t>
  </si>
  <si>
    <t>24734 Loop 494</t>
  </si>
  <si>
    <t>The suspect was involved in a series of robberies. The officer located the suspect vehicle and a vehicle pursuit began. The suspect was shooting at the officers as he was being pursued and when he finally stopped he took a position of cover behind his vehicle. The suspect was still armed and confronted the officers causing them to shoot at the suspect.</t>
  </si>
  <si>
    <t>5200 Pederson</t>
  </si>
  <si>
    <t>The suspect was pulled over on traffic after driving erratically. The suspect was being beligerent and refused to get out of the vehicle. As the officer attempted to force the suspect from the vehicle, the suspect reached toward his waistband area. The officer belived the suspect was reaching for a weapon so he fired at the suspect.</t>
  </si>
  <si>
    <t>Officer saw the suspects committing a burglary. He was attempting to arrest them when one of the suspects shot the officer.</t>
  </si>
  <si>
    <t>6900 Martin Luther King Blvd</t>
  </si>
  <si>
    <t>Officers were passing location when they saw a robbery in progress. The officers were about to get out of the vehicle when the person being robbed attempted to run. The suspect shot the individual and then attempted to leave the loaction but was confronted by the officer. The suspect pointed his weapon at the officer causing the officer to shoot at him.</t>
  </si>
  <si>
    <t>11400 North Frwy</t>
  </si>
  <si>
    <t>The officers were attempting to disperse a crowd when the suspect retrieved a weapon from his vehicle and confronted another person by pointing the weapon at him. The suspect refused verbal commands to drop the weapon forcing the officers to shoot him before he caused injury to the other individual.</t>
  </si>
  <si>
    <t>6710 Lectcher</t>
  </si>
  <si>
    <t>Narcotics officers forced entry into a residence during the execution of a serach warrant. Upon entry, the suspect was found armed with a shotgun. The suspect pointed the weapon at the officer and an exchange of gunfire occurred.</t>
  </si>
  <si>
    <t>1117 King Street</t>
  </si>
  <si>
    <t>The officers confronted the armed burglary suspect, each time the suspect pointed his weapon at the officers forcing them to shoot the suspect.</t>
  </si>
  <si>
    <t>44 Farrell St</t>
  </si>
  <si>
    <t>The officers were executing a narcotics warrant and upon entry the lead officer was shot by the suspect forcing another officer to retun fire. The officers bullet proof vest kept the officer from suffering a major injury.</t>
  </si>
  <si>
    <t>2001 Ojeman Rd.</t>
  </si>
  <si>
    <t>The officer located an armed robbery suspect. The suspect saw the officer and acted as if he was preparing to shoot at the officer forcing the officer to shoot at him.</t>
  </si>
  <si>
    <t>8900 Imogene</t>
  </si>
  <si>
    <t>Hairbrush</t>
  </si>
  <si>
    <t>The suspect was advancing on the officer with an object in his hands. The suspect was holding the object as if it were a weapon and he refused all commands to drop the object forcing the officer to shoot him.</t>
  </si>
  <si>
    <t>12964 Market Street</t>
  </si>
  <si>
    <t>The officer arrived at the scene of a disturbance only to be fired upon by the suspect. The officer retuned fire but did not strike the suspect. The suspect was later found to have died from a self-inflicted gunshot wound.</t>
  </si>
  <si>
    <t>7300 Airport Blvd</t>
  </si>
  <si>
    <t>The officer was attempting to arrest a suspect who he had caught stealing property. The suspect attempted to get away from the officer by driving his vehicle at the officer forcing the officer to shoot at him.</t>
  </si>
  <si>
    <t>8100 Sandspoint Dr.</t>
  </si>
  <si>
    <t>The officer was attempting to arrest an armed suspect when he saw that the suspect had a weapon in his hand. The suspect was in the act of pointing the weapon at the officer when the officer was forced to shoot him.</t>
  </si>
  <si>
    <t>17200 Imperial Valley</t>
  </si>
  <si>
    <t>The officer was attempting to detain a suspect when the suspect reached into his pocket and pulled out a firearm. The officer saw and this and reached for the suspects weapon at the same time that the suspect reached for the officers. A struggle ensued as the suspect continued to disarm and or shoot the officer causing the officer to shoot at the suspect.</t>
  </si>
  <si>
    <t>6200 Bellaire Blvd</t>
  </si>
  <si>
    <t>The officer was struggling with the suspect when the suspect reached for a weapon. The officer told the suspect to stop but the suspect continued to go for the weapon forcing the officer to shoot him.</t>
  </si>
  <si>
    <t>8435 Winkler</t>
  </si>
  <si>
    <t>Officer arrived to see suspect in act of stabbing a person. The suspect refused to stop the act forcing the officer to shoot the suspect.</t>
  </si>
  <si>
    <t>6418 MLK Blvd</t>
  </si>
  <si>
    <t>The officer was attempting to arrest an armed suspect when the suspect raised his weapon toward the officer forcing the officer to shoot at the suspect.</t>
  </si>
  <si>
    <t>9803 Club Creek</t>
  </si>
  <si>
    <t>The officer located a suspect who had just committed an armed robbery. The officer was attempting to detain the suspect when the suspect reached toward his waist forcing the officer to shoot the suspect. The suspect fell to the ground but continued to reach for his weapon forcing the officer to once agin shoot at the suspect.</t>
  </si>
  <si>
    <t>300 Jensen</t>
  </si>
  <si>
    <t>The officer was attempting to arrest a suspect who had threatened to shoot someone when the suspect reached into his waistband and pulled out a weapon forcing the officer to shoot at the suspect.</t>
  </si>
  <si>
    <t>8038 Turquoise Lane</t>
  </si>
  <si>
    <t>Officers were attempting to resolve a situation involving an armed barricaded suspect when the suspect came out of the residence and pointed a weapon at the officers forcing the officer to shoot the suspect.</t>
  </si>
  <si>
    <t>4211 Sherwood Lane</t>
  </si>
  <si>
    <t>The officer was conducting a narcotics search warrant when the suspect confronted the officer and attempted to take his weapon away from him. The officer attempted to break free from the suspect but the suspect continued to try to get the officers weapon forcing the officer to shoot the suspect.</t>
  </si>
  <si>
    <t>763 Marjorie</t>
  </si>
  <si>
    <t>The officer stopped a vehicle on traffic that was reported stolen. The driver of the vehicle refused to comply with the officer and instead reached toward his waistband area making the officer believe that he was reaching for a weapon. This action caused the officer to shoot the suspect.</t>
  </si>
  <si>
    <t>5400 Doliver</t>
  </si>
  <si>
    <t>The officer was sitting in his vehicle when two armed suspects attempted to rob him but the officer was bale to draw his weapon and shoot the suspects.</t>
  </si>
  <si>
    <t>6807 Feather Creek Drive</t>
  </si>
  <si>
    <t>Two suspects ran from a residence where a murder investigation was being conducted. An officer who was positioned at the rear of the residence saw the suspects and noticed that one was armed with a weapon. The armed suspect refused to comply with the officer and instead raised the weapon forcing the officer to shoot at the suspect.</t>
  </si>
  <si>
    <t>9191 North loop East</t>
  </si>
  <si>
    <t>The officer engaged a pair of armed suspects who were attempting to rob a bank. The suspects refused to comply with the officer and instead an exchange of gunfire occurred.</t>
  </si>
  <si>
    <t>14909 North Freeway</t>
  </si>
  <si>
    <t>The officer was attempting to arrest a robbery suspect when the suspect resisted and a physical struggle occurred. The suspect managed to get free of the officer and got to his vehicle. The suspect then attempted to run over the officer forcing the officer to shoot at the suspect.</t>
  </si>
  <si>
    <t>3500 W. Little York</t>
  </si>
  <si>
    <t>The suspect fled the scene of a narcotics search warrant but was confronted by officers outside of the location. The suspect refused to comply with the officers and instead charged at the officer forcing the officer to shoot.</t>
  </si>
  <si>
    <t>1900 Southwest Freeway</t>
  </si>
  <si>
    <t>The officer was attempting to arrest a suspect who was the target of a robbery warrant. The suspect was sitting in a vehicle and refused to comply with the officer. The suspect then shouted something to the officer and made a gesture as if he were reaching for a weapon forcing the officer to shoot at the suspect.</t>
  </si>
  <si>
    <t>100 Goodson</t>
  </si>
  <si>
    <t>The officers were engaged in a traffic stop when the suspect stepped on the gas. The officer believed that the suspect was going to run over him so he shot at the suspect.</t>
  </si>
  <si>
    <t>2139 Lake Hills</t>
  </si>
  <si>
    <t>CED Device</t>
  </si>
  <si>
    <t>The officer was attempting to detain the suspect when the suspect resisted and fought with the officer. The suspect was able to strip the officer of his taser and was threating to use it forcing the officer to shoot the suspect.</t>
  </si>
  <si>
    <t>11222 S. Sam Houston Pkwy</t>
  </si>
  <si>
    <t>The officer was attempting to detain an armed robbery suspect when the suspect stood and produced a firearm causing the officer to shoot at the suspect.</t>
  </si>
  <si>
    <t>The officer heard the suspect attempting to open the door to his residence. The officer was able to get his weapon and as he was going to the door to investigate the door opened forcing the officer to shoot at the suspect.</t>
  </si>
  <si>
    <t>7100 Renwick</t>
  </si>
  <si>
    <t>Srewdriver</t>
  </si>
  <si>
    <t>A burgalry suspect was fighting a K9 officer so another officer stepped in to assist. The officer was then able to see that the suspect was holding a weapon but not before the suspect managed to stab the officer - the officers bullet proof vest kept the officer from being injured. The suspect was taken to the ground but continued to try to stab the officer forcing the officer to shoot the suspect.</t>
  </si>
  <si>
    <t>8301 Ley Rd</t>
  </si>
  <si>
    <t>The suspect drove his way through the barricade of a police substation where he began to ram various objects. The suspect then shot at the officers who were attempting to stop the suspect forcing several officers to return fire.</t>
  </si>
  <si>
    <t>The officer was driving her vehicle when she saw an armed suspect approaching her vehicle. She then saw the suspect raise the pistol toward her causing her to shoot at the suspect.</t>
  </si>
  <si>
    <t>6700 Hillcroft</t>
  </si>
  <si>
    <t>Officers were conducting a sting operation when the suspect attempted to rob the undercover officer. An exchange of gunfire occurred and both the officer and the suspect were shot. The suspect continued to shot at the officer who was attempting to detain him forcing another officer to shoot as well.</t>
  </si>
  <si>
    <t>2901 Walnut Bend</t>
  </si>
  <si>
    <t>The officer was chasing an armed robbery suspect when the suspect turned toward the officer forcing the officer to shoot at the suspect.</t>
  </si>
  <si>
    <t>8920 North Freeway</t>
  </si>
  <si>
    <t>The officer was attempting to detain a robbery suspect who was sitting in a vehicle. The officer was telling the suspect to get out of the vehicle but instead the suspect started to slowly drive toward the officer. The suspect then pointed a weapon at the officer forcing the officer to shoot at the suspect.</t>
  </si>
  <si>
    <t>11685 Alief Clodine</t>
  </si>
  <si>
    <t>The officers were preparing to enter a vehicle in which the suspect had locked himself in when the suspect reached to the floorboard and grabbed a weapon. The suspect then pointed the weapon at the officers forcing the officer to shoot the suspect.</t>
  </si>
  <si>
    <t>3700 Southlawn</t>
  </si>
  <si>
    <t>The officers were attempting to contain a suspect who was armed with a firearm. The suspect was repeatedly told to drop the firearm but instead the suspect charged at the officers while shooting at them forcing the officers to return fire.</t>
  </si>
  <si>
    <t>8710 Fondren</t>
  </si>
  <si>
    <t>The officer was attempting to detain a suspect who was armed with a knife and a machette. The suspect then charged at the officer with the weapons forcing the officer to shoot him.</t>
  </si>
  <si>
    <t>906 Greens Rd</t>
  </si>
  <si>
    <t>Officers were conducting an investigation when two suspects shot at them. The officers chased the suspects and as they were chasing them one of the suspects pointed his weapon at the officers causing the officer to shoot him.</t>
  </si>
  <si>
    <t>8700 Fondren</t>
  </si>
  <si>
    <t>The officer chased an armed robbery suspect and ordered him to drop his weapon but the suspect refused to drop it forcing the officer to shoot.</t>
  </si>
  <si>
    <t>7245 Hillcroft</t>
  </si>
  <si>
    <t>The officer located a suspect who had just attempted to run over an officer. When the officer approcahed the suspect the suspect was acting irritated and aggressive. The officer attempted to use his taser but the weapon was uneffective. The suspect then pulled out a knife and lunged at the officer casuing the officer to shoot at the suspect.</t>
  </si>
  <si>
    <t>15615 Eastex Fwy</t>
  </si>
  <si>
    <t>The officers were attempting to apprehend two suspects who were conducting a narcotics transaction inside a vehicle. The driver of the vehicle saw the officers and attempted to flee the scene by ramming the police vehicles and then by driving at the officers forcing the officer to shoot at the suspect.</t>
  </si>
  <si>
    <t>1326 Charnwood</t>
  </si>
  <si>
    <t>The officers were in pursuit of a murder suspect. At the end of the pursuit the suspect pointed a shotgun at the officers forcing them to shoot the suspect.</t>
  </si>
  <si>
    <t>9338 E. Avenue O</t>
  </si>
  <si>
    <t>The officers were serving a narcotics warrant when the lead officer was shot by the suspect forcing the other officers to shoot the suspect.</t>
  </si>
  <si>
    <t>800 Dennis</t>
  </si>
  <si>
    <t>The officer was approaching a vehicle in which he heard a woman screaming. As he approached, the suspect in the vehicle bagan to fire a weapon in the direction of the officer forcing the officer to return fire.</t>
  </si>
  <si>
    <t>6700 Airline</t>
  </si>
  <si>
    <t>The officers attempted to apprehend an armed robbery suspect when the suspect pulled out a shotgun and pointed it at the officers causing the officers to shoot at the suspect.</t>
  </si>
  <si>
    <t>8791 Hammerly</t>
  </si>
  <si>
    <t>The officers were setting up a perimeter outside the residence of an armed suspect when the suspect came out of the residence with a shotgun. The suspect pointed the shotgun at the officers causing them to shoot the suspect.</t>
  </si>
  <si>
    <t>1415 Gulf Bank</t>
  </si>
  <si>
    <t>The officer was notified of an armed suspect walking around the complex. The officer located the suspect and when the officer told the suspect to drop his weapon, the suspect raised it and pointed it at the officer causing the officer to shoot the suspect.</t>
  </si>
  <si>
    <t>6201 W. Bellfort</t>
  </si>
  <si>
    <t>The officer was checking the area for a suspect who was reported to have broken into a residence. The officer was checking around a corner when the suspect lunged at the officer causing the officer to shoot at the suspect.</t>
  </si>
  <si>
    <t>The officers confronted multiple armed suspects who were pointing a weapon at another individual. The suspects ran from the officers and while they were being chased one of the suspects fired at the officers casuing the officer to return fire.</t>
  </si>
  <si>
    <t>1162 W. Sam Houston Pkwy N.</t>
  </si>
  <si>
    <t>Bow and Arrow</t>
  </si>
  <si>
    <t>The suspect entered the place of business and shot 1 employee with a bow. The suspect was being detained by other employees but she managed to get into a room with her bow. The officers arrived and when they attempted to detain the suspect, the suspect pointed the bow at them forcing the officers to shoot.</t>
  </si>
  <si>
    <t>3215 Soway</t>
  </si>
  <si>
    <t>Officers were setting up outside the residence of an armed barricaded suspect. The suspect then opened the door and raised his weapon as if to fire on the officers forcing the officers to shoot the suspect.</t>
  </si>
  <si>
    <t>4605 W. Tidwell</t>
  </si>
  <si>
    <t>The officer was chasing the suspect on foot when he saw the suspect reaching into his waistband area and pull something out. The suspect then turned and faced the officer as if he were going to shoot him so the officer shot at the suspect.</t>
  </si>
  <si>
    <t>9797 Leawood Blvd</t>
  </si>
  <si>
    <t>The officer confronted an armed robbery suspect. The suspect turned and pointed a weapon at the officer forcing the officer to shoot.</t>
  </si>
  <si>
    <t>7500 Bellfort</t>
  </si>
  <si>
    <t>The officer responded to the sound of gunfire and saw the suspect shooting at passing vehicles. The officer saw the suspect ready to fire at more cars forcing him to shoot at the suspect.</t>
  </si>
  <si>
    <t>1500 Eldridge Parkway</t>
  </si>
  <si>
    <t>The officers were attempting to arrest a narcotics suspect when the suspect attempted to flee by driving over a police vehicle. An officer was trapped in the vehicle that the suspect was attempting to run over forcing the officer to shoot in an attempt to stop the suspect.</t>
  </si>
  <si>
    <t>2330 W. Little York</t>
  </si>
  <si>
    <t>The officer was set up on the perimiter of a house where an armed suspect had barricaded himself inside. The officer saw the suspect point a weapon at him and was forced to shoot at the suspect fearing that the suspect was going to shoot.</t>
  </si>
  <si>
    <t>6556 Peerless</t>
  </si>
  <si>
    <t>The officer responded to teh sound of gunfire and when he arrived he saw the suspect shooting at a vehicle. The officer told the suspect to drop the weapon but the suspect turned and pointed the weapon at the officer forcing the officer to shoot.</t>
  </si>
  <si>
    <t>5720 Rampart</t>
  </si>
  <si>
    <t>The officer was chasing the robbery suspect when the suspect pulled out a weapon and shot at the officer forcing the officer to return fire.</t>
  </si>
  <si>
    <t>3333 Old Spanish Trail</t>
  </si>
  <si>
    <t>The officers was attempting to detain a suspect when the suspect jumped into a vehicle pulled out a weapon and pointed it at the officer forcing the officer to shoot at the suspect before the vehicle sped off.</t>
  </si>
  <si>
    <t>5901 Selinsky</t>
  </si>
  <si>
    <t>The officers were getting out of their vehicle when the suspect pulled a weapon from his pocket and fired at the officers forcing one of the officers to return fire.</t>
  </si>
  <si>
    <t>5300 Hershe</t>
  </si>
  <si>
    <t>The officer heard a child screaming and when he found the child he saw that the suspect was holding the child and had a shotgun pointed at him. The officer was able to get the child free and as the child ran the suspect pointed the weapon at the child forcing the officer to shoot.</t>
  </si>
  <si>
    <t>The officer confronted a burglary of a residence suspect. The suspect had an object in his hand and appeared to point it at the officer causing the officer to shoot.</t>
  </si>
  <si>
    <t>9220 E. Ave K</t>
  </si>
  <si>
    <t>The officer was conducting a narcotics search warrant when the suspect was spotted. The suspect refused to comply with the officer and instead made a gesture as if to reach for a weapon forcing the officer to shoot.</t>
  </si>
  <si>
    <t>3307 Hastings</t>
  </si>
  <si>
    <t>Sword</t>
  </si>
  <si>
    <t>The suspect was threatening people with a sword. The officer arrived and found the suspect who was still armed. The officer attempted to get the suspect to drop the weapon but the suspect refused and continued to advance on the officer forcing the officer to shoot.</t>
  </si>
  <si>
    <t>5706 Richmond Ave.</t>
  </si>
  <si>
    <t>The officer was chasing a suspect who had fired a weapon into a crowd of people, During the chase the suspect turned and pointed the weapon at the officer forcing the officer to shoot.</t>
  </si>
  <si>
    <t>5400 Lockwood</t>
  </si>
  <si>
    <t>The officers had chased an armed suspect and when the cahse ended the suspect took a postion of cover in front of his vehicle. The suspect was told to drop the weapon and come out but instead the suspect prepared to fire on the officers forcing the officer to shoot.</t>
  </si>
  <si>
    <t>800 Dallas</t>
  </si>
  <si>
    <t>The officer was attempting to apprehend a suspect who he saw attempting to take a persons car. The suspect refused to comply with the officer but instead the suspect charged at the officer forcing the officer to shoot.</t>
  </si>
  <si>
    <t>8500 Broadway</t>
  </si>
  <si>
    <t>The officers were attempting to arrest the suspect but the suspect resisted. A physical altercation ensued all the while the suspect was attempting to reach for his waistband area as if reaching for a weapon. The officers were trying to get control of the suspect without allowing the suspect to get whatever he was reaching for but the suspect broke free causing the officer to have to shoot.</t>
  </si>
  <si>
    <t>8135 St. Louis</t>
  </si>
  <si>
    <t>The officers were setting up a perimeter on the residence of an armed suspect when the suspect broke out a window and pointed a weapon at the officers forcing the officer to shoot.</t>
  </si>
  <si>
    <t>200 West Loop South</t>
  </si>
  <si>
    <t>The suspect was stopped on traffic and when the officers were preparing to arrest him, the suspect fled in his vehicle. The officers were eventually able to get the suspect stopped but the suspect refused to get out of the vehicle. The suspect then opened the door but as he was getting out he reached in and grabbed an object that appeared to be a weapon forcing the officers to shoot.</t>
  </si>
  <si>
    <t>1200 W. Tidwell</t>
  </si>
  <si>
    <t>Screwdriver</t>
  </si>
  <si>
    <t>The officer confronted the suspect who was in the process of burglarizing a motor vehicle. The officer attempted to detain the suspect but the suspect lunged at the officer with a weapon in his hand forcing the officer to shoot.</t>
  </si>
  <si>
    <t>5800 Hillsboro</t>
  </si>
  <si>
    <t>The officer was chasing the suspect on foot when the suspect appeared to be reaching for a weapon. The officer told the suspect to stop and show his hands but instead the suspect moved as if getting in a position to shoot at the officer focing the officer to shoot.</t>
  </si>
  <si>
    <t>27100 Northwest Freeway</t>
  </si>
  <si>
    <t>The suspect was involved in a vehicle pursuit and when he was boxed in he attempted to flee by running over the officers forcing them to shoot the suspect.</t>
  </si>
  <si>
    <t>The officers were pursuing the suspect on foot when the suspect turned and shot one of the officers. Other officers continued to pursue the suspect and one agian the suspect turned and shot at them forcing them to return fire.</t>
  </si>
  <si>
    <t>10118 Cheeves</t>
  </si>
  <si>
    <t>The officers were executing a search warrant when they were attacked by a dog. The officer was forced to shoot the dog and in doing so the suspect suffered a wound from a ricoched pellet.</t>
  </si>
  <si>
    <t>2929 Renshaw St.</t>
  </si>
  <si>
    <t>The officers located a stolen vehicle and when they tried to detain the suspect the suspect attempted to flee from the officers by ramming into the patrol cars and then by trying to run over the officers forcing them to shoot the suspect.</t>
  </si>
  <si>
    <t>5400 Malmedy</t>
  </si>
  <si>
    <t>The officer was attempting to arrest an evading arrest suspect who he found hiding behind a fence. The suspect failed to comply with the officers orders and made a gesture as if he was pointing a weapon at the officer forcing the officer to shoot at the suspect.</t>
  </si>
  <si>
    <t>2000 Santa Rosa</t>
  </si>
  <si>
    <t>The armed suspect fled from police in a vehicle and on foot. During the pursuit the suspect engaged the officer by pointing his weapon at the officers forcing the officers to shoot at the suspect.</t>
  </si>
  <si>
    <t>8700 Broadway</t>
  </si>
  <si>
    <t>Flashlight</t>
  </si>
  <si>
    <t>The officer was notified of a rape and when he confronted the suspect, the suspect fought the officer before running off. The officer chased the suspect and the two engaged in another physical confrontation. It was when the suspect picked up an object and was going to hit the officer with it that the officer was forced to shoot.</t>
  </si>
  <si>
    <t>6000 T. C. Jester</t>
  </si>
  <si>
    <t>The suspect was stopped on traffic when he became very aggressive and attacked tehe officer. The officer attempted to use a taser on the suspect but the taser was ineffective. The suspect continued his aggression toward the officer after being tasered forcing the officer to shoot.</t>
  </si>
  <si>
    <t>10500 Wolbrook</t>
  </si>
  <si>
    <t>The suspect was posing as an officer and when he was going to be arrested he jumped into a vehicle and drove at the arresting officers striking one of them. The involved officer believed the suspect was going to hit other officers so he shot at the suspect.</t>
  </si>
  <si>
    <t>200 Stafford</t>
  </si>
  <si>
    <t>The suspect was engaged in a vehicle pursuit with the officers when she lost control of the vehicle and hit a fence. The officer saw this as an opportunity to get the suspect out of the vehicle but as he approached, the suspect drove at the officer forcing him to shoot.</t>
  </si>
  <si>
    <t>7373 N. Wayside</t>
  </si>
  <si>
    <t>The suspect led the officers on a vehicle pursuit which ended when the suspect pulled into the parking lot of an apartment complex. The suspect wes seen making movements in the vehicle but refused to get out of the car. When the suspect did open the door it appeared as though she had a weapon in her hand forcing the officer to shoot at the suspect.</t>
  </si>
  <si>
    <t>The officer saw the suspect trying to break into a vehicle and when teh officer confronted him, the suspect ran off. The officer chased the suspect as when he turned a corner the suspect jumped out of hiding and shot the officer. The officer was wearing his ballistic vest which absorbed the gunshot so he was able to return fire before the suspect ran off.</t>
  </si>
  <si>
    <t>4400 Mowery</t>
  </si>
  <si>
    <t>The officers responded to a disturbance with an armed suspect but were able to get the suspect to place his weapon on the ground. As an officer was moving to arrest the suspect, the suspect grabbed the weapon that was on the ground forcing the officers to shoot. The suspect continued to fire at the officers despite being down forcing other officers to engage the suspect.</t>
  </si>
  <si>
    <t>6600 Foster St</t>
  </si>
  <si>
    <t>Club</t>
  </si>
  <si>
    <t>The responding officers were being treatened by the suspect who was armed with a metal pipe. The officers attempted to use a taser weapon on the suspect but it had no effect. The suspect continued to advance toward the officers and then raised the pipe as if to preparing to strike the officers forcing them to shoot the suspect.</t>
  </si>
  <si>
    <t>5900 Golf Course Dr</t>
  </si>
  <si>
    <t>The officer located a suspect who had just committed an armed robbery but the suspect fought with the officer when he attempted to detain him. The suspect was then trying to get the officer's weapon as they were struggling with each other until the suspect managed to break free from the officer. The officer then saw the suspect recahing toward his waistband and because the suspect was reported to be armed, the officer was forced to shoot the suspect.</t>
  </si>
  <si>
    <t>8900 Bissonnet</t>
  </si>
  <si>
    <t>The officer was attempted to detain a narcotics suspect when the suspect accelerated his vehicle and drove at the officer forcing the officer to shoot.</t>
  </si>
  <si>
    <t>6500 Airline Dr.</t>
  </si>
  <si>
    <t>The officer was involved in a traffic accident and made initial contact with the suspect who was driving the other vehicle. The suspect then walked back to his car and as he entered the vehicle the officer saw him pull an object from his pocket. The suspect then drove off and as he was passing the officer the suspect pointed the object at the officer forcing the officer to shoot because it was believed that the object was a weapon.</t>
  </si>
  <si>
    <t>7200 Keller</t>
  </si>
  <si>
    <t>The officer was alerted to the position of an armed robbery suspect and when the officer confronted him the suspect refused to listen to the officer. Instead the suspect moved toward the officer and then made a gesture as if to reach for a weapon casuing the officer to shoot at the suspect.</t>
  </si>
  <si>
    <t>5600 Hoover</t>
  </si>
  <si>
    <t>The officer was chasing a burglary suspect when the suspect turned towrd the officer with an object in his hand. The officer belived the object to be a weapon forcing the officer to shoot.</t>
  </si>
  <si>
    <t>6700 Renwick</t>
  </si>
  <si>
    <t>The suspect was being detained by the officer when the suspect saw an opportunity to pull out a weapon. The officer was able to grab the suspect's hand before the suspect was able to shoot and a fight over the weapon ensued. Another officer went to assist and when he had an opening he fired his weapon at the suspect.</t>
  </si>
  <si>
    <t>2610 Hardy</t>
  </si>
  <si>
    <t>The officer was informed of a robbery in progress and when he confronted the suspect, the suspect turned and pointed a weapon at him forcing the officer to shoot.</t>
  </si>
  <si>
    <t>6200 West Bellfort</t>
  </si>
  <si>
    <t>The arned robbery suspect fled from the police on foot. The officer chased the suspect and managed to corner him. The suspect then ran toward the officer with a pistol in his hand forcing the officer to shoot.</t>
  </si>
  <si>
    <t>7920 Harrisburg</t>
  </si>
  <si>
    <t>The officers were conducting a narcotics operation which led them to the listed location. They were met by the suspect at the front door and after identifying themselves as police officers, the suspect assaulted one of the officers before pulling out a pistol and shooting at the officers forcing the officer to return fire.</t>
  </si>
  <si>
    <t>1200 Travis</t>
  </si>
  <si>
    <t>The suspect entered the police station armed with a knife. The suspect appeared to be stabbing herslf with the knife but was not stabbing hard enough to cause injury. She then told the officers - let's end this - and moved towrd the officers with the knife. One officer attempted to stop her by use of a taser but the taser had no effect forcing another officer to shoot the suspect.</t>
  </si>
  <si>
    <t>13200 Jones Road</t>
  </si>
  <si>
    <t>The officer was off duty when he was informed of a robbery in progress. The officer spotted the suspect at which time the suspect pointed a weapon at the officer forcing the officer to shoot at the suspect.</t>
  </si>
  <si>
    <t>15902 Galveston Rd</t>
  </si>
  <si>
    <t>Officers forced entry into an apartment to execute a narcotics arrest warrant. The officers were confronted by the suspect who was armed with a shotgun forcing the officers to shoot.</t>
  </si>
  <si>
    <t>5700 South Loop East</t>
  </si>
  <si>
    <t>The officers were attempting to arrest a burglary of a motor vehicle suspect when the suspect drove his vehicle at the officers forcing them to shoot at the suspect.</t>
  </si>
  <si>
    <t>200 Holmes Road</t>
  </si>
  <si>
    <t>The officer attempted to stop the suspect but the suspect fled from him. The suspect stopped his vehicle and got out but was found to be armed. The suspect shot at the officers before getting into another vehicle. As the suspect drove by officers who had set a perimter, he was shooting at them forcing one of the officers to return fire in an attempt to stop him.</t>
  </si>
  <si>
    <t>2800 Winbern</t>
  </si>
  <si>
    <t>The officer attempted to stop a suspect who was fleeing from the police but was struck by the vehicle in the process. The officer believed that the suspect was going to hit him again forcing him to shoot at the suspect.</t>
  </si>
  <si>
    <t>1100 Holland Ave.</t>
  </si>
  <si>
    <t>An armed robbery suspect exited the business and charged at the officer forcing the officer to shoot him.</t>
  </si>
  <si>
    <t>20205 Eastex Fwy</t>
  </si>
  <si>
    <t>The officers found the suspect breaking into an unmarked city vehicle. The officers identified themselves at which time the suspect jumped into a waiting vehicle and drove at the officers causing the officers to shoot at the suspect but not before both officers were struck by the suspect's vehicle.</t>
  </si>
  <si>
    <t>4600 Knoxville</t>
  </si>
  <si>
    <t>Taser</t>
  </si>
  <si>
    <t>The suspect was stopped on traffic and fought the officer as the officer was attempting to arrest him. A foot pursuit followed at which time the officer attempted to use his taser device but was unsucceful. The suspect once again struggled with the officer managing to turn the taser on the officer. The officer was tased multiple times and had his right thumb broken forcing him to shoot the suspect.</t>
  </si>
  <si>
    <t>5018 Curtain Street</t>
  </si>
  <si>
    <t>Officers resonded to a family disturbance and found the suspect to be armed with a hammer. The officers attempted to contain the situation by use of a soft impact weapon and a taser but neither had any effect on the suspect forcing the officer to shoot the suspect as he moved toward the officers with the hammer.</t>
  </si>
  <si>
    <t>10700 Rosehaven</t>
  </si>
  <si>
    <t>The officer located a vehicle that had been reported as stolen and as he was approaching the vehicle, the suspect sat up. The suspect refused to get out of the vehicle and instead was attempting to flee the scene and drove at the officer to do so forcing the officer to shoot.</t>
  </si>
  <si>
    <t>7402 Calhoun</t>
  </si>
  <si>
    <t>The officers forced entry to the residence when they heard a female screaming for the suspect not to stab her. Once inside, the suspect turned his attention to the officers and charged at them with a knife forcing the officers to shoot.</t>
  </si>
  <si>
    <t>8000 Cook Road</t>
  </si>
  <si>
    <t>The officer was conducting an undercover operation when a group of males attacked him. The officer was on the groung being beaten by the males when he was forced to shoot at them.</t>
  </si>
  <si>
    <t>4323 Osby</t>
  </si>
  <si>
    <t>The officer spotted the suspect who resembled the description of a home invasion suspect. As the officer approched in his vehicle, the suspect confronted the officer before running off. The officer chased the suspect and during the chase the suspect turned to attack the officer with knives in both hands forcing the officer to shoot.</t>
  </si>
  <si>
    <t>11430 East Freeway, Jacinto City, TX</t>
  </si>
  <si>
    <t>The armed suspect was barricaded in the business where he had just committed a murder. The officers arrived and were in position in front of the business when the suspect pointed his weapon at the officers forcing them to shoot.</t>
  </si>
  <si>
    <t>8515 Jensen</t>
  </si>
  <si>
    <t>The officer went into the business that was reported to have been robbed when the armed suspect jumped out from the restroom. The suspect and the officers exchanged gunfire at this point.</t>
  </si>
  <si>
    <t>3300 Tidwell</t>
  </si>
  <si>
    <t>The suspect was pulled over on traffic and when the officer was going to detain him, the suspect began to fight with the officer before running off. THe officer chased the suspect who managed to get back to his vehicle and drove at the officer forcing the officer to shoot at the suspect.</t>
  </si>
  <si>
    <t>5600 Holly View</t>
  </si>
  <si>
    <t>The officers forced entry into the residence to execute a narcotics search warrant. Once inside the suspect shot at the officers forcing the officers to return fire.</t>
  </si>
  <si>
    <t>4100 Maury</t>
  </si>
  <si>
    <t>The suspect was stopped by the officer for a traffic violation. The suspect was getting out of the vehicle and as the officer went to tell him to stay in the car, the suspect started shooting at the officer forcing the officer to return fire.</t>
  </si>
  <si>
    <t>9540 Kempwood</t>
  </si>
  <si>
    <t>The officer was searching the area where a armed suspect was seen running. The officer found the suspect hiding in a bush and when the suspect came out of the bush he was pointing a weapon at the officer. An exchange of gunfire occurred and both the officer and the suspect were shot.</t>
  </si>
  <si>
    <t>100 Avondale</t>
  </si>
  <si>
    <t>The officer was in the process of detaining a vice suspect when a second suspect came running up while shooting at the officer. The officer returned fire which caused the suspect to run away. The officer chased the suspect during which time there was another exchange of gunfire prior to the suspect being caught.</t>
  </si>
  <si>
    <t>2039 Santa Rosa</t>
  </si>
  <si>
    <t>The officer located a suspect who had just committed a robbery and started to chase him on foot. The officer lost sight of him and was retracing the path of the chase when he spotted a large trash can. He went to check the trash can but when he tried to lift the lid it was slammed shut by the suspect who was hiding inside. The suspect refused to get out of the trash can so the officer went to open the lid again, this time the lid opened and when it did the suspect made a gesture as if he were going to shoot the officer forcing the officer to shoot.</t>
  </si>
  <si>
    <t>4950 Burma</t>
  </si>
  <si>
    <t>Officers were conducting a search warrant in which they had to force entry into the residence. The lead officer was clearing the house when the suspect appeared and pointed a weapon at the officer forcing the officer to shoot.</t>
  </si>
  <si>
    <t>3914 Leeland</t>
  </si>
  <si>
    <t>The officer was informed of an aggravated robbery and went to look for the suspect. He found the suspect in a vehicle driving toward the parking lot exit. The officer attempted to get the suspect to stop but the suspect kept drivng at the officer. The suspect was then seen reaching for something - believed to be a firearm - in the seat next to him as he was driving at the officer forcing the officer to shoot.</t>
  </si>
  <si>
    <t>8800 Airport Blvd</t>
  </si>
  <si>
    <t>The officers responded to a call where the armed suspect had a hostage. The officers were able to get the the suspect to free the hostage but were unable to get the suspect to give up his weapons. The suspect then stepped out of his covered position and pointed his weapon at the officers forcing them to shoot.</t>
  </si>
  <si>
    <t>8700 Sandra</t>
  </si>
  <si>
    <t>The officer located the suspect and when he stopped to talk to him the suspect refused to move his hands away from his back. The officer could not see the suspects hands and he could not get out of his patrol car safely because the suspect was to close so he decided to pull his vehicle forward to create a safe distance. As he was pulling forward the suspect pulled out a firearm from behind his back. The officer took a covered poition and then the suspect pointed the firearm at the officer forcing the officer to shoot at the suspect.</t>
  </si>
  <si>
    <t>9715 Kirkville</t>
  </si>
  <si>
    <t>The officer responded to a disturbance with weapons and when he went to the front door the suspect refused to open it. The suspects wife then tried to open the door but the suspect pushed her away from the door and then pulled out a weapon and pointed it at the officer forcing the officer to shoot.</t>
  </si>
  <si>
    <t>2000 Baird</t>
  </si>
  <si>
    <t>Tool</t>
  </si>
  <si>
    <t>The officer arrived at the residence to find the burglary suspect removing a toolbox from the garage. The officer attempted to detain the suspect but the suspect grabbed a tool from the toolbox and moved toward the officer. The two engaged in a physical confrontation during which the officer was forced to shoot the suspect.</t>
  </si>
  <si>
    <t>2820 Hillcroft</t>
  </si>
  <si>
    <t>The armed suspect had just committed a bank robbery and ran into a nearby business. The officers located the suspect but when they attempted to detain her the suspect pointed a weapon at them forcing the officers to shoot.</t>
  </si>
  <si>
    <t>5500 Antoine</t>
  </si>
  <si>
    <t>The officer was directed to the location of an armed suspect and when the officer found the suspect he had the suspect get on the ground. The officer's attention was diverted at which time the suspect used the opportunity to draw a weapon and shoot at the officer forcing the officer to shoot back.</t>
  </si>
  <si>
    <t>11200 Fuqua Street</t>
  </si>
  <si>
    <t>The officer had a vehicle detained when the passenger in the car pulled out a firearm forcing the officer to shoot.</t>
  </si>
  <si>
    <t>2500 Woodland Park Dr</t>
  </si>
  <si>
    <t>The officer located the suspect who was armed with firearm. The officer told the suspect to put the weapon on the ground but instead, the suspect pointed the weapon at the officer forcing the officer to shoot.</t>
  </si>
  <si>
    <t>10615 Beechnut</t>
  </si>
  <si>
    <t>The officer was approaching an apartment that was reportedly being broken into when a suspect xame out of the apartment. The officer was able to get this suspect under control but before he could handcuff him, a second suspect came out and started to shoot at the officer. The officer took cover at which the first suspect pulled out a weapon and began shooting at the officer forcing the officer to return fire.</t>
  </si>
  <si>
    <t>12915 East Freeway</t>
  </si>
  <si>
    <t>The officer was set up outside a location that was being robbed when one of the suspects ran from the store. The officer tried to get the suspect to surrender but the suspect began to run and started shooting at the officer as he ran forcing the officer to return fire.</t>
  </si>
  <si>
    <t>1300 Dart Street</t>
  </si>
  <si>
    <t>Pipe</t>
  </si>
  <si>
    <t>The suspect was seen breaing into a container. THe officer approached the suspect to arrest him and when he did the suspect charged at him with a pipe forcing the officer to shoot him.</t>
  </si>
  <si>
    <t>4305 Haywood</t>
  </si>
  <si>
    <t>The suspect was involved in disturbance with a weapon and was hiding when the officers were searching the house for him. The officers came across a closed door and when they forced the door open, the suspect began shooting at them forcing the officers to return fire.</t>
  </si>
  <si>
    <t>4625 Laura Koppe</t>
  </si>
  <si>
    <t>The officer located the suspect who had been involved in an armed robbery. AS the officer was attempting to detain the suspect, the suspect reached to his waistband area forcing the officer to shoot.</t>
  </si>
  <si>
    <t>5700 Cherbourgh</t>
  </si>
  <si>
    <t>The officer was attempting to gain control of the suspect who was reported to have been involved in a disturbance with a weapon. The suspect was refusing verbal commnds to exit his vehicle when the suspect suddenly opened the door. The officer believed the suspect was exiting to engage the officers so he shot at the suspect.</t>
  </si>
  <si>
    <t>9501 Jensen</t>
  </si>
  <si>
    <t>The officer found a stolen vehicle and when he confronted the suspect who was near the vehicle, the suspect ran from the officer. The suspect then jumped into the stolen vehicle and was reaching to the floorboard area casuing the officer to beleive that the suspect was reaching for a weapon. This action caused the officer to shoot the suspect.</t>
  </si>
  <si>
    <t>210 Avondale</t>
  </si>
  <si>
    <t>Toy Pistol</t>
  </si>
  <si>
    <t>The officer was conducting a narcotics sting operation when the suspect approached the officer. The suspect then rasied his shirt and reached for a weapon forcing the officer to shoot.</t>
  </si>
  <si>
    <t>6867 Gulf Freeway</t>
  </si>
  <si>
    <t>The officers were attempting to arrest a suspect who was breaking into vehicles but the suspect was in his vehicle and was driving at the officers forcing the officers to have to shoot.</t>
  </si>
  <si>
    <t>2200 Binley</t>
  </si>
  <si>
    <t>The officers were called to a scene where the suspect was threatening to kill herself with a knife. As the officers approached her the complainant turned the knife on them forcing the officers to try to use the taser to stop the aggression. The taser failed to stop the suspect who continued to move toward the officer forcing the officer to shoot.</t>
  </si>
  <si>
    <t>4500 North Freeway</t>
  </si>
  <si>
    <t>The suspect was in his vehicle along with two persons whom he had abductde at gunpoint. When the officers located him, he refused to stop his vehicle and began to shoot at other vehicles that would not move out of his way. The suspect lost control of the vehicle and when it was stopped the suspect pointred his weapon at the officers forcing them to shoot him.</t>
  </si>
  <si>
    <t>605 Frisco</t>
  </si>
  <si>
    <t>The armed suspect was wanted for an aggravated assault but he fled when officers attempted to arrest him. The suspect was found in the back yard of a residence but when he was told to drop his weapon he shot at the officers forcing the officers to return fire.</t>
  </si>
  <si>
    <t>12221 Fleming</t>
  </si>
  <si>
    <t>The officer attempted to detain a suspect who was believed to have been involved in an aggravated robbery. When the officer approcahed the suspect, the suspect pulled out a weapon and attempted to shoot the officer focing the officer to shoot.</t>
  </si>
  <si>
    <t>4807 Heritage Plains Friendswood TX</t>
  </si>
  <si>
    <t>The officers were set up at a location where an aggravated assault suspect had barricaded himself in. The officers were able to get the suspect to leave the position but the suspet was armed. The officers were forced to shot at the suspect when the suspect took a shot at the officers.</t>
  </si>
  <si>
    <t>9305 Rosehaven</t>
  </si>
  <si>
    <t>The officers arrived at the scene of a disturbance to find the suspect beating on his girlfriend. As the officers approcahed to detain the suspect, the suspect pulled out a weapon and shot the person he was beating causing the officers to shoot at the suspect.</t>
  </si>
  <si>
    <t>2300 Mason</t>
  </si>
  <si>
    <t>The officer was operating a narcotics sting when the suspect decided to rob him. THe suspect discovered the officers identification and then began shooting at the officer causing the officer to return fire. The other officers who were involved in the operation responded and excahnged gunfire with the other suspects.</t>
  </si>
  <si>
    <t>6500 Dunlap</t>
  </si>
  <si>
    <t>The suspecy vehicle was pulled over on traffic after recieving a stolen hit on the license plate number. As the officers were attempting to detain the suspects the passenger in the vehicle gout out with a pistol in his hand and pointed it at a officer forcing the officer to shoot.</t>
  </si>
  <si>
    <t>1816 West Little York</t>
  </si>
  <si>
    <t>The suspect was parked in the driveway of an abandoned house so a call for a suspicious vehicle was called into the police. The officer arrived and approached the vehicel at which time the suspect was found to be sleeping. The officer woke the suspect who then refused to open the door. the suspect then pulled out a weapon and pointed it at the officer forcing the officer to shoot.</t>
  </si>
  <si>
    <t>3209 North Shepherd</t>
  </si>
  <si>
    <t>The officers stopped a vehicle in which the passenger was with an armed suspect and as the officers were getting into position to approach the suspect vehicle they could see the ocupants fighting. A pistol was then thrown out of the vehicle at which time the suspect got out and ran to the pistol while the passenger was attempting to keep the pistol away but the suspect was able to grab it forcing the officers to shoot.</t>
  </si>
  <si>
    <t>6800 Petrie</t>
  </si>
  <si>
    <t>The officer saw a group of robbery suspects fleeing from the location of the robbery. The suspects got into a vehicle and fled the scene with the officer following. The suspects turned into a dead end street which gave the officer a chance to box the suspects in but the suspects turned around and drove at the officer. The officer saw the front passenger with a weapon pointing at him so he shot at the vehicle prior to it ramming the officers vehicle to get away.</t>
  </si>
  <si>
    <t>5600 Sheraton Oaks</t>
  </si>
  <si>
    <t>The officer located a suspect who was reported to have tried to abduct a group of young girls. The officer pulled the suspect's vehicle over and was handcuffing the suspect when the suspect fought back. The suspect managed to get the officer on the ground and began hitting the officer with the handcuffs and then started choking the officer. The suspect then went for the officers firearm allowing the officer to manuver to a position that allowed him to get to his firearm and shoot the suspect.</t>
  </si>
  <si>
    <t>7400 South Hall St</t>
  </si>
  <si>
    <t>The officer saw what was believed to be a narcotics transaction taking place so he pulledhis patrol car in behind the suspects vehicle. The officer got out of the vehicle and as he was approaching the vehicle the suspect drove right at the officer forcing the officer to shoot.</t>
  </si>
  <si>
    <t>3302 Creston Dr</t>
  </si>
  <si>
    <t>The officer located a suspect who had robbed and sexually assaulted a person but when the officer attempted to arrest the suspect, the suspect attacked the officer. During the physical altercation the suspect punched and choked the officer and then attempted to get the officers pistol which forced the officer to shoot.</t>
  </si>
  <si>
    <t>3700 Mainer</t>
  </si>
  <si>
    <t>The officer pulled the suspect over and as he was approaching the vehicle, the suspect began shooting at him forcing the officer return fire. The exchange of gunfire occurred multiple times but was stopped when the suspect took his own life.</t>
  </si>
  <si>
    <t>2700 South Kirkwood</t>
  </si>
  <si>
    <t>The officer was attempting to detain a theft suspect when the suspect broke free from the officer and jumped into a vehicle. The suspect was fleeing from the scene and was driving right at a person forcing the officer to shoot at the suspect.</t>
  </si>
  <si>
    <t>644 Barringer Ln</t>
  </si>
  <si>
    <t>The officers were chasing the armed robbery suspect on foot when they managed to catch up to her. The suspect refused to drop her weapon and instead chose to point the weapon at the officers forcing them to shoot.</t>
  </si>
  <si>
    <t>12510 South Green</t>
  </si>
  <si>
    <t>The officer was conducting a narcotics operation when the suspect punched the officer. the two were then engaged in a physical confrontation until the suspect managed to knock the officer to the ground. The officer then saw the suspect act as if he was reaching for a weapon forcing the officer to shoot at the suspect.</t>
  </si>
  <si>
    <t>9421 Richmond</t>
  </si>
  <si>
    <t>The officers located the armed suspect who was waving his pistol in the air. The suspect refused to drop his weapon and instead pointed it at the officers forcing them to shoot.</t>
  </si>
  <si>
    <t>The officer saw the suspects breaking into a motor vehicle and attempted to detain them as they were getting into a vehicle to flee. The suspect saw the officer and pulled out a weapon forcing the officer to shoot. The van left the scene but was recovered a short distance away with evidence that shows that the suspect was injurde by the officers gunshots.</t>
  </si>
  <si>
    <t>The officer engaged the suspect who was climbing into the backyard of a residence. The suspect then acted as if he was reaching for a weapon forcing the officer to shoot.</t>
  </si>
  <si>
    <t>11300 Sandhurst Dr</t>
  </si>
  <si>
    <t>The officer stopped a vehicle on traffic and as he was getting out of his patrol car, the suspect ran from the vehicle. The officer saw that he was armed and then saw the suspect point the weapon at him forcing him to shoot.</t>
  </si>
  <si>
    <t>9305 Ronda Lane</t>
  </si>
  <si>
    <t>The officers responded to a home invasion and as they entered the front of the residence they saw that there were two armed suspects and one of the suspects shot at them. The suspects then attempted to flee by going out the back door but they were confronted by officers who were set up outside. The suspects were told to drop their weapons but chose to enagge the officers forcing the officers to shoot.</t>
  </si>
  <si>
    <t>10200 Forum Park West Dr</t>
  </si>
  <si>
    <t>The officers attempted to pull over a stolen vehicle but the driver refused to stop and led the police on a vehicle pursuit until crashing into a light pole. As the officers were approaching the stolen vehicle, the suspect produced a weapon. The officers were forced to fire at the the suspect when he refused to drop the weapon.</t>
  </si>
  <si>
    <t>10830 Bellaire</t>
  </si>
  <si>
    <t>The officer was in the location when the suspect came in pointed a weapon a group of persons and attempted to shoot them. The suspects gun jammed giving the officer the opportunity to shot teh suspect when the suspect made a second attempt to shoot at the group and then at the officer.</t>
  </si>
  <si>
    <t>11000 Westheimer</t>
  </si>
  <si>
    <t>The suspect led the officer on a brief vehicle chase when the officer attempted to stop him on traffic. Once stopped, the suspect refused to stay in the car and as he got out of the vehicle he reached under the seat and as he turned toward the officer the officer shot believing that the suspect had grabbed a weapon.</t>
  </si>
  <si>
    <t>4900 Saxon</t>
  </si>
  <si>
    <t>The officer located a vehicle that was being stripped of its tires by a group of males. When the officer pulled up most of the group ran off but the suspect jumped into a vehicle and drove at the officer managing to pin the officer against his patrol car. The suspect then backed up and appeared as if he was going to hit the officer agian so the officer shot at the suspect.</t>
  </si>
  <si>
    <t>10202 CLub Creek</t>
  </si>
  <si>
    <t>Stick - Said Gun</t>
  </si>
  <si>
    <t>The officer was engaged in a narcotics operation when the suspect told the officer he was armed and that he was going to kill him if he did not give him the money. The officer complied but when the suspect pointed the object at the officer again, he shot at the suspect fearing that the suspect was going to kill him.</t>
  </si>
  <si>
    <t>588 Parkfront</t>
  </si>
  <si>
    <t>The officers responded to the sound of breaking glass and saw the suspect attempting to flee in a vehicle. The first officer had run from a position that put him at the front of the car at which the suspect drove at the officer - hitting him with the vehicle as the officer was forced to shoot at the suspect. The second officer was running at the rear of the car when he saw the officer get hit forcing him to shoot at the suspect as well.</t>
  </si>
  <si>
    <t>4935 W. Orem</t>
  </si>
  <si>
    <t>The officers were called to the location becase of an armed person acting strange. When the officers arrived at the location the suspect drove off in a stolen car andled the police ona brief chase before being cornered in a garage. The suspect then attempted to get out of the garage by ramming the patrol car and then driving at the officer forcing the officer to shoot.</t>
  </si>
  <si>
    <t>8400 S. Gessner</t>
  </si>
  <si>
    <t>The officer heard nearby gunshots and went to investigate. When he got to the area he saw the suspeect running and shooting at a group of people who were running from him. The suspect then saw the officer and shot at him forcing the officer to return fire.</t>
  </si>
  <si>
    <t>3100 Rogerdale Rd</t>
  </si>
  <si>
    <t>The officer was informed of a robbery and gave chase to one of the suspects. The suspect was running from the officer when it appeared that he reached for something at his waistband and started turning toward the officer forcing the officer shoot at the suspect.</t>
  </si>
  <si>
    <t>12500 Westheimer</t>
  </si>
  <si>
    <t>The officer was inside a store when he saw a robbery taking place. He went out to engage the suspect who was running toward a vehicle. The suspect then turned toward the officer as he was reaching to his waitband forcing the officer to shoot.</t>
  </si>
  <si>
    <t>4619 West 34th St</t>
  </si>
  <si>
    <t>The officer pulled over a vehicle that was reported stolen and had the suspect lie on the ground intending to wait for backup before handling him. The suspect then got up from the ground and charged at the officer while reaching into his waitband forcing the officer to shoot.</t>
  </si>
  <si>
    <t>2100 Nina Lee</t>
  </si>
  <si>
    <t>The officer spotted a vehicle that was reported to have been stolen at gunpoint and also saw that the vehicle was being followed by another vehicle. The officer began to follow the vehicles at which time they split up so the officer went with the stolen vehicle and stopped it when back up units arrived. The officers were arresting the driver when the other vehicle reappeared and drove at the officers foricng the officer to shoot.</t>
  </si>
  <si>
    <t>9621 Radio St.</t>
  </si>
  <si>
    <t>The suspect was seen leaving an apartment that he had just broken into and was confronted by multiple employees who worked at the complex. The suspect then pulled out a weapon and shot at these persons because they were attempting to detain him until the police arrived. After that, the suspect engaged in multiple crimes as he attempted to get access to a vehicle to flee the scene - in some cases other persons were shot. The responding officer found the suspect as he was attempting to rob a person of their vehicle. The suspect then held the person at gunpoint forcing the officer to shoot.</t>
  </si>
  <si>
    <t>7710 Claiborne</t>
  </si>
  <si>
    <t>The officer saw a narcotics transaction take place and as he approcahed the persons involved the suspect ran off. The officer chased the suspect and at one point he saw that the suspect dropped a pistol as he was jumping over a fence. The officer chose to leave the pistol in place intending to return for it after apprehending the suspect but the suspect made his way back to the pistol. The suspect grabbed the pistol and was turning toward the officer forcing the officer to shoot.</t>
  </si>
  <si>
    <t>1915 Mangum</t>
  </si>
  <si>
    <t>The officers were made aware of a disturbance and as they approached the area they saw the suspet pointing a pistol at a group of people. The officers confronted the suspect at which time the suspect ran. The officers were chasing the suspect when the suspect fell to the ground and as he got up, he pointed his weapon at the officers forcing them to shoot.</t>
  </si>
  <si>
    <t>9700 Leawood Blvd</t>
  </si>
  <si>
    <t>The officer was leaving a call scene when he heard multiple gunshots from a nearby location he walked to the street to investigate and saw a truck pull in front of a car and stop. The suspect then got out of the car and began to shoot at the driver in the car forcing the officer to shoot at the suspect.</t>
  </si>
  <si>
    <t>10700 Fondren</t>
  </si>
  <si>
    <t>The officers were attempting to detain a suspicious person who was in violation of a trespass order when the suspect ran. One of the officers chased the suspect on foot and was behind him when the suspect pulled out a weapon from his pocket and pointed it at the officer forcing the officer to shoot.</t>
  </si>
  <si>
    <t>7900 Garland Dr</t>
  </si>
  <si>
    <t>The suspect was had solicited sex from an undercover officer and when the patrol unit pulled up to arrest him, the suspect drove off with the officer partially inside the vehicle forcing the arriving officer to shoot at the suspect before the undercover officer got dragged under the tires.</t>
  </si>
  <si>
    <t>3333 Telephone Road</t>
  </si>
  <si>
    <t>The suspect was stopped on traffic and as the officers approached the vehicle, he got out with a shotgun and pointed it at the officers forcing them to fire.</t>
  </si>
  <si>
    <t>Hwy 6 / Brazoria County Rd 824</t>
  </si>
  <si>
    <t>The officer was victim to a road rage incident when the driver of the suspect vehicle drove at the officer forcing the officer to shoot.</t>
  </si>
  <si>
    <t>COUNTA of ON DUTY</t>
  </si>
  <si>
    <t>Grand Total</t>
  </si>
  <si>
    <t>COUNTA of INC NO.</t>
  </si>
  <si>
    <t>Person SEX</t>
  </si>
  <si>
    <t>Person RACE</t>
  </si>
  <si>
    <t>Person AGE</t>
  </si>
  <si>
    <t>Person INJURY</t>
  </si>
  <si>
    <t>Person WEAPON</t>
  </si>
  <si>
    <t>Officer SEX</t>
  </si>
  <si>
    <t>Officer RACE</t>
  </si>
  <si>
    <t>Officer AGE</t>
  </si>
  <si>
    <t>Officer INJURY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</si>
</sst>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sz val="11.0"/>
      <color theme="1"/>
      <name val="Nunito"/>
    </font>
    <font>
      <b/>
      <sz val="10.0"/>
      <color theme="1"/>
      <name val="Nunito"/>
    </font>
    <font>
      <b/>
      <sz val="11.0"/>
      <name val="Nunito"/>
    </font>
    <font>
      <sz val="11.0"/>
      <color theme="1"/>
      <name val="Nunito"/>
    </font>
    <font>
      <u/>
      <sz val="11.0"/>
      <color rgb="FF0000FF"/>
      <name val="Nunito"/>
    </font>
    <font>
      <sz val="10.0"/>
      <color theme="1"/>
      <name val="Nunito"/>
    </font>
    <font>
      <color theme="1"/>
      <name val="Arial"/>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vertical="bottom"/>
    </xf>
    <xf borderId="0" fillId="3" fontId="1" numFmtId="0" xfId="0" applyAlignment="1" applyFill="1" applyFont="1">
      <alignment horizontal="left" readingOrder="0" vertical="bottom"/>
    </xf>
    <xf borderId="0" fillId="4" fontId="1" numFmtId="0" xfId="0" applyAlignment="1" applyFill="1" applyFont="1">
      <alignment horizontal="left" readingOrder="0" vertical="bottom"/>
    </xf>
    <xf borderId="0" fillId="5" fontId="1" numFmtId="0" xfId="0" applyAlignment="1" applyFill="1" applyFont="1">
      <alignment vertical="bottom"/>
    </xf>
    <xf borderId="0" fillId="5" fontId="1" numFmtId="0" xfId="0" applyAlignment="1" applyFont="1">
      <alignment readingOrder="0" vertical="bottom"/>
    </xf>
    <xf borderId="0" fillId="2" fontId="1" numFmtId="0" xfId="0" applyAlignment="1" applyFont="1">
      <alignment horizontal="left" readingOrder="0" vertical="bottom"/>
    </xf>
    <xf borderId="0" fillId="2" fontId="1" numFmtId="0" xfId="0" applyAlignment="1" applyFont="1">
      <alignment horizontal="left" readingOrder="0" shrinkToFit="0" vertical="bottom" wrapText="1"/>
    </xf>
    <xf borderId="0" fillId="4" fontId="2" numFmtId="0" xfId="0" applyAlignment="1" applyFont="1">
      <alignment horizontal="left" readingOrder="0" shrinkToFit="0" vertical="bottom" wrapText="1"/>
    </xf>
    <xf borderId="0" fillId="5" fontId="3" numFmtId="0" xfId="0" applyAlignment="1" applyFont="1">
      <alignment vertical="bottom"/>
    </xf>
    <xf borderId="0" fillId="2" fontId="4" numFmtId="164" xfId="0" applyAlignment="1" applyFont="1" applyNumberFormat="1">
      <alignment horizontal="left" readingOrder="0" vertical="bottom"/>
    </xf>
    <xf borderId="0" fillId="2" fontId="5" numFmtId="0" xfId="0" applyAlignment="1" applyFont="1">
      <alignment horizontal="left" readingOrder="0" vertical="bottom"/>
    </xf>
    <xf borderId="0" fillId="2" fontId="4" numFmtId="0" xfId="0" applyAlignment="1" applyFont="1">
      <alignment horizontal="left" readingOrder="0" shrinkToFit="0" vertical="bottom" wrapText="1"/>
    </xf>
    <xf borderId="0" fillId="3" fontId="4" numFmtId="0" xfId="0" applyAlignment="1" applyFont="1">
      <alignment horizontal="left" readingOrder="0" vertical="bottom"/>
    </xf>
    <xf borderId="0" fillId="4" fontId="4" numFmtId="0" xfId="0" applyAlignment="1" applyFont="1">
      <alignment horizontal="left" readingOrder="0" vertical="bottom"/>
    </xf>
    <xf borderId="0" fillId="4" fontId="6" numFmtId="0" xfId="0" applyAlignment="1" applyFont="1">
      <alignment horizontal="left" readingOrder="0" shrinkToFit="0" vertical="bottom" wrapText="1"/>
    </xf>
    <xf borderId="0" fillId="0" fontId="4" numFmtId="0" xfId="0" applyAlignment="1" applyFont="1">
      <alignment vertical="bottom"/>
    </xf>
    <xf borderId="0" fillId="0" fontId="4" numFmtId="0" xfId="0" applyAlignment="1" applyFont="1">
      <alignment readingOrder="0" vertical="bottom"/>
    </xf>
    <xf borderId="0" fillId="4" fontId="6" numFmtId="0" xfId="0" applyAlignment="1" applyFont="1">
      <alignment horizontal="left" shrinkToFit="0" vertical="bottom" wrapText="1"/>
    </xf>
    <xf borderId="0" fillId="3" fontId="4" numFmtId="0" xfId="0" applyAlignment="1" applyFont="1">
      <alignment horizontal="left" vertical="bottom"/>
    </xf>
    <xf borderId="0" fillId="4" fontId="4" numFmtId="0" xfId="0" applyAlignment="1" applyFont="1">
      <alignment horizontal="left" vertical="bottom"/>
    </xf>
    <xf borderId="0" fillId="4" fontId="4" numFmtId="0" xfId="0" applyAlignment="1" applyFont="1">
      <alignment horizontal="center" readingOrder="0" vertical="bottom"/>
    </xf>
    <xf borderId="0" fillId="0" fontId="4" numFmtId="0" xfId="0" applyAlignment="1" applyFont="1">
      <alignment horizontal="left" vertical="bottom"/>
    </xf>
    <xf borderId="0" fillId="2" fontId="4" numFmtId="0" xfId="0" applyAlignment="1" applyFont="1">
      <alignment horizontal="left" readingOrder="0" vertical="bottom"/>
    </xf>
    <xf borderId="0" fillId="0" fontId="7" numFmtId="0" xfId="0" applyFont="1"/>
    <xf borderId="0" fillId="6" fontId="8" numFmtId="164" xfId="0" applyFill="1" applyFont="1" applyNumberFormat="1"/>
    <xf borderId="0" fillId="3" fontId="7" numFmtId="0" xfId="0" applyFont="1"/>
    <xf borderId="0" fillId="4" fontId="7" numFmtId="0" xfId="0" applyFont="1"/>
    <xf borderId="0" fillId="0" fontId="7" numFmtId="0" xfId="0" applyAlignment="1" applyFont="1">
      <alignment shrinkToFit="0" wrapText="1"/>
    </xf>
    <xf borderId="0" fillId="0" fontId="7" numFmtId="164"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1:M1000" sheet="Sheet2"/>
  </cacheSource>
  <cacheFields>
    <cacheField name="ON DUTY" numFmtId="0">
      <sharedItems containsBlank="1">
        <s v="Y"/>
        <s v="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Q747" sheet="Sheet1"/>
  </cacheSource>
  <cacheFields>
    <cacheField name="DATE" numFmtId="164">
      <sharedItems containsDate="1" containsString="0" containsBlank="1">
        <d v="2020-05-29T00:00:00Z"/>
        <d v="2020-05-28T00:00:00Z"/>
        <d v="2020-05-25T00:00:00Z"/>
        <m/>
        <d v="2020-05-16T00:00:00Z"/>
        <d v="2020-05-14T00:00:00Z"/>
        <d v="2020-05-08T00:00:00Z"/>
        <d v="2020-04-27T00:00:00Z"/>
        <d v="2020-04-21T00:00:00Z"/>
        <d v="2020-04-11T00:00:00Z"/>
        <d v="2020-04-03T00:00:00Z"/>
        <d v="2020-02-19T00:00:00Z"/>
        <d v="2020-01-23T00:00:00Z"/>
        <d v="2020-01-06T00:00:00Z"/>
        <d v="2020-01-09T00:00:00Z"/>
        <d v="2020-01-03T00:00:00Z"/>
        <d v="2019-12-30T00:00:00Z"/>
        <d v="2019-12-18T00:00:00Z"/>
        <d v="2019-09-05T00:00:00Z"/>
        <d v="2019-09-12T00:00:00Z"/>
        <d v="2019-09-16T00:00:00Z"/>
        <d v="2019-11-01T00:00:00Z"/>
        <d v="2019-08-15T00:00:00Z"/>
        <d v="2019-08-09T00:00:00Z"/>
        <d v="2019-07-21T00:00:00Z"/>
        <d v="2019-06-28T00:00:00Z"/>
        <d v="2019-06-19T00:00:00Z"/>
        <d v="2019-05-24T00:00:00Z"/>
        <d v="2019-04-13T00:00:00Z"/>
        <d v="2019-02-27T00:00:00Z"/>
        <d v="2019-02-21T00:00:00Z"/>
        <d v="2019-01-31T00:00:00Z"/>
        <d v="2019-01-28T00:00:00Z"/>
        <d v="2019-01-08T00:00:00Z"/>
        <d v="2019-01-04T00:00:00Z"/>
        <d v="2018-02-25T00:00:00Z"/>
        <d v="2018-11-28T00:00:00Z"/>
        <d v="2018-11-27T00:00:00Z"/>
        <d v="2018-11-14T00:00:00Z"/>
        <d v="2018-10-27T00:00:00Z"/>
        <d v="2018-09-28T00:00:00Z"/>
        <d v="2018-09-08T00:00:00Z"/>
        <d v="2018-07-26T00:00:00Z"/>
        <d v="2018-07-23T00:00:00Z"/>
        <d v="2018-07-15T00:00:00Z"/>
        <d v="2018-06-22T00:00:00Z"/>
        <d v="2018-06-18T00:00:00Z"/>
        <d v="2018-06-05T00:00:00Z"/>
        <d v="2018-05-26T00:00:00Z"/>
        <d v="2018-02-16T00:00:00Z"/>
        <d v="2018-02-02T00:00:00Z"/>
        <d v="2018-02-01T00:00:00Z"/>
        <d v="2017-10-28T00:00:00Z"/>
        <d v="2017-10-24T00:00:00Z"/>
        <d v="2017-10-20T00:00:00Z"/>
        <d v="2017-09-04T00:00:00Z"/>
        <d v="2017-05-17T00:00:00Z"/>
        <d v="2017-05-06T00:00:00Z"/>
        <d v="2017-04-27T00:00:00Z"/>
        <d v="2017-04-24T00:00:00Z"/>
        <d v="2017-04-10T00:00:00Z"/>
        <d v="2017-03-23T00:00:00Z"/>
        <d v="2017-03-10T00:00:00Z"/>
        <d v="2017-02-28T00:00:00Z"/>
        <d v="2017-02-16T00:00:00Z"/>
        <d v="2017-01-22T00:00:00Z"/>
        <d v="2016-12-07T00:00:00Z"/>
        <d v="2016-12-05T00:00:00Z"/>
        <d v="2016-11-28T00:00:00Z"/>
        <d v="2016-10-13T00:00:00Z"/>
        <d v="2016-09-26T00:00:00Z"/>
        <d v="2016-08-27T00:00:00Z"/>
        <d v="2016-08-04T00:00:00Z"/>
        <d v="2016-07-24T00:00:00Z"/>
        <d v="2016-07-09T00:00:00Z"/>
        <d v="2016-06-07T00:00:00Z"/>
        <d v="2016-05-29T00:00:00Z"/>
        <d v="2016-05-27T00:00:00Z"/>
        <d v="2016-05-24T00:00:00Z"/>
        <d v="2016-04-28T00:00:00Z"/>
        <d v="2016-05-20T00:00:00Z"/>
        <d v="2016-04-17T00:00:00Z"/>
        <d v="2016-04-14T00:00:00Z"/>
        <d v="2016-03-20T00:00:00Z"/>
        <d v="2016-03-17T00:00:00Z"/>
        <d v="2016-03-12T00:00:00Z"/>
        <d v="2016-03-08T00:00:00Z"/>
        <d v="2016-02-13T00:00:00Z"/>
        <d v="2016-02-05T00:00:00Z"/>
        <d v="2016-01-26T00:00:00Z"/>
        <d v="2016-01-19T00:00:00Z"/>
        <d v="2015-12-29T00:00:00Z"/>
        <d v="2015-12-25T00:00:00Z"/>
        <d v="2015-12-12T00:00:00Z"/>
        <d v="2015-11-04T00:00:00Z"/>
        <d v="2015-10-30T00:00:00Z"/>
        <d v="2015-10-16T00:00:00Z"/>
        <d v="2015-10-15T00:00:00Z"/>
        <d v="2015-10-09T00:00:00Z"/>
        <d v="2015-10-08T00:00:00Z"/>
        <d v="2015-10-03T00:00:00Z"/>
        <d v="2015-09-24T00:00:00Z"/>
        <d v="2015-09-08T00:00:00Z"/>
        <d v="2015-09-05T00:00:00Z"/>
        <d v="2015-08-27T00:00:00Z"/>
        <d v="2015-08-21T00:00:00Z"/>
        <d v="2015-08-17T00:00:00Z"/>
        <d v="2015-08-02T00:00:00Z"/>
        <d v="2015-07-28T00:00:00Z"/>
        <d v="2015-07-22T00:00:00Z"/>
        <d v="2015-07-07T00:00:00Z"/>
        <d v="2015-06-03T00:00:00Z"/>
        <d v="2015-04-28T00:00:00Z"/>
        <d v="2015-04-17T00:00:00Z"/>
        <d v="2015-04-15T00:00:00Z"/>
        <d v="2015-04-13T00:00:00Z"/>
        <d v="2015-04-02T00:00:00Z"/>
        <d v="2015-02-10T00:00:00Z"/>
        <d v="2015-01-19T00:00:00Z"/>
        <d v="2015-01-16T00:00:00Z"/>
        <d v="2015-01-09T00:00:00Z"/>
        <d v="2014-12-17T00:00:00Z"/>
        <d v="2014-12-15T00:00:00Z"/>
        <d v="2014-12-12T00:00:00Z"/>
        <d v="2014-12-08T00:00:00Z"/>
        <d v="2014-11-12T00:00:00Z"/>
        <d v="2014-10-22T00:00:00Z"/>
        <d v="2014-10-18T00:00:00Z"/>
        <d v="2014-10-12T00:00:00Z"/>
        <d v="2014-10-06T00:00:00Z"/>
        <d v="2014-10-01T00:00:00Z"/>
        <d v="2014-09-30T00:00:00Z"/>
        <d v="2014-09-23T00:00:00Z"/>
        <d v="2014-09-17T00:00:00Z"/>
        <d v="2014-08-13T00:00:00Z"/>
        <d v="2014-08-03T00:00:00Z"/>
        <d v="2014-07-29T00:00:00Z"/>
        <d v="2014-07-27T00:00:00Z"/>
        <d v="2014-05-05T00:00:00Z"/>
        <d v="2014-05-01T00:00:00Z"/>
        <d v="2014-03-20T00:00:00Z"/>
        <d v="2014-03-18T00:00:00Z"/>
        <d v="2014-03-17T00:00:00Z"/>
        <d v="2014-03-13T00:00:00Z"/>
        <d v="2014-03-06T00:00:00Z"/>
        <d v="2014-02-27T00:00:00Z"/>
        <d v="2014-02-16T00:00:00Z"/>
        <d v="2014-02-14T00:00:00Z"/>
        <d v="2014-02-09T00:00:00Z"/>
        <d v="2014-01-23T00:00:00Z"/>
        <d v="2014-01-19T00:00:00Z"/>
        <d v="2014-01-16T00:00:00Z"/>
        <d v="2014-01-13T00:00:00Z"/>
        <d v="2014-01-12T00:00:00Z"/>
        <d v="2013-12-26T00:00:00Z"/>
        <d v="2013-12-09T00:00:00Z"/>
        <d v="2013-12-01T00:00:00Z"/>
        <d v="2013-11-30T00:00:00Z"/>
        <d v="2013-11-03T00:00:00Z"/>
        <d v="2013-10-24T00:00:00Z"/>
        <d v="2013-09-30T00:00:00Z"/>
        <d v="2013-09-26T00:00:00Z"/>
        <d v="2013-09-25T00:00:00Z"/>
        <d v="2013-09-13T00:00:00Z"/>
        <d v="2013-09-09T00:00:00Z"/>
        <d v="2013-09-01T00:00:00Z"/>
        <d v="2013-08-22T00:00:00Z"/>
        <d v="2013-08-07T00:00:00Z"/>
        <d v="2013-08-05T00:00:00Z"/>
        <d v="2013-06-15T00:00:00Z"/>
        <d v="2013-06-02T00:00:00Z"/>
        <d v="2013-05-31T00:00:00Z"/>
        <d v="2013-04-26T00:00:00Z"/>
        <d v="2013-04-11T00:00:00Z"/>
        <d v="2013-04-10T00:00:00Z"/>
        <d v="2013-04-06T00:00:00Z"/>
        <d v="2013-03-23T00:00:00Z"/>
        <d v="2013-03-20T00:00:00Z"/>
        <d v="2013-03-19T00:00:00Z"/>
        <d v="2013-03-18T00:00:00Z"/>
        <d v="2013-03-03T00:00:00Z"/>
        <d v="2013-02-28T00:00:00Z"/>
        <d v="2013-02-15T00:00:00Z"/>
        <d v="2013-02-13T00:00:00Z"/>
        <d v="2013-02-08T00:00:00Z"/>
        <d v="2013-02-02T00:00:00Z"/>
        <d v="2013-01-16T00:00:00Z"/>
        <d v="2013-01-12T00:00:00Z"/>
        <d v="2013-01-04T00:00:00Z"/>
        <d v="2012-12-26T00:00:00Z"/>
        <d v="2012-12-24T00:00:00Z"/>
        <d v="2012-12-23T00:00:00Z"/>
        <d v="2012-11-19T00:00:00Z"/>
        <d v="2012-11-16T00:00:00Z"/>
        <d v="2012-11-04T00:00:00Z"/>
        <d v="2012-10-11T00:00:00Z"/>
        <d v="2012-09-24T00:00:00Z"/>
        <d v="2012-09-22T00:00:00Z"/>
        <d v="2012-09-20T00:00:00Z"/>
        <d v="2012-09-16T00:00:00Z"/>
        <d v="2012-09-15T00:00:00Z"/>
        <d v="2012-09-13T00:00:00Z"/>
        <d v="2012-08-21T00:00:00Z"/>
        <d v="2012-08-18T00:00:00Z"/>
        <d v="2012-08-07T00:00:00Z"/>
        <d v="2012-08-03T00:00:00Z"/>
        <d v="2012-07-22T00:00:00Z"/>
        <d v="2012-07-09T00:00:00Z"/>
        <d v="2012-06-27T00:00:00Z"/>
        <d v="2012-06-21T00:00:00Z"/>
        <d v="2012-06-19T00:00:00Z"/>
        <d v="2012-06-12T00:00:00Z"/>
        <d v="2012-05-24T00:00:00Z"/>
        <d v="2012-05-18T00:00:00Z"/>
        <d v="2012-05-17T00:00:00Z"/>
        <d v="2012-05-16T00:00:00Z"/>
        <d v="2012-05-07T00:00:00Z"/>
        <d v="2012-05-02T00:00:00Z"/>
        <d v="2012-04-18T00:00:00Z"/>
        <d v="2012-04-04T00:00:00Z"/>
        <d v="2012-04-02T00:00:00Z"/>
        <d v="2012-03-31T00:00:00Z"/>
        <d v="2012-02-26T00:00:00Z"/>
        <d v="2012-02-16T00:00:00Z"/>
        <d v="2012-01-13T00:00:00Z"/>
        <d v="2012-01-07T00:00:00Z"/>
        <d v="2012-01-04T00:00:00Z"/>
        <d v="2011-12-29T00:00:00Z"/>
        <d v="2011-12-25T00:00:00Z"/>
        <d v="2011-11-30T00:00:00Z"/>
        <d v="2011-11-23T00:00:00Z"/>
        <d v="2011-11-21T00:00:00Z"/>
        <d v="2011-09-06T00:00:00Z"/>
        <d v="2011-09-03T00:00:00Z"/>
        <d v="2011-08-10T00:00:00Z"/>
        <d v="2011-08-08T00:00:00Z"/>
        <d v="2011-07-28T00:00:00Z"/>
        <d v="2011-07-24T00:00:00Z"/>
        <d v="2011-07-23T00:00:00Z"/>
        <d v="2011-07-20T00:00:00Z"/>
        <d v="2011-07-11T00:00:00Z"/>
        <d v="2011-06-20T00:00:00Z"/>
        <d v="2011-06-18T00:00:00Z"/>
        <d v="2011-06-15T00:00:00Z"/>
        <d v="2011-06-09T00:00:00Z"/>
        <d v="2011-06-07T00:00:00Z"/>
        <d v="2011-06-03T00:00:00Z"/>
        <d v="2011-05-18T00:00:00Z"/>
        <d v="2011-05-16T00:00:00Z"/>
        <d v="2011-05-07T00:00:00Z"/>
        <d v="2011-04-11T00:00:00Z"/>
        <d v="2011-03-26T00:00:00Z"/>
        <d v="2011-03-16T00:00:00Z"/>
        <d v="2011-02-24T00:00:00Z"/>
        <d v="2011-02-19T00:00:00Z"/>
        <d v="2011-02-14T00:00:00Z"/>
        <d v="2010-12-31T00:00:00Z"/>
        <d v="2010-12-29T00:00:00Z"/>
        <d v="2010-12-16T00:00:00Z"/>
        <d v="2010-12-12T00:00:00Z"/>
        <d v="2010-11-30T00:00:00Z"/>
        <d v="2010-11-22T00:00:00Z"/>
        <d v="2010-11-17T00:00:00Z"/>
        <d v="2010-11-08T00:00:00Z"/>
        <d v="2010-11-05T00:00:00Z"/>
        <d v="2010-11-04T00:00:00Z"/>
        <d v="2010-10-29T00:00:00Z"/>
        <d v="2010-10-26T00:00:00Z"/>
        <d v="2010-10-10T00:00:00Z"/>
        <d v="2010-09-21T00:00:00Z"/>
        <d v="2010-09-20T00:00:00Z"/>
        <d v="2010-09-03T00:00:00Z"/>
        <d v="2010-08-13T00:00:00Z"/>
        <d v="2010-08-09T00:00:00Z"/>
        <d v="2010-07-22T00:00:00Z"/>
        <d v="2010-05-25T00:00:00Z"/>
        <d v="2010-05-20T00:00:00Z"/>
        <d v="2010-05-16T00:00:00Z"/>
        <d v="2010-04-19T00:00:00Z"/>
        <d v="2010-04-15T00:00:00Z"/>
        <d v="2010-04-02T00:00:00Z"/>
        <d v="2010-03-27T00:00:00Z"/>
        <d v="2010-03-19T00:00:00Z"/>
        <d v="2010-03-07T00:00:00Z"/>
        <d v="2010-02-24T00:00:00Z"/>
        <d v="2010-02-08T00:00:00Z"/>
        <d v="2010-02-04T00:00:00Z"/>
        <d v="2010-01-18T00:00:00Z"/>
        <d v="2010-01-15T00:00:00Z"/>
        <d v="2009-12-21T00:00:00Z"/>
        <d v="2009-12-17T00:00:00Z"/>
        <d v="2009-12-08T00:00:00Z"/>
        <d v="2009-12-07T00:00:00Z"/>
        <d v="2009-12-05T00:00:00Z"/>
        <d v="2009-11-21T00:00:00Z"/>
        <d v="2009-11-14T00:00:00Z"/>
        <d v="2009-11-08T00:00:00Z"/>
        <d v="2009-11-07T00:00:00Z"/>
        <d v="2009-10-09T00:00:00Z"/>
        <d v="2009-10-08T00:00:00Z"/>
        <d v="2009-09-28T00:00:00Z"/>
        <d v="2009-09-21T00:00:00Z"/>
        <d v="2009-09-19T00:00:00Z"/>
        <d v="2009-09-17T00:00:00Z"/>
        <d v="2009-09-11T00:00:00Z"/>
        <d v="2009-09-08T00:00:00Z"/>
        <d v="2009-09-04T00:00:00Z"/>
        <d v="2009-08-26T00:00:00Z"/>
        <d v="2009-08-20T00:00:00Z"/>
        <d v="2009-08-07T00:00:00Z"/>
        <d v="2009-08-03T00:00:00Z"/>
        <d v="2009-08-01T00:00:00Z"/>
        <d v="2009-07-25T00:00:00Z"/>
        <d v="2009-07-24T00:00:00Z"/>
        <d v="2009-07-14T00:00:00Z"/>
        <d v="2009-06-30T00:00:00Z"/>
        <d v="2009-06-23T00:00:00Z"/>
        <d v="2009-06-06T00:00:00Z"/>
        <d v="2009-06-04T00:00:00Z"/>
        <d v="2009-05-15T00:00:00Z"/>
        <d v="2009-04-24T00:00:00Z"/>
        <d v="2009-04-20T00:00:00Z"/>
        <d v="2009-04-17T00:00:00Z"/>
        <d v="2009-04-06T00:00:00Z"/>
        <d v="2009-03-21T00:00:00Z"/>
        <d v="2009-03-19T00:00:00Z"/>
        <d v="2009-03-07T00:00:00Z"/>
        <d v="2009-03-05T00:00:00Z"/>
        <d v="2009-02-25T00:00:00Z"/>
        <d v="2009-02-09T00:00:00Z"/>
        <d v="2009-02-02T00:00:00Z"/>
        <d v="2009-01-24T00:00:00Z"/>
        <d v="2009-01-19T00:00:00Z"/>
        <d v="2009-01-11T00:00:00Z"/>
        <d v="2008-12-20T00:00:00Z"/>
        <d v="2008-12-12T00:00:00Z"/>
        <d v="2008-11-02T00:00:00Z"/>
        <d v="2008-10-29T00:00:00Z"/>
        <d v="2008-10-28T00:00:00Z"/>
        <d v="2008-10-15T00:00:00Z"/>
        <d v="2008-10-14T00:00:00Z"/>
        <d v="2008-09-18T00:00:00Z"/>
        <d v="2008-09-17T00:00:00Z"/>
        <d v="2008-09-03T00:00:00Z"/>
        <d v="2008-08-22T00:00:00Z"/>
        <d v="2008-08-16T00:00:00Z"/>
        <d v="2008-08-11T00:00:00Z"/>
        <d v="2008-06-28T00:00:00Z"/>
        <d v="2008-06-15T00:00:00Z"/>
        <d v="2008-06-04T00:00:00Z"/>
        <d v="2008-05-24T00:00:00Z"/>
        <d v="2008-04-29T00:00:00Z"/>
        <d v="2008-04-11T00:00:00Z"/>
        <d v="2008-04-09T00:00:00Z"/>
        <d v="2008-03-04T00:00:00Z"/>
        <d v="2008-02-22T00:00:00Z"/>
        <d v="2008-02-20T00:00:00Z"/>
        <d v="2008-02-13T00:00:00Z"/>
        <d v="2008-01-18T00:00:00Z"/>
        <d v="2008-01-15T00:00:00Z"/>
        <d v="2007-12-31T00:00:00Z"/>
        <d v="2007-10-18T00:00:00Z"/>
        <d v="2007-09-20T00:00:00Z"/>
        <d v="2007-09-14T00:00:00Z"/>
        <d v="2007-08-13T00:00:00Z"/>
        <d v="2007-08-12T00:00:00Z"/>
        <d v="2007-07-31T00:00:00Z"/>
        <d v="2007-07-21T00:00:00Z"/>
        <d v="2007-07-20T00:00:00Z"/>
        <d v="2007-07-03T00:00:00Z"/>
        <d v="2007-07-01T00:00:00Z"/>
        <d v="2007-06-08T00:00:00Z"/>
        <d v="2007-06-03T00:00:00Z"/>
        <d v="2007-05-30T00:00:00Z"/>
        <d v="2007-05-21T00:00:00Z"/>
        <d v="2007-05-12T00:00:00Z"/>
        <d v="2007-05-10T00:00:00Z"/>
        <d v="2007-05-06T00:00:00Z"/>
        <d v="2007-05-03T00:00:00Z"/>
        <d v="2007-04-25T00:00:00Z"/>
        <d v="2007-04-17T00:00:00Z"/>
        <d v="2007-04-13T00:00:00Z"/>
        <d v="2007-03-21T00:00:00Z"/>
        <d v="2007-02-10T00:00:00Z"/>
        <d v="2007-01-26T00:00:00Z"/>
        <d v="2007-01-08T00:00:00Z"/>
        <d v="2007-01-07T00:00:00Z"/>
        <d v="2006-12-24T00:00:00Z"/>
        <d v="2006-12-15T00:00:00Z"/>
        <d v="2006-10-24T00:00:00Z"/>
        <d v="2006-10-23T00:00:00Z"/>
        <d v="2006-10-17T00:00:00Z"/>
        <d v="2006-09-25T00:00:00Z"/>
        <d v="2006-09-17T00:00:00Z"/>
        <d v="2006-09-05T00:00:00Z"/>
        <d v="2006-08-23T00:00:00Z"/>
        <d v="2006-08-08T00:00:00Z"/>
        <d v="2006-08-04T00:00:00Z"/>
        <d v="2006-08-02T00:00:00Z"/>
        <d v="2006-07-31T00:00:00Z"/>
        <d v="2006-07-27T00:00:00Z"/>
        <d v="2006-07-13T00:00:00Z"/>
        <d v="2006-07-05T00:00:00Z"/>
        <d v="2006-06-19T00:00:00Z"/>
        <d v="2006-06-16T00:00:00Z"/>
        <d v="2006-06-08T00:00:00Z"/>
        <d v="2006-06-01T00:00:00Z"/>
        <d v="2006-05-31T00:00:00Z"/>
        <d v="2006-05-19T00:00:00Z"/>
        <d v="2006-05-04T00:00:00Z"/>
        <d v="2006-04-22T00:00:00Z"/>
        <d v="2006-04-05T00:00:00Z"/>
        <d v="2006-04-02T00:00:00Z"/>
        <d v="2006-03-15T00:00:00Z"/>
        <d v="2006-03-11T00:00:00Z"/>
        <d v="2006-02-23T00:00:00Z"/>
        <d v="2006-02-08T00:00:00Z"/>
        <d v="2006-02-02T00:00:00Z"/>
        <d v="2006-01-24T00:00:00Z"/>
        <d v="2006-01-04T00:00:00Z"/>
        <d v="2005-12-24T00:00:00Z"/>
        <d v="2005-12-15T00:00:00Z"/>
        <d v="2005-12-05T00:00:00Z"/>
        <d v="2005-11-28T00:00:00Z"/>
        <d v="2005-11-07T00:00:00Z"/>
        <d v="2005-10-26T00:00:00Z"/>
        <d v="2005-09-09T00:00:00Z"/>
        <d v="2005-09-06T00:00:00Z"/>
        <d v="2005-08-16T00:00:00Z"/>
        <d v="2005-08-10T00:00:00Z"/>
        <d v="2005-08-06T00:00:00Z"/>
        <d v="2005-07-25T00:00:00Z"/>
        <d v="2005-07-22T00:00:00Z"/>
        <d v="2005-07-20T00:00:00Z"/>
        <d v="2005-07-19T00:00:00Z"/>
        <d v="2005-07-17T00:00:00Z"/>
        <d v="2005-07-13T00:00:00Z"/>
        <d v="2005-07-06T00:00:00Z"/>
        <d v="2005-07-01T00:00:00Z"/>
        <d v="2005-06-19T00:00:00Z"/>
        <d v="2005-06-09T00:00:00Z"/>
        <d v="2005-06-03T00:00:00Z"/>
        <d v="2005-05-26T00:00:00Z"/>
        <d v="2005-05-02T00:00:00Z"/>
        <d v="2005-04-25T00:00:00Z"/>
        <d v="2005-04-08T00:00:00Z"/>
        <d v="2005-04-05T00:00:00Z"/>
        <d v="2005-03-30T00:00:00Z"/>
        <d v="2005-03-16T00:00:00Z"/>
        <d v="2005-03-13T00:00:00Z"/>
        <d v="2005-03-07T00:00:00Z"/>
        <d v="2005-03-01T00:00:00Z"/>
        <d v="2005-02-26T00:00:00Z"/>
        <d v="2005-02-23T00:00:00Z"/>
        <d v="2005-02-14T00:00:00Z"/>
        <d v="2005-02-10T00:00:00Z"/>
        <d v="2005-01-03T00:00:00Z"/>
        <d v="2005-01-02T00:00:00Z"/>
      </sharedItems>
    </cacheField>
    <cacheField name="INC NO." numFmtId="0">
      <sharedItems containsString="0" containsBlank="1" containsNumber="1" containsInteger="1">
        <n v="7.132692E7"/>
        <n v="7.127082E7"/>
        <n v="6.925932E7"/>
        <m/>
        <n v="6.478802E7"/>
        <n v="6.394662E7"/>
        <n v="6.049172E7"/>
        <n v="5.494912E7"/>
        <n v="5.253792E7"/>
        <n v="4.782602E7"/>
        <n v="4.420682E7"/>
        <n v="2.372642E7"/>
        <n v="1.038082E7"/>
        <n v="2508920.0"/>
        <n v="4005720.0"/>
        <n v="2446820.0"/>
        <n v="1.71736319E8"/>
        <n v="4055820.0"/>
        <n v="1.15732919E8"/>
        <n v="1.19361419E8"/>
        <n v="1.20935219E8"/>
        <n v="1.43778519E8"/>
        <n v="1.08199719E8"/>
        <n v="1.02521519E8"/>
        <n v="9.3118919E7"/>
        <n v="8.2488019E7"/>
        <n v="7.7867119E7"/>
        <n v="6.5776819E7"/>
        <n v="4.6151719E7"/>
        <n v="2.5266619E7"/>
        <n v="2.2869919E7"/>
        <n v="1.3527619E7"/>
        <n v="1.2191319E7"/>
        <n v="1.2133719E7"/>
        <n v="3169319.0"/>
        <n v="1599519.0"/>
        <n v="1.62241918E8"/>
        <n v="1.50372018E8"/>
        <n v="1.49476218E8"/>
        <n v="1.44320018E8"/>
        <n v="1.35922718E8"/>
        <n v="1.22990318E8"/>
        <n v="1.23798518E8"/>
        <n v="1.14287818E8"/>
        <n v="9.5218318E7"/>
        <n v="9.3701118E7"/>
        <n v="9.0024918E7"/>
        <n v="7.9427318E7"/>
        <n v="7.7476418E7"/>
        <n v="7.1389218E7"/>
        <n v="6.6457618E7"/>
        <n v="2.0235418E7"/>
        <n v="1.3903618E7"/>
        <n v="1.3572118E7"/>
        <n v="1.36191017E8"/>
        <n v="1.34253217E8"/>
        <n v="1.32830217E8"/>
        <n v="1.12738517E8"/>
        <n v="6.1603917E7"/>
        <n v="5.6940317E7"/>
        <n v="5.2500217E7"/>
        <n v="5.2538517E7"/>
        <n v="5.1362817E7"/>
        <n v="4.4960417E7"/>
        <n v="3.6699917E7"/>
        <n v="3.0911117E7"/>
        <n v="2.6218717E7"/>
        <n v="2.0859317E7"/>
        <n v="9641917.0"/>
        <n v="1.55214316E8"/>
        <n v="1.54131216E8"/>
        <n v="1.51462916E8"/>
        <n v="1.31104116E8"/>
        <n v="1.23203516E8"/>
        <n v="1.09985316E8"/>
        <n v="9.9760816E7"/>
        <n v="9.4862816E7"/>
        <n v="8.8163616E7"/>
        <n v="8.8431916E7"/>
        <n v="7.2782816E7"/>
        <n v="7.2408916E7"/>
        <n v="6.7632516E7"/>
        <n v="6.6462816E7"/>
        <n v="5.4184916E7"/>
        <n v="6.4416616E7"/>
        <n v="4.8805716E7"/>
        <n v="4.7566916E7"/>
        <n v="3.5690916E7"/>
        <n v="3.4516216E7"/>
        <n v="3.2189216E7"/>
        <n v="3.0130016E7"/>
        <n v="1.9345016E7"/>
        <n v="1.5817516E7"/>
        <n v="1.1017416E7"/>
        <n v="7896816.0"/>
        <n v="1.66610115E8"/>
        <n v="1.65095615E8"/>
        <n v="1.58966515E8"/>
        <n v="1.41999815E8"/>
        <n v="1.39741915E8"/>
        <n v="1.33534615E8"/>
        <n v="1.33195715E8"/>
        <n v="1.30647615E8"/>
        <n v="1.30282515E8"/>
        <n v="1.27727615E8"/>
        <n v="1.23663615E8"/>
        <n v="1.16471815E8"/>
        <n v="1.15223915E8"/>
        <n v="1.11183815E8"/>
        <n v="1.08702415E8"/>
        <n v="1.06630315E8"/>
        <n v="9.9571615E7"/>
        <n v="9.7568715E7"/>
        <n v="9.4851715E7"/>
        <n v="8.7555915E7"/>
        <n v="8.7658515E7"/>
        <n v="7.1376915E7"/>
        <n v="5.3879915E7"/>
        <n v="4.7973815E7"/>
        <n v="4.7127315E7"/>
        <n v="4.6362715E7"/>
        <n v="4.1129615E7"/>
        <n v="1.7884215E7"/>
        <n v="7847415.0"/>
        <n v="6314215.0"/>
        <n v="6695315.0"/>
        <n v="3483515.0"/>
        <n v="3652815.0"/>
        <n v="1.60528814E8"/>
        <n v="1.59236414E8"/>
        <n v="1.58181414E8"/>
        <n v="1.55866314E8"/>
        <n v="1.44326514E8"/>
        <n v="1.34580514E8"/>
        <n v="1.32565014E8"/>
        <n v="1.30116114E8"/>
        <n v="1.27340314E8"/>
        <n v="1.24567814E8"/>
        <n v="1.24142914E8"/>
        <n v="1.20847114E8"/>
        <n v="1.18130414E8"/>
        <n v="1.02070914E8"/>
        <n v="1.02260814E8"/>
        <n v="9.7245814E7"/>
        <n v="9.5144314E7"/>
        <n v="9.4268814E7"/>
        <n v="5.5474514E7"/>
        <n v="5.3375914E7"/>
        <n v="3.4188114E7"/>
        <n v="3.3110514E7"/>
        <n v="3.2413614E7"/>
        <n v="3.0609914E7"/>
        <n v="2.7504414E7"/>
        <n v="2.4475814E7"/>
        <n v="1.9897714E7"/>
        <n v="1.9009014E7"/>
        <n v="1.6581114E7"/>
        <n v="9805514.0"/>
        <n v="7934614.0"/>
        <n v="6830214.0"/>
        <n v="5578914.0"/>
        <n v="4732914.0"/>
        <n v="1.60489413E8"/>
        <n v="1.53332913E8"/>
        <n v="1.49898913E8"/>
        <n v="1.50207613E8"/>
        <n v="1.37943813E8"/>
        <n v="1.33633813E8"/>
        <n v="1.22668913E8"/>
        <n v="1.20839113E8"/>
        <n v="1.20421213E8"/>
        <n v="1.15266113E8"/>
        <n v="1.13255013E8"/>
        <n v="1.10045013E8"/>
        <n v="1.05776713E8"/>
        <n v="9.8692013E7"/>
        <n v="9.7994313E7"/>
        <n v="7.4452613E7"/>
        <n v="6.8384613E7"/>
        <n v="6.7283213E7"/>
        <n v="1355467.0"/>
        <n v="4.4046113E7"/>
        <n v="4.3485213E7"/>
        <n v="4.1917613E7"/>
        <n v="3.5614113E7"/>
        <n v="3.4501713E7"/>
        <n v="3.3958813E7"/>
        <n v="3.3144013E7"/>
        <n v="2.6584013E7"/>
        <n v="2.5253413E7"/>
        <n v="1.9558313E7"/>
        <n v="1.8168313E7"/>
        <n v="1.8448313E7"/>
        <n v="1.6110813E7"/>
        <n v="1.3852913E7"/>
        <n v="6043313.0"/>
        <n v="4468713.0"/>
        <n v="4789613.0"/>
        <n v="1469213.0"/>
        <n v="1.62463012E8"/>
        <n v="1.61401412E8"/>
        <n v="1.60908412E8"/>
        <n v="1.46038912E8"/>
        <n v="1.45242812E8"/>
        <n v="1.39910512E8"/>
        <n v="1.28938512E8"/>
        <n v="1.21514812E8"/>
        <n v="1.20646512E8"/>
        <n v="1.21020212E8"/>
        <n v="1.20020212E8"/>
        <n v="1.18301912E8"/>
        <n v="1.17468112E8"/>
        <n v="1.16946712E8"/>
        <n v="1.06545312E8"/>
        <n v="1.05011912E8"/>
        <n v="9.9971512E7"/>
        <n v="9.8051312E7"/>
        <n v="9.2642112E7"/>
        <n v="9.2756412E7"/>
        <n v="8.6965012E7"/>
        <n v="8.1382112E7"/>
        <n v="7.8840412E7"/>
        <n v="7.7976812E7"/>
        <n v="7.4484712E7"/>
        <n v="6.6165412E7"/>
        <n v="6.3111212E7"/>
        <n v="6.2768512E7"/>
        <n v="6.2466412E7"/>
        <n v="5.7985912E7"/>
        <n v="5.5358512E7"/>
        <n v="4.9104412E7"/>
        <n v="4.2291412E7"/>
        <n v="4.1005512E7"/>
        <n v="4.0154412E7"/>
        <n v="2.4401812E7"/>
        <n v="2.4405412E7"/>
        <n v="2.0191212E7"/>
        <n v="5577512.0"/>
        <n v="3088712.0"/>
        <n v="1338712.0"/>
        <n v="1.66958111E8"/>
        <n v="1.67166111E8"/>
        <n v="1.65748011E8"/>
        <n v="1.54742111E8"/>
        <n v="1.52066411E8"/>
        <n v="1.51095111E8"/>
        <n v="1.15579311E8"/>
        <n v="1.14240711E8"/>
        <n v="1.03663811E8"/>
        <n v="1.02768011E8"/>
        <n v="9.7780511E7"/>
        <n v="9.5913311E7"/>
        <n v="9.5583811E7"/>
        <n v="9.4364111E7"/>
        <n v="9.0010111E7"/>
        <n v="8.0221311E7"/>
        <n v="7.9326211E7"/>
        <n v="7.7472411E7"/>
        <n v="7.4850211E7"/>
        <n v="7.3973611E7"/>
        <n v="7.1917211E7"/>
        <n v="6.3475811E7"/>
        <n v="6.2419311E7"/>
        <n v="5.8242911E7"/>
        <n v="1.13007011E8"/>
        <n v="3.8048911E7"/>
        <n v="3.3289911E7"/>
        <n v="2.3788311E7"/>
        <n v="2.1505611E7"/>
        <n v="1.9185611E7"/>
        <n v="1.8170921E8"/>
        <n v="1.8091741E8"/>
        <n v="1.7496451E8"/>
        <n v="1.7320831E8"/>
        <n v="1.6769761E8"/>
        <n v="1.6421601E8"/>
        <n v="1.6186821E8"/>
        <n v="1.5780261E8"/>
        <n v="1.5638571E8"/>
        <n v="1.5586311E8"/>
        <n v="1.5354601E8"/>
        <n v="1.5160931E8"/>
        <n v="1.4393531E8"/>
        <n v="1.3499291E8"/>
        <n v="1.3459401E8"/>
        <n v="1.2570351E8"/>
        <n v="1.1561211E8"/>
        <n v="1.1381551E8"/>
        <n v="1.0521431E8"/>
        <n v="7.557021E7"/>
        <n v="7.274291E7"/>
        <n v="7.046971E7"/>
        <n v="5.605091E7"/>
        <n v="5.346431E7"/>
        <n v="4.698501E7"/>
        <n v="4.328711E7"/>
        <n v="3.953671E7"/>
        <n v="3.313741E7"/>
        <n v="2.748111E7"/>
        <n v="1.918651E7"/>
        <n v="1.733351E7"/>
        <n v="8120910.0"/>
        <n v="7098810.0"/>
        <n v="1.86288209E8"/>
        <n v="1.84046609E8"/>
        <n v="1.79512609E8"/>
        <n v="1.78533309E8"/>
        <n v="1.77728609E8"/>
        <n v="1.69729509E8"/>
        <n v="1.66601609E8"/>
        <n v="1.63196609E8"/>
        <n v="1.62468609E8"/>
        <n v="1.47715209E8"/>
        <n v="1.46846409E8"/>
        <n v="1.42027109E8"/>
        <n v="1.38406209E8"/>
        <n v="1.37565509E8"/>
        <n v="1.36512809E8"/>
        <n v="1.33143109E8"/>
        <n v="1.31629809E8"/>
        <n v="1.29983309E8"/>
        <n v="1.25342709E8"/>
        <n v="1.22735709E8"/>
        <n v="1.15531209E8"/>
        <n v="1.15591909E8"/>
        <n v="1.12714009E8"/>
        <n v="1.11697509E8"/>
        <n v="1.08043709E8"/>
        <n v="1.07327809E8"/>
        <n v="1.07581809E8"/>
        <n v="1.02282609E8"/>
        <n v="9.5423209E7"/>
        <n v="9.1819709E7"/>
        <n v="8.2236309E7"/>
        <n v="8.0998609E7"/>
        <n v="7.0423809E7"/>
        <n v="5.8570609E7"/>
        <n v="5.6603609E7"/>
        <n v="5.4787109E7"/>
        <n v="4.8859509E7"/>
        <n v="4.0670409E7"/>
        <n v="3.9879809E7"/>
        <n v="3.3424709E7"/>
        <n v="3.2644409E7"/>
        <n v="2.8090909E7"/>
        <n v="2.0116209E7"/>
        <n v="2.0348309E7"/>
        <n v="1.6502609E7"/>
        <n v="1.1777609E7"/>
        <n v="9269409.0"/>
        <n v="9518409.0"/>
        <n v="5625709.0"/>
        <n v="1.86639008E8"/>
        <n v="1.82749508E8"/>
        <n v="1.62114608E8"/>
        <n v="1.60051508E8"/>
        <n v="1.59479208E8"/>
        <n v="1.52494608E8"/>
        <n v="1.52368308E8"/>
        <n v="1.52464708E8"/>
        <n v="1.37113208E8"/>
        <n v="1.36611408E8"/>
        <n v="1.28334208E8"/>
        <n v="1.22355008E8"/>
        <n v="1.19425508E8"/>
        <n v="1.16404708E8"/>
        <n v="9.4306208E7"/>
        <n v="8.81874308E8"/>
        <n v="8.1947208E7"/>
        <n v="7.6302208E7"/>
        <n v="6.2576608E7"/>
        <n v="5.2498908E7"/>
        <n v="5.1417008E7"/>
        <n v="3.2223108E7"/>
        <n v="2.6740208E7"/>
        <n v="2.5524808E7"/>
        <n v="2.19790008E8"/>
        <n v="839028.0"/>
        <n v="7143608.0"/>
        <n v="1.90773207E8"/>
        <n v="1.53198907E8"/>
        <n v="1.38627007E8"/>
        <n v="1.36079707E8"/>
        <n v="1.19818907E8"/>
        <n v="1.18920907E8"/>
        <n v="1.12773907E8"/>
        <n v="1.07981607E8"/>
        <n v="1.07479507E8"/>
        <n v="9.8260207E7"/>
        <n v="9.6935007E7"/>
        <n v="8.4230307E7"/>
        <n v="8.1607707E7"/>
        <n v="7.9542707E7"/>
        <n v="7.4313707E7"/>
        <n v="6.9483207E7"/>
        <n v="6.8594007E7"/>
        <n v="6.5913307E7"/>
        <n v="6.4609707E7"/>
        <n v="5.9821907E7"/>
        <n v="5.5773407E7"/>
        <n v="5.3207807E7"/>
        <n v="4.1346907E7"/>
        <n v="2.0557707E7"/>
        <n v="1.2751707E7"/>
        <n v="3998207.0"/>
        <n v="3392207.0"/>
        <n v="1.97202506E8"/>
        <n v="9.2666106E7"/>
        <n v="1.64481806E8"/>
        <n v="1.63662206E8"/>
        <n v="1.64009106E8"/>
        <n v="1.60660406E8"/>
        <n v="1.48156706E8"/>
        <n v="1.43962206E8"/>
        <n v="1.37251106E8"/>
        <n v="1.30868306E8"/>
        <n v="1.22777506E8"/>
        <n v="1.20294106E8"/>
        <n v="1.19329906E8"/>
        <n v="1.18005606E8"/>
        <n v="1.18327206E8"/>
        <n v="1.15755806E8"/>
        <n v="1.07824206E8"/>
        <n v="1.03944906E8"/>
        <n v="9.5120206E7"/>
        <n v="9.3829706E7"/>
        <n v="8.8933206E7"/>
        <n v="8.5131306E7"/>
        <n v="8.4848906E7"/>
        <n v="7.8020306E7"/>
        <n v="6.9428906E7"/>
        <n v="6.2840506E7"/>
        <n v="5.3261906E7"/>
        <n v="5.1744806E7"/>
        <n v="4.2016506E7"/>
        <n v="3.9877906E7"/>
        <n v="3.0371506E7"/>
        <n v="2.1933806E7"/>
        <n v="1.8268706E7"/>
        <n v="1.3033806E7"/>
        <n v="2004806.0"/>
        <n v="1.93131105E8"/>
        <n v="1.93231905E8"/>
        <n v="1.88502605E8"/>
        <n v="1.83852305E8"/>
        <n v="1.79844005E8"/>
        <n v="1.69240405E8"/>
        <n v="1.63031105E8"/>
        <n v="1.38241605E8"/>
        <n v="1.52782805E8"/>
        <n v="1.25292305E8"/>
        <n v="1.22380905E8"/>
        <n v="1.20398305E8"/>
        <n v="1.13549405E8"/>
        <n v="1.12382105E8"/>
        <n v="1.10924105E8"/>
        <n v="1.10403105E8"/>
        <n v="1.09574205E8"/>
        <n v="1.07632105E8"/>
        <n v="1.03365905E8"/>
        <n v="1.00573705E8"/>
        <n v="9.4050605E7"/>
        <n v="8.8385705E7"/>
        <n v="8.5495805E7"/>
        <n v="8.0613005E7"/>
        <n v="6.6529405E7"/>
        <n v="6.3489305E7"/>
        <n v="5.3339905E7"/>
        <n v="5.2104805E7"/>
        <n v="4.8422305E7"/>
        <n v="4.0489405E7"/>
        <n v="3.8929805E7"/>
        <n v="3.5678805E7"/>
        <n v="3.2456405E7"/>
        <n v="3.0500705E7"/>
        <n v="2.8841605E7"/>
        <n v="2.4094505E7"/>
        <n v="2.1966005E7"/>
        <n v="1517405.0"/>
        <n v="1027805.0"/>
      </sharedItems>
    </cacheField>
    <cacheField name="LOCATION">
      <sharedItems containsBlank="1" containsMixedTypes="1" containsNumber="1" containsInteger="1">
        <s v="7000 CULLEN BLVD"/>
        <s v="6300 DUMFRIES DR"/>
        <s v="6500 CAPRIDGE DR"/>
        <m/>
        <s v="8600 S BRAESWOOD BLVD"/>
        <s v="3800 NOAH ST"/>
        <s v="11700 NORTH FWY OB"/>
        <s v="7900 LANE ST"/>
        <s v="800 GAZIN"/>
        <s v="400 GREENS RD #2008"/>
        <s v="12300 BRAESRIDGE DR"/>
        <s v="20100 NORTH FWY IB"/>
        <s v="3900 YELLOWSTONE BLVD"/>
        <s v="2300 FANNIN ST"/>
        <s v="8100 MARTIN LUTHER KING BLVD"/>
        <s v="11000 SPOTTSWOOD DR"/>
        <s v="5700 PERSHING ST"/>
        <s v="1400 LOCKWOOD DR"/>
        <s v="400 UVALDE RD"/>
        <s v="3900 TRISTAN ST"/>
        <s v="10700 S. Gessner"/>
        <s v="16100 S POST OAK RD"/>
        <s v="2400 CHARLES RD"/>
        <s v="2400 Hutton"/>
        <s v="6400 S GESSNER RD"/>
        <s v="10000 SOUTHWEST FWY OB"/>
        <s v="9300 BISSONNET ST"/>
        <s v="5900 SELINSKY RD"/>
        <s v="2600 ALABAMA ST"/>
        <s v="5200 AIRLINE DR"/>
        <s v="10600 BEECHNUT ST"/>
        <s v="12200 BISSONNET ST"/>
        <s v="200 TURNER DR"/>
        <s v="7800 HARDING ST"/>
        <s v="11000 SOUTHWEST FWY OB"/>
        <s v="100 E 44TH ST"/>
        <s v="13300 ALMEDA RD"/>
        <s v="7600 HARRISBURG BLVD"/>
        <s v="12300 BELLAIRE BLVD"/>
        <s v="7100 Beechnut"/>
        <s v="2800 Eagle Creek"/>
        <s v="2500 WINROCK BLVD"/>
        <s v="3000 ELGIN ST"/>
        <s v="16500 Tiffany Court"/>
        <s v="4600 Tidwell"/>
        <s v="7800 W BELLFORT AVE"/>
        <s v="8600 Helmers St"/>
        <s v="3434 Tidwell Rd"/>
        <s v="10800 Sabo Rd"/>
        <s v="10898 Beechnut Street"/>
        <s v="9421 Cullen Blvd"/>
        <s v="16800 Imperial Valley"/>
        <s v="12503 Mews Cir #503C"/>
        <s v="8700 South Braeswood"/>
        <s v="5400 Bellaire Blvd"/>
        <s v="5801 N. Houston Rosslyn Road #101"/>
        <s v="4500 Sunburst"/>
        <s v="5104 Almeda"/>
        <s v="11655 Briar Forest Dr."/>
        <s v="14874 Estrellita"/>
        <s v="15906 Blue Ridge"/>
        <s v="6902 Highway 6 N"/>
        <s v="2600 Mayview Dr"/>
        <s v="7600 East Houston Rd"/>
        <s v="7800 N LOOP E"/>
        <s v="8710 Sterlingame Dr."/>
        <s v="Protected By Law"/>
        <s v="15950 SW FWY"/>
        <s v="16250 Imperial Valley Dr."/>
        <s v="301 Benmar"/>
        <s v="10235 Almeda Genoa"/>
        <s v="11603 Riderwood Dr"/>
        <s v="5450 Weslayan St."/>
        <s v="7500 Bellaire Blvd."/>
        <s v="6300 Airline Dr."/>
        <s v="1100 W ALABAMA"/>
        <s v="6700 Cullen Blvd"/>
        <s v="12816 Kingsbridge"/>
        <s v="3409 Cavalcade"/>
        <s v="13210 Memorial Dr."/>
        <s v="3600 Gano St."/>
        <s v="6700 Joyner"/>
        <s v="9600 N. Wayside"/>
        <s v="5098 Bingle"/>
        <s v="6027 Ledbetter"/>
        <s v="19732 Tomball Pkwy Outbound"/>
        <s v="200 S. 70th"/>
        <s v="11300 North Fwy"/>
        <s v="3400 Eastex Fwy SR OB"/>
        <s v="7110 Mykawa Rd."/>
        <s v="5420 N. Hwy 6"/>
        <s v="7129 Lawndale"/>
        <s v="935 WOOLWORTH"/>
        <s v="6011 Van Zandt"/>
        <s v="3800 Hickok Ln."/>
        <s v="4002 Corder"/>
        <s v="10079 Briarwild Ln."/>
        <s v="3200 Drew"/>
        <s v="13630 Veterans Memorial"/>
        <s v="913 Panama"/>
        <s v="7844 W Tidwell"/>
        <s v="777 Bateswood"/>
        <s v="7753 LEONARA"/>
        <s v="10011 Hanka"/>
        <s v="6400 Hillcroft"/>
        <s v="4926 Chennault"/>
        <s v="1401 St. Joseph Pkwy"/>
        <s v="3608 Crane St."/>
        <s v="4100 Hoffman"/>
        <s v="9900 BEECHNUT ST"/>
        <s v="10234 Tangiers"/>
        <s v="6200 Gulfton"/>
        <s v="1200 Tiny Tree Dr"/>
        <s v="115 E. Canino"/>
        <s v="12700 South Green"/>
        <s v="2203 Gessner"/>
        <s v="15100 Wallisville"/>
        <s v="3 GREENS RD"/>
        <s v="11959 SOUTH SAM HOUSTON PARKWAY W"/>
        <s v="8425 WINKLER DR"/>
        <s v="800 N LOOP E"/>
        <s v="12810 GULF FWY OB"/>
        <s v="14121 ELLA BLVD"/>
        <s v="16272 IMPERIAL VALLEY DR"/>
        <s v="10902 MONTVERDE LN"/>
        <s v="13333 NORTHBOROUGH DR"/>
        <s v="400 N SAM HOUSTON PKWY E"/>
        <s v="14600 BUFFALO SPEEDWAY"/>
        <s v="12919 WINDFERN"/>
        <s v="10650 HEMPSTEAD RD"/>
        <s v="3100 F.M. 1960"/>
        <s v="4000 AIRLINE DR"/>
        <s v="1100 OLIVER"/>
        <s v="6790 SOUTHWEST FWY OB"/>
        <s v="11703 KIRKMEADOW DR"/>
        <s v="19210 GULF FWY OB"/>
        <s v="4830 HOLLOWAY DR"/>
        <s v="1903 ROSEWOOD LN"/>
        <s v="11960 AIRLINE DR"/>
        <s v="14700 REDBUD"/>
        <s v="2903 FANNIN"/>
        <s v="10406 AMBLEWOOD DR"/>
        <s v="3103 Dacca Drive"/>
        <s v="6406 BELARBOR ST"/>
        <s v="6211 COLLINGSWORTH"/>
        <s v="11050 SOUTHWEST FWY OB"/>
        <s v="2219 Stevens"/>
        <s v="9638 PLAINFIELD"/>
        <s v="7300 ARDMORE ST"/>
        <s v="914 DALLAS ST"/>
        <s v="700 W GULF BANK RD"/>
        <s v="6568 T.C.JESTER BLVD."/>
        <s v="3900 PORTSMOUTH"/>
        <s v="855 GREENS RD"/>
        <s v="9220 NATHANIEL"/>
        <s v="5700 W LITTLE YORK RD"/>
        <s v="08125 MILLS"/>
        <s v="10516 KATY FWY OB"/>
        <s v="12606 WESTPARK DR"/>
        <s v="3528 N BRAESWOOD BLVD"/>
        <s v="7001 HILLCROFT"/>
        <s v="6800 MISTY MORNING TRACE"/>
        <s v="14001 FONDREN RD"/>
        <s v="10225 SCOTT"/>
        <s v="6060 GULFTON"/>
        <s v="2600 HADLEY ST"/>
        <s v="00000 OUTSIDE"/>
        <s v="13600 EAST FWY OB"/>
        <s v="2000 ALLEN PKWY OB"/>
        <s v="9290 WOODFAIR DR"/>
        <s v="13662 WESTHEIMER RD"/>
        <s v="660 MAXEY RD"/>
        <s v="5725 FONDREN RD"/>
        <s v="8875 W BELLFORT ST"/>
        <s v="16031 CLARKE SPRINGS DR"/>
        <s v="12710 BRANT ROCK DR"/>
        <s v="7044 FM 1960 E, Humble, TX"/>
        <s v="05887 WESTHEIMER RD B"/>
        <s v="4700 ALLEN ST"/>
        <s v="4700 WENDA"/>
        <s v="7411 BANYAN ST"/>
        <s v="JACINTO CITY TEXAS"/>
        <s v="6725 SHERWOOD DR"/>
        <s v="600 SADDLE ROCK DR"/>
        <s v="5800 W AIRPORT BLVD"/>
        <s v="4911 DUMFRIES DR"/>
        <s v="1500 WASHINGTON AVE"/>
        <s v="15707 EASTEX FWY SER W"/>
        <s v="2900 S GESSNER DR"/>
        <s v="11800 TAYLORCREST"/>
        <s v="614 W GREENS RD"/>
        <s v="10919 SAGETRAIL DR"/>
        <s v="2200 BASTROP ST"/>
        <s v="1018 S GESSNER DR"/>
        <s v="1500 W BAY AREA BLVD"/>
        <s v="1500 Ruthven"/>
        <s v="10900 Gulf Freeway"/>
        <s v="4827 Brisbane"/>
        <s v="6910 Old North Belt Dr."/>
        <s v="7313 Northline"/>
        <s v="12810 Ashford Pine Dr."/>
        <s v="3300 Sampson"/>
        <s v="5800 South Gessner"/>
        <s v="4309 Polk"/>
        <s v="2002 Dowling"/>
        <s v="2100 Cambridge St"/>
        <s v="8826 Beechnut"/>
        <s v="4527 Lomitas"/>
        <s v="1500 Nagle"/>
        <s v="6000 Black Maple"/>
        <s v="4700 Gloryland"/>
        <s v="11727 W. Sam Houston Pkwy"/>
        <s v="3100 Old Spanish Trail"/>
        <s v="1600 N Wayside"/>
        <s v="1000 McGowan"/>
        <s v="7200 Bissonnet Street"/>
        <s v="6000 Hollister"/>
        <s v="10001 Westpark"/>
        <s v="15800 Blueridge Rd"/>
        <s v="2610 Beatty"/>
        <s v="2019 Dewalt St"/>
        <s v="11200 Fondren Rd"/>
        <s v="1467 Main"/>
        <s v="9200 N. Wayside"/>
        <s v="17300 Tomball Parway Service Rd"/>
        <s v="10550 Gulf Freway"/>
        <s v="5335 Gulf Freeway"/>
        <s v="9755 Court Glen"/>
        <s v="5400 Wilmington"/>
        <s v="10531 Gulf Freeway"/>
        <s v="5003 Ridgecreek Dr"/>
        <s v="8301 Allwood St"/>
        <s v="3820 Sherwood Ln"/>
        <s v="13106 Abalone Way"/>
        <s v="7024 Lawndale"/>
        <s v="9810 Gulf Freeway"/>
        <s v="17595 Tomball Parkway"/>
        <s v="9300 Tidwell"/>
        <s v="4506 Sherwood"/>
        <s v="3322 Yellowstone"/>
        <s v="500 Rusk St"/>
        <s v="3000 Oklahoma"/>
        <s v="9700 Braeburn Glen"/>
        <s v="10200 Forum Park"/>
        <s v="7221 Weyburn St"/>
        <s v="600 Mercury"/>
        <s v="1600 Dunaway St"/>
        <s v="17435 Imperial Valley"/>
        <s v="4401 W. 18TH ST"/>
        <s v="4537 Bricker"/>
        <s v="5114 Georgia"/>
        <s v="8100 Schneider"/>
        <s v="8800 Curry"/>
        <n v="7402.0"/>
        <s v="5351 W. Alabama"/>
        <s v="800 Northwest Mall"/>
        <s v="2121 Main"/>
        <s v="1 Goodson"/>
        <s v="6767 Bennington"/>
        <s v="207 Buckboard"/>
        <s v="1900 W. Gray"/>
        <s v="13824 Rosetta"/>
        <s v="3403 Mangum"/>
        <s v="3800 Jensen"/>
        <s v="9802 Forum Park"/>
        <s v="5100 Westheimer Rd"/>
        <s v="4202 Fidelity, Jacinto City"/>
        <s v="7526 Rhobell"/>
        <s v="14300 Minetta Street"/>
        <s v="4800 Laura Koppe"/>
        <s v="181 West Dyna"/>
        <s v="16206 Alden Ridge"/>
        <s v="4000 Southwest Freeway"/>
        <s v="908 Thompson"/>
        <s v="14561 Northwest Freeway"/>
        <s v="1300 W. Donovan St"/>
        <s v="550 F.M. 1959"/>
        <s v="8221 Gulf Freeway"/>
        <s v="600 Greenspoint"/>
        <s v="2900 W. Sam Houston Pkwy"/>
        <s v="12109 Westheimer"/>
        <s v="Arlington Texas"/>
        <s v="3400 Woodchase"/>
        <s v="1200 Oak Meadows"/>
        <s v="7325 Bellerive Dr"/>
        <s v="24734 Loop 494"/>
        <s v="5200 Pederson"/>
        <s v="6900 Martin Luther King Blvd"/>
        <s v="11400 North Frwy"/>
        <s v="6710 Lectcher"/>
        <s v="1117 King Street"/>
        <s v="44 Farrell St"/>
        <s v="2001 Ojeman Rd."/>
        <s v="8900 Imogene"/>
        <s v="12964 Market Street"/>
        <s v="7300 Airport Blvd"/>
        <s v="8100 Sandspoint Dr."/>
        <s v="17200 Imperial Valley"/>
        <s v="6200 Bellaire Blvd"/>
        <s v="8435 Winkler"/>
        <s v="6418 MLK Blvd"/>
        <s v="9803 Club Creek"/>
        <s v="300 Jensen"/>
        <s v="8038 Turquoise Lane"/>
        <s v="4211 Sherwood Lane"/>
        <s v="763 Marjorie"/>
        <s v="5400 Doliver"/>
        <s v="6807 Feather Creek Drive"/>
        <s v="9191 North loop East"/>
        <s v="14909 North Freeway"/>
        <s v="3500 W. Little York"/>
        <s v="1900 Southwest Freeway"/>
        <s v="100 Goodson"/>
        <s v="2139 Lake Hills"/>
        <s v="11222 S. Sam Houston Pkwy"/>
        <s v="7100 Renwick"/>
        <s v="8301 Ley Rd"/>
        <s v="6700 Hillcroft"/>
        <s v="2901 Walnut Bend"/>
        <s v="8920 North Freeway"/>
        <s v="11685 Alief Clodine"/>
        <s v="3700 Southlawn"/>
        <s v="8710 Fondren"/>
        <s v="906 Greens Rd"/>
        <s v="8700 Fondren"/>
        <s v="7245 Hillcroft"/>
        <s v="15615 Eastex Fwy"/>
        <s v="1326 Charnwood"/>
        <s v="9338 E. Avenue O"/>
        <s v="800 Dennis"/>
        <s v="6700 Airline"/>
        <s v="8791 Hammerly"/>
        <s v="1415 Gulf Bank"/>
        <s v="6201 W. Bellfort"/>
        <s v="1162 W. Sam Houston Pkwy N."/>
        <s v="3215 Soway"/>
        <s v="4605 W. Tidwell"/>
        <s v="9797 Leawood Blvd"/>
        <s v="7500 Bellfort"/>
        <s v="1500 Eldridge Parkway"/>
        <s v="2330 W. Little York"/>
        <s v="6556 Peerless"/>
        <s v="5720 Rampart"/>
        <s v="3333 Old Spanish Trail"/>
        <s v="5901 Selinsky"/>
        <s v="5300 Hershe"/>
        <s v="9220 E. Ave K"/>
        <s v="3307 Hastings"/>
        <s v="5706 Richmond Ave."/>
        <s v="5400 Lockwood"/>
        <s v="800 Dallas"/>
        <s v="8500 Broadway"/>
        <s v="8135 St. Louis"/>
        <s v="200 West Loop South"/>
        <s v="1200 W. Tidwell"/>
        <s v="5800 Hillsboro"/>
        <s v="27100 Northwest Freeway"/>
        <s v="10118 Cheeves"/>
        <s v="2929 Renshaw St."/>
        <s v="5400 Malmedy"/>
        <s v="2000 Santa Rosa"/>
        <s v="8700 Broadway"/>
        <s v="6000 T. C. Jester"/>
        <s v="10500 Wolbrook"/>
        <s v="200 Stafford"/>
        <s v="7373 N. Wayside"/>
        <s v="4400 Mowery"/>
        <s v="6600 Foster St"/>
        <s v="5900 Golf Course Dr"/>
        <s v="8900 Bissonnet"/>
        <s v="6500 Airline Dr."/>
        <s v="7200 Keller"/>
        <s v="5600 Hoover"/>
        <s v="6700 Renwick"/>
        <s v="2610 Hardy"/>
        <s v="6200 West Bellfort"/>
        <s v="7920 Harrisburg"/>
        <s v="1200 Travis"/>
        <s v="13200 Jones Road"/>
        <s v="15902 Galveston Rd"/>
        <s v="5700 South Loop East"/>
        <s v="200 Holmes Road"/>
        <s v="2800 Winbern"/>
        <s v="1100 Holland Ave."/>
        <s v="20205 Eastex Fwy"/>
        <s v="4600 Knoxville"/>
        <s v="5018 Curtain Street"/>
        <s v="10700 Rosehaven"/>
        <s v="7402 Calhoun"/>
        <s v="8000 Cook Road"/>
        <s v="4323 Osby"/>
        <s v="11430 East Freeway, Jacinto City, TX"/>
        <s v="8515 Jensen"/>
        <s v="3300 Tidwell"/>
        <s v="5600 Holly View"/>
        <s v="4100 Maury"/>
        <s v="9540 Kempwood"/>
        <s v="100 Avondale"/>
        <s v="2039 Santa Rosa"/>
        <s v="4950 Burma"/>
        <s v="3914 Leeland"/>
        <s v="8800 Airport Blvd"/>
        <s v="8700 Sandra"/>
        <s v="9715 Kirkville"/>
        <s v="2000 Baird"/>
        <s v="2820 Hillcroft"/>
        <s v="5500 Antoine"/>
        <s v="11200 Fuqua Street"/>
        <s v="2500 Woodland Park Dr"/>
        <s v="10615 Beechnut"/>
        <s v="12915 East Freeway"/>
        <s v="1300 Dart Street"/>
        <s v="4305 Haywood"/>
        <s v="4625 Laura Koppe"/>
        <s v="5700 Cherbourgh"/>
        <s v="9501 Jensen"/>
        <s v="210 Avondale"/>
        <s v="6867 Gulf Freeway"/>
        <s v="2200 Binley"/>
        <s v="4500 North Freeway"/>
        <s v="605 Frisco"/>
        <s v="12221 Fleming"/>
        <s v="4807 Heritage Plains Friendswood TX"/>
        <s v="9305 Rosehaven"/>
        <s v="2300 Mason"/>
        <s v="6500 Dunlap"/>
        <s v="1816 West Little York"/>
        <s v="3209 North Shepherd"/>
        <s v="6800 Petrie"/>
        <s v="5600 Sheraton Oaks"/>
        <s v="7400 South Hall St"/>
        <s v="3302 Creston Dr"/>
        <s v="3700 Mainer"/>
        <s v="2700 South Kirkwood"/>
        <s v="644 Barringer Ln"/>
        <s v="12510 South Green"/>
        <s v="9421 Richmond"/>
        <s v="11300 Sandhurst Dr"/>
        <s v="9305 Ronda Lane"/>
        <s v="10200 Forum Park West Dr"/>
        <s v="10830 Bellaire"/>
        <s v="11000 Westheimer"/>
        <s v="4900 Saxon"/>
        <s v="10202 CLub Creek"/>
        <s v="588 Parkfront"/>
        <s v="4935 W. Orem"/>
        <s v="8400 S. Gessner"/>
        <s v="3100 Rogerdale Rd"/>
        <s v="12500 Westheimer"/>
        <s v="4619 West 34th St"/>
        <s v="2100 Nina Lee"/>
        <s v="9621 Radio St."/>
        <s v="7710 Claiborne"/>
        <s v="1915 Mangum"/>
        <s v="9700 Leawood Blvd"/>
        <s v="10700 Fondren"/>
        <s v="7900 Garland Dr"/>
        <s v="3333 Telephone Road"/>
        <s v="Hwy 6 / Brazoria County Rd 824"/>
      </sharedItems>
    </cacheField>
    <cacheField name="SEX" numFmtId="0">
      <sharedItems containsBlank="1">
        <s v="M"/>
        <m/>
        <s v="F"/>
        <s v="Juvenile"/>
        <s v="U"/>
      </sharedItems>
    </cacheField>
    <cacheField name="RACE" numFmtId="0">
      <sharedItems containsBlank="1">
        <s v="H"/>
        <m/>
        <s v="B"/>
        <s v="A"/>
        <s v="W"/>
        <s v="U"/>
        <s v="Juvenile"/>
      </sharedItems>
    </cacheField>
    <cacheField name="AGE">
      <sharedItems containsBlank="1" containsMixedTypes="1" containsNumber="1" containsInteger="1">
        <n v="26.0"/>
        <n v="18.0"/>
        <s v="U"/>
        <m/>
        <n v="38.0"/>
        <n v="30.0"/>
        <n v="48.0"/>
        <n v="28.0"/>
        <n v="36.0"/>
        <n v="34.0"/>
        <n v="27.0"/>
        <n v="37.0"/>
        <n v="45.0"/>
        <n v="43.0"/>
        <n v="17.0"/>
        <n v="32.0"/>
        <n v="41.0"/>
        <n v="60.0"/>
        <n v="25.0"/>
        <n v="24.0"/>
        <n v="23.0"/>
        <n v="35.0"/>
        <n v="19.0"/>
        <n v="59.0"/>
        <n v="58.0"/>
        <n v="39.0"/>
        <n v="61.0"/>
        <n v="16.0"/>
        <n v="33.0"/>
        <n v="6.0"/>
        <n v="56.0"/>
        <n v="54.0"/>
        <s v="UNK"/>
        <n v="21.0"/>
        <n v="22.0"/>
        <s v="Juvenile"/>
        <n v="42.0"/>
        <n v="29.0"/>
        <n v="46.0"/>
        <n v="20.0"/>
        <n v="49.0"/>
        <n v="47.0"/>
        <n v="40.0"/>
        <n v="63.0"/>
        <n v="55.0"/>
        <n v="31.0"/>
        <n v="44.0"/>
        <n v="52.0"/>
        <n v="14.0"/>
        <n v="15.0"/>
        <n v="51.0"/>
        <n v="69.0"/>
        <n v="57.0"/>
        <n v="67.0"/>
        <n v="53.0"/>
        <n v="77.0"/>
      </sharedItems>
    </cacheField>
    <cacheField name="INJURY">
      <sharedItems containsBlank="1" containsMixedTypes="1" containsNumber="1" containsInteger="1">
        <s v="Wounded"/>
        <s v="Killed"/>
        <m/>
        <s v="None"/>
        <n v="1.0"/>
        <n v="2.0"/>
        <s v="Unknown"/>
        <s v="S"/>
      </sharedItems>
    </cacheField>
    <cacheField name="WEAPON" numFmtId="0">
      <sharedItems containsBlank="1">
        <s v="Other"/>
        <s v="Firearm"/>
        <m/>
        <s v="Knife"/>
        <s v="None"/>
        <s v="Hands and/or Feet"/>
        <s v="ther"/>
        <s v="Unknown"/>
        <s v="Scissors and screwdriver"/>
        <s v="Vehicle"/>
        <s v="Machete"/>
        <s v="Pellet Gun"/>
        <s v="Tuning fork"/>
        <s v="Physical Force"/>
        <s v="Hammer"/>
        <s v="Realistic BB gun"/>
        <s v="Metal Pole"/>
        <s v="BB Gun"/>
        <s v="Lumber"/>
        <s v="Glass Shard"/>
        <s v="Scissors"/>
        <s v="Pen"/>
        <s v="Toy Gun"/>
        <s v="Hairbrush"/>
        <s v="CED Device"/>
        <s v="Srewdriver"/>
        <s v="Bow and Arrow"/>
        <s v="Sword"/>
        <s v="Screwdriver"/>
        <s v="Flashlight"/>
        <s v="Club"/>
        <s v="Taser"/>
        <s v="Tool"/>
        <s v="Pipe"/>
        <s v="Toy Pistol"/>
        <s v="Stick - Said Gun"/>
      </sharedItems>
    </cacheField>
    <cacheField name="sex2" numFmtId="0">
      <sharedItems containsBlank="1">
        <s v="M"/>
        <s v="F"/>
        <m/>
      </sharedItems>
    </cacheField>
    <cacheField name="race2" numFmtId="0">
      <sharedItems containsBlank="1">
        <s v="W"/>
        <s v="B"/>
        <s v="H"/>
        <s v="P"/>
        <s v="A"/>
        <m/>
      </sharedItems>
    </cacheField>
    <cacheField name="age2" numFmtId="0">
      <sharedItems containsString="0" containsBlank="1" containsNumber="1" containsInteger="1">
        <n v="22.0"/>
        <n v="35.0"/>
        <n v="31.0"/>
        <n v="26.0"/>
        <n v="39.0"/>
        <n v="34.0"/>
        <n v="28.0"/>
        <n v="33.0"/>
        <n v="24.0"/>
        <n v="46.0"/>
        <n v="54.0"/>
        <n v="41.0"/>
        <n v="50.0"/>
        <n v="29.0"/>
        <n v="23.0"/>
        <n v="38.0"/>
        <n v="37.0"/>
        <n v="27.0"/>
        <n v="42.0"/>
        <n v="30.0"/>
        <m/>
        <n v="25.0"/>
        <n v="44.0"/>
        <n v="56.0"/>
        <n v="5.0"/>
        <n v="53.0"/>
        <n v="51.0"/>
        <n v="49.0"/>
        <n v="36.0"/>
        <n v="32.0"/>
        <n v="57.0"/>
        <n v="47.0"/>
        <n v="43.0"/>
        <n v="48.0"/>
        <n v="40.0"/>
        <n v="52.0"/>
        <n v="45.0"/>
        <n v="58.0"/>
        <n v="59.0"/>
        <n v="55.0"/>
      </sharedItems>
    </cacheField>
    <cacheField name="injury2" numFmtId="0">
      <sharedItems containsBlank="1">
        <s v="None"/>
        <s v="Wounded"/>
        <m/>
        <s v="Killed"/>
      </sharedItems>
    </cacheField>
    <cacheField name="ON DUTY" numFmtId="0">
      <sharedItems containsBlank="1">
        <s v="Y"/>
        <s v="N"/>
        <m/>
      </sharedItems>
    </cacheField>
    <cacheField name="RESPONSE TYPE" numFmtId="0">
      <sharedItems containsBlank="1">
        <s v="Emergency Call"/>
        <s v="Traffic Stop"/>
        <s v="Other"/>
        <s v="Warrant"/>
        <m/>
        <s v="Emer Call"/>
        <s v="ER"/>
      </sharedItems>
    </cacheField>
    <cacheField name="NUM OF OFFICERS">
      <sharedItems containsBlank="1" containsMixedTypes="1" containsNumber="1" containsInteger="1">
        <n v="1.0"/>
        <s v="2 or More"/>
        <m/>
      </sharedItems>
    </cacheField>
    <cacheField name="Synopsis" numFmtId="0">
      <sharedItems containsBlank="1">
        <s v="An officer was conducting a traffic stop and had two persons detained when an unrelated suspect ambushed the officer and struck him with a pipe. The officer shot the suspect who was transported to Ben Taub.&#10;"/>
        <s v="An officer observed a traffic violation, turned on his emergency lights and sirens, and attempted to pull the vehicle over on a traffic stop. The driver ignored the officer’s commands to pull over and began to actively flee. After 1.5 miles, the suspect s"/>
        <s v="Officers were dispatched to a suicide threat with a weapon. A female caller reported that her husband had a gun, was highly emotional, and just discharged the weapon. Upon officers’ arrival, they observed the suspect walking with a handgun in his right ha"/>
        <m/>
        <s v="HPD officers responded to a suspicious person with a knife call but did not locate the suspect at that location. One officer canvassed the area and saw a witness who stated the suspect stabbed an elderly female before entering her vehicle. The elderly fem"/>
        <s v="Officers responded to a suspicious person with a weapon, located the suspect, and gave him verbal commands to cooperate. The suspect ignored the officer and started to approach him. The officer saw what appeared to be a pistol in the suspect’s front pocke"/>
        <s v="An HPD officer conducted a traffic stop and conducted a DWI investigation. The officer attempted to place the suspect under arrest and a physical altercation ensued. During this confrontation, the suspect was able to gain possession of the officer’s taser"/>
        <s v="Officers dispatched to a suspicious person with a weapon. The suspect was shooting in the air and then at officers as they arrived on scene. Officers shot and killed the suspect. Suspect had shot over fifty-five rounds of ammunition. "/>
        <s v="Houston Police Officers responded to a suicide in progress. As the officers engaged the suspect, he charged at them with a pointed object in his hand. Three officers discharged their CED’s at the suspect, which had no effect on him. Officers then discharg"/>
        <s v="Officers responded to call concerning a suspicious person with a weapon. Officers found the suspect and he ran into the park. While running from officers, he pulled a gun out of his pants. Officers fired several shots at the suspect, but missed. The suspe"/>
        <s v="HPD officers arrived at the residence to locate a wanted fugitive. Upon officers’ arrival, they surrounded the residence, knocked, and announced their presence as, “Houston Police.&quot; Officers were met by several family members who would not confirm whether"/>
        <s v="On off-duty officer was in the parking of a gym when a suspect, armed with a knife, charged at the officer. In fear of his life and the life of a Precinct 4 Deputy, the officer shot the suspect multiple times. The suspect is expected to survive his injuri"/>
        <s v="The officers pulled a car over for a broken headlight. The car turned onto a side street when the suspect and his mother jumped out of the car. After getting out of the car, the suspect pulled a pistol and shot at the officers as they tried to get out of "/>
        <s v="Houston Police officers responded to an assault in progress with a weapon. The responding officers met with the homeowner. As officers were checking the perimeter of the residence, they encountered a male in the backyard holding a semiautomatic weapon to "/>
        <s v="A Pasadena officer stopped a vehicle on traffic and learned it was involved in an Aggravated Robbery. After being asked to exit the vehicle, the driver sped off. A vehicle pursuit ensued into the City of Houston and HPD officers joined the chase. At one p"/>
        <s v="HPD officers outside the city limits of Houston were part of a crime initiative in Harris County. They stopped and asked the male suspect to step out of the car. The suspect pulled out a pistol, stepped out of the car, and fired his weapon at the officers"/>
        <s v="A citizen flagged down HPD officers regarding a suspicious male with a weapon. In a marked patrol car, officers approached the suspect who immediately fled on foot. Officers pursued the suspect on foot ordering him to stop and not reach for a weapon. As t"/>
        <s v="A vehicle pursuit ensued after officers attempted to apprehend three suspects about to rob an armored truck. After officers performed a PIT maneuver and stopped the suspect vehicle, the front seat passenger, armed with an AR style rifle, opened his door a"/>
        <s v="HPD officers responded to a complainant in the middle of the street with a gun pointed to his head. The complainant was speaking with someone on the phone who was trying to help him. As the officers began to speak with the male and set up a perimeter, the"/>
        <s v="Officer was notifed by a citizen that there was an armed individual in the area who was discharging a firearm. The officer along with backup went to the loaction where the individual was reported to be and found the suspect who was armed with a shotgun. T"/>
        <s v="Houston Police officers observed a vehicle described in a recent robbery. They stopped the vehicle, and the front passenger ran causing officers to pursue on foot. The back-seat passenger also fled on foot. One officer attempted to take the driver into cu"/>
        <s v="Houston Police officers attempted a traffic stop but the suspect sped off. When officers finally caught up to the driver, the suspect exited his vehicle with a revolveer and started shooting towards the officers, striking one officer in the arm. All three"/>
        <s v="Officers conducted a felony stop on two suspects driving a stolen vehicle. Officers arrested the driver, but the front passenger fled to a Burger King parking lot and tried to steal a vehicle from someone waiting in the drive through lane. A pursing offic"/>
        <s v="HPD officers responded to a suspicious person with a weapon. When the officers arrived on the scene, they observed a male matching the description of the suspect and confronted him. The officers observed that the suspect was armed with a gun and appeared "/>
        <s v="Officers were investigating in known drug trafficking area and approached a male who was leaning into the driver door of a vehicle in a parking lot. As the officer and sergeant exited their marked patrol vehicle and summoned the suspect to approach them, "/>
        <s v="HPD officers responded to a burglar alarm and noticed a large hole as well as a light moving around inside the business. As officers attempted to set up a perimeter, one of the suspect’s hands came out from the hole in the building. The officer ordered th"/>
        <s v="Two officers working an extra-job confronted a suspect firing at vehicle in an apartment complex. The shooter turned and ran towards a group of people who were in the area. In fear of the safety of those citizens, the officer discharged his duty weapon mu"/>
        <s v="HPD officers were following a vehicle with suspects believed to be involved in numerous robberies in the area. Officers observed several of the suspects exit the vehicle and rush into a game room and commit an aggravated robbery. The suspects fled in two "/>
        <s v="An officer observed a suspect who had recently fled a scene. The suspect exited his vehicle, ignored the officer’s commands, and charged him while reaching into his waistband. In fear of his life, the officer discharged his firearm, missed, and struggled "/>
        <s v="Narcotics officers, with patrol officers on the scene to provide support, announced themselves at the suspects' home and immediately upon breaching the door came under fire from one or two suspects inside the home. Four Houston police officers were shot a"/>
        <s v="Houston Police officers were dispatched to a call regarding a suspicious male with a gun. The caller stated the suspect was walking inside the hotel with a gun in his hand. Officers arrived and made contact with the suspect. The suspect ran from police, a"/>
        <s v="Houston Police Officers were dispatched to a shooting that just occurred. Three individuals were shot by the suspect at that location. Officers located the suspect and approached him as he was struggling with a female. One officer gave the suspect verbal "/>
        <s v="An individual flagged down an HPD officer and told him a man had a knife and was sitting in a car that did not belong to him. The officer observed the suspect exit the vehicle and charge toward him with the knife. In fear of his, the officer discharged hi"/>
        <s v="While HPD SWAT officers were attempting to affect an arrest, a suspect fired a handgun at least two times at the SWAT officers. One of the SWAT officers defended himself and the other officers on the scene by returning fire, killing the suspect. A second "/>
        <s v="Patrol officers responded to a shooting call where a suspect had fled a café to an adjacent gameroom. An officer saw the suspect and ordered him to drop his weapon but the suspect fired a single shot which prompted the officer to return fire. When SWAT ar"/>
        <s v="An officer was dispatched regarding an unknown white male walking around in the street and striking passing cars with a flag pole. The officer approached the male on foot who then attacked the officer and knocked her down. The male was able to wrap his ar"/>
        <s v="Houston Police officers were dispatched to a welfare check because a suspect was armed and was reported to have cut himself. Upon arrival, patrol officers made contact with a family member of the suspect who stated he was suffering from a psychological cr"/>
        <s v="Officers were dispatched to a possible hostage situation at an apartment. After they arrived, they knocked on the front door and heard a gunshot inside and a woman scream. After the officers forced entry, the suspect fired multiple times at them and misse"/>
        <s v="While patrolling, an HPD officer observed an individual standing in a parking lot holding a handgun and pointing it at individuals. Officer Solis exited his patrol vehicle, drew his duty weapon, and pointed it at the suspect while giving verbal commands. "/>
        <s v="Officers were dispatched to a suspicious person with a weapon call. Upon arrival at the scene, the officers learned where the gunshots were coming from, approached, and heard the suspect yelling at the officers. The officers requested the suspect to come "/>
        <s v="Officers were patrolling the area when they spotted two masked suspects entering a Family Dollar store. The officers believed this to be a possible robbery in progress so they set up a perimeter outside the front of the store. The two suspects entered the"/>
        <s v="An HPD officer was assisting in an investigation, regarding a vehicle that was stolen during an Aggravated-Robbery. The officer approached the driver of the vehicle at which point the driver sped towards the direction of the officer. The officer, in fear "/>
        <s v="The officer responded to a call regarding an aggravated robbery. The officer was informsed that the suspect was armed with a firearm and was given a description of the suspect. The officers searched for and located the suspect and when they confronted him"/>
        <s v="Officer was at a Wells Fargo bank when he spotted a masked suspect attempting to steal a woman's purse from her hands. The officer ordered him to stop at which point the suspect reached for a weapon as he jumped into a waiting vehicle. The officer then sa"/>
        <s v="Officers were dispatched to a call regarding a citizen folloing a vehicle that was reported stolen. The officer located the vehicle at a loacal gas station and attempted to keep the vehicle in the parking lot by blocking it in. The suspect then began to d"/>
        <s v="An officer was rendering aid to a person down at a Walgreens. The officer heard several gunshots across the street and went to investigate. The officer located the suspect and ordered him to stop. The suspect then turned around quickly and began to raise "/>
        <s v="Officers were in the course of conducting an investigation when a black vehicle backed up towards them at a high rate of speed. The vehicle struck a female who had been detained by the officers as well as the officer’s patrol vehicle. The vehicle then beg"/>
        <s v="After refusing to obey officers’ commands to drop his firearm, the suspect turned towards officers and pointed it at them. In fear of their lives, HPD officers shot at the suspect injuring him. The suspect survived his injury.&#10;"/>
        <s v="An HPD officer was giving commands to a suspect who then reached into his waistband a produced a black object which appeared to be a weapon. While gaining distance from the suspect, the officer fired one time but missed. Neither the suspect nor the office"/>
        <s v="Officers located a suspect identified in a aggravated robbery to be walking with a gun in his hand eastbound across the freeway towards businesses. The suspect refused to obey officers’ commands and fled on foot. The suspect, still holding his weapon and "/>
        <s v="Patrol Officers were responding to a disturbance with a weapon call regarding a male pointing a gun. Officers located a male that matched the description walking who ignored several verbal commands to get on the ground. The suspect reached behind his back"/>
        <s v="Officers were dispatched to a robbery in progress and upon arrival at the location observed a suspect matching the description of the robbery suspect. The suspect was observed to have a weapon, thought to be a knife, in each hand (later identifed as a scr"/>
        <s v="HPD officers encountered a suspect armed with a machete and chasing a complainant in the roadway. The suspect ignored the officers’ commands and approached with the machete towards the officers who attempted to back away. When the suspect raised the weapo"/>
        <s v="During a car chase, a suspect pointed a firearm at the officer. The officer in fear of his life discharged his firearm at the suspect. As the car chase continued, the same suspect on several occasions fired upon the officer resulting in the officer discha"/>
        <s v="Officers were advised of a disturbance in the front parking lot. Officers went to the parking lot to investigate and observed the suspect approaching their direction with an assault rifle. After giving the suspect verbal commands, the suspect raised the r"/>
        <s v="An HPD officer exited the driver side of his patrol car and directed a suspect to stop walking. The suspect turned around and began reaching around his waistband area with his hands. When the officer ordered the suspect to show his hands, the suspect quic"/>
        <s v="Officers observed several black males exit a vehicle, run into the Jack In The Box, and try to rob it. Officers attempted to intervene and stop the robbery. During the process, shots were fired at multiple armed suspects. One suspect was killed, two injur"/>
        <s v="An officer requested the suspect to exit the vehicle. A struggled ensued and the suspect grabbed for a firearm at his waist at which point the officer shot the suspect who was later pronounced deceased."/>
        <s v="Officers arrived on scene and the suspect fired a round at both officers. Fearing for their lives, both officers discharged their duty weapons at the suspect. The suspect then fired a second round while walking toward them. Officers discharged additional "/>
        <s v="A police officer became involved in a vehicle pursuit with a suspect who snatched a women’s purse. On two separate occasions the suspect raised his hands with something in them. The officer in fear of his life discharged his firearm on both occasions. The"/>
        <s v="Officers were given verbal consent to check a homeowner’s shed regarding a possible burglary in progress. Upon gaining access into the shed, officers gave verbal commands to the suspect to exit but he did not comply. While attempting to detain the suspect"/>
        <s v="An officer responding to a burglary at his residence and observed the suspect walking approximately one block from his residence carrying personal items that appeared to belong to the officer. A physical altercation ensued and the suspect brandished a sil"/>
        <s v="As an officer was driving his personal car, his vehicle was struck by another motorist. Shortly after the collision, the other motorist produced a firearm while both vehicles were stuck in traffic. The HPD officer perceived a deadly threat and discharged "/>
        <s v="Officers were conducting a surveillance operation where suspects were believed to have planned an armored car robbery. As officers attempted to arrest one of the suspects, the suspect exited his vehicle with a long rife. In fear of his life, the officer s"/>
        <s v="Officers attempted to stop a speeding vehicle which failed to stop. The vehicle pulled into an apartment complex at which time the driver got out and ran on foot. The suspect was being chased by the officers when he fired a gun at them. The pursuing offic"/>
        <s v="Suspect was arrested after discharging a firearm and taking cash from register inside a fast food restaurant and fleeing to an abandoned building. While officers were establishing a perimeter around the building, two officered bumped into each other causi"/>
        <s v="While off duty, an HPD officer’s dog was bit by a loose German Shepherd. The officer knocked on the front door of the suspect’s house to gather information about the dog. The suspect got verbally abusive and the officer called 911. The suspect exited his "/>
        <s v="The suspect, wearing military-style apparel, began randomly shooting at passersby in a neighborhood strip mall. One victim was critically wounded and another was seriously wounded. Multiple officers returned fire killing the suspect. No officers were inju"/>
        <s v="Three suspects entered a jewelry store to commit an aggravated robbery. One of the suspects observed an off duty officer working an extra job at the location and pointed a firearm at the officer. The officer and suspect exchanged gunfire and all three sus"/>
        <s v="The officers were chasing the robbery suspect on foot when the suspect fired a weapon at them. One of the officers returned fire but the suspect did not stop. The foot chase ended when a K9 officer was able to apprehend the suspect. Neither the officers n"/>
        <s v="Patrol officers were dispatched to a call regarding an armed suspect. Upon arriving at the location, the officers found and confronted the suspect who was seen to have a pistol in his waistband. The officers attempted to get the suspect to raise his hands"/>
        <s v="The patrol officers on-viewed a suspect pointing a pistol directly at them. The officers stopped the patrol car and took cover behind the car doors while they attempted to get the suspect to disarm. The suspect ignored their commands and instead pointed h"/>
        <s v="Officers responding to a criminal mischief call were fired upon as they approached the residence. One of the officers returned fire as they backed away from the residence to take positions of cover. The suspect eventually surrendered after several hours o"/>
        <s v="Extra job officers on viewed several males fighting each other at a club. While attempting to break up the fight, one male reached for his waistband. Fearing for the safety of others, the officer drew his weapon. The complainant was pushed, fell into the "/>
        <s v="Police responded to an active shooter scene where a suspect walked up to a car wash and shot the complainant in the head. The suspect then grabbed an assault rifle and began shooting indiscriminatley. Three bystanders, two men and a woman, were also wound"/>
        <s v="Officers attempted to pull over a vehicle for traffic violations when suspect turned off his head lights and attempted to evade the officers. The suspect reached out from the driver’s window and fired several rounds at the pursuing officers with a handgun"/>
        <s v="The officer was following a stolen vehicle while waiting for backup units to arrive. The driver of the vehicle lost control and crashed into a fence at which time the driver fled on foot. The passenger got into the driver's seat at which time the officer "/>
        <s v="The officer shot the suspect while on a traffic stop assisting Narcotics Division officers. The suspect had reached between his legs and came up with what the officer believed was a hand gun. The suspect crashed the car after a short chase and was transpo"/>
        <s v="CRU officers working with the Robbery division officers stopped a robbery suspect. The suspect pointed a gun at the officer forcing the officer to shoot him. No officers were injured. The suspect was taken to Ben Taub and his condition is expected to surv"/>
        <s v="Officers responded to a person down call and arrived to find the suspect armed with a pistol. The officers gave verbal commands for the suspect to put down the weapon but the suspect ran towards the officers while pointing a gun at them forcing the office"/>
        <s v="Robbery suspects entered the bank with their guns drawn. An off-duty Houston police officer working security opened fire on the suspects. No injuries or arrests are reported at this time."/>
        <s v="The officers located the suspect of a shooting in progress call and saw that he was armed with a pistol. The officers told the suspect to drop his weapon but the suspect refused and instead, turned toward the officers and pointed his weapon at them forcin"/>
        <s v="The armed suspects were leaving a business that they had just robbed when they were engaged by the officers. The suspects refused to drop their weapons forcing the officers to shoot."/>
        <s v="The officer was attempting to detain a suspect who was damaging public property. The suspect charged at the officer at which time the officer attempted to use a conducted energy device to stop him but it had no effect. The suspect continued to charge at t"/>
        <s v="Southeast Patrol officers responded to a Disturbance / Weapon call. Upon arrival, two HPD sergeants discharged their duty weapons at the suspect who was armed with a shotgun. The suspect was not hit. No reports of injuries."/>
        <s v="The officers were conducing surveillance at an area business in response to a string of robberies that were occurring. The involved officer spotted two suspicious persons enter a a meat market at the location and as he approached the business to investiga"/>
        <s v="The officer saw two masked men enter the gas station. The officer belived a robbery was about to occur and as he watched them he saw one of them point a weapon at the store clerk causing him to shoot the armed suspect."/>
        <s v="Officers initiated a stop on a possible stolen vehicle. The vehicle fled and was pursued by officers until it stopped. The suspect fled into a house, came back out, and pointed a gun at the officers. Both officers fired on the suspect who dropped the gun."/>
        <s v="&quot;Northeast Officer was on a suspicious person call when the suspects shot at him. The officer was transported to Memorial Hermann hospital with a gunshot wound to the left arm. He is reported to be in stable condition. Two suspects were apprehended later "/>
        <s v="Off duty officer in plain clothes was approached by two suspects while in his vehicle. One suspect pointed a gun at the officer and demanded everything. The suspect then pulled the trigger but the weapon misfired. The officer drew his firearm and shot the"/>
        <s v="While an HPD officer was chasing a suspect attempting to climb over a fence, the officer grabbed the suspect with his free hand and upon doing so the suspect fell back off the fence into the officer. The officer's weapon discharged striking the suspect in"/>
        <s v="HPD officers were dispatched to a burglary in progress. The burglary suspect brandished a shotgun, later determined a firearm replica, and fled the scene. The suspect was later found with a kife and unresponsive to CED devises. The suspect lunged at an of"/>
        <s v="CRU officers stopped a vehicle and gave the driver repeated verbal commmands, which were ignored, to lower his window. The second officer also gave commands and saw the suspect pull out a pistol. Fearing for his and his partner's safety, the officer disch"/>
        <s v="Officers confronted robbery suspects who were leaving a Valu-Pawn they just robbed. Officers discharged their firearms striking three suspects: one died at the scene and two were life-flighted to Hermann Hospital. No officers were injured."/>
        <s v="SWAT responded to a consumer in a mental crisis who barricaded himself into a bedroom and had access to a long-gun. The suspect exited the location with a firearm, failed to follow commands, and was shot by a SWAT officer. The suspect died at the scene an"/>
        <s v="DPS and NW Patrol officers observed three suspects enter a cash store and attempt to rob it. DPS and NW officeres discharged their weapons striking the suspects when they ran at the officers with guns drawn. One suspect was killed, another wounded, and a "/>
        <s v="An HPD officer located a burglary suspect at an apartment complex on the second floor. The suspect ignored the officer’s commands, brandished a knife, and charged the officer. As a result, the officer opened fire on the suspect striking him twice in the t"/>
        <s v="Off duty HPD officer noticed a vehicle following him while driving home. Once at his house, the suspect jumped out of his vehicle with a gun and the officer shot the suspect twice. Three additional suspects were arrested by responding officers while the o"/>
        <s v="A suspect refused verbal commands to come out and raised a shotgun at the officers. One HPD sergeant sought cover and discharged his duty weapon several times but missed the suspect. After SWAT deployed tear gas, the suspect surrendered and was taken into"/>
        <s v="While two officers ran after a suspect fleeing on foot, the suspect managed to enter their police vehicle and try to run over one of the officers. The officer in fear of his life shot multiple times at the suspect. The suspect crashed, was taken into cust"/>
        <s v="Patrol officers were at a night club in the process of closing when they heard firearms discharging. As the officers approached a suspicious vehicle, the passenger discharged a pistol at the officers. The officers and a security gaurd returned fire, persu"/>
        <s v="An officer was dispatched to a weapons disturbance involving a male sitting atop a vehicle and discharging a firearm. The suspect refused the officer's verbal commands and made a movement toward the officer who then discharged his firearm, striking the su"/>
        <s v="Officers were called to a CIT patient in crisis. The suspect began to assault the officers at which time one officer discharged his taser at the suspect without any effects. The suspect continue to assault the officers, so the other officer discharged his"/>
        <s v="Officer working and extra job handling a distrubance between two males in the parking lot. A vehicle drove by the location and one occupant discharged a round towards the officer. The officer returned fire and struck the vehicle. The vehicle fled the scen"/>
        <s v="An HPD Officer responded to the shooting in progress call. The officer approached the suspect and asked to search him. The suspect pulled up his shirt and began pulling a pistol from his waistband. The officer struggled over the weapon, pulled his own pis"/>
        <s v="While evading arrest, the suspect intentionally rammed police vehicles and attempted to hit officers with his pick-up truck. Two officers deployed their weapons at the suspect striking the suspect approximately 2 times. The driver was able to ram his way "/>
        <s v="SWAT was called to a residence where an evading suspect was hiding in the attic. The suspect shot several times at the officers who returned fire at the suspect. No one was injured during the shooting. The suspect later surrendered to officers and was tak"/>
        <s v="Officers working an extra job observed 3 males walking and one was holding a pistol in plain view. Officers identified themselves and the suspects turned toward the officers. The suspect holding the pistol, raised it and pointed it at the officers. One of"/>
        <s v="Three suspects fled in a vehicle, they pointed weapons at persuing officers. In fear of his life, an officer discharged his duty weapon multiple times and struck the suspects, killing one, injuring two."/>
        <s v="While conducting robbery surveillance, officers observed suspects rob a store with firearms and flee. Officers attempted to box in the suspect but were rammed by the suspect's vehicle. One suspect in the vehicle pointed a gun at the officers who returned "/>
        <s v="Officers were involved in a pursuit which ended with a barricaded suspect in a vehicle and a K-9 was deployed. The suspect got out of the vehicle with a large knife and was shot by 2 Officers. The suspect was pronounced dead at the scene."/>
        <s v="Officer was monitoring his surveillance cameras when he saw an unknown male approach his front door. There had been muliple break-ins in the area so the officer was on alert when he saw the male approach. The officer ran after the suspect and confronted h"/>
        <s v="Officer arrived at the scene and found two groups of females involved in a disturbance. As he was attempting to gain control of the scene, a pit-bull charged at him. The officer shot the dog but in the process, the dog's owner was accidently hit in the le"/>
        <s v="HPD officers conducted a traffic stop but the suspect fled in his vehicle as the officers were attempting to identify him. The suspect came to a stop after striking two other vehicles. The suspect refused to comply with the officers and was shot when his "/>
        <s v="A robbery suspect who was attempting to steal a vehicle was confronted by citizens at the location. An officer who was working an extra job nearby arrived at the location and approached the vehicle. As he approached he saw the suspect point a weapon at hi"/>
        <s v="Officers pursued a suspect in a vehicle and then on foot. The suspect ran into a wooded area. The officer believed he saw a weapon so he discharged his firearm at the suspect - striking the suspect and another officer."/>
        <s v="An HPD officer responded to a home invasion. When the officer encountered the suspect, the suspect fired and missed at the officer. The officer returned fire and also missed the suspect. A total of three suspects were involved. The shooter was arrested an"/>
        <s v="While an off duty HPD officer was refueiling his car, a black male was spotted inside the officer's vehicle burglarizing it. The officer, in fear the suspect would steal his weapon inside the vehicle, grabs his firearm and fired upon the getaway vehicle b"/>
        <s v="HPD officer working an extra job at a bar confronted the suspect who was carrying a handgun outside the location. The suspect ignored the officer's commands to drop the weapon. The suspect pointed his gun at the officer and the officer in fear of his life"/>
        <s v="An HPD officer working an extra job in uniform at a convenient store saw three black males enter with a shotgun pointed inside the store. The officer fired at the suspects who again pointed the weapon at the pursuing officer. The officer again shot and in"/>
        <s v="Officer responded to a burglary in progress by three HMs. The officer spotted one of the males, instructed him to show his hands and get on the ground. The suspect raised his hands above his head as if to surrender then quickly dropped them toward his wai"/>
        <s v="An HPD officer was responding to a home invasion in progress call when he confronted the suspect upon his arrival to the scene. The suspect pointed a pistol at the officer and the officer, in fear of his life, discharged his duty weapon striking the suspe"/>
        <s v="Officers were dispatched to suicide with pistol. Upon arrival, officers contacted the suspect but ignored officer's instructions multiple times. When suspect reached for his waistand, the officer knowing the suspect had a pistol, fired once at suspect. Su"/>
        <s v="The officer received a description of the suspect. The suspect was located and give foot prsuit into a parking gargage. The officer made contact with the suspect at which the suspect raised a pistol in the direction of the officer and was shot by the offi"/>
        <s v="The front seat passenger ignored the officer's commands and continued to reach under the car seat. Fearing for his saftey the officer discharged his weapon. The suspect fled on foot, made additional furtive movements and was shot, injured, and transported"/>
        <s v="An officer working an extra job received a call of a man walking around the complex with a gun. The officer located the suspect and announced his presence. The suspect turned towards the officer with the shotgun in the ready position. In fear of his life,"/>
        <s v="Officer was working an investigation and trying to get a suspect into custody. During the struggle , the suspect fired several rounds at officer and officer returned fire. The suspect then stole the patrol vehicle and left the location. The suspect crashe"/>
        <s v="An on-duty, plain clothes HPD officer on-viewed a robbery. The officer intervened and discharged his firearm at the suspect. All three suspects left the location in a vehicle. It was learned later that one of the suspects was injured by one of the gunshot"/>
        <s v="Officers attempted to perform a felony stop with their weapons drawn when the suspect placed the vehicle in reverse and backed toward the officers. One officer discharged his weapon but the suspect sped away. The suspect's vehicle came to a stop and he ra"/>
        <s v="Two officers working extra jobs caught two male robbery suspects who were fleeing. The suspects jumped in their truck and attempted to drive over the officer. Both officers fired and struck the suspects injuring them. Both suspects were arrested and charg"/>
        <s v="The suspect forced a female at gun point to return to her vehicle and drive to a known location. The suspect barricaded himself and the complainant into the vehicle and would not come out. After HPD SWAT arrived, the suspect exited the vehicle with a weap"/>
        <s v="The Liverpool Police Department pursued a suspect into the City of Pearland and then Houston which triggered a response by HPD officers. The suspect bailed out of his vehicle with a shotgun. An HPD officer dischared his duty weapon, killing the suspect. N"/>
        <s v="The suspect was stopped on traffic. The suspect produced a weapon and fired at officer. The officer and suspect began struggling over the gun. The officer's partner commanded the suspect to drop the weapon but refused. In fear of officer's live, officer d"/>
        <s v="Officer responded to a wanted suspect being at location. Officers arrived and observed the suspect inside a vehicle. When they attempted to apprehend him, he tried to run over the officers with his vehicle. Officers discharged their duty weapons and wound"/>
        <s v="HPD Narcotics Officer executing a search warrant with DEA. Officer shot suspect 1 time in abdomen. Suspect is expected to survive in injury."/>
        <s v="Officers were dispatched to a suspicious persons call, arrived on scene, and located the individual. The suspect was grabbed by an officer and a struggle ensued. The suspect discharged his firearm striking the officer's vest along his left side. The wound"/>
        <s v="HPD officers conducted a traffic stop in Harris County that originated within the city limits of Houston. The suspect ignored officer commands, yelled obscenities, and grabbed a gun. In fear of his life, the officer shot and killed the suspect."/>
        <s v="Officer was asked for assistance by an unknown black male. As they were walking toward a vehicle another black male joined them and both males began stringing the officer with hands and feet. Officer drew and fired weapon. Both suspects fled after dischar"/>
        <s v="Burglary suspect fled on foot. Officer pursued suspect. The suspect reached toward waistband when officer caught the suspect. Officer discharged forearm striking the suspect in the leg"/>
        <s v="Robbery suspect hid in trash can. Officer searched area and as he lifted the lid to the trash can, the suspect jumped up from within the can. Officer discharged his weapon - did not strike suspect. Suspect was then arrested."/>
        <s v="Suspect fled from the officer. Suspect was attempting to jump a fence when the officer caught up to him. The suspect turned with a weapon in his hand pointed toward the officer. THe officer discharged his weapon striking and killing the suspect."/>
        <s v="Person was a suspect to a home invasion call. Officer found him weilding a iron pole and swinging at the officers. Stun guns were deployed but did not affect the suspect. A bean bag shot gun was going to be deployed at which time the suspect began moving "/>
        <s v="Officers responded to loud noise complaint and were advised that occupants of a vehicle were shooting at persons. The suspected vehicle was driving at the officers. The officers attempted to move to safety but the vehicle swerved toward the officer. The o"/>
        <s v="Officers responded to a family violence call. When officers entered the residence the suspect ran to the front of the house spun around in a shooting position pointing something black at the officers. One officer discharged his weapon striking the suspect"/>
        <s v="The officer gained initial control of the robbery suspect and was bale to place one cuff on him prior to the suspect breaking free. the officer followed the suspect, maintaining a safe distance, as the suspect would walk and then stop to threaten t he off"/>
        <s v="Officer responded to a BMV in progress and observed 2 suspects behind the complainant's vehicle with tires removed. The officer gave verbal commands to suspects who ignored and got into their vehicle drove toward officer. Fearing for his life, officer dis"/>
        <s v="An off-duty HPD office was at his home sleeping when 3 suspects forced entry into his apartment. One of the suspects was holding gun which turned out to be a BB gun. Not knowing that information, the officer feared for his life and fired three times at th"/>
        <s v="On-duty officer was informed that the suspect had stolen an item. The officer followed the suspect into the street and identified himself. Suspect walked away, picked up a piece of lumber and swinging it at officer in close range. Fearing for his life, th"/>
        <s v="Off Duty HPD officer observed a robbery in progress when the officer intervened, the suspect revealed he had a pistol and pulled it on the officer. The HPD officer pulled his own weapon and discharged it striking the suspect in the chest and the left leg."/>
        <s v="On duty HPD officer responding to hold-up alarm encountered three suspects exiting the business. One of the fleeing suspect pointed a weapon at the officer. The officer discharged his weapon at the suspect but missed. All three suspects were apprehended a"/>
        <s v="The HPD officer was off-duty and his girlfriend were walking on the street when three suspects approached them. The suspects displayed a handgun (BB) and demanded the property of the complainants. The officer drew his weapon firing and striking two of the"/>
        <s v="Police shot and killed a suspected armed robber during a pursuit that ended in a neighborhood near Greenspoint Mall in north Houston. After crashing, the suspect fired upon police, fled on foot, and again raised his firearm at the officer who shot and kil"/>
        <s v="Officers located a stolen vehilce, pursued it until it crashed. The driver fled on foot and firing a shot at another officer, who fired his weapon not striking the suspect. Suspect was apprehended with the aid a K-9 unit who after being kicked retaliated "/>
        <s v="Off-duty officer working an extra-job confronted a suspicious suspect looking in the windows of closed businesses. When the officer challenged the suspect, he ran around a dark corner and made a fertive motion. Officer believed he was in danger discharged"/>
        <s v="Two patrol officers responded to a domestic distubance call at an apartment complex. Upon arrival, officers asked complainant questions regarding the distubance, before she could answer, suspect opened the door and charging at officers with a knife. Offic"/>
        <s v="Two officers working a uniformed extra job responded to an on-viewed assault. Upon arriving at the vehicle where the assault occurred, one officer saw a pistol between he legs of the suspect who drove off and fired a single shot. The officer returned fire"/>
        <s v="The officer pulled into a parking lot and observed an unknown BM exiting the store carrying a box with store clerk in pursuit. The officer commanded the suspect to stop. The suspect was able to get into his vehicle and attempted to run over the officer. T"/>
        <s v="The suspect made forced entry into the complainants residence in an attempt to take several articles. The responding officer was charged by the suspect causing the officer to discharge his firearm one time, missing the suspect. The suspect was arrested an"/>
        <s v="An officer responded to an Assist the Officer call. The suspect was inside with the complainant and refused to exit the apartment. As an officer approached the back window it exploded outward putting the officer in fear of his life and fired into the apar"/>
        <s v="An off duty robbery officer shot at a car burglar at 0400 in Ft. Bend County. Multiple suspects were apprehended by Fort Bend County Sheriff's Deputies. There were no injuries."/>
        <s v="The suspect was observed driving a reportedly stolen vehicle during the course of apprehension, the suspect refused verbal commands and attempted to extricate the officer's duty weapon. In response the officer discharged his weapon at the suspect striking"/>
        <s v="Suspect ignored officer's commands to drop the knife. Suspect attempted to stab a female and an officer in fear of the complainant's life shot and killed the suspect."/>
        <s v="Suspect dives outside of a house through a window and refuses to comply with officer's commands. The suspect charges the officer with a glass shard in hand. The officer in fear for his life shoots the suspect twice. The suspect is hospitalized but expecte"/>
        <s v="HPD officers patrolling 10 District observed two suspects walking in the street where a sidewalk was provided. When the officers attempted to stop the suspects they fled capture by running in different directions. One suspect produced a weapon and was sho"/>
        <s v="HPD SWAT officers were assisting HPD Narcotic Officers execute a search warrant. The suspect was shot and killed during the no-knock warrant entry after the suspect pointed a firearm at the officers."/>
        <s v="Officers were investigating BMVs, one suspect attempted to evade arrest by jumping into the suspect's vehicle and at a high rate of speed left the road way crashing the stolen vehicle. The suspect fled on foot, pointing his weapon at pursing officers. Off"/>
        <s v="Officers conducted a traffic stop. The driver ignored officers commands to exit the vehicle, drove off, and fired upon officers running to their patrol cars. Suspect fired upon officers again while evading, exited car, fired again, and was ultimately kill"/>
        <s v="Responded to a disturbance where witnesses said the suspect had a weapon. The officers demanded the suspect remove his hands from his pockets, suspect produced a weapon, one officer fired multiple time striking and killing the suspect."/>
        <s v="On duty HPD officers responded to a robbery. One susp. was arrested and handcuffed. Susp produced a weapon fired at HPD SGT. who returned fire; susp fled the building firing at a second officer who returned fire. Susp fled and was found later with gunshot"/>
        <s v="On duty officers responded to discharging firearms call for service. The suspect continued shooting his AK-47 at police cars and officers as they arrived. One officer returned fire. The suspect was taken into custody without further incident by SWAT offic"/>
        <s v="On duty officers responded to a call of Discharging Firearms. When the officers arrived the suspect began shooting at the responding officers. K-9 officer responding to assist the officer. The suspect tried to shoot the K-9 officer, who returned fire kill"/>
        <s v="Two HPD officers arrive at location and observed the suspect stabbing the victim. The officers ordered the suspect to cease the attack but the victim refused to comply and placed vehicle in reverse towards the victim. One officer fired and appeared to str"/>
        <s v="An HPD officer was chasing a stolen vehicle, suspect evaded, and one of the suspects pointed a rifle at the officer. The officer, in fear of his life, shot and missed the suspect. Suspect arrested and charged."/>
        <s v="While officers were attempting to serve a felony warrant, the suspect opened the door, produced a firearm, and pointed it in their direction. An officer in fear of his life shot and wounded the suspect."/>
        <s v="An off-duty HPD officer entered the bank in Humble, was forced to the floor, and disarmed at gunpoint. The officer's partner was outside, observed the robbers exit, demanded their surrender, and killed one suspect after a shotgun was aimed at the officer."/>
        <s v="Two armed suspects entered and attempted to rob a jewelry store. One of the suspects pointed a pistol at an HPD officer working an extra job. The officer shot and wounded the suspect. The second suspect fired at the officer, missed, and fled the scene."/>
        <s v="Off duty officers working an extra job encountered suspicious males at the parking lot. Officers attempted to stop the vehicle and investigate, but the driver pointed a pistol at one of the officers and attempted to run them over. Officers fired and misse"/>
        <s v="During a traffic stop, a HPD officer confronted a suspect that fled on foot, jumped a fence, and brandished a handgun. One of the officers feared for his life and his partner's life, discharging his weapon. No injuries were reported at the time of this in"/>
        <s v="While ringing the doorbell, the patrol officer hears a loud blast from inside. SWAT was notified, attempted a rescue, and received gunfire from the suspect who fled out the back door. Upon exiting the suspect pointed a firearm at SWAT officers who shot th"/>
        <s v="Suspect shot two Jacinto City Officers who questioned him regarding a previous incident. One Officer was wounded in the chest and the other in the arm. Several officers and SWAT responded, suspect shot at officers again, SWAT returned fire and hit suspect"/>
        <s v="While executing a search warrant, the suspect ran into a back room, reached into his waistband, and ignored verbal commands given by the officers. An officer feared the suspect was reaching for a weapon and shot the suspect. A pellet gun was found near su"/>
        <s v="While attempting to conduct a traffic stop, the suspect fired upon a pair of officers and striking one in both arms. The other officer returned fire killing the suspect."/>
        <s v="Suspect discharged a firearm multiple times at HPD officers and citizens. HPD officers discharge their firearms at the suspect and wounded him."/>
        <s v="Suspect charged at officer with scissors in his hand. Officer fearing for his life, discharged weapon at suspect multiple times. Suspect was struck with multiple rounds and collapsed to the ground and died."/>
        <s v="While conducting a felony stop the suspect accelerated his vehicle toward the passenger side of the patrol car. Officers fearing for the passenger side officer's life discharged their firearm, missing the suspect. No injuries; suspect arrested."/>
        <s v="Officers attempted to detain a suspect who resisted and reached in his vehicle near the backseat. Officer shot and injured the suspect. A handgun was found in rear seat of vehicle during crime scene processing."/>
        <s v="Officers saw the suspect holding the child in his arm, continually putting a knife to the throat of the child. Suspect fled into the bathroom with the child. Officer fearing for the safety of the child, discharged his firearm killing the suspect."/>
        <s v="HPD Officer initiated a traffic stop. The suspects fled in a vehicle which snagged on a concrete barrier. Officers approached, but driver gunned the vehicle and drove at officers who opened fire. No injuries occurred. Both were arrested."/>
        <s v="Suspect took complainant's vehicle without consent. Suspect attempted to strike at least two officers with the van while fleeing. The HPD officers in fear of their life/lives of fellow officers, fired and struck the suspect in the leg."/>
        <s v="Off duty officer at home noticed a suspect attempt to break into his parked car. Officer retrieved his firearm, ordered the suspect to halt, suspect charged the officer who fearing for his life fired upon the suspect who escaped. Injuries unknown."/>
        <s v="On duty police units arrived to scene when a suspect previously displayed a weapon. Suspect refused verbal commands, reaches for his weapon, and put officers in fear of their life. Suspect was shot twice and is expected to survive."/>
        <s v="Three armed unknown suspects walked into an electronics store, attempted to rob it, and were fired upon by an off-duty officer working an extra job."/>
        <s v="Off-duty HPD officer working an extra job observed a suspect break into a Chevy truck. Suspect disobey officer's commands, made combative movement for his waistband, appeared to pull a item from his jacket, and the officer fired fearing for his life. Susp"/>
        <s v="The suspect refused to get out of the car as order by the officers. Instead the suspect drove at the officer hitting him with the vehicle. The officer attempted to get out of the vehicles path but the suspect drove at the officer again. During this exchan"/>
        <s v="Two armed suspects attempted to rob a store where the officer was shopping. The officer confronted the robbery suspects and an exchange of gunfire occurred. The suspects fled the scene."/>
        <s v="The suspect fired at the officer as the officer was arriving at an assault in progress call. The suspect then fled ina vehicle. The vehicle was pursued and at the conclusion of the pursuit, the suspect got out of the vehicle with a shotgun and pointed it "/>
        <s v="Officer was notified that an armed suspect was threatening to kill himself. When the officer pulled into the parking lot where the suspect was reported to be, the suspect shot at the officer. THe officer returned fire but missed. the suspect then ran from"/>
        <s v="The officer was chasing a robbery suspect when the suspect slowed to a walk and was reaching into his pocket as he was turning to ward the officer. The officer believed the suspect was reaching for a weapon so he fired at the suspect but did not hit him."/>
        <s v="The suspect pointed a shotgun at officers who had responded to a suspicious person call. The officers fired at the suspect but missed at which time the suspect went into his home. SWAT was called and as they were going to gain entry into the home they wer"/>
        <s v="The suspect of a suspicious person call confronted the officer with his hand behind him as if he had a weapon. The suspect then moved towards the officer causing the officer to have to discharge his weapon at the suspect."/>
        <s v="A burglary suspect was being chased by officers when he went into a back yard to hide. The officer attempted to open the gate but it would not open so he peered through the gate and saw the suspect reaching for his waistband. The officer shot at the suspe"/>
        <s v="The officers arrived at the scene of a disturbance call and were informed that the suspect was being violent and threatened to kill the other residents at the location. The officers confronted the suspect at which time the suspect was moving towards one o"/>
        <s v="Officers were in the process of detaining the occupants of a vehicle who were reported to have just robbed a convenience store. The passenger of the vehicle got out of the car and appeared to be getting on the ground but instead charged at one of teh offi"/>
        <s v="The officer located a murder suspect walking down the street. The officer approached the suspect who then stopped and turned toward the officer while raising a weapon towards the officer causing the officer to shoot the suspect."/>
        <s v="Officers responded to an armed suspicious person call. The suspect was located and as the officers were giving verbal commands to the suspect, the suspect reached to the small of his back and pointed an object at the officers. The officers fired at the su"/>
        <s v="Suspects who were involved in a disturbance got into a vehicle to flee the location. The vehicle was being driven at the officer who fired his weapon at the vehicle fearing that the driver was trying to hit him with the car."/>
        <s v="Officers arrived at a scene to find a large group of people involved in a disturbance. As the officers tried to get control of the crowd, a suspect armed with a knife confronted the officers. The armed suspect refused to comply with the verbal commands of"/>
        <s v="A burglary suspect was fleeing on foot when he turned and fired a weapon at the officer who was chasing him. The officer returned fire and shot the suspect in the leg."/>
        <s v="Shots were heard outside a church during a funeral in which an officer was attending. The officer went outside and was told that the shooter had gotten into a vehicle. the officer saw the vehicle as it was leaving and began to run after it. The officer sa"/>
        <s v="Officer responded to a call in which the suspcet had called his wife and threatened to go to her job and kill her. Upon arriving, the officer found the suspect and saw that he was hiding his hand behind his back. THe suspecty then made a sudden movement w"/>
        <s v="Officer observed a suspicious male walking between cars in business parking lot. The officer stopped the suspect to talk to him at which time the suspect ran from the officer and jumped into a waiting vehicle. The driver drove at the officer causing the o"/>
        <s v="The officer was driving when a vehicle pulled up beside him. An occupant in the vehicle pointed a weapon at the officer causing the officer to shoot at the suspect vehicle."/>
        <s v="The officers were conducting a felony traffic stop after a pursuit ended by the suspect wrecking his vehicle. The suspect got out of the car but then reached back into the vehicle to get something. The suspect then made an erratic movement causing the off"/>
        <s v="Officers attempted to contain a group of males fitting the description of those involved in an assault in progress. One of the males was ignoring verbal commands. He was reaching into his waistband area as he was turning towards the officers. One of the r"/>
        <s v="Officers responded to a scene in which multiple persons were reported to be shot. Upon arrival the suspect fired at the responding officers. The officers exchanged gunfire with the suspect who then forced a citizen from their vehicle and fled. As the offi"/>
        <s v="The officer saw the suspect point a weapon at another person. The offier then chased the suspect on foot and twice during the pursuit the suspect turned to face the officer while reachinf for his weapon causing the officer to shoot at the suspect."/>
        <s v="Officer was attempting to gain control of an armed suspect when the suspect pointed his weapon at a passing vehicle. The officer believed that the suspect was going to shoot the occupants of the vehicle so he was forced to shoot the suspect."/>
        <s v="Two suspects in a vehicle were observed firing a weapon as they approached the officers patrol car. It was believed that the suspects were shooting at the officer so he exited the vehicle. The suspects continued to drive toward him while firing a weapon s"/>
        <s v="Officers were conducting a surveillance assignment when the suspect approached the vehicle they were in and confronted them. The suspect keyed the vehicle with a box cutter and then attacked one of the officers with the box cutter causing the officers to "/>
        <s v="Suspect was holding a person at knife point when the officers arrived at the scene. The suspect then attempted to stab the person but the person was able to grab the suspects hand. The officers shot the suspect thereby keeping th person from sustaining an"/>
        <s v="The officer was attempting to gain control of a suspect when the suspect lunged at the officer yelling to shoot him causing the officer to discharged one time."/>
        <s v="Officers recived a call in which the suspect had just shot two persons. The officers found the suspect and were attempting to apprehend him when the suspect produced a weapon and pointed it at the officers. In response, the officers shot the suspect."/>
        <s v="Disturbance suspect was located walking on the suspect. The suspect was ordered to stop. The suspect stopped and then turned toward the officers with a weapon in his hands. The officers told the suspect to drop the weapon but he pointed it at the officers"/>
        <s v="Officers observed a suspicious person run into a business. The officers stopped to in vestigate and when they entered the business they saw an armed suspect behimd the counter. The officers fired at the suspect when the suspect turned his weapon towards t"/>
        <s v="An armed suspect approached three undercover officers and attempted to rob them. The officers were able to produce their weapons and shoot the suspect."/>
        <s v="Felony suspect ran from officers who were attempting to arrest him. Officer chased suspect to an apartment where the officer attempted to arrest him. The suspect pushed the officer against the wall and then reached toward his waitband area. the officer sh"/>
        <s v="Officers stopped an individual who they observed to be violating municipal ordinances. The suspect ran from the officers and during the pursuit he made gestures which made the pursing officer believe that the suspect was armed and attempting to draw a wea"/>
        <s v="Officer heard the alarm sounding from his vehicle. He went outside to check on the vehicle. He observed the suspect fleeing from his vehicle. THe officer attempted to block his path when he noticed that the suspect was carrying an object that he believed "/>
        <s v="Officers approached BMV suspect's vehicle and gave commands for the occupants to show their hands. Instead the driver attempted to flee in the vehicle striking one officer. The suspect then drove at the second officer striking him as well. Both officers d"/>
        <s v="Officer arrived on scene to find a burglary in prgress. As he tried to control the suspects, one of them walked to a vehicle and appeared to get soemthing out of it. The suspect then made a move toward the officer. The officer believed the suspect to be a"/>
        <s v="Narcotics unit was executing a search warrant at a residence and when they gained entry a suspect was found inside with a shotgun. The suspect raised the shotgun toward the officers causing an officer to shoot the suspect."/>
        <s v="The officer was attempting to arrest a suspect who was caught trying to steal a car. The suspect fought the officer and tried to get the officers weapon. The officer fired one time at the suspect but did not hit him."/>
        <s v="Suspect was involved in a physical altercation with the officer following a vehicle pursuit. The suspect physically assaulted the officer and made attempts to get the officers weapon out of its holster before the officer was able to push the suspect away "/>
        <s v="The suspect was involved in a physical altercation with the officer. The male suspect then went to his vehicle and retrieved a weapon which he discharged twice. The suspect and his companion ran to their vehicle and as they were driving off the suspect po"/>
        <s v="THe officer was attempting to control a disturbance when a suspect armed with a knife approached the officer. The suspect refused to stop causing the officer to have to shoot him."/>
        <s v="Officer returned to his vehicle to find that a suspect had forced his trunk open and was going through its contents. The officer identified himself at which time the suspect jumped into a nearby vehicle and drove at the officer causing the officer to shoo"/>
        <s v="Officer saw a suspect vehicle ram into another vehicle. The officer then approached the suspect who was now out of the vehicle and attempted to gain control of him but a physical altercation occurred. The suspect over powered the officer causing the offic"/>
        <s v="The officer was conducting surveillance when he saw an armed suspect approaching his vehicle. The suspect then got into the passengers seat of the officers car with his weapon pointing at the officer. The officer was forced to shoot the suspect."/>
        <s v="Officer was notified of a burglary of a motor vehicle in progress. When the officer went to investigate he found the suspects to be leaving the location. The suspects then stopped their car and shot at the officer. The officer returned fire but does not b"/>
        <s v="The officers were advised of an armed suspect being in the area. The officers found the suspect and saw that he had a weapon. The suspect was advancing towards the officers forcing the officers to shoot him."/>
        <s v="The officer stopped a vehicle for a traffic violation. When the vehicle stopped one of the passengers jumped out with a shotgun and pointed it at the officer. The officer took cover and watched as the other occupants ran from teh vehicle. The armed suspec"/>
        <s v="The officer was handcuffing one suspect when he found a pistol on him. A second suspect then drove his vehicle into the officers patrol car. The suspect then exited the vehicle and ran at the officer with his hand behind his back. The officer believed the"/>
        <s v="The officer confronted a suspect who had just stabbed another person. The suspect fought with the officer and attempted to take the officers taser from its holster - thinking that the taser was the officer's gun. The officer managed to get her weapon out "/>
        <s v="The suspect was attempting to gain entry into the residence when the officer was forced to shoot him."/>
        <s v="A narcotics unit was executing a serach warrant when they were attacked by a pit-bull at the location. The officer shot the animal causing injury to the suspect when shotgun pellets ricoched of the ground."/>
        <s v="A uniformed off duty officer was driving on the freeway when someone shot at him. The officer saw the suspect's vehicle and followed it down a dead-end street. The suspect made a u-turn at which time the officer stopped and got out of his vehicle in an at"/>
        <s v="Officer pursued a vehicle that was being driven by a suspect who was involved in a shooting in progress call. The suspect lost control of the vehicle and hit a tree at which time the suspect got out of the vehicle with a rifle in his hands. The suspect po"/>
        <s v="Officers attempted to stop a vehicle that was reported to have been involved in a robbery but the suspect refused to stop. A pursuit ensued until the suspect wrecked his vehicle at which time he ran from the officers on foot. The suspect pointed a weapon "/>
        <s v="Officer was directing traffic when he heard screms from a nearby gas station. The officer went to see what the commotion was and saw the suspect stabbing a person. The suspect refused to stop stabbing the individual forcing the officer to shoot him."/>
        <s v="Officer was chasing a home invasion suspect on foot when the suspect fired a weapon at the officer forcing the officer to return fire."/>
        <s v="Armed suspect confronted and fired his weapon at officers responding to a shooting in progress call. Officers were forced to shoot the suspect when the suspect raised and pointed his weapon at them."/>
        <s v="Officers pursued a vehicle that they had just seen ramming a patrol car. During the pursuit the vehicle stopped and began to back up toward the officers. The officers exited the patrol as the suspect vehicle was driving towrd them and fired on the vehicle"/>
        <s v="The officer was in his residence when the suspects forced their way into his home. The officer fired at and shot the suspects."/>
        <s v="The officer arrived at the scene of a suspicious person call and saw a group of males fitting the description given. The males walked away from the approaching officer and before turning the street corner, one of the males fired a wepoan at the officer st"/>
        <s v="A suspect that was being arrested became violent and struck the officer in the face. The suspect then charged at the officer forcing the officer to shoot at the suspect."/>
        <s v="The officer was attempting to gain control of a group of persons involved in a disturbance when one of the persons drew a weapon and fired into the air. The officer ordered the person to drop the weapon but he turned toward the officer instead causing the"/>
        <s v="Suspect was discharging a firearm from his vehicle. When he saw the officer approaching his vehicle, he attempted to flee but wrecked into a parked car. The officer then saw the suspect exit the vehicle with gun causing him to shoot the suspect."/>
        <s v="Officer recieved a report of an armed person at the bus station. When the officer confronted him, the suspect drew a firearm and began firing at the officer. The suspect exchanged gunfire with officers at multiple locations. During the exchnages, both off"/>
        <s v="An unknown suspect was trying to enter the residence forcing the officer to shoot at the suspect."/>
        <s v="The officer pursued a vehicle that was occupied by suspects of a disturbance. The vehicle was wrecked at which time the driver got out of the car and started reaching into his pocket causing the officer to shoot him."/>
        <s v="The officer was attempting to gain control of two suspects that were seated in a car. He then saw that one of the suspects was sitting on a pistol. As the officer began to back away from the car he saw the suspect make a move toward the pistol forcing the"/>
        <s v="The officers were executing a narcotics search warrant when the suspects fired at and shot one one of the officers."/>
        <s v="An off duty officer on viewed a disturbance. He was trying to break up the parties involved when he heard someone say that they had a gun. The officer looked and saw a male reaching toward his waistband area so the officer shot him. A person with that ind"/>
        <s v="Officer was approached to assist with a disturbance. The officer confronted the suspect who was armed with a knife. The suspect refused to drop the knife forcing the officer to have to shoot him."/>
        <s v="The officer saw two masked suspects armed with weapons enter a store so he pulled into the parking lot of the location and set up in a position of cover. Teh officer engaged the suspects as they existed the store in an attempt to detain them. One of the s"/>
        <s v="Officers stopped the suspect for a violation of a municipal ordinance. The suspect then attempted to get something from his pocket at which time the officers engaged in a physical confrontation with the suspect. The suspect was able to break free and pull"/>
        <s v="The officer located a pair of armde robbery suspects sitting in a vehicle. The suspects fled the vehicle when the officer attempted to contain them. The officer saw that one of the suspects had a pistol and as the suspect ran, she turned and pointed the w"/>
        <s v="Officers were attempting to contain a pair of suspects who were in a vehicle. THe officers saw a firearm being discharged from the vehicle and as they approached the vehicle, the suspect pointed the weapon outside the vehicle at them. The officer were att"/>
        <s v="An armed domestic violence suspect ran from the scene when the officers arrived. The suspect shot at the officers multiple times as they attempted to contain him within a confined area. The suspect raised his weapon to fire on the officers again when he s"/>
        <s v="Officer pursed a robbery suspect into the backyard of an abandoned house. The officer was attempting to apprehend the suspect when the suspect reached toward his waistband casuing the officer to believe that the suspect was reaching for a weapon."/>
        <s v="The officer confronted an armed suspect. The suspect made a threatening move casuing the officer to shoot at at the suspect."/>
        <s v="The officers were chasing a suspect when the suspect turned at fired a weapon at them. One of the officers was then able to catch the suspect and was engaged in a physical altercation with him in an attempt to disarm the suspect. The suspect was attemptin"/>
        <s v="Officers pulled over a vehicle and were told that the occupants of another vehicle had threatened them with a weapon. The officers located the suspect vehicle and saw that the occupants were in the process of burglarizing a building. The officers attempte"/>
        <s v="Officer was chasing a suspect on foot when he saw the suspect reaching for something in his waistband. The suspect jumped a fence and as the officer was jumping the fence in pursuit the suspect turned toward the officer while raising his arm making the of"/>
        <s v="The officer saw a speeding vehicle and conducted a traffic stop. The officer belived the suspect to be intoxicated so he had him get out of the vehicle. The suspect then resisted when the officer attempted to handcuff him. THe suspect tried to push the of"/>
        <s v="The officer was notified that his vehicle was being burglarized so he went out to investigate. He saw the suspect walking from his vehicle and belived him to be armed since he kept a weapon inside the vehicle. The suspect was walking towrd another person "/>
        <s v="The officer arrived at the scene of a shooting call. Witnesses at the scene pointed out a suspect and that suspect refused to stop when the officer attempted to detain him. The suspect was hiding his hands and after turning a corner he turned towards the "/>
        <s v="Officer observed masked robbery suspects enter the bank where he was working. The officer saw that the suspects were armed and discharged his weapon. The suspects then fled on foot."/>
        <s v="An aggravated assault suspect attempted to flee the scene of the offense by driving his vehicle at the officer causing the officer to shot at the suspect."/>
        <s v="The officer on-viewed a disturbance in which the suspect was pulling a female from a vehicle. The officer confronted the suspect at which time the suspect pointed a weapon at the officer causing the officer to shoot the suspect."/>
        <s v="The officers were looking for a possible burglary suspect when an armed male walked out of a building. The suspect did not drop his weapon when ordered to do so causing the officers to shoot at the suspect."/>
        <s v="A suspicious person suspect was located. He was found to be armed and refused to drop his weapon after being confronted by the officer forcing the officer to shoot at the suspect."/>
        <s v="The officer saw an unknown male break into a vehicle. The officer confronted the suspect and saw that the suspect had a black object in his hand. The suspect refused to drop the object and instead began to raise the object as if to point it at the officer"/>
        <s v="The officer saw the suspect breaking into a vehicle. The suspect then fled on foot when he was confronted by the officer. The officer chased the suspect and during the pursuit, the suspect reached into his waitband has he turned to face the officer causin"/>
        <s v="An undercover operation was being conducted when the armed suspect entered the hotel room where the officers were operating. The suspect pointed his weapon at the officer causing the officers to return fire."/>
        <s v="Suspect fought the officer who pulled him over on traffic. The suspect then ran to his vehicle where he grabbed a pistol and pointed it at the officer causing the officer to have to shoot him."/>
        <s v="Officer was visiting Arlington Texas when the suspect confronted him and threatened him with a firearm causing the officer to shoot him."/>
        <s v="The suspect was armed with a knife. He refused to drop the knife when told to do so, instead the suspect appeared to be ready to attack the officer. The officer discharged his weapon at this point."/>
        <s v="The officer was attempting to arrest the suspect when the suspect pulled away from the officer. The officer pulled out his weapon as the suspect was moving toward him. The officer and the suspect were involved in a struggle when the officers weapon accide"/>
        <s v="Officers were set up on a location where a robbery was to occur. THe suspects arrived at the scene and when confronted the armed suspect pointed his weapon at the officers and moved toward them causing the officers to shoot him."/>
        <s v="The officers on viewed a robbery in progress. As the suspect was fleeing from the robbery scene he pointed a weapon at the officer. The officer fired his weapon fearing that the suspect was going to shoot him."/>
        <s v="The suspect was involved in a series of robberies. The officer located the suspect vehicle and a vehicle pursuit began. The suspect was shooting at the officers as he was being pursued and when he finally stopped he took a position of cover behind his veh"/>
        <s v="The suspect was pulled over on traffic after driving erratically. The suspect was being beligerent and refused to get out of the vehicle. As the officer attempted to force the suspect from the vehicle, the suspect reached toward his waistband area. The of"/>
        <s v="Officer saw the suspects committing a burglary. He was attempting to arrest them when one of the suspects shot the officer."/>
        <s v="Officers were passing location when they saw a robbery in progress. The officers were about to get out of the vehicle when the person being robbed attempted to run. The suspect shot the individual and then attempted to leave the loaction but was confronte"/>
        <s v="The officers were attempting to disperse a crowd when the suspect retrieved a weapon from his vehicle and confronted another person by pointing the weapon at him. The suspect refused verbal commands to drop the weapon forcing the officers to shoot him bef"/>
        <s v="Narcotics officers forced entry into a residence during the execution of a serach warrant. Upon entry, the suspect was found armed with a shotgun. The suspect pointed the weapon at the officer and an exchange of gunfire occurred."/>
        <s v="The officers confronted the armed burglary suspect, each time the suspect pointed his weapon at the officers forcing them to shoot the suspect."/>
        <s v="The officers were executing a narcotics warrant and upon entry the lead officer was shot by the suspect forcing another officer to retun fire. The officers bullet proof vest kept the officer from suffering a major injury."/>
        <s v="The officer located an armed robbery suspect. The suspect saw the officer and acted as if he was preparing to shoot at the officer forcing the officer to shoot at him."/>
        <s v="The suspect was advancing on the officer with an object in his hands. The suspect was holding the object as if it were a weapon and he refused all commands to drop the object forcing the officer to shoot him."/>
        <s v="The officer arrived at the scene of a disturbance only to be fired upon by the suspect. The officer retuned fire but did not strike the suspect. The suspect was later found to have died from a self-inflicted gunshot wound."/>
        <s v="The officer was attempting to arrest a suspect who he had caught stealing property. The suspect attempted to get away from the officer by driving his vehicle at the officer forcing the officer to shoot at him."/>
        <s v="The officer was attempting to arrest an armed suspect when he saw that the suspect had a weapon in his hand. The suspect was in the act of pointing the weapon at the officer when the officer was forced to shoot him."/>
        <s v="The officer was attempting to detain a suspect when the suspect reached into his pocket and pulled out a firearm. The officer saw and this and reached for the suspects weapon at the same time that the suspect reached for the officers. A struggle ensued as"/>
        <s v="The officer was struggling with the suspect when the suspect reached for a weapon. The officer told the suspect to stop but the suspect continued to go for the weapon forcing the officer to shoot him."/>
        <s v="Officer arrived to see suspect in act of stabbing a person. The suspect refused to stop the act forcing the officer to shoot the suspect."/>
        <s v="The officer was attempting to arrest an armed suspect when the suspect raised his weapon toward the officer forcing the officer to shoot at the suspect."/>
        <s v="The officer located a suspect who had just committed an armed robbery. The officer was attempting to detain the suspect when the suspect reached toward his waist forcing the officer to shoot the suspect. The suspect fell to the ground but continued to rea"/>
        <s v="The officer was attempting to arrest a suspect who had threatened to shoot someone when the suspect reached into his waistband and pulled out a weapon forcing the officer to shoot at the suspect."/>
        <s v="Officers were attempting to resolve a situation involving an armed barricaded suspect when the suspect came out of the residence and pointed a weapon at the officers forcing the officer to shoot the suspect."/>
        <s v="The officer was conducting a narcotics search warrant when the suspect confronted the officer and attempted to take his weapon away from him. The officer attempted to break free from the suspect but the suspect continued to try to get the officers weapon "/>
        <s v="The officer stopped a vehicle on traffic that was reported stolen. The driver of the vehicle refused to comply with the officer and instead reached toward his waistband area making the officer believe that he was reaching for a weapon. This action caused "/>
        <s v="The officer was sitting in his vehicle when two armed suspects attempted to rob him but the officer was bale to draw his weapon and shoot the suspects."/>
        <s v="Two suspects ran from a residence where a murder investigation was being conducted. An officer who was positioned at the rear of the residence saw the suspects and noticed that one was armed with a weapon. The armed suspect refused to comply with the offi"/>
        <s v="The officer engaged a pair of armed suspects who were attempting to rob a bank. The suspects refused to comply with the officer and instead an exchange of gunfire occurred."/>
        <s v="The officer was attempting to arrest a robbery suspect when the suspect resisted and a physical struggle occurred. The suspect managed to get free of the officer and got to his vehicle. The suspect then attempted to run over the officer forcing the office"/>
        <s v="The suspect fled the scene of a narcotics search warrant but was confronted by officers outside of the location. The suspect refused to comply with the officers and instead charged at the officer forcing the officer to shoot."/>
        <s v="The officer was attempting to arrest a suspect who was the target of a robbery warrant. The suspect was sitting in a vehicle and refused to comply with the officer. The suspect then shouted something to the officer and made a gesture as if he were reachin"/>
        <s v="The officers were engaged in a traffic stop when the suspect stepped on the gas. The officer believed that the suspect was going to run over him so he shot at the suspect."/>
        <s v="The officer was attempting to detain the suspect when the suspect resisted and fought with the officer. The suspect was able to strip the officer of his taser and was threating to use it forcing the officer to shoot the suspect."/>
        <s v="The officer was attempting to detain an armed robbery suspect when the suspect stood and produced a firearm causing the officer to shoot at the suspect."/>
        <s v="The officer heard the suspect attempting to open the door to his residence. The officer was able to get his weapon and as he was going to the door to investigate the door opened forcing the officer to shoot at the suspect."/>
        <s v="A burgalry suspect was fighting a K9 officer so another officer stepped in to assist. The officer was then able to see that the suspect was holding a weapon but not before the suspect managed to stab the officer - the officers bullet proof vest kept the o"/>
        <s v="The suspect drove his way through the barricade of a police substation where he began to ram various objects. The suspect then shot at the officers who were attempting to stop the suspect forcing several officers to return fire."/>
        <s v="The officer was driving her vehicle when she saw an armed suspect approaching her vehicle. She then saw the suspect raise the pistol toward her causing her to shoot at the suspect."/>
        <s v="Officers were conducting a sting operation when the suspect attempted to rob the undercover officer. An exchange of gunfire occurred and both the officer and the suspect were shot. The suspect continued to shot at the officer who was attempting to detain "/>
        <s v="The officer was chasing an armed robbery suspect when the suspect turned toward the officer forcing the officer to shoot at the suspect."/>
        <s v="The officer was attempting to detain a robbery suspect who was sitting in a vehicle. The officer was telling the suspect to get out of the vehicle but instead the suspect started to slowly drive toward the officer. The suspect then pointed a weapon at the"/>
        <s v="The officers were preparing to enter a vehicle in which the suspect had locked himself in when the suspect reached to the floorboard and grabbed a weapon. The suspect then pointed the weapon at the officers forcing the officer to shoot the suspect."/>
        <s v="The officers were attempting to contain a suspect who was armed with a firearm. The suspect was repeatedly told to drop the firearm but instead the suspect charged at the officers while shooting at them forcing the officers to return fire."/>
        <s v="The officer was attempting to detain a suspect who was armed with a knife and a machette. The suspect then charged at the officer with the weapons forcing the officer to shoot him."/>
        <s v="Officers were conducting an investigation when two suspects shot at them. The officers chased the suspects and as they were chasing them one of the suspects pointed his weapon at the officers causing the officer to shoot him."/>
        <s v="The officer chased an armed robbery suspect and ordered him to drop his weapon but the suspect refused to drop it forcing the officer to shoot."/>
        <s v="The officer located a suspect who had just attempted to run over an officer. When the officer approcahed the suspect the suspect was acting irritated and aggressive. The officer attempted to use his taser but the weapon was uneffective. The suspect then p"/>
        <s v="The officers were attempting to apprehend two suspects who were conducting a narcotics transaction inside a vehicle. The driver of the vehicle saw the officers and attempted to flee the scene by ramming the police vehicles and then by driving at the offic"/>
        <s v="The officers were in pursuit of a murder suspect. At the end of the pursuit the suspect pointed a shotgun at the officers forcing them to shoot the suspect."/>
        <s v="The officers were serving a narcotics warrant when the lead officer was shot by the suspect forcing the other officers to shoot the suspect."/>
        <s v="The officer was approaching a vehicle in which he heard a woman screaming. As he approached, the suspect in the vehicle bagan to fire a weapon in the direction of the officer forcing the officer to return fire."/>
        <s v="The officers attempted to apprehend an armed robbery suspect when the suspect pulled out a shotgun and pointed it at the officers causing the officers to shoot at the suspect."/>
        <s v="The officers were setting up a perimeter outside the residence of an armed suspect when the suspect came out of the residence with a shotgun. The suspect pointed the shotgun at the officers causing them to shoot the suspect."/>
        <s v="The officer was notified of an armed suspect walking around the complex. The officer located the suspect and when the officer told the suspect to drop his weapon, the suspect raised it and pointed it at the officer causing the officer to shoot the suspect"/>
        <s v="The officer was checking the area for a suspect who was reported to have broken into a residence. The officer was checking around a corner when the suspect lunged at the officer causing the officer to shoot at the suspect."/>
        <s v="The officers confronted multiple armed suspects who were pointing a weapon at another individual. The suspects ran from the officers and while they were being chased one of the suspects fired at the officers casuing the officer to return fire."/>
        <s v="The suspect entered the place of business and shot 1 employee with a bow. The suspect was being detained by other employees but she managed to get into a room with her bow. The officers arrived and when they attempted to detain the suspect, the suspect po"/>
        <s v="Officers were setting up outside the residence of an armed barricaded suspect. The suspect then opened the door and raised his weapon as if to fire on the officers forcing the officers to shoot the suspect."/>
        <s v="The officer was chasing the suspect on foot when he saw the suspect reaching into his waistband area and pull something out. The suspect then turned and faced the officer as if he were going to shoot him so the officer shot at the suspect."/>
        <s v="The officer confronted an armed robbery suspect. The suspect turned and pointed a weapon at the officer forcing the officer to shoot."/>
        <s v="The officer responded to the sound of gunfire and saw the suspect shooting at passing vehicles. The officer saw the suspect ready to fire at more cars forcing him to shoot at the suspect."/>
        <s v="The officers were attempting to arrest a narcotics suspect when the suspect attempted to flee by driving over a police vehicle. An officer was trapped in the vehicle that the suspect was attempting to run over forcing the officer to shoot in an attempt to"/>
        <s v="The officer was set up on the perimiter of a house where an armed suspect had barricaded himself inside. The officer saw the suspect point a weapon at him and was forced to shoot at the suspect fearing that the suspect was going to shoot."/>
        <s v="The officer responded to teh sound of gunfire and when he arrived he saw the suspect shooting at a vehicle. The officer told the suspect to drop the weapon but the suspect turned and pointed the weapon at the officer forcing the officer to shoot."/>
        <s v="The officer was chasing the robbery suspect when the suspect pulled out a weapon and shot at the officer forcing the officer to return fire."/>
        <s v="The officers was attempting to detain a suspect when the suspect jumped into a vehicle pulled out a weapon and pointed it at the officer forcing the officer to shoot at the suspect before the vehicle sped off."/>
        <s v="The officers were getting out of their vehicle when the suspect pulled a weapon from his pocket and fired at the officers forcing one of the officers to return fire."/>
        <s v="The officer heard a child screaming and when he found the child he saw that the suspect was holding the child and had a shotgun pointed at him. The officer was able to get the child free and as the child ran the suspect pointed the weapon at the child for"/>
        <s v="The officer confronted a burglary of a residence suspect. The suspect had an object in his hand and appeared to point it at the officer causing the officer to shoot."/>
        <s v="The officer was conducting a narcotics search warrant when the suspect was spotted. The suspect refused to comply with the officer and instead made a gesture as if to reach for a weapon forcing the officer to shoot."/>
        <s v="The suspect was threatening people with a sword. The officer arrived and found the suspect who was still armed. The officer attempted to get the suspect to drop the weapon but the suspect refused and continued to advance on the officer forcing the officer"/>
        <s v="The officer was chasing a suspect who had fired a weapon into a crowd of people, During the chase the suspect turned and pointed the weapon at the officer forcing the officer to shoot."/>
        <s v="The officers had chased an armed suspect and when the cahse ended the suspect took a postion of cover in front of his vehicle. The suspect was told to drop the weapon and come out but instead the suspect prepared to fire on the officers forcing the office"/>
        <s v="The officer was attempting to apprehend a suspect who he saw attempting to take a persons car. The suspect refused to comply with the officer but instead the suspect charged at the officer forcing the officer to shoot."/>
        <s v="The officers were attempting to arrest the suspect but the suspect resisted. A physical altercation ensued all the while the suspect was attempting to reach for his waistband area as if reaching for a weapon. The officers were trying to get control of the"/>
        <s v="The officers were setting up a perimeter on the residence of an armed suspect when the suspect broke out a window and pointed a weapon at the officers forcing the officer to shoot."/>
        <s v="The suspect was stopped on traffic and when the officers were preparing to arrest him, the suspect fled in his vehicle. The officers were eventually able to get the suspect stopped but the suspect refused to get out of the vehicle. The suspect then opened"/>
        <s v="The officer confronted the suspect who was in the process of burglarizing a motor vehicle. The officer attempted to detain the suspect but the suspect lunged at the officer with a weapon in his hand forcing the officer to shoot."/>
        <s v="The officer was chasing the suspect on foot when the suspect appeared to be reaching for a weapon. The officer told the suspect to stop and show his hands but instead the suspect moved as if getting in a position to shoot at the officer focing the officer"/>
        <s v="The suspect was involved in a vehicle pursuit and when he was boxed in he attempted to flee by running over the officers forcing them to shoot the suspect."/>
        <s v="The officers were pursuing the suspect on foot when the suspect turned and shot one of the officers. Other officers continued to pursue the suspect and one agian the suspect turned and shot at them forcing them to return fire."/>
        <s v="The officers were executing a search warrant when they were attacked by a dog. The officer was forced to shoot the dog and in doing so the suspect suffered a wound from a ricoched pellet."/>
        <s v="The officers located a stolen vehicle and when they tried to detain the suspect the suspect attempted to flee from the officers by ramming into the patrol cars and then by trying to run over the officers forcing them to shoot the suspect."/>
        <s v="The officer was attempting to arrest an evading arrest suspect who he found hiding behind a fence. The suspect failed to comply with the officers orders and made a gesture as if he was pointing a weapon at the officer forcing the officer to shoot at the s"/>
        <s v="The armed suspect fled from police in a vehicle and on foot. During the pursuit the suspect engaged the officer by pointing his weapon at the officers forcing the officers to shoot at the suspect."/>
        <s v="The officer was notified of a rape and when he confronted the suspect, the suspect fought the officer before running off. The officer chased the suspect and the two engaged in another physical confrontation. It was when the suspect picked up an object and"/>
        <s v="The suspect was stopped on traffic when he became very aggressive and attacked tehe officer. The officer attempted to use a taser on the suspect but the taser was ineffective. The suspect continued his aggression toward the officer after being tasered for"/>
        <s v="The suspect was posing as an officer and when he was going to be arrested he jumped into a vehicle and drove at the arresting officers striking one of them. The involved officer believed the suspect was going to hit other officers so he shot at the suspec"/>
        <s v="The suspect was engaged in a vehicle pursuit with the officers when she lost control of the vehicle and hit a fence. The officer saw this as an opportunity to get the suspect out of the vehicle but as he approached, the suspect drove at the officer forcin"/>
        <s v="The suspect led the officers on a vehicle pursuit which ended when the suspect pulled into the parking lot of an apartment complex. The suspect wes seen making movements in the vehicle but refused to get out of the car. When the suspect did open the door "/>
        <s v="The officer saw the suspect trying to break into a vehicle and when teh officer confronted him, the suspect ran off. The officer chased the suspect as when he turned a corner the suspect jumped out of hiding and shot the officer. The officer was wearing h"/>
        <s v="The officers responded to a disturbance with an armed suspect but were able to get the suspect to place his weapon on the ground. As an officer was moving to arrest the suspect, the suspect grabbed the weapon that was on the ground forcing the officers to"/>
        <s v="The responding officers were being treatened by the suspect who was armed with a metal pipe. The officers attempted to use a taser weapon on the suspect but it had no effect. The suspect continued to advance toward the officers and then raised the pipe as"/>
        <s v="The officer located a suspect who had just committed an armed robbery but the suspect fought with the officer when he attempted to detain him. The suspect was then trying to get the officer's weapon as they were struggling with each other until the suspec"/>
        <s v="The officer was attempted to detain a narcotics suspect when the suspect accelerated his vehicle and drove at the officer forcing the officer to shoot."/>
        <s v="The officer was involved in a traffic accident and made initial contact with the suspect who was driving the other vehicle. The suspect then walked back to his car and as he entered the vehicle the officer saw him pull an object from his pocket. The suspe"/>
        <s v="The officer was alerted to the position of an armed robbery suspect and when the officer confronted him the suspect refused to listen to the officer. Instead the suspect moved toward the officer and then made a gesture as if to reach for a weapon casuing "/>
        <s v="The officer was chasing a burglary suspect when the suspect turned towrd the officer with an object in his hand. The officer belived the object to be a weapon forcing the officer to shoot."/>
        <s v="The suspect was being detained by the officer when the suspect saw an opportunity to pull out a weapon. The officer was able to grab the suspect's hand before the suspect was able to shoot and a fight over the weapon ensued. Another officer went to assist"/>
        <s v="The officer was informed of a robbery in progress and when he confronted the suspect, the suspect turned and pointed a weapon at him forcing the officer to shoot."/>
        <s v="The arned robbery suspect fled from the police on foot. The officer chased the suspect and managed to corner him. The suspect then ran toward the officer with a pistol in his hand forcing the officer to shoot."/>
        <s v="The officers were conducting a narcotics operation which led them to the listed location. They were met by the suspect at the front door and after identifying themselves as police officers, the suspect assaulted one of the officers before pulling out a pi"/>
        <s v="The suspect entered the police station armed with a knife. The suspect appeared to be stabbing herslf with the knife but was not stabbing hard enough to cause injury. She then told the officers - let's end this - and moved towrd the officers with the knif"/>
        <s v="The officer was off duty when he was informed of a robbery in progress. The officer spotted the suspect at which time the suspect pointed a weapon at the officer forcing the officer to shoot at the suspect."/>
        <s v="Officers forced entry into an apartment to execute a narcotics arrest warrant. The officers were confronted by the suspect who was armed with a shotgun forcing the officers to shoot."/>
        <s v="The officers were attempting to arrest a burglary of a motor vehicle suspect when the suspect drove his vehicle at the officers forcing them to shoot at the suspect."/>
        <s v="The officer attempted to stop the suspect but the suspect fled from him. The suspect stopped his vehicle and got out but was found to be armed. The suspect shot at the officers before getting into another vehicle. As the suspect drove by officers who had "/>
        <s v="The officer attempted to stop a suspect who was fleeing from the police but was struck by the vehicle in the process. The officer believed that the suspect was going to hit him again forcing him to shoot at the suspect."/>
        <s v="An armed robbery suspect exited the business and charged at the officer forcing the officer to shoot him."/>
        <s v="The officers found the suspect breaking into an unmarked city vehicle. The officers identified themselves at which time the suspect jumped into a waiting vehicle and drove at the officers causing the officers to shoot at the suspect but not before both of"/>
        <s v="The suspect was stopped on traffic and fought the officer as the officer was attempting to arrest him. A foot pursuit followed at which time the officer attempted to use his taser device but was unsucceful. The suspect once again struggled with the office"/>
        <s v="Officers resonded to a family disturbance and found the suspect to be armed with a hammer. The officers attempted to contain the situation by use of a soft impact weapon and a taser but neither had any effect on the suspect forcing the officer to shoot th"/>
        <s v="The officer located a vehicle that had been reported as stolen and as he was approaching the vehicle, the suspect sat up. The suspect refused to get out of the vehicle and instead was attempting to flee the scene and drove at the officer to do so forcing "/>
        <s v="The officers forced entry to the residence when they heard a female screaming for the suspect not to stab her. Once inside, the suspect turned his attention to the officers and charged at them with a knife forcing the officers to shoot."/>
        <s v="The officer was conducting an undercover operation when a group of males attacked him. The officer was on the groung being beaten by the males when he was forced to shoot at them."/>
        <s v="The officer spotted the suspect who resembled the description of a home invasion suspect. As the officer approched in his vehicle, the suspect confronted the officer before running off. The officer chased the suspect and during the chase the suspect turne"/>
        <s v="The armed suspect was barricaded in the business where he had just committed a murder. The officers arrived and were in position in front of the business when the suspect pointed his weapon at the officers forcing them to shoot."/>
        <s v="The officer went into the business that was reported to have been robbed when the armed suspect jumped out from the restroom. The suspect and the officers exchanged gunfire at this point."/>
        <s v="The suspect was pulled over on traffic and when the officer was going to detain him, the suspect began to fight with the officer before running off. THe officer chased the suspect who managed to get back to his vehicle and drove at the officer forcing the"/>
        <s v="The officers forced entry into the residence to execute a narcotics search warrant. Once inside the suspect shot at the officers forcing the officers to return fire."/>
        <s v="The suspect was stopped by the officer for a traffic violation. The suspect was getting out of the vehicle and as the officer went to tell him to stay in the car, the suspect started shooting at the officer forcing the officer to return fire."/>
        <s v="The officer was searching the area where a armed suspect was seen running. The officer found the suspect hiding in a bush and when the suspect came out of the bush he was pointing a weapon at the officer. An exchange of gunfire occurred and both the offic"/>
        <s v="The officer was in the process of detaining a vice suspect when a second suspect came running up while shooting at the officer. The officer returned fire which caused the suspect to run away. The officer chased the suspect during which time there was anot"/>
        <s v="The officer located a suspect who had just committed a robbery and started to chase him on foot. The officer lost sight of him and was retracing the path of the chase when he spotted a large trash can. He went to check the trash can but when he tried to l"/>
        <s v="Officers were conducting a search warrant in which they had to force entry into the residence. The lead officer was clearing the house when the suspect appeared and pointed a weapon at the officer forcing the officer to shoot."/>
        <s v="The officer was informed of an aggravated robbery and went to look for the suspect. He found the suspect in a vehicle driving toward the parking lot exit. The officer attempted to get the suspect to stop but the suspect kept drivng at the officer. The sus"/>
        <s v="The officers responded to a call where the armed suspect had a hostage. The officers were able to get the the suspect to free the hostage but were unable to get the suspect to give up his weapons. The suspect then stepped out of his covered position and p"/>
        <s v="The officer located the suspect and when he stopped to talk to him the suspect refused to move his hands away from his back. The officer could not see the suspects hands and he could not get out of his patrol car safely because the suspect was to close so"/>
        <s v="The officer responded to a disturbance with weapons and when he went to the front door the suspect refused to open it. The suspects wife then tried to open the door but the suspect pushed her away from the door and then pulled out a weapon and pointed it "/>
        <s v="The officer arrived at the residence to find the burglary suspect removing a toolbox from the garage. The officer attempted to detain the suspect but the suspect grabbed a tool from the toolbox and moved toward the officer. The two engaged in a physical c"/>
        <s v="The armed suspect had just committed a bank robbery and ran into a nearby business. The officers located the suspect but when they attempted to detain her the suspect pointed a weapon at them forcing the officers to shoot."/>
        <s v="The officer was directed to the location of an armed suspect and when the officer found the suspect he had the suspect get on the ground. The officer's attention was diverted at which time the suspect used the opportunity to draw a weapon and shoot at the"/>
        <s v="The officer had a vehicle detained when the passenger in the car pulled out a firearm forcing the officer to shoot."/>
        <s v="The officer located the suspect who was armed with firearm. The officer told the suspect to put the weapon on the ground but instead, the suspect pointed the weapon at the officer forcing the officer to shoot."/>
        <s v="The officer was approaching an apartment that was reportedly being broken into when a suspect xame out of the apartment. The officer was able to get this suspect under control but before he could handcuff him, a second suspect came out and started to shoo"/>
        <s v="The officer was set up outside a location that was being robbed when one of the suspects ran from the store. The officer tried to get the suspect to surrender but the suspect began to run and started shooting at the officer as he ran forcing the officer t"/>
        <s v="The suspect was seen breaing into a container. THe officer approached the suspect to arrest him and when he did the suspect charged at him with a pipe forcing the officer to shoot him."/>
        <s v="The suspect was involved in disturbance with a weapon and was hiding when the officers were searching the house for him. The officers came across a closed door and when they forced the door open, the suspect began shooting at them forcing the officers to "/>
        <s v="The officer located the suspect who had been involved in an armed robbery. AS the officer was attempting to detain the suspect, the suspect reached to his waistband area forcing the officer to shoot."/>
        <s v="The officer was attempting to gain control of the suspect who was reported to have been involved in a disturbance with a weapon. The suspect was refusing verbal commnds to exit his vehicle when the suspect suddenly opened the door. The officer believed th"/>
        <s v="The officer found a stolen vehicle and when he confronted the suspect who was near the vehicle, the suspect ran from the officer. The suspect then jumped into the stolen vehicle and was reaching to the floorboard area casuing the officer to beleive that t"/>
        <s v="The officer was conducting a narcotics sting operation when the suspect approached the officer. The suspect then rasied his shirt and reached for a weapon forcing the officer to shoot."/>
        <s v="The officers were attempting to arrest a suspect who was breaking into vehicles but the suspect was in his vehicle and was driving at the officers forcing the officers to have to shoot."/>
        <s v="The officers were called to a scene where the suspect was threatening to kill herself with a knife. As the officers approached her the complainant turned the knife on them forcing the officers to try to use the taser to stop the aggression. The taser fail"/>
        <s v="The suspect was in his vehicle along with two persons whom he had abductde at gunpoint. When the officers located him, he refused to stop his vehicle and began to shoot at other vehicles that would not move out of his way. The suspect lost control of the "/>
        <s v="The armed suspect was wanted for an aggravated assault but he fled when officers attempted to arrest him. The suspect was found in the back yard of a residence but when he was told to drop his weapon he shot at the officers forcing the officers to return "/>
        <s v="The officer attempted to detain a suspect who was believed to have been involved in an aggravated robbery. When the officer approcahed the suspect, the suspect pulled out a weapon and attempted to shoot the officer focing the officer to shoot."/>
        <s v="The officers were set up at a location where an aggravated assault suspect had barricaded himself in. The officers were able to get the suspect to leave the position but the suspet was armed. The officers were forced to shot at the suspect when the suspec"/>
        <s v="The officers arrived at the scene of a disturbance to find the suspect beating on his girlfriend. As the officers approcahed to detain the suspect, the suspect pulled out a weapon and shot the person he was beating causing the officers to shoot at the sus"/>
        <s v="The officer was operating a narcotics sting when the suspect decided to rob him. THe suspect discovered the officers identification and then began shooting at the officer causing the officer to return fire. The other officers who were involved in the oper"/>
        <s v="The suspecy vehicle was pulled over on traffic after recieving a stolen hit on the license plate number. As the officers were attempting to detain the suspects the passenger in the vehicle gout out with a pistol in his hand and pointed it at a officer for"/>
        <s v="The suspect was parked in the driveway of an abandoned house so a call for a suspicious vehicle was called into the police. The officer arrived and approached the vehicel at which time the suspect was found to be sleeping. The officer woke the suspect who"/>
        <s v="The officers stopped a vehicle in which the passenger was with an armed suspect and as the officers were getting into position to approach the suspect vehicle they could see the ocupants fighting. A pistol was then thrown out of the vehicle at which time "/>
        <s v="The officer saw a group of robbery suspects fleeing from the location of the robbery. The suspects got into a vehicle and fled the scene with the officer following. The suspects turned into a dead end street which gave the officer a chance to box the susp"/>
        <s v="The officer located a suspect who was reported to have tried to abduct a group of young girls. The officer pulled the suspect's vehicle over and was handcuffing the suspect when the suspect fought back. The suspect managed to get the officer on the ground"/>
        <s v="The officer saw what was believed to be a narcotics transaction taking place so he pulledhis patrol car in behind the suspects vehicle. The officer got out of the vehicle and as he was approaching the vehicle the suspect drove right at the officer forcing"/>
        <s v="The officer located a suspect who had robbed and sexually assaulted a person but when the officer attempted to arrest the suspect, the suspect attacked the officer. During the physical altercation the suspect punched and choked the officer and then attemp"/>
        <s v="The officer pulled the suspect over and as he was approaching the vehicle, the suspect began shooting at him forcing the officer return fire. The exchange of gunfire occurred multiple times but was stopped when the suspect took his own life."/>
        <s v="The officer was attempting to detain a theft suspect when the suspect broke free from the officer and jumped into a vehicle. The suspect was fleeing from the scene and was driving right at a person forcing the officer to shoot at the suspect."/>
        <s v="The officers were chasing the armed robbery suspect on foot when they managed to catch up to her. The suspect refused to drop her weapon and instead chose to point the weapon at the officers forcing them to shoot."/>
        <s v="The officer was conducting a narcotics operation when the suspect punched the officer. the two were then engaged in a physical confrontation until the suspect managed to knock the officer to the ground. The officer then saw the suspect act as if he was re"/>
        <s v="The officers located the armed suspect who was waving his pistol in the air. The suspect refused to drop his weapon and instead pointed it at the officers forcing them to shoot."/>
        <s v="The officer saw the suspects breaking into a motor vehicle and attempted to detain them as they were getting into a vehicle to flee. The suspect saw the officer and pulled out a weapon forcing the officer to shoot. The van left the scene but was recovered"/>
        <s v="The officer engaged the suspect who was climbing into the backyard of a residence. The suspect then acted as if he was reaching for a weapon forcing the officer to shoot."/>
        <s v="The officer stopped a vehicle on traffic and as he was getting out of his patrol car, the suspect ran from the vehicle. The officer saw that he was armed and then saw the suspect point the weapon at him forcing him to shoot."/>
        <s v="The officers responded to a home invasion and as they entered the front of the residence they saw that there were two armed suspects and one of the suspects shot at them. The suspects then attempted to flee by going out the back door but they were confron"/>
        <s v="The officers attempted to pull over a stolen vehicle but the driver refused to stop and led the police on a vehicle pursuit until crashing into a light pole. As the officers were approaching the stolen vehicle, the suspect produced a weapon. The officers "/>
        <s v="The officer was in the location when the suspect came in pointed a weapon a group of persons and attempted to shoot them. The suspects gun jammed giving the officer the opportunity to shot teh suspect when the suspect made a second attempt to shoot at the"/>
        <s v="The suspect led the officer on a brief vehicle chase when the officer attempted to stop him on traffic. Once stopped, the suspect refused to stay in the car and as he got out of the vehicle he reached under the seat and as he turned toward the officer the"/>
        <s v="The officer located a vehicle that was being stripped of its tires by a group of males. When the officer pulled up most of the group ran off but the suspect jumped into a vehicle and drove at the officer managing to pin the officer against his patrol car."/>
        <s v="The officer was engaged in a narcotics operation when the suspect told the officer he was armed and that he was going to kill him if he did not give him the money. The officer complied but when the suspect pointed the object at the officer again, he shot "/>
        <s v="The officers responded to the sound of breaking glass and saw the suspect attempting to flee in a vehicle. The first officer had run from a position that put him at the front of the car at which the suspect drove at the officer - hitting him with the vehi"/>
        <s v="The officers were called to the location becase of an armed person acting strange. When the officers arrived at the location the suspect drove off in a stolen car andled the police ona brief chase before being cornered in a garage. The suspect then attemp"/>
        <s v="The officer heard nearby gunshots and went to investigate. When he got to the area he saw the suspeect running and shooting at a group of people who were running from him. The suspect then saw the officer and shot at him forcing the officer to return fire"/>
        <s v="The officer was informed of a robbery and gave chase to one of the suspects. The suspect was running from the officer when it appeared that he reached for something at his waistband and started turning toward the officer forcing the officer shoot at the s"/>
        <s v="The officer was inside a store when he saw a robbery taking place. He went out to engage the suspect who was running toward a vehicle. The suspect then turned toward the officer as he was reaching to his waitband forcing the officer to shoot."/>
        <s v="The officer pulled over a vehicle that was reported stolen and had the suspect lie on the ground intending to wait for backup before handling him. The suspect then got up from the ground and charged at the officer while reaching into his waitband forcing "/>
        <s v="The officer spotted a vehicle that was reported to have been stolen at gunpoint and also saw that the vehicle was being followed by another vehicle. The officer began to follow the vehicles at which time they split up so the officer went with the stolen v"/>
        <s v="The suspect was seen leaving an apartment that he had just broken into and was confronted by multiple employees who worked at the complex. The suspect then pulled out a weapon and shot at these persons because they were attempting to detain him until the "/>
        <s v="The officer saw a narcotics transaction take place and as he approcahed the persons involved the suspect ran off. The officer chased the suspect and at one point he saw that the suspect dropped a pistol as he was jumping over a fence. The officer chose to"/>
        <s v="The officers were made aware of a disturbance and as they approached the area they saw the suspet pointing a pistol at a group of people. The officers confronted the suspect at which time the suspect ran. The officers were chasing the suspect when the sus"/>
        <s v="The officer was leaving a call scene when he heard multiple gunshots from a nearby location he walked to the street to investigate and saw a truck pull in front of a car and stop. The suspect then got out of the car and began to shoot at the driver in the"/>
        <s v="The officers were attempting to detain a suspicious person who was in violation of a trespass order when the suspect ran. One of the officers chased the suspect on foot and was behind him when the suspect pulled out a weapon from his pocket and pointed it"/>
        <s v="The suspect was had solicited sex from an undercover officer and when the patrol unit pulled up to arrest him, the suspect drove off with the officer partially inside the vehicle forcing the arriving officer to shoot at the suspect before the undercover o"/>
        <s v="The suspect was stopped on traffic and as the officers approached the vehicle, he got out with a shotgun and pointed it at the officers forcing them to fire."/>
        <s v="The officer was victim to a road rage incident when the driver of the suspect vehicle drove at the officer forcing the officer to shoot."/>
      </sharedItems>
    </cacheField>
    <cacheField name=" " numFmtId="0">
      <sharedItems containsBlank="1">
        <m/>
        <e v="#VALUE!"/>
        <s v="Either this report or the following is true for the case, but not both.  Unsure why both case synopsis are the sa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Count by On Duty" cacheId="0" dataCaption="" compact="0" compactData="0">
  <location ref="A1:B5" firstHeaderRow="0" firstDataRow="1" firstDataCol="0"/>
  <pivotFields>
    <pivotField name="ON DUTY" axis="axisRow" dataField="1" compact="0" outline="0" multipleItemSelectionAllowed="1" showAll="0" sortType="ascending">
      <items>
        <item x="2"/>
        <item x="1"/>
        <item x="0"/>
        <item t="default"/>
      </items>
    </pivotField>
  </pivotFields>
  <rowFields>
    <field x="0"/>
  </rowFields>
  <dataFields>
    <dataField name="COUNTA of ON DUTY" fld="0" subtotal="count" baseField="0"/>
  </dataFields>
</pivotTableDefinition>
</file>

<file path=xl/pivotTables/pivotTable2.xml><?xml version="1.0" encoding="utf-8"?>
<pivotTableDefinition xmlns="http://schemas.openxmlformats.org/spreadsheetml/2006/main" name="Count by Officer Race" cacheId="1" dataCaption="" compact="0" compactData="0">
  <location ref="A1:B8"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t="default"/>
      </items>
    </pivotField>
    <pivotField name="INC 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ame="SEX" compact="0" outline="0" multipleItemSelectionAllowed="1" showAll="0">
      <items>
        <item x="0"/>
        <item x="1"/>
        <item x="2"/>
        <item x="3"/>
        <item x="4"/>
        <item t="default"/>
      </items>
    </pivotField>
    <pivotField name="RACE"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INJURY" compact="0" outline="0" multipleItemSelectionAllowed="1" showAll="0">
      <items>
        <item x="0"/>
        <item x="1"/>
        <item x="2"/>
        <item x="3"/>
        <item x="4"/>
        <item x="5"/>
        <item x="6"/>
        <item x="7"/>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x2" compact="0" outline="0" multipleItemSelectionAllowed="1" showAll="0">
      <items>
        <item x="0"/>
        <item x="1"/>
        <item x="2"/>
        <item t="default"/>
      </items>
    </pivotField>
    <pivotField name="race2" axis="axisRow" compact="0" outline="0" multipleItemSelectionAllowed="1" showAll="0" sortType="ascending">
      <items>
        <item x="5"/>
        <item x="4"/>
        <item x="1"/>
        <item x="2"/>
        <item x="3"/>
        <item x="0"/>
        <item t="default"/>
      </items>
    </pivotField>
    <pivotField name="ag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injury2" compact="0" outline="0" multipleItemSelectionAllowed="1" showAll="0">
      <items>
        <item x="0"/>
        <item x="1"/>
        <item x="2"/>
        <item x="3"/>
        <item t="default"/>
      </items>
    </pivotField>
    <pivotField name="ON DUTY" compact="0" outline="0" multipleItemSelectionAllowed="1" showAll="0">
      <items>
        <item x="0"/>
        <item x="1"/>
        <item x="2"/>
        <item t="default"/>
      </items>
    </pivotField>
    <pivotField name="RESPONSE TYPE" compact="0" outline="0" multipleItemSelectionAllowed="1" showAll="0">
      <items>
        <item x="0"/>
        <item x="1"/>
        <item x="2"/>
        <item x="3"/>
        <item x="4"/>
        <item x="5"/>
        <item x="6"/>
        <item t="default"/>
      </items>
    </pivotField>
    <pivotField name="NUM OF OFFICERS" compact="0" outline="0" multipleItemSelectionAllowed="1" showAll="0">
      <items>
        <item x="0"/>
        <item x="1"/>
        <item x="2"/>
        <item t="default"/>
      </items>
    </pivotField>
    <pivotField name="Synops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t="default"/>
      </items>
    </pivotField>
    <pivotField name=" " compact="0" outline="0" multipleItemSelectionAllowed="1" showAll="0">
      <items>
        <item x="0"/>
        <item x="1"/>
        <item x="2"/>
        <item t="default"/>
      </items>
    </pivotField>
  </pivotFields>
  <rowFields>
    <field x="9"/>
  </rowFields>
  <dataFields>
    <dataField name="COUNTA of INC NO."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Count by Injury" cacheId="1" dataCaption="" compact="0" compactData="0">
  <location ref="A1:B10"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t="default"/>
      </items>
    </pivotField>
    <pivotField name="INC 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ame="SEX" compact="0" outline="0" multipleItemSelectionAllowed="1" showAll="0">
      <items>
        <item x="0"/>
        <item x="1"/>
        <item x="2"/>
        <item x="3"/>
        <item x="4"/>
        <item t="default"/>
      </items>
    </pivotField>
    <pivotField name="RACE"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INJURY" axis="axisRow" compact="0" outline="0" multipleItemSelectionAllowed="1" showAll="0" sortType="ascending">
      <items>
        <item x="0"/>
        <item x="1"/>
        <item x="2"/>
        <item x="3"/>
        <item x="4"/>
        <item x="5"/>
        <item x="6"/>
        <item x="7"/>
        <item t="default"/>
      </items>
      <autoSortScope>
        <pivotArea>
          <references>
            <reference field="4294967294">
              <x v="0"/>
            </reference>
          </references>
        </pivotArea>
      </autoSortScope>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x2" compact="0" outline="0" multipleItemSelectionAllowed="1" showAll="0">
      <items>
        <item x="0"/>
        <item x="1"/>
        <item x="2"/>
        <item t="default"/>
      </items>
    </pivotField>
    <pivotField name="race2" compact="0" outline="0" multipleItemSelectionAllowed="1" showAll="0">
      <items>
        <item x="0"/>
        <item x="1"/>
        <item x="2"/>
        <item x="3"/>
        <item x="4"/>
        <item x="5"/>
        <item t="default"/>
      </items>
    </pivotField>
    <pivotField name="ag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injury2" compact="0" outline="0" multipleItemSelectionAllowed="1" showAll="0">
      <items>
        <item x="0"/>
        <item x="1"/>
        <item x="2"/>
        <item x="3"/>
        <item t="default"/>
      </items>
    </pivotField>
    <pivotField name="ON DUTY" compact="0" outline="0" multipleItemSelectionAllowed="1" showAll="0">
      <items>
        <item x="0"/>
        <item x="1"/>
        <item x="2"/>
        <item t="default"/>
      </items>
    </pivotField>
    <pivotField name="RESPONSE TYPE" compact="0" outline="0" multipleItemSelectionAllowed="1" showAll="0">
      <items>
        <item x="0"/>
        <item x="1"/>
        <item x="2"/>
        <item x="3"/>
        <item x="4"/>
        <item x="5"/>
        <item x="6"/>
        <item t="default"/>
      </items>
    </pivotField>
    <pivotField name="NUM OF OFFICERS" compact="0" outline="0" multipleItemSelectionAllowed="1" showAll="0">
      <items>
        <item x="0"/>
        <item x="1"/>
        <item x="2"/>
        <item t="default"/>
      </items>
    </pivotField>
    <pivotField name="Synops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t="default"/>
      </items>
    </pivotField>
    <pivotField name=" " compact="0" outline="0" multipleItemSelectionAllowed="1" showAll="0">
      <items>
        <item x="0"/>
        <item x="1"/>
        <item x="2"/>
        <item t="default"/>
      </items>
    </pivotField>
  </pivotFields>
  <rowFields>
    <field x="6"/>
  </rowFields>
  <dataFields>
    <dataField name="COUNTA of INC NO." fld="1"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Count by Person Race" cacheId="1" dataCaption="" compact="0" compactData="0">
  <location ref="A1:B9" firstHeaderRow="0" firstDataRow="1" firstDataCol="0"/>
  <pivotFields>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t="default"/>
      </items>
    </pivotField>
    <pivotField name="INC 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t="default"/>
      </items>
    </pivotField>
    <pivotField name="SEX" compact="0" outline="0" multipleItemSelectionAllowed="1" showAll="0">
      <items>
        <item x="0"/>
        <item x="1"/>
        <item x="2"/>
        <item x="3"/>
        <item x="4"/>
        <item t="default"/>
      </items>
    </pivotField>
    <pivotField name="RACE" axis="axisRow" compact="0" outline="0" multipleItemSelectionAllowed="1" showAll="0" sortType="ascending">
      <items>
        <item x="0"/>
        <item x="1"/>
        <item x="2"/>
        <item x="3"/>
        <item x="4"/>
        <item x="5"/>
        <item x="6"/>
        <item t="default"/>
      </items>
      <autoSortScope>
        <pivotArea>
          <references>
            <reference field="4294967294">
              <x v="0"/>
            </reference>
          </references>
        </pivotArea>
      </autoSortScope>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INJURY" compact="0" outline="0" multipleItemSelectionAllowed="1" showAll="0">
      <items>
        <item x="0"/>
        <item x="1"/>
        <item x="2"/>
        <item x="3"/>
        <item x="4"/>
        <item x="5"/>
        <item x="6"/>
        <item x="7"/>
        <item t="default"/>
      </items>
    </pivotField>
    <pivotField name="WEAP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sex2" compact="0" outline="0" multipleItemSelectionAllowed="1" showAll="0">
      <items>
        <item x="0"/>
        <item x="1"/>
        <item x="2"/>
        <item t="default"/>
      </items>
    </pivotField>
    <pivotField name="race2" compact="0" outline="0" multipleItemSelectionAllowed="1" showAll="0">
      <items>
        <item x="0"/>
        <item x="1"/>
        <item x="2"/>
        <item x="3"/>
        <item x="4"/>
        <item x="5"/>
        <item t="default"/>
      </items>
    </pivotField>
    <pivotField name="ag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injury2" compact="0" outline="0" multipleItemSelectionAllowed="1" showAll="0">
      <items>
        <item x="0"/>
        <item x="1"/>
        <item x="2"/>
        <item x="3"/>
        <item t="default"/>
      </items>
    </pivotField>
    <pivotField name="ON DUTY" compact="0" outline="0" multipleItemSelectionAllowed="1" showAll="0">
      <items>
        <item x="0"/>
        <item x="1"/>
        <item x="2"/>
        <item t="default"/>
      </items>
    </pivotField>
    <pivotField name="RESPONSE TYPE" compact="0" outline="0" multipleItemSelectionAllowed="1" showAll="0">
      <items>
        <item x="0"/>
        <item x="1"/>
        <item x="2"/>
        <item x="3"/>
        <item x="4"/>
        <item x="5"/>
        <item x="6"/>
        <item t="default"/>
      </items>
    </pivotField>
    <pivotField name="NUM OF OFFICERS" compact="0" outline="0" multipleItemSelectionAllowed="1" showAll="0">
      <items>
        <item x="0"/>
        <item x="1"/>
        <item x="2"/>
        <item t="default"/>
      </items>
    </pivotField>
    <pivotField name="Synopsi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t="default"/>
      </items>
    </pivotField>
    <pivotField name=" " compact="0" outline="0" multipleItemSelectionAllowed="1" showAll="0">
      <items>
        <item x="0"/>
        <item x="1"/>
        <item x="2"/>
        <item t="default"/>
      </items>
    </pivotField>
  </pivotFields>
  <rowFields>
    <field x="4"/>
  </rowFields>
  <dataFields>
    <dataField name="COUNTA of INC NO." fld="1" subtotal="count" baseField="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oustontx.gov/police/ois/inc_no/144320018.htm" TargetMode="External"/><Relationship Id="rId84" Type="http://schemas.openxmlformats.org/officeDocument/2006/relationships/hyperlink" Target="https://houstontx.gov/police/ois/inc_no/54184916.htm" TargetMode="External"/><Relationship Id="rId83" Type="http://schemas.openxmlformats.org/officeDocument/2006/relationships/hyperlink" Target="https://houstontx.gov/police/ois/inc_no/66462816.htm" TargetMode="External"/><Relationship Id="rId42" Type="http://schemas.openxmlformats.org/officeDocument/2006/relationships/hyperlink" Target="https://houstontx.gov/police/ois/inc_no/122990318.htm" TargetMode="External"/><Relationship Id="rId86" Type="http://schemas.openxmlformats.org/officeDocument/2006/relationships/hyperlink" Target="https://houstontx.gov/police/ois/inc_no/48805716.htm" TargetMode="External"/><Relationship Id="rId41" Type="http://schemas.openxmlformats.org/officeDocument/2006/relationships/hyperlink" Target="https://houstontx.gov/police/ois/inc_no/135922718.htm" TargetMode="External"/><Relationship Id="rId85" Type="http://schemas.openxmlformats.org/officeDocument/2006/relationships/hyperlink" Target="https://houstontx.gov/police/ois/inc_no/64416616.htm" TargetMode="External"/><Relationship Id="rId44" Type="http://schemas.openxmlformats.org/officeDocument/2006/relationships/hyperlink" Target="https://houstontx.gov/police/ois/inc_no/114287818.htm" TargetMode="External"/><Relationship Id="rId88" Type="http://schemas.openxmlformats.org/officeDocument/2006/relationships/hyperlink" Target="https://houstontx.gov/police/ois/inc_no/35690916.htm" TargetMode="External"/><Relationship Id="rId43" Type="http://schemas.openxmlformats.org/officeDocument/2006/relationships/hyperlink" Target="https://houstontx.gov/police/ois/inc_no/123798518.htm" TargetMode="External"/><Relationship Id="rId87" Type="http://schemas.openxmlformats.org/officeDocument/2006/relationships/hyperlink" Target="https://houstontx.gov/police/ois/inc_no/47566916.htm" TargetMode="External"/><Relationship Id="rId46" Type="http://schemas.openxmlformats.org/officeDocument/2006/relationships/hyperlink" Target="https://houstontx.gov/police/ois/inc_no/93701118.htm" TargetMode="External"/><Relationship Id="rId45" Type="http://schemas.openxmlformats.org/officeDocument/2006/relationships/hyperlink" Target="https://houstontx.gov/police/ois/inc_no/95218318.htm" TargetMode="External"/><Relationship Id="rId89" Type="http://schemas.openxmlformats.org/officeDocument/2006/relationships/hyperlink" Target="https://houstontx.gov/police/ois/inc_no/34516216.htm" TargetMode="External"/><Relationship Id="rId80" Type="http://schemas.openxmlformats.org/officeDocument/2006/relationships/hyperlink" Target="https://houstontx.gov/police/ois/inc_no/72782816.htm" TargetMode="External"/><Relationship Id="rId82" Type="http://schemas.openxmlformats.org/officeDocument/2006/relationships/hyperlink" Target="https://houstontx.gov/police/ois/inc_no/67632516.htm" TargetMode="External"/><Relationship Id="rId81" Type="http://schemas.openxmlformats.org/officeDocument/2006/relationships/hyperlink" Target="https://houstontx.gov/police/ois/inc_no/72408916.htm" TargetMode="External"/><Relationship Id="rId1" Type="http://schemas.openxmlformats.org/officeDocument/2006/relationships/hyperlink" Target="https://houstontx.gov/police/ois/inc_no/71326920.htm" TargetMode="External"/><Relationship Id="rId2" Type="http://schemas.openxmlformats.org/officeDocument/2006/relationships/hyperlink" Target="https://houstontx.gov/police/ois/inc_no/71270820.htm" TargetMode="External"/><Relationship Id="rId3" Type="http://schemas.openxmlformats.org/officeDocument/2006/relationships/hyperlink" Target="https://houstontx.gov/police/ois/inc_no/69259320.htm" TargetMode="External"/><Relationship Id="rId4" Type="http://schemas.openxmlformats.org/officeDocument/2006/relationships/hyperlink" Target="https://houstontx.gov/police/ois/inc_no/64788020.htm" TargetMode="External"/><Relationship Id="rId9" Type="http://schemas.openxmlformats.org/officeDocument/2006/relationships/hyperlink" Target="https://houstontx.gov/police/ois/inc_no/47826020.htm" TargetMode="External"/><Relationship Id="rId48" Type="http://schemas.openxmlformats.org/officeDocument/2006/relationships/hyperlink" Target="https://houstontx.gov/police/ois/inc_no/79427318.htm" TargetMode="External"/><Relationship Id="rId47" Type="http://schemas.openxmlformats.org/officeDocument/2006/relationships/hyperlink" Target="https://houstontx.gov/police/ois/inc_no/90024918.htm" TargetMode="External"/><Relationship Id="rId49" Type="http://schemas.openxmlformats.org/officeDocument/2006/relationships/hyperlink" Target="https://houstontx.gov/police/ois/inc_no/77476418.htm" TargetMode="External"/><Relationship Id="rId5" Type="http://schemas.openxmlformats.org/officeDocument/2006/relationships/hyperlink" Target="https://houstontx.gov/police/ois/inc_no/63946620.htm" TargetMode="External"/><Relationship Id="rId6" Type="http://schemas.openxmlformats.org/officeDocument/2006/relationships/hyperlink" Target="https://houstontx.gov/police/ois/inc_no/60491720.htm" TargetMode="External"/><Relationship Id="rId7" Type="http://schemas.openxmlformats.org/officeDocument/2006/relationships/hyperlink" Target="https://houstontx.gov/police/ois/inc_no/54949120.htm" TargetMode="External"/><Relationship Id="rId8" Type="http://schemas.openxmlformats.org/officeDocument/2006/relationships/hyperlink" Target="https://houstontx.gov/police/ois/inc_no/52537920.htm" TargetMode="External"/><Relationship Id="rId73" Type="http://schemas.openxmlformats.org/officeDocument/2006/relationships/hyperlink" Target="https://houstontx.gov/police/ois/inc_no/131104116.htm" TargetMode="External"/><Relationship Id="rId72" Type="http://schemas.openxmlformats.org/officeDocument/2006/relationships/hyperlink" Target="https://houstontx.gov/police/ois/inc_no/151462916.htm" TargetMode="External"/><Relationship Id="rId31" Type="http://schemas.openxmlformats.org/officeDocument/2006/relationships/hyperlink" Target="https://houstontx.gov/police/ois/inc_no/13527619.htm" TargetMode="External"/><Relationship Id="rId75" Type="http://schemas.openxmlformats.org/officeDocument/2006/relationships/hyperlink" Target="https://houstontx.gov/police/ois/inc_no/109985316.htm" TargetMode="External"/><Relationship Id="rId30" Type="http://schemas.openxmlformats.org/officeDocument/2006/relationships/hyperlink" Target="https://houstontx.gov/police/ois/inc_no/22869919.htm" TargetMode="External"/><Relationship Id="rId74" Type="http://schemas.openxmlformats.org/officeDocument/2006/relationships/hyperlink" Target="https://houstontx.gov/police/ois/inc_no/123203516.htm" TargetMode="External"/><Relationship Id="rId33" Type="http://schemas.openxmlformats.org/officeDocument/2006/relationships/hyperlink" Target="https://houstontx.gov/police/ois/inc_no/12133719.htm" TargetMode="External"/><Relationship Id="rId77" Type="http://schemas.openxmlformats.org/officeDocument/2006/relationships/hyperlink" Target="https://houstontx.gov/police/ois/inc_no/94862816.htm" TargetMode="External"/><Relationship Id="rId32" Type="http://schemas.openxmlformats.org/officeDocument/2006/relationships/hyperlink" Target="https://houstontx.gov/police/ois/inc_no/12191319.htm" TargetMode="External"/><Relationship Id="rId76" Type="http://schemas.openxmlformats.org/officeDocument/2006/relationships/hyperlink" Target="https://houstontx.gov/police/ois/inc_no/99760816.htm" TargetMode="External"/><Relationship Id="rId35" Type="http://schemas.openxmlformats.org/officeDocument/2006/relationships/hyperlink" Target="https://houstontx.gov/police/ois/inc_no/3169319.htm" TargetMode="External"/><Relationship Id="rId79" Type="http://schemas.openxmlformats.org/officeDocument/2006/relationships/hyperlink" Target="https://houstontx.gov/police/ois/inc_no/88431916.htm" TargetMode="External"/><Relationship Id="rId34" Type="http://schemas.openxmlformats.org/officeDocument/2006/relationships/hyperlink" Target="https://houstontx.gov/police/ois/inc_no/12191319.htm" TargetMode="External"/><Relationship Id="rId78" Type="http://schemas.openxmlformats.org/officeDocument/2006/relationships/hyperlink" Target="https://houstontx.gov/police/ois/inc_no/88163616.htm" TargetMode="External"/><Relationship Id="rId71" Type="http://schemas.openxmlformats.org/officeDocument/2006/relationships/hyperlink" Target="https://houstontx.gov/police/ois/inc_no/154131216.htm" TargetMode="External"/><Relationship Id="rId70" Type="http://schemas.openxmlformats.org/officeDocument/2006/relationships/hyperlink" Target="https://houstontx.gov/police/ois/inc_no/155214316.htm" TargetMode="External"/><Relationship Id="rId37" Type="http://schemas.openxmlformats.org/officeDocument/2006/relationships/hyperlink" Target="https://houstontx.gov/police/ois/inc_no/162241918.htm" TargetMode="External"/><Relationship Id="rId36" Type="http://schemas.openxmlformats.org/officeDocument/2006/relationships/hyperlink" Target="https://houstontx.gov/police/ois/inc_no/1599519.htm" TargetMode="External"/><Relationship Id="rId39" Type="http://schemas.openxmlformats.org/officeDocument/2006/relationships/hyperlink" Target="https://houstontx.gov/police/ois/inc_no/149476218.htm" TargetMode="External"/><Relationship Id="rId38" Type="http://schemas.openxmlformats.org/officeDocument/2006/relationships/hyperlink" Target="https://houstontx.gov/police/ois/inc_no/150372018.htm" TargetMode="External"/><Relationship Id="rId62" Type="http://schemas.openxmlformats.org/officeDocument/2006/relationships/hyperlink" Target="https://houstontx.gov/police/ois/inc_no/52538517.htm" TargetMode="External"/><Relationship Id="rId61" Type="http://schemas.openxmlformats.org/officeDocument/2006/relationships/hyperlink" Target="https://houstontx.gov/police/ois/inc_no/52500217.htm" TargetMode="External"/><Relationship Id="rId20" Type="http://schemas.openxmlformats.org/officeDocument/2006/relationships/hyperlink" Target="https://houstontx.gov/police/ois/inc_no/120935219.htm" TargetMode="External"/><Relationship Id="rId64" Type="http://schemas.openxmlformats.org/officeDocument/2006/relationships/hyperlink" Target="https://houstontx.gov/police/ois/inc_no/44960417.htm" TargetMode="External"/><Relationship Id="rId63" Type="http://schemas.openxmlformats.org/officeDocument/2006/relationships/hyperlink" Target="https://houstontx.gov/police/ois/inc_no/51362817.htm" TargetMode="External"/><Relationship Id="rId22" Type="http://schemas.openxmlformats.org/officeDocument/2006/relationships/hyperlink" Target="https://houstontx.gov/police/ois/inc_no/108199719.htm" TargetMode="External"/><Relationship Id="rId66" Type="http://schemas.openxmlformats.org/officeDocument/2006/relationships/hyperlink" Target="https://houstontx.gov/police/ois/inc_no/30911117.htm" TargetMode="External"/><Relationship Id="rId21" Type="http://schemas.openxmlformats.org/officeDocument/2006/relationships/hyperlink" Target="https://houstontx.gov/police/ois/inc_no/143778519.htm" TargetMode="External"/><Relationship Id="rId65" Type="http://schemas.openxmlformats.org/officeDocument/2006/relationships/hyperlink" Target="https://houstontx.gov/police/ois/inc_no/36699917.htm" TargetMode="External"/><Relationship Id="rId24" Type="http://schemas.openxmlformats.org/officeDocument/2006/relationships/hyperlink" Target="https://houstontx.gov/police/ois/inc_no/93118919.htm" TargetMode="External"/><Relationship Id="rId68" Type="http://schemas.openxmlformats.org/officeDocument/2006/relationships/hyperlink" Target="https://houstontx.gov/police/ois/inc_no/20859317.htm" TargetMode="External"/><Relationship Id="rId23" Type="http://schemas.openxmlformats.org/officeDocument/2006/relationships/hyperlink" Target="https://houstontx.gov/police/ois/inc_no/102521519.htm" TargetMode="External"/><Relationship Id="rId67" Type="http://schemas.openxmlformats.org/officeDocument/2006/relationships/hyperlink" Target="https://houstontx.gov/police/ois/inc_no/26218717.htm" TargetMode="External"/><Relationship Id="rId60" Type="http://schemas.openxmlformats.org/officeDocument/2006/relationships/hyperlink" Target="https://houstontx.gov/police/ois/inc_no/56940317.htm" TargetMode="External"/><Relationship Id="rId26" Type="http://schemas.openxmlformats.org/officeDocument/2006/relationships/hyperlink" Target="https://houstontx.gov/police/ois/inc_no/77867119.htm" TargetMode="External"/><Relationship Id="rId25" Type="http://schemas.openxmlformats.org/officeDocument/2006/relationships/hyperlink" Target="https://houstontx.gov/police/ois/inc_no/82488019.htm" TargetMode="External"/><Relationship Id="rId69" Type="http://schemas.openxmlformats.org/officeDocument/2006/relationships/hyperlink" Target="https://houstontx.gov/police/ois/inc_no/9641917.htm" TargetMode="External"/><Relationship Id="rId28" Type="http://schemas.openxmlformats.org/officeDocument/2006/relationships/hyperlink" Target="https://houstontx.gov/police/ois/inc_no/46151719.htm" TargetMode="External"/><Relationship Id="rId27" Type="http://schemas.openxmlformats.org/officeDocument/2006/relationships/hyperlink" Target="https://houstontx.gov/police/ois/inc_no/65776819.htm" TargetMode="External"/><Relationship Id="rId29" Type="http://schemas.openxmlformats.org/officeDocument/2006/relationships/hyperlink" Target="https://houstontx.gov/police/ois/inc_no/25266619.htm" TargetMode="External"/><Relationship Id="rId51" Type="http://schemas.openxmlformats.org/officeDocument/2006/relationships/hyperlink" Target="https://houstontx.gov/police/ois/inc_no/66457618.htm" TargetMode="External"/><Relationship Id="rId95" Type="http://schemas.openxmlformats.org/officeDocument/2006/relationships/hyperlink" Target="https://houstontx.gov/police/ois/inc_no/7896816.htm" TargetMode="External"/><Relationship Id="rId50" Type="http://schemas.openxmlformats.org/officeDocument/2006/relationships/hyperlink" Target="https://houstontx.gov/police/ois/inc_no/71389218.htm" TargetMode="External"/><Relationship Id="rId94" Type="http://schemas.openxmlformats.org/officeDocument/2006/relationships/hyperlink" Target="https://houstontx.gov/police/ois/inc_no/11017416.htm" TargetMode="External"/><Relationship Id="rId53" Type="http://schemas.openxmlformats.org/officeDocument/2006/relationships/hyperlink" Target="https://houstontx.gov/police/ois/inc_no/13903618.htm" TargetMode="External"/><Relationship Id="rId52" Type="http://schemas.openxmlformats.org/officeDocument/2006/relationships/hyperlink" Target="https://houstontx.gov/police/ois/inc_no/20235418.htm" TargetMode="External"/><Relationship Id="rId96" Type="http://schemas.openxmlformats.org/officeDocument/2006/relationships/drawing" Target="../drawings/drawing1.xml"/><Relationship Id="rId11" Type="http://schemas.openxmlformats.org/officeDocument/2006/relationships/hyperlink" Target="https://houstontx.gov/police/ois/inc_no/23726420.htm" TargetMode="External"/><Relationship Id="rId55" Type="http://schemas.openxmlformats.org/officeDocument/2006/relationships/hyperlink" Target="https://houstontx.gov/police/ois/inc_no/136191017.htm" TargetMode="External"/><Relationship Id="rId10" Type="http://schemas.openxmlformats.org/officeDocument/2006/relationships/hyperlink" Target="https://houstontx.gov/police/ois/inc_no/44206820.htm" TargetMode="External"/><Relationship Id="rId54" Type="http://schemas.openxmlformats.org/officeDocument/2006/relationships/hyperlink" Target="https://houstontx.gov/police/ois/inc_no/13572118.htm" TargetMode="External"/><Relationship Id="rId13" Type="http://schemas.openxmlformats.org/officeDocument/2006/relationships/hyperlink" Target="https://houstontx.gov/police/ois/inc_no/2508920.htm" TargetMode="External"/><Relationship Id="rId57" Type="http://schemas.openxmlformats.org/officeDocument/2006/relationships/hyperlink" Target="https://houstontx.gov/police/ois/inc_no/132830217.htm" TargetMode="External"/><Relationship Id="rId12" Type="http://schemas.openxmlformats.org/officeDocument/2006/relationships/hyperlink" Target="https://houstontx.gov/police/ois/inc_no/10380820.htm" TargetMode="External"/><Relationship Id="rId56" Type="http://schemas.openxmlformats.org/officeDocument/2006/relationships/hyperlink" Target="https://houstontx.gov/police/ois/inc_no/134253217.htm" TargetMode="External"/><Relationship Id="rId91" Type="http://schemas.openxmlformats.org/officeDocument/2006/relationships/hyperlink" Target="https://houstontx.gov/police/ois/inc_no/30130016.htm" TargetMode="External"/><Relationship Id="rId90" Type="http://schemas.openxmlformats.org/officeDocument/2006/relationships/hyperlink" Target="https://houstontx.gov/police/ois/inc_no/32189216.htm" TargetMode="External"/><Relationship Id="rId93" Type="http://schemas.openxmlformats.org/officeDocument/2006/relationships/hyperlink" Target="https://houstontx.gov/police/ois/inc_no/15817516.htm" TargetMode="External"/><Relationship Id="rId92" Type="http://schemas.openxmlformats.org/officeDocument/2006/relationships/hyperlink" Target="https://houstontx.gov/police/ois/inc_no/19345016.htm" TargetMode="External"/><Relationship Id="rId15" Type="http://schemas.openxmlformats.org/officeDocument/2006/relationships/hyperlink" Target="https://houstontx.gov/police/ois/inc_no/2446820.htm" TargetMode="External"/><Relationship Id="rId59" Type="http://schemas.openxmlformats.org/officeDocument/2006/relationships/hyperlink" Target="https://houstontx.gov/police/ois/inc_no/61603917.htm" TargetMode="External"/><Relationship Id="rId14" Type="http://schemas.openxmlformats.org/officeDocument/2006/relationships/hyperlink" Target="https://houstontx.gov/police/ois/inc_no/4005720.htm" TargetMode="External"/><Relationship Id="rId58" Type="http://schemas.openxmlformats.org/officeDocument/2006/relationships/hyperlink" Target="https://houstontx.gov/police/ois/inc_no/112738517.htm" TargetMode="External"/><Relationship Id="rId17" Type="http://schemas.openxmlformats.org/officeDocument/2006/relationships/hyperlink" Target="https://houstontx.gov/police/ois/inc_no/4055820.htm" TargetMode="External"/><Relationship Id="rId16" Type="http://schemas.openxmlformats.org/officeDocument/2006/relationships/hyperlink" Target="https://houstontx.gov/police/ois/inc_no/171736319.htm" TargetMode="External"/><Relationship Id="rId19" Type="http://schemas.openxmlformats.org/officeDocument/2006/relationships/hyperlink" Target="https://houstontx.gov/police/ois/inc_no/119361419.htm" TargetMode="External"/><Relationship Id="rId18" Type="http://schemas.openxmlformats.org/officeDocument/2006/relationships/hyperlink" Target="https://houstontx.gov/police/ois/inc_no/115732919.ht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3" width="19.14"/>
    <col customWidth="1" min="8" max="8" width="24.29"/>
    <col customWidth="1" min="14" max="14" width="32.86"/>
    <col customWidth="1" min="15" max="15" width="20.57"/>
    <col customWidth="1" min="16" max="16" width="88.14"/>
  </cols>
  <sheetData>
    <row r="1">
      <c r="A1" s="1" t="s">
        <v>0</v>
      </c>
      <c r="D1" s="2" t="s">
        <v>1</v>
      </c>
      <c r="I1" s="3" t="s">
        <v>2</v>
      </c>
      <c r="Q1" s="4"/>
      <c r="R1" s="5" t="s">
        <v>3</v>
      </c>
      <c r="S1" s="4"/>
      <c r="T1" s="4"/>
      <c r="U1" s="4"/>
      <c r="V1" s="4"/>
      <c r="W1" s="4"/>
      <c r="X1" s="4"/>
      <c r="Y1" s="4"/>
      <c r="Z1" s="4"/>
    </row>
    <row r="2">
      <c r="A2" s="1" t="s">
        <v>4</v>
      </c>
      <c r="B2" s="6" t="s">
        <v>5</v>
      </c>
      <c r="C2" s="7" t="s">
        <v>6</v>
      </c>
      <c r="D2" s="2" t="s">
        <v>7</v>
      </c>
      <c r="E2" s="2" t="s">
        <v>8</v>
      </c>
      <c r="F2" s="2" t="s">
        <v>9</v>
      </c>
      <c r="G2" s="2" t="s">
        <v>10</v>
      </c>
      <c r="H2" s="2" t="s">
        <v>11</v>
      </c>
      <c r="I2" s="3" t="s">
        <v>7</v>
      </c>
      <c r="J2" s="3" t="s">
        <v>8</v>
      </c>
      <c r="K2" s="3" t="s">
        <v>9</v>
      </c>
      <c r="L2" s="3" t="s">
        <v>10</v>
      </c>
      <c r="M2" s="3" t="s">
        <v>12</v>
      </c>
      <c r="N2" s="3" t="s">
        <v>13</v>
      </c>
      <c r="O2" s="3" t="s">
        <v>14</v>
      </c>
      <c r="P2" s="8" t="s">
        <v>15</v>
      </c>
      <c r="Q2" s="9" t="s">
        <v>16</v>
      </c>
      <c r="R2" s="4"/>
      <c r="S2" s="4"/>
      <c r="T2" s="4"/>
      <c r="U2" s="4"/>
      <c r="V2" s="4"/>
      <c r="W2" s="4"/>
      <c r="X2" s="4"/>
      <c r="Y2" s="4"/>
      <c r="Z2" s="4"/>
    </row>
    <row r="3">
      <c r="A3" s="10">
        <v>43980.0</v>
      </c>
      <c r="B3" s="11">
        <v>7.132692E7</v>
      </c>
      <c r="C3" s="12" t="s">
        <v>17</v>
      </c>
      <c r="D3" s="13" t="s">
        <v>18</v>
      </c>
      <c r="E3" s="13" t="s">
        <v>19</v>
      </c>
      <c r="F3" s="13">
        <v>26.0</v>
      </c>
      <c r="G3" s="13" t="s">
        <v>20</v>
      </c>
      <c r="H3" s="13" t="s">
        <v>21</v>
      </c>
      <c r="I3" s="14" t="s">
        <v>18</v>
      </c>
      <c r="J3" s="14" t="s">
        <v>22</v>
      </c>
      <c r="K3" s="14">
        <v>22.0</v>
      </c>
      <c r="L3" s="14" t="s">
        <v>23</v>
      </c>
      <c r="M3" s="14" t="s">
        <v>24</v>
      </c>
      <c r="N3" s="14" t="s">
        <v>25</v>
      </c>
      <c r="O3" s="14">
        <v>1.0</v>
      </c>
      <c r="P3" s="15" t="s">
        <v>26</v>
      </c>
      <c r="Q3" s="16"/>
      <c r="R3" s="16"/>
      <c r="S3" s="16"/>
      <c r="T3" s="16"/>
      <c r="U3" s="16"/>
      <c r="V3" s="16"/>
      <c r="W3" s="16"/>
      <c r="X3" s="16"/>
      <c r="Y3" s="16"/>
      <c r="Z3" s="16"/>
    </row>
    <row r="4">
      <c r="A4" s="10">
        <v>43979.0</v>
      </c>
      <c r="B4" s="11">
        <v>7.127082E7</v>
      </c>
      <c r="C4" s="12" t="s">
        <v>27</v>
      </c>
      <c r="D4" s="13" t="s">
        <v>18</v>
      </c>
      <c r="E4" s="13" t="s">
        <v>19</v>
      </c>
      <c r="F4" s="13">
        <v>18.0</v>
      </c>
      <c r="G4" s="13" t="s">
        <v>20</v>
      </c>
      <c r="H4" s="13" t="s">
        <v>28</v>
      </c>
      <c r="I4" s="14" t="s">
        <v>18</v>
      </c>
      <c r="J4" s="14" t="s">
        <v>29</v>
      </c>
      <c r="K4" s="14">
        <v>35.0</v>
      </c>
      <c r="L4" s="14" t="s">
        <v>23</v>
      </c>
      <c r="M4" s="14" t="s">
        <v>24</v>
      </c>
      <c r="N4" s="14" t="s">
        <v>30</v>
      </c>
      <c r="O4" s="14">
        <v>1.0</v>
      </c>
      <c r="P4" s="15" t="s">
        <v>31</v>
      </c>
      <c r="Q4" s="16"/>
      <c r="R4" s="16"/>
      <c r="S4" s="16"/>
      <c r="T4" s="16"/>
      <c r="U4" s="16"/>
      <c r="V4" s="16"/>
      <c r="W4" s="16"/>
      <c r="X4" s="16"/>
      <c r="Y4" s="16"/>
      <c r="Z4" s="16"/>
    </row>
    <row r="5">
      <c r="A5" s="10">
        <v>43976.0</v>
      </c>
      <c r="B5" s="11">
        <v>6.925932E7</v>
      </c>
      <c r="C5" s="12" t="s">
        <v>32</v>
      </c>
      <c r="D5" s="13" t="s">
        <v>18</v>
      </c>
      <c r="E5" s="13" t="s">
        <v>19</v>
      </c>
      <c r="F5" s="13" t="s">
        <v>33</v>
      </c>
      <c r="G5" s="13" t="s">
        <v>34</v>
      </c>
      <c r="H5" s="13" t="s">
        <v>28</v>
      </c>
      <c r="I5" s="14" t="s">
        <v>18</v>
      </c>
      <c r="J5" s="14" t="s">
        <v>19</v>
      </c>
      <c r="K5" s="14">
        <v>31.0</v>
      </c>
      <c r="L5" s="14" t="s">
        <v>23</v>
      </c>
      <c r="M5" s="14" t="s">
        <v>24</v>
      </c>
      <c r="N5" s="14" t="s">
        <v>25</v>
      </c>
      <c r="O5" s="14" t="s">
        <v>35</v>
      </c>
      <c r="P5" s="15" t="s">
        <v>36</v>
      </c>
      <c r="Q5" s="16"/>
      <c r="R5" s="16"/>
      <c r="S5" s="16"/>
      <c r="T5" s="16"/>
      <c r="U5" s="16"/>
      <c r="V5" s="16"/>
      <c r="W5" s="16"/>
      <c r="X5" s="16"/>
      <c r="Y5" s="16"/>
      <c r="Z5" s="16"/>
    </row>
    <row r="6">
      <c r="I6" s="14" t="s">
        <v>18</v>
      </c>
      <c r="J6" s="14" t="s">
        <v>22</v>
      </c>
      <c r="K6" s="14">
        <v>26.0</v>
      </c>
      <c r="L6" s="14" t="s">
        <v>23</v>
      </c>
      <c r="M6" s="14" t="s">
        <v>24</v>
      </c>
      <c r="N6" s="14" t="s">
        <v>25</v>
      </c>
      <c r="O6" s="14" t="s">
        <v>35</v>
      </c>
      <c r="Q6" s="16"/>
      <c r="R6" s="16"/>
      <c r="S6" s="16"/>
      <c r="T6" s="16"/>
      <c r="U6" s="16"/>
      <c r="V6" s="16"/>
      <c r="W6" s="16"/>
      <c r="X6" s="16"/>
      <c r="Y6" s="16"/>
      <c r="Z6" s="16"/>
    </row>
    <row r="7">
      <c r="I7" s="14" t="s">
        <v>18</v>
      </c>
      <c r="J7" s="14" t="s">
        <v>22</v>
      </c>
      <c r="K7" s="14">
        <v>39.0</v>
      </c>
      <c r="L7" s="14" t="s">
        <v>23</v>
      </c>
      <c r="M7" s="14" t="s">
        <v>24</v>
      </c>
      <c r="N7" s="14" t="s">
        <v>25</v>
      </c>
      <c r="O7" s="14" t="s">
        <v>35</v>
      </c>
      <c r="Q7" s="16"/>
      <c r="R7" s="16"/>
      <c r="S7" s="16"/>
      <c r="T7" s="16"/>
      <c r="U7" s="16"/>
      <c r="V7" s="16"/>
      <c r="W7" s="16"/>
      <c r="X7" s="16"/>
      <c r="Y7" s="16"/>
      <c r="Z7" s="16"/>
    </row>
    <row r="8">
      <c r="A8" s="10">
        <v>43967.0</v>
      </c>
      <c r="B8" s="11">
        <v>6.478802E7</v>
      </c>
      <c r="C8" s="12" t="s">
        <v>37</v>
      </c>
      <c r="D8" s="13" t="s">
        <v>18</v>
      </c>
      <c r="E8" s="13" t="s">
        <v>29</v>
      </c>
      <c r="F8" s="13">
        <v>38.0</v>
      </c>
      <c r="G8" s="13" t="s">
        <v>34</v>
      </c>
      <c r="H8" s="13" t="s">
        <v>38</v>
      </c>
      <c r="I8" s="14" t="s">
        <v>18</v>
      </c>
      <c r="J8" s="14" t="s">
        <v>19</v>
      </c>
      <c r="K8" s="14">
        <v>34.0</v>
      </c>
      <c r="L8" s="14" t="s">
        <v>23</v>
      </c>
      <c r="M8" s="14" t="s">
        <v>24</v>
      </c>
      <c r="N8" s="14" t="s">
        <v>25</v>
      </c>
      <c r="O8" s="14">
        <v>1.0</v>
      </c>
      <c r="P8" s="15" t="s">
        <v>39</v>
      </c>
      <c r="Q8" s="16"/>
      <c r="R8" s="16"/>
      <c r="S8" s="16"/>
      <c r="T8" s="16"/>
      <c r="U8" s="16"/>
      <c r="V8" s="16"/>
      <c r="W8" s="16"/>
      <c r="X8" s="16"/>
      <c r="Y8" s="16"/>
      <c r="Z8" s="16"/>
    </row>
    <row r="9">
      <c r="A9" s="10">
        <v>43965.0</v>
      </c>
      <c r="B9" s="11">
        <v>6.394662E7</v>
      </c>
      <c r="C9" s="12" t="s">
        <v>40</v>
      </c>
      <c r="D9" s="13" t="s">
        <v>18</v>
      </c>
      <c r="E9" s="13" t="s">
        <v>29</v>
      </c>
      <c r="F9" s="13">
        <v>30.0</v>
      </c>
      <c r="G9" s="13" t="s">
        <v>34</v>
      </c>
      <c r="H9" s="13" t="s">
        <v>21</v>
      </c>
      <c r="I9" s="14" t="s">
        <v>18</v>
      </c>
      <c r="J9" s="14" t="s">
        <v>29</v>
      </c>
      <c r="K9" s="14">
        <v>28.0</v>
      </c>
      <c r="L9" s="14" t="s">
        <v>23</v>
      </c>
      <c r="M9" s="14" t="s">
        <v>24</v>
      </c>
      <c r="N9" s="14" t="s">
        <v>25</v>
      </c>
      <c r="O9" s="14">
        <v>1.0</v>
      </c>
      <c r="P9" s="15" t="s">
        <v>41</v>
      </c>
      <c r="Q9" s="16"/>
      <c r="R9" s="16"/>
      <c r="S9" s="16"/>
      <c r="T9" s="16"/>
      <c r="U9" s="16"/>
      <c r="V9" s="16"/>
      <c r="W9" s="16"/>
      <c r="X9" s="16"/>
      <c r="Y9" s="16"/>
      <c r="Z9" s="16"/>
    </row>
    <row r="10">
      <c r="I10" s="14" t="s">
        <v>18</v>
      </c>
      <c r="J10" s="14" t="s">
        <v>29</v>
      </c>
      <c r="K10" s="14">
        <v>28.0</v>
      </c>
      <c r="L10" s="14" t="s">
        <v>23</v>
      </c>
      <c r="M10" s="14" t="s">
        <v>24</v>
      </c>
      <c r="N10" s="14" t="s">
        <v>25</v>
      </c>
      <c r="O10" s="14">
        <v>1.0</v>
      </c>
      <c r="Q10" s="16"/>
      <c r="R10" s="16"/>
      <c r="S10" s="16"/>
      <c r="T10" s="16"/>
      <c r="U10" s="16"/>
      <c r="V10" s="16"/>
      <c r="W10" s="16"/>
      <c r="X10" s="16"/>
      <c r="Y10" s="16"/>
      <c r="Z10" s="16"/>
    </row>
    <row r="11">
      <c r="A11" s="10">
        <v>43959.0</v>
      </c>
      <c r="B11" s="11">
        <v>6.049172E7</v>
      </c>
      <c r="C11" s="12" t="s">
        <v>42</v>
      </c>
      <c r="D11" s="13" t="s">
        <v>18</v>
      </c>
      <c r="E11" s="13" t="s">
        <v>29</v>
      </c>
      <c r="F11" s="13">
        <v>48.0</v>
      </c>
      <c r="G11" s="13" t="s">
        <v>34</v>
      </c>
      <c r="H11" s="13" t="s">
        <v>21</v>
      </c>
      <c r="I11" s="14" t="s">
        <v>18</v>
      </c>
      <c r="J11" s="14" t="s">
        <v>19</v>
      </c>
      <c r="K11" s="14">
        <v>33.0</v>
      </c>
      <c r="L11" s="14" t="s">
        <v>23</v>
      </c>
      <c r="M11" s="14" t="s">
        <v>24</v>
      </c>
      <c r="N11" s="14" t="s">
        <v>30</v>
      </c>
      <c r="O11" s="14">
        <v>1.0</v>
      </c>
      <c r="P11" s="15" t="s">
        <v>43</v>
      </c>
      <c r="Q11" s="16"/>
      <c r="R11" s="16"/>
      <c r="S11" s="16"/>
      <c r="T11" s="16"/>
      <c r="U11" s="16"/>
      <c r="V11" s="16"/>
      <c r="W11" s="16"/>
      <c r="X11" s="16"/>
      <c r="Y11" s="16"/>
      <c r="Z11" s="16"/>
    </row>
    <row r="12">
      <c r="A12" s="10">
        <v>43948.0</v>
      </c>
      <c r="B12" s="11">
        <v>5.494912E7</v>
      </c>
      <c r="C12" s="12" t="s">
        <v>44</v>
      </c>
      <c r="D12" s="13" t="s">
        <v>18</v>
      </c>
      <c r="E12" s="13" t="s">
        <v>19</v>
      </c>
      <c r="F12" s="13">
        <v>28.0</v>
      </c>
      <c r="G12" s="13" t="s">
        <v>34</v>
      </c>
      <c r="H12" s="13" t="s">
        <v>28</v>
      </c>
      <c r="I12" s="14" t="s">
        <v>18</v>
      </c>
      <c r="J12" s="14" t="s">
        <v>45</v>
      </c>
      <c r="K12" s="14">
        <v>24.0</v>
      </c>
      <c r="L12" s="14" t="s">
        <v>23</v>
      </c>
      <c r="M12" s="14" t="s">
        <v>24</v>
      </c>
      <c r="N12" s="14" t="s">
        <v>25</v>
      </c>
      <c r="O12" s="14">
        <v>1.0</v>
      </c>
      <c r="P12" s="15" t="s">
        <v>46</v>
      </c>
      <c r="Q12" s="16"/>
      <c r="R12" s="16"/>
      <c r="S12" s="16"/>
      <c r="T12" s="16"/>
      <c r="U12" s="16"/>
      <c r="V12" s="16"/>
      <c r="W12" s="16"/>
      <c r="X12" s="16"/>
      <c r="Y12" s="16"/>
      <c r="Z12" s="16"/>
    </row>
    <row r="13">
      <c r="I13" s="14" t="s">
        <v>18</v>
      </c>
      <c r="J13" s="14" t="s">
        <v>19</v>
      </c>
      <c r="K13" s="14">
        <v>26.0</v>
      </c>
      <c r="L13" s="14" t="s">
        <v>23</v>
      </c>
      <c r="M13" s="14" t="s">
        <v>24</v>
      </c>
      <c r="N13" s="14" t="s">
        <v>25</v>
      </c>
      <c r="O13" s="14" t="s">
        <v>35</v>
      </c>
      <c r="Q13" s="16"/>
      <c r="R13" s="16"/>
      <c r="S13" s="16"/>
      <c r="T13" s="16"/>
      <c r="U13" s="16"/>
      <c r="V13" s="16"/>
      <c r="W13" s="16"/>
      <c r="X13" s="16"/>
      <c r="Y13" s="16"/>
      <c r="Z13" s="16"/>
    </row>
    <row r="14">
      <c r="A14" s="10">
        <v>43942.0</v>
      </c>
      <c r="B14" s="11">
        <v>5.253792E7</v>
      </c>
      <c r="C14" s="12" t="s">
        <v>47</v>
      </c>
      <c r="D14" s="13" t="s">
        <v>18</v>
      </c>
      <c r="E14" s="13" t="s">
        <v>29</v>
      </c>
      <c r="F14" s="13">
        <v>36.0</v>
      </c>
      <c r="G14" s="13" t="s">
        <v>34</v>
      </c>
      <c r="H14" s="13" t="s">
        <v>21</v>
      </c>
      <c r="I14" s="14" t="s">
        <v>18</v>
      </c>
      <c r="J14" s="14" t="s">
        <v>19</v>
      </c>
      <c r="K14" s="14">
        <v>24.0</v>
      </c>
      <c r="L14" s="14" t="s">
        <v>23</v>
      </c>
      <c r="M14" s="14" t="s">
        <v>24</v>
      </c>
      <c r="N14" s="14" t="s">
        <v>25</v>
      </c>
      <c r="O14" s="14" t="s">
        <v>35</v>
      </c>
      <c r="P14" s="15" t="s">
        <v>48</v>
      </c>
      <c r="Q14" s="16"/>
      <c r="R14" s="16"/>
      <c r="S14" s="16"/>
      <c r="T14" s="16"/>
      <c r="U14" s="16"/>
      <c r="V14" s="16"/>
      <c r="W14" s="16"/>
      <c r="X14" s="16"/>
      <c r="Y14" s="16"/>
      <c r="Z14" s="16"/>
    </row>
    <row r="15">
      <c r="I15" s="14" t="s">
        <v>18</v>
      </c>
      <c r="J15" s="14" t="s">
        <v>19</v>
      </c>
      <c r="K15" s="14">
        <v>26.0</v>
      </c>
      <c r="L15" s="14" t="s">
        <v>23</v>
      </c>
      <c r="M15" s="14" t="s">
        <v>24</v>
      </c>
      <c r="N15" s="14" t="s">
        <v>25</v>
      </c>
      <c r="O15" s="14" t="s">
        <v>35</v>
      </c>
      <c r="Q15" s="16"/>
      <c r="R15" s="16"/>
      <c r="S15" s="16"/>
      <c r="T15" s="16"/>
      <c r="U15" s="16"/>
      <c r="V15" s="16"/>
      <c r="W15" s="16"/>
      <c r="X15" s="16"/>
      <c r="Y15" s="16"/>
      <c r="Z15" s="16"/>
    </row>
    <row r="16">
      <c r="I16" s="14" t="s">
        <v>18</v>
      </c>
      <c r="J16" s="14" t="s">
        <v>19</v>
      </c>
      <c r="K16" s="14">
        <v>24.0</v>
      </c>
      <c r="L16" s="14" t="s">
        <v>23</v>
      </c>
      <c r="M16" s="14" t="s">
        <v>24</v>
      </c>
      <c r="N16" s="14" t="s">
        <v>21</v>
      </c>
      <c r="O16" s="14" t="s">
        <v>35</v>
      </c>
      <c r="Q16" s="16"/>
      <c r="R16" s="16"/>
      <c r="S16" s="16"/>
      <c r="T16" s="16"/>
      <c r="U16" s="16"/>
      <c r="V16" s="16"/>
      <c r="W16" s="16"/>
      <c r="X16" s="16"/>
      <c r="Y16" s="16"/>
      <c r="Z16" s="16"/>
    </row>
    <row r="17">
      <c r="I17" s="14" t="s">
        <v>18</v>
      </c>
      <c r="J17" s="14" t="s">
        <v>49</v>
      </c>
      <c r="K17" s="14">
        <v>31.0</v>
      </c>
      <c r="L17" s="14" t="s">
        <v>23</v>
      </c>
      <c r="M17" s="14" t="s">
        <v>24</v>
      </c>
      <c r="N17" s="14" t="s">
        <v>25</v>
      </c>
      <c r="O17" s="14" t="s">
        <v>35</v>
      </c>
      <c r="Q17" s="16"/>
      <c r="R17" s="16"/>
      <c r="S17" s="16"/>
      <c r="T17" s="16"/>
      <c r="U17" s="16"/>
      <c r="V17" s="16"/>
      <c r="W17" s="16"/>
      <c r="X17" s="16"/>
      <c r="Y17" s="16"/>
      <c r="Z17" s="16"/>
    </row>
    <row r="18">
      <c r="I18" s="14" t="s">
        <v>18</v>
      </c>
      <c r="J18" s="14" t="s">
        <v>22</v>
      </c>
      <c r="K18" s="14">
        <v>35.0</v>
      </c>
      <c r="L18" s="14" t="s">
        <v>23</v>
      </c>
      <c r="M18" s="14" t="s">
        <v>24</v>
      </c>
      <c r="N18" s="14" t="s">
        <v>25</v>
      </c>
      <c r="O18" s="14">
        <v>1.0</v>
      </c>
      <c r="Q18" s="16"/>
      <c r="R18" s="16"/>
      <c r="S18" s="16"/>
      <c r="T18" s="16"/>
      <c r="U18" s="16"/>
      <c r="V18" s="16"/>
      <c r="W18" s="16"/>
      <c r="X18" s="16"/>
      <c r="Y18" s="16"/>
      <c r="Z18" s="16"/>
    </row>
    <row r="19">
      <c r="A19" s="10">
        <v>43932.0</v>
      </c>
      <c r="B19" s="11">
        <v>4.782602E7</v>
      </c>
      <c r="C19" s="12" t="s">
        <v>50</v>
      </c>
      <c r="D19" s="13" t="s">
        <v>18</v>
      </c>
      <c r="E19" s="13" t="s">
        <v>29</v>
      </c>
      <c r="F19" s="13">
        <v>34.0</v>
      </c>
      <c r="G19" s="13" t="s">
        <v>23</v>
      </c>
      <c r="H19" s="13" t="s">
        <v>28</v>
      </c>
      <c r="I19" s="14" t="s">
        <v>18</v>
      </c>
      <c r="J19" s="14" t="s">
        <v>19</v>
      </c>
      <c r="K19" s="14">
        <v>35.0</v>
      </c>
      <c r="L19" s="14" t="s">
        <v>23</v>
      </c>
      <c r="M19" s="14" t="s">
        <v>24</v>
      </c>
      <c r="N19" s="14" t="s">
        <v>25</v>
      </c>
      <c r="O19" s="14">
        <v>1.0</v>
      </c>
      <c r="P19" s="15" t="s">
        <v>51</v>
      </c>
      <c r="Q19" s="16"/>
      <c r="R19" s="16"/>
      <c r="S19" s="16"/>
      <c r="T19" s="16"/>
      <c r="U19" s="16"/>
      <c r="V19" s="16"/>
      <c r="W19" s="16"/>
      <c r="X19" s="16"/>
      <c r="Y19" s="16"/>
      <c r="Z19" s="16"/>
    </row>
    <row r="20">
      <c r="A20" s="10">
        <v>43924.0</v>
      </c>
      <c r="B20" s="11">
        <v>4.420682E7</v>
      </c>
      <c r="C20" s="12" t="s">
        <v>52</v>
      </c>
      <c r="D20" s="13" t="s">
        <v>18</v>
      </c>
      <c r="E20" s="13" t="s">
        <v>29</v>
      </c>
      <c r="F20" s="13">
        <v>27.0</v>
      </c>
      <c r="G20" s="13" t="s">
        <v>20</v>
      </c>
      <c r="H20" s="13" t="s">
        <v>23</v>
      </c>
      <c r="I20" s="14" t="s">
        <v>18</v>
      </c>
      <c r="J20" s="14" t="s">
        <v>29</v>
      </c>
      <c r="K20" s="14">
        <v>46.0</v>
      </c>
      <c r="L20" s="14" t="s">
        <v>23</v>
      </c>
      <c r="M20" s="14" t="s">
        <v>24</v>
      </c>
      <c r="N20" s="14" t="s">
        <v>53</v>
      </c>
      <c r="O20" s="14">
        <v>1.0</v>
      </c>
      <c r="P20" s="15" t="s">
        <v>54</v>
      </c>
      <c r="Q20" s="16" t="str">
        <f>A2:P747</f>
        <v>#VALUE!</v>
      </c>
      <c r="R20" s="16"/>
      <c r="S20" s="16"/>
      <c r="T20" s="16"/>
      <c r="U20" s="16"/>
      <c r="V20" s="16"/>
      <c r="W20" s="16"/>
      <c r="X20" s="16"/>
      <c r="Y20" s="16"/>
      <c r="Z20" s="16"/>
    </row>
    <row r="21">
      <c r="A21" s="10">
        <v>43880.0</v>
      </c>
      <c r="B21" s="11">
        <v>2.372642E7</v>
      </c>
      <c r="C21" s="12" t="s">
        <v>55</v>
      </c>
      <c r="D21" s="13" t="s">
        <v>18</v>
      </c>
      <c r="E21" s="13" t="s">
        <v>29</v>
      </c>
      <c r="F21" s="13">
        <v>26.0</v>
      </c>
      <c r="G21" s="13" t="s">
        <v>20</v>
      </c>
      <c r="H21" s="13" t="s">
        <v>38</v>
      </c>
      <c r="I21" s="14" t="s">
        <v>18</v>
      </c>
      <c r="J21" s="14" t="s">
        <v>22</v>
      </c>
      <c r="K21" s="14">
        <v>54.0</v>
      </c>
      <c r="L21" s="14" t="s">
        <v>23</v>
      </c>
      <c r="M21" s="14" t="s">
        <v>24</v>
      </c>
      <c r="N21" s="14" t="s">
        <v>25</v>
      </c>
      <c r="O21" s="14">
        <v>1.0</v>
      </c>
      <c r="P21" s="15" t="s">
        <v>56</v>
      </c>
      <c r="Q21" s="16"/>
      <c r="R21" s="16"/>
      <c r="S21" s="16"/>
      <c r="T21" s="16"/>
      <c r="U21" s="16"/>
      <c r="V21" s="16"/>
      <c r="W21" s="16"/>
      <c r="X21" s="16"/>
      <c r="Y21" s="16"/>
      <c r="Z21" s="16"/>
    </row>
    <row r="22">
      <c r="A22" s="10">
        <v>43853.0</v>
      </c>
      <c r="B22" s="11">
        <v>1.038082E7</v>
      </c>
      <c r="C22" s="12" t="s">
        <v>57</v>
      </c>
      <c r="D22" s="13" t="s">
        <v>18</v>
      </c>
      <c r="E22" s="13" t="s">
        <v>29</v>
      </c>
      <c r="F22" s="13">
        <v>37.0</v>
      </c>
      <c r="G22" s="13" t="s">
        <v>23</v>
      </c>
      <c r="H22" s="13" t="s">
        <v>28</v>
      </c>
      <c r="I22" s="14" t="s">
        <v>18</v>
      </c>
      <c r="J22" s="14" t="s">
        <v>22</v>
      </c>
      <c r="K22" s="14">
        <v>41.0</v>
      </c>
      <c r="L22" s="14" t="s">
        <v>23</v>
      </c>
      <c r="M22" s="14" t="s">
        <v>24</v>
      </c>
      <c r="N22" s="14" t="s">
        <v>30</v>
      </c>
      <c r="O22" s="14" t="s">
        <v>35</v>
      </c>
      <c r="P22" s="15" t="s">
        <v>58</v>
      </c>
      <c r="Q22" s="16"/>
      <c r="R22" s="16"/>
      <c r="S22" s="16"/>
      <c r="T22" s="16"/>
      <c r="U22" s="16"/>
      <c r="V22" s="16"/>
      <c r="W22" s="16"/>
      <c r="X22" s="16"/>
      <c r="Y22" s="16"/>
      <c r="Z22" s="16"/>
    </row>
    <row r="23">
      <c r="A23" s="10">
        <v>43836.0</v>
      </c>
      <c r="B23" s="11">
        <v>2508920.0</v>
      </c>
      <c r="C23" s="12" t="s">
        <v>59</v>
      </c>
      <c r="D23" s="13" t="s">
        <v>18</v>
      </c>
      <c r="E23" s="13" t="s">
        <v>29</v>
      </c>
      <c r="F23" s="13">
        <v>30.0</v>
      </c>
      <c r="G23" s="13" t="s">
        <v>20</v>
      </c>
      <c r="H23" s="13" t="s">
        <v>23</v>
      </c>
      <c r="I23" s="14" t="s">
        <v>18</v>
      </c>
      <c r="J23" s="14" t="s">
        <v>22</v>
      </c>
      <c r="K23" s="14">
        <v>50.0</v>
      </c>
      <c r="L23" s="14" t="s">
        <v>23</v>
      </c>
      <c r="M23" s="14" t="s">
        <v>60</v>
      </c>
      <c r="N23" s="14" t="s">
        <v>21</v>
      </c>
      <c r="O23" s="14">
        <v>1.0</v>
      </c>
      <c r="P23" s="15" t="s">
        <v>61</v>
      </c>
      <c r="Q23" s="16"/>
      <c r="R23" s="16"/>
      <c r="S23" s="16"/>
      <c r="T23" s="16"/>
      <c r="U23" s="16"/>
      <c r="V23" s="16"/>
      <c r="W23" s="16"/>
      <c r="X23" s="16"/>
      <c r="Y23" s="16"/>
      <c r="Z23" s="16"/>
    </row>
    <row r="24">
      <c r="A24" s="10">
        <v>43839.0</v>
      </c>
      <c r="B24" s="11">
        <v>4005720.0</v>
      </c>
      <c r="C24" s="12" t="s">
        <v>62</v>
      </c>
      <c r="D24" s="13" t="s">
        <v>18</v>
      </c>
      <c r="E24" s="13" t="s">
        <v>29</v>
      </c>
      <c r="F24" s="13">
        <v>45.0</v>
      </c>
      <c r="G24" s="13" t="s">
        <v>20</v>
      </c>
      <c r="H24" s="13" t="s">
        <v>23</v>
      </c>
      <c r="I24" s="14" t="s">
        <v>18</v>
      </c>
      <c r="J24" s="14" t="s">
        <v>29</v>
      </c>
      <c r="K24" s="14">
        <v>29.0</v>
      </c>
      <c r="L24" s="14" t="s">
        <v>23</v>
      </c>
      <c r="M24" s="14" t="s">
        <v>24</v>
      </c>
      <c r="N24" s="14" t="s">
        <v>25</v>
      </c>
      <c r="O24" s="14" t="s">
        <v>35</v>
      </c>
      <c r="P24" s="15" t="s">
        <v>63</v>
      </c>
      <c r="Q24" s="17" t="s">
        <v>64</v>
      </c>
      <c r="R24" s="16"/>
      <c r="S24" s="16"/>
      <c r="T24" s="16"/>
      <c r="U24" s="16"/>
      <c r="V24" s="16"/>
      <c r="W24" s="16"/>
      <c r="X24" s="16"/>
      <c r="Y24" s="16"/>
      <c r="Z24" s="16"/>
    </row>
    <row r="25">
      <c r="A25" s="10">
        <v>43833.0</v>
      </c>
      <c r="B25" s="11">
        <v>2446820.0</v>
      </c>
      <c r="C25" s="12" t="s">
        <v>65</v>
      </c>
      <c r="D25" s="13" t="s">
        <v>18</v>
      </c>
      <c r="E25" s="13" t="s">
        <v>29</v>
      </c>
      <c r="F25" s="13">
        <v>34.0</v>
      </c>
      <c r="G25" s="13" t="s">
        <v>20</v>
      </c>
      <c r="H25" s="13" t="s">
        <v>28</v>
      </c>
      <c r="I25" s="14" t="s">
        <v>18</v>
      </c>
      <c r="J25" s="14" t="s">
        <v>22</v>
      </c>
      <c r="K25" s="14">
        <v>28.0</v>
      </c>
      <c r="L25" s="14" t="s">
        <v>23</v>
      </c>
      <c r="M25" s="14" t="s">
        <v>24</v>
      </c>
      <c r="N25" s="14" t="s">
        <v>25</v>
      </c>
      <c r="O25" s="14" t="s">
        <v>35</v>
      </c>
      <c r="P25" s="15" t="s">
        <v>61</v>
      </c>
      <c r="Q25" s="16"/>
      <c r="R25" s="16"/>
      <c r="S25" s="16"/>
      <c r="T25" s="16"/>
      <c r="U25" s="16"/>
      <c r="V25" s="16"/>
      <c r="W25" s="16"/>
      <c r="X25" s="16"/>
      <c r="Y25" s="16"/>
      <c r="Z25" s="16"/>
    </row>
    <row r="26">
      <c r="I26" s="14" t="s">
        <v>18</v>
      </c>
      <c r="J26" s="14" t="s">
        <v>22</v>
      </c>
      <c r="K26" s="14">
        <v>23.0</v>
      </c>
      <c r="L26" s="14" t="s">
        <v>23</v>
      </c>
      <c r="M26" s="14" t="s">
        <v>24</v>
      </c>
      <c r="N26" s="14" t="s">
        <v>25</v>
      </c>
      <c r="O26" s="14" t="s">
        <v>35</v>
      </c>
      <c r="Q26" s="16"/>
      <c r="R26" s="16"/>
      <c r="S26" s="16"/>
      <c r="T26" s="16"/>
      <c r="U26" s="16"/>
      <c r="V26" s="16"/>
      <c r="W26" s="16"/>
      <c r="X26" s="16"/>
      <c r="Y26" s="16"/>
      <c r="Z26" s="16"/>
    </row>
    <row r="27">
      <c r="I27" s="14" t="s">
        <v>18</v>
      </c>
      <c r="J27" s="14" t="s">
        <v>22</v>
      </c>
      <c r="K27" s="14">
        <v>29.0</v>
      </c>
      <c r="L27" s="14" t="s">
        <v>23</v>
      </c>
      <c r="M27" s="14" t="s">
        <v>24</v>
      </c>
      <c r="N27" s="14" t="s">
        <v>25</v>
      </c>
      <c r="O27" s="14">
        <v>1.0</v>
      </c>
      <c r="Q27" s="16"/>
      <c r="R27" s="16"/>
      <c r="S27" s="16"/>
      <c r="T27" s="16"/>
      <c r="U27" s="16"/>
      <c r="V27" s="16"/>
      <c r="W27" s="16"/>
      <c r="X27" s="16"/>
      <c r="Y27" s="16"/>
      <c r="Z27" s="16"/>
    </row>
    <row r="28">
      <c r="I28" s="14" t="s">
        <v>18</v>
      </c>
      <c r="J28" s="14" t="s">
        <v>22</v>
      </c>
      <c r="K28" s="14">
        <v>28.0</v>
      </c>
      <c r="L28" s="14" t="s">
        <v>23</v>
      </c>
      <c r="M28" s="14" t="s">
        <v>24</v>
      </c>
      <c r="N28" s="14" t="s">
        <v>25</v>
      </c>
      <c r="O28" s="14">
        <v>1.0</v>
      </c>
      <c r="Q28" s="16"/>
      <c r="R28" s="16"/>
      <c r="S28" s="16"/>
      <c r="T28" s="16"/>
      <c r="U28" s="16"/>
      <c r="V28" s="16"/>
      <c r="W28" s="16"/>
      <c r="X28" s="16"/>
      <c r="Y28" s="16"/>
      <c r="Z28" s="16"/>
    </row>
    <row r="29">
      <c r="A29" s="10">
        <v>43829.0</v>
      </c>
      <c r="B29" s="11">
        <v>1.71736319E8</v>
      </c>
      <c r="C29" s="12" t="s">
        <v>66</v>
      </c>
      <c r="D29" s="13" t="s">
        <v>18</v>
      </c>
      <c r="E29" s="13" t="s">
        <v>29</v>
      </c>
      <c r="F29" s="13">
        <v>18.0</v>
      </c>
      <c r="G29" s="13" t="s">
        <v>34</v>
      </c>
      <c r="H29" s="13" t="s">
        <v>28</v>
      </c>
      <c r="I29" s="14" t="s">
        <v>18</v>
      </c>
      <c r="J29" s="14" t="s">
        <v>19</v>
      </c>
      <c r="K29" s="14">
        <v>28.0</v>
      </c>
      <c r="L29" s="14" t="s">
        <v>23</v>
      </c>
      <c r="M29" s="14" t="s">
        <v>24</v>
      </c>
      <c r="N29" s="14" t="s">
        <v>25</v>
      </c>
      <c r="O29" s="14" t="s">
        <v>35</v>
      </c>
      <c r="P29" s="15" t="s">
        <v>67</v>
      </c>
      <c r="Q29" s="16"/>
      <c r="R29" s="16"/>
      <c r="S29" s="16"/>
      <c r="T29" s="16"/>
      <c r="U29" s="16"/>
      <c r="V29" s="16"/>
      <c r="W29" s="16"/>
      <c r="X29" s="16"/>
      <c r="Y29" s="16"/>
      <c r="Z29" s="16"/>
    </row>
    <row r="30">
      <c r="I30" s="14" t="s">
        <v>18</v>
      </c>
      <c r="J30" s="14" t="s">
        <v>19</v>
      </c>
      <c r="K30" s="14">
        <v>24.0</v>
      </c>
      <c r="L30" s="14" t="s">
        <v>23</v>
      </c>
      <c r="M30" s="14" t="s">
        <v>24</v>
      </c>
      <c r="N30" s="14" t="s">
        <v>25</v>
      </c>
      <c r="O30" s="14" t="s">
        <v>35</v>
      </c>
      <c r="Q30" s="16"/>
      <c r="R30" s="16"/>
      <c r="S30" s="16"/>
      <c r="T30" s="16"/>
      <c r="U30" s="16"/>
      <c r="V30" s="16"/>
      <c r="W30" s="16"/>
      <c r="X30" s="16"/>
      <c r="Y30" s="16"/>
      <c r="Z30" s="16"/>
    </row>
    <row r="31">
      <c r="A31" s="10">
        <v>43817.0</v>
      </c>
      <c r="B31" s="11">
        <v>4055820.0</v>
      </c>
      <c r="C31" s="12" t="s">
        <v>68</v>
      </c>
      <c r="D31" s="13" t="s">
        <v>18</v>
      </c>
      <c r="E31" s="13" t="s">
        <v>29</v>
      </c>
      <c r="F31" s="13">
        <v>43.0</v>
      </c>
      <c r="G31" s="13" t="s">
        <v>20</v>
      </c>
      <c r="H31" s="13" t="s">
        <v>28</v>
      </c>
      <c r="I31" s="14" t="s">
        <v>18</v>
      </c>
      <c r="J31" s="14" t="s">
        <v>22</v>
      </c>
      <c r="K31" s="14">
        <v>24.0</v>
      </c>
      <c r="L31" s="14" t="s">
        <v>23</v>
      </c>
      <c r="M31" s="14" t="s">
        <v>24</v>
      </c>
      <c r="N31" s="14" t="s">
        <v>21</v>
      </c>
      <c r="O31" s="14" t="s">
        <v>35</v>
      </c>
      <c r="P31" s="18"/>
      <c r="Q31" s="16"/>
      <c r="R31" s="16"/>
      <c r="S31" s="16"/>
      <c r="T31" s="16"/>
      <c r="U31" s="16"/>
      <c r="V31" s="16"/>
      <c r="W31" s="16"/>
      <c r="X31" s="16"/>
      <c r="Y31" s="16"/>
      <c r="Z31" s="16"/>
    </row>
    <row r="32">
      <c r="I32" s="14" t="s">
        <v>18</v>
      </c>
      <c r="J32" s="14" t="s">
        <v>29</v>
      </c>
      <c r="K32" s="14">
        <v>22.0</v>
      </c>
      <c r="L32" s="14" t="s">
        <v>23</v>
      </c>
      <c r="M32" s="14" t="s">
        <v>24</v>
      </c>
      <c r="N32" s="14" t="s">
        <v>21</v>
      </c>
      <c r="O32" s="14" t="s">
        <v>35</v>
      </c>
      <c r="Q32" s="16"/>
      <c r="R32" s="16"/>
      <c r="S32" s="16"/>
      <c r="T32" s="16"/>
      <c r="U32" s="16"/>
      <c r="V32" s="16"/>
      <c r="W32" s="16"/>
      <c r="X32" s="16"/>
      <c r="Y32" s="16"/>
      <c r="Z32" s="16"/>
    </row>
    <row r="33">
      <c r="A33" s="10">
        <v>43713.0</v>
      </c>
      <c r="B33" s="11">
        <v>1.15732919E8</v>
      </c>
      <c r="C33" s="12" t="s">
        <v>69</v>
      </c>
      <c r="D33" s="13" t="s">
        <v>18</v>
      </c>
      <c r="E33" s="13" t="s">
        <v>19</v>
      </c>
      <c r="F33" s="13">
        <v>28.0</v>
      </c>
      <c r="G33" s="13" t="s">
        <v>20</v>
      </c>
      <c r="H33" s="13" t="s">
        <v>23</v>
      </c>
      <c r="I33" s="14" t="s">
        <v>18</v>
      </c>
      <c r="J33" s="14" t="s">
        <v>19</v>
      </c>
      <c r="K33" s="14">
        <v>38.0</v>
      </c>
      <c r="L33" s="14" t="s">
        <v>23</v>
      </c>
      <c r="M33" s="14" t="s">
        <v>24</v>
      </c>
      <c r="N33" s="14" t="s">
        <v>25</v>
      </c>
      <c r="O33" s="14" t="s">
        <v>35</v>
      </c>
      <c r="P33" s="15" t="s">
        <v>70</v>
      </c>
      <c r="Q33" s="16"/>
      <c r="R33" s="16"/>
      <c r="S33" s="16"/>
      <c r="T33" s="16"/>
      <c r="U33" s="16"/>
      <c r="V33" s="16"/>
      <c r="W33" s="16"/>
      <c r="X33" s="16"/>
      <c r="Y33" s="16"/>
      <c r="Z33" s="16"/>
    </row>
    <row r="34">
      <c r="D34" s="19"/>
      <c r="E34" s="19"/>
      <c r="F34" s="19"/>
      <c r="G34" s="19"/>
      <c r="H34" s="19"/>
      <c r="I34" s="14" t="s">
        <v>18</v>
      </c>
      <c r="J34" s="14" t="s">
        <v>19</v>
      </c>
      <c r="K34" s="14">
        <v>37.0</v>
      </c>
      <c r="L34" s="14" t="s">
        <v>23</v>
      </c>
      <c r="M34" s="14" t="s">
        <v>24</v>
      </c>
      <c r="N34" s="20"/>
      <c r="O34" s="20"/>
      <c r="Q34" s="16"/>
      <c r="R34" s="16"/>
      <c r="S34" s="16"/>
      <c r="T34" s="16"/>
      <c r="U34" s="16"/>
      <c r="V34" s="16"/>
      <c r="W34" s="16"/>
      <c r="X34" s="16"/>
      <c r="Y34" s="16"/>
      <c r="Z34" s="16"/>
    </row>
    <row r="35">
      <c r="A35" s="10">
        <v>43720.0</v>
      </c>
      <c r="B35" s="11">
        <v>1.19361419E8</v>
      </c>
      <c r="C35" s="12" t="s">
        <v>71</v>
      </c>
      <c r="D35" s="13" t="s">
        <v>18</v>
      </c>
      <c r="E35" s="13" t="s">
        <v>29</v>
      </c>
      <c r="F35" s="13">
        <v>17.0</v>
      </c>
      <c r="G35" s="13">
        <v>1.0</v>
      </c>
      <c r="H35" s="13" t="s">
        <v>23</v>
      </c>
      <c r="I35" s="14" t="s">
        <v>18</v>
      </c>
      <c r="J35" s="14" t="s">
        <v>22</v>
      </c>
      <c r="K35" s="14">
        <v>31.0</v>
      </c>
      <c r="L35" s="14" t="s">
        <v>23</v>
      </c>
      <c r="M35" s="14" t="s">
        <v>24</v>
      </c>
      <c r="N35" s="14" t="s">
        <v>25</v>
      </c>
      <c r="O35" s="14">
        <v>1.0</v>
      </c>
      <c r="P35" s="18"/>
      <c r="Q35" s="16"/>
      <c r="R35" s="16"/>
      <c r="S35" s="16"/>
      <c r="T35" s="16"/>
      <c r="U35" s="16"/>
      <c r="V35" s="16"/>
      <c r="W35" s="16"/>
      <c r="X35" s="16"/>
      <c r="Y35" s="16"/>
      <c r="Z35" s="16"/>
    </row>
    <row r="36">
      <c r="A36" s="10">
        <v>43724.0</v>
      </c>
      <c r="B36" s="11">
        <v>1.20935219E8</v>
      </c>
      <c r="C36" s="12" t="s">
        <v>72</v>
      </c>
      <c r="D36" s="13" t="s">
        <v>18</v>
      </c>
      <c r="E36" s="13" t="s">
        <v>29</v>
      </c>
      <c r="F36" s="13">
        <v>27.0</v>
      </c>
      <c r="G36" s="13" t="s">
        <v>34</v>
      </c>
      <c r="H36" s="13" t="s">
        <v>28</v>
      </c>
      <c r="I36" s="14" t="s">
        <v>18</v>
      </c>
      <c r="J36" s="14" t="s">
        <v>22</v>
      </c>
      <c r="K36" s="14">
        <v>28.0</v>
      </c>
      <c r="L36" s="14" t="s">
        <v>23</v>
      </c>
      <c r="M36" s="14" t="s">
        <v>24</v>
      </c>
      <c r="N36" s="14" t="s">
        <v>21</v>
      </c>
      <c r="O36" s="14" t="s">
        <v>35</v>
      </c>
      <c r="P36" s="15" t="s">
        <v>73</v>
      </c>
      <c r="Q36" s="16"/>
      <c r="R36" s="16"/>
      <c r="S36" s="16"/>
      <c r="T36" s="16"/>
      <c r="U36" s="16"/>
      <c r="V36" s="16"/>
      <c r="W36" s="16"/>
      <c r="X36" s="16"/>
      <c r="Y36" s="16"/>
      <c r="Z36" s="16"/>
    </row>
    <row r="37">
      <c r="D37" s="19"/>
      <c r="E37" s="19"/>
      <c r="F37" s="19"/>
      <c r="G37" s="19"/>
      <c r="H37" s="13" t="s">
        <v>28</v>
      </c>
      <c r="I37" s="14" t="s">
        <v>18</v>
      </c>
      <c r="J37" s="14" t="s">
        <v>19</v>
      </c>
      <c r="K37" s="14">
        <v>29.0</v>
      </c>
      <c r="L37" s="14" t="s">
        <v>23</v>
      </c>
      <c r="M37" s="14" t="s">
        <v>24</v>
      </c>
      <c r="N37" s="20"/>
      <c r="O37" s="20"/>
      <c r="Q37" s="16"/>
      <c r="R37" s="16"/>
      <c r="S37" s="16"/>
      <c r="T37" s="16"/>
      <c r="U37" s="16"/>
      <c r="V37" s="16"/>
      <c r="W37" s="16"/>
      <c r="X37" s="16"/>
      <c r="Y37" s="16"/>
      <c r="Z37" s="16"/>
    </row>
    <row r="38">
      <c r="A38" s="10">
        <v>43770.0</v>
      </c>
      <c r="B38" s="11">
        <v>1.43778519E8</v>
      </c>
      <c r="C38" s="12" t="s">
        <v>74</v>
      </c>
      <c r="D38" s="13" t="s">
        <v>18</v>
      </c>
      <c r="E38" s="13" t="s">
        <v>49</v>
      </c>
      <c r="F38" s="13">
        <v>32.0</v>
      </c>
      <c r="G38" s="13">
        <v>2.0</v>
      </c>
      <c r="H38" s="13" t="s">
        <v>28</v>
      </c>
      <c r="I38" s="14" t="s">
        <v>18</v>
      </c>
      <c r="J38" s="14" t="s">
        <v>22</v>
      </c>
      <c r="K38" s="14">
        <v>39.0</v>
      </c>
      <c r="L38" s="14" t="s">
        <v>23</v>
      </c>
      <c r="M38" s="14" t="s">
        <v>24</v>
      </c>
      <c r="N38" s="14" t="s">
        <v>21</v>
      </c>
      <c r="O38" s="14" t="s">
        <v>35</v>
      </c>
      <c r="P38" s="15" t="s">
        <v>75</v>
      </c>
      <c r="Q38" s="16"/>
      <c r="R38" s="16"/>
      <c r="S38" s="16"/>
      <c r="T38" s="16"/>
      <c r="U38" s="16"/>
      <c r="V38" s="16"/>
      <c r="W38" s="16"/>
      <c r="X38" s="16"/>
      <c r="Y38" s="16"/>
      <c r="Z38" s="16"/>
    </row>
    <row r="39">
      <c r="F39" s="19"/>
      <c r="G39" s="19"/>
      <c r="H39" s="13" t="s">
        <v>28</v>
      </c>
      <c r="I39" s="14" t="s">
        <v>18</v>
      </c>
      <c r="J39" s="14" t="s">
        <v>19</v>
      </c>
      <c r="K39" s="14">
        <v>33.0</v>
      </c>
      <c r="L39" s="14" t="s">
        <v>23</v>
      </c>
      <c r="M39" s="14" t="s">
        <v>24</v>
      </c>
      <c r="N39" s="20"/>
      <c r="O39" s="20"/>
      <c r="Q39" s="16"/>
      <c r="R39" s="16"/>
      <c r="S39" s="16"/>
      <c r="T39" s="16"/>
      <c r="U39" s="16"/>
      <c r="V39" s="16"/>
      <c r="W39" s="16"/>
      <c r="X39" s="16"/>
      <c r="Y39" s="16"/>
      <c r="Z39" s="16"/>
    </row>
    <row r="40">
      <c r="A40" s="10">
        <v>43692.0</v>
      </c>
      <c r="B40" s="11">
        <v>1.08199719E8</v>
      </c>
      <c r="C40" s="12" t="s">
        <v>76</v>
      </c>
      <c r="D40" s="13" t="s">
        <v>18</v>
      </c>
      <c r="E40" s="13" t="s">
        <v>19</v>
      </c>
      <c r="F40" s="13">
        <v>41.0</v>
      </c>
      <c r="G40" s="13" t="s">
        <v>34</v>
      </c>
      <c r="H40" s="13" t="s">
        <v>28</v>
      </c>
      <c r="I40" s="14" t="s">
        <v>18</v>
      </c>
      <c r="J40" s="14" t="s">
        <v>22</v>
      </c>
      <c r="K40" s="14">
        <v>27.0</v>
      </c>
      <c r="L40" s="14" t="s">
        <v>23</v>
      </c>
      <c r="M40" s="14" t="s">
        <v>24</v>
      </c>
      <c r="N40" s="14" t="s">
        <v>25</v>
      </c>
      <c r="O40" s="14" t="s">
        <v>35</v>
      </c>
      <c r="P40" s="15" t="s">
        <v>77</v>
      </c>
      <c r="Q40" s="16"/>
      <c r="R40" s="16"/>
      <c r="S40" s="16"/>
      <c r="T40" s="16"/>
      <c r="U40" s="16"/>
      <c r="V40" s="16"/>
      <c r="W40" s="16"/>
      <c r="X40" s="16"/>
      <c r="Y40" s="16"/>
      <c r="Z40" s="16"/>
    </row>
    <row r="41">
      <c r="A41" s="10">
        <v>43686.0</v>
      </c>
      <c r="B41" s="11">
        <v>1.02521519E8</v>
      </c>
      <c r="C41" s="12" t="s">
        <v>78</v>
      </c>
      <c r="D41" s="13" t="s">
        <v>18</v>
      </c>
      <c r="E41" s="13" t="s">
        <v>29</v>
      </c>
      <c r="F41" s="13">
        <v>60.0</v>
      </c>
      <c r="G41" s="13" t="s">
        <v>20</v>
      </c>
      <c r="H41" s="13" t="s">
        <v>28</v>
      </c>
      <c r="I41" s="14" t="s">
        <v>18</v>
      </c>
      <c r="J41" s="14" t="s">
        <v>22</v>
      </c>
      <c r="K41" s="14">
        <v>35.0</v>
      </c>
      <c r="L41" s="14" t="s">
        <v>23</v>
      </c>
      <c r="M41" s="14" t="s">
        <v>24</v>
      </c>
      <c r="N41" s="14" t="s">
        <v>25</v>
      </c>
      <c r="O41" s="14">
        <v>1.0</v>
      </c>
      <c r="P41" s="15" t="s">
        <v>79</v>
      </c>
      <c r="Q41" s="16"/>
      <c r="R41" s="16"/>
      <c r="S41" s="16"/>
      <c r="T41" s="16"/>
      <c r="U41" s="16"/>
      <c r="V41" s="16"/>
      <c r="W41" s="16"/>
      <c r="X41" s="16"/>
      <c r="Y41" s="16"/>
      <c r="Z41" s="16"/>
    </row>
    <row r="42">
      <c r="I42" s="14" t="s">
        <v>18</v>
      </c>
      <c r="J42" s="14" t="s">
        <v>29</v>
      </c>
      <c r="K42" s="14">
        <v>33.0</v>
      </c>
      <c r="L42" s="14" t="s">
        <v>23</v>
      </c>
      <c r="M42" s="14" t="s">
        <v>24</v>
      </c>
      <c r="N42" s="14" t="s">
        <v>25</v>
      </c>
      <c r="O42" s="14">
        <v>1.0</v>
      </c>
      <c r="Q42" s="16"/>
      <c r="R42" s="16"/>
      <c r="S42" s="16"/>
      <c r="T42" s="16"/>
      <c r="U42" s="16"/>
      <c r="V42" s="16"/>
      <c r="W42" s="16"/>
      <c r="X42" s="16"/>
      <c r="Y42" s="16"/>
      <c r="Z42" s="16"/>
    </row>
    <row r="43">
      <c r="A43" s="10">
        <v>43667.0</v>
      </c>
      <c r="B43" s="11">
        <v>9.3118919E7</v>
      </c>
      <c r="C43" s="12" t="s">
        <v>80</v>
      </c>
      <c r="D43" s="13" t="s">
        <v>18</v>
      </c>
      <c r="E43" s="13" t="s">
        <v>29</v>
      </c>
      <c r="F43" s="13">
        <v>25.0</v>
      </c>
      <c r="G43" s="13" t="s">
        <v>23</v>
      </c>
      <c r="H43" s="13" t="s">
        <v>28</v>
      </c>
      <c r="I43" s="14" t="s">
        <v>18</v>
      </c>
      <c r="J43" s="14" t="s">
        <v>22</v>
      </c>
      <c r="K43" s="14">
        <v>42.0</v>
      </c>
      <c r="L43" s="14" t="s">
        <v>23</v>
      </c>
      <c r="M43" s="14" t="s">
        <v>24</v>
      </c>
      <c r="N43" s="14" t="s">
        <v>30</v>
      </c>
      <c r="O43" s="14">
        <v>1.0</v>
      </c>
      <c r="P43" s="15" t="s">
        <v>81</v>
      </c>
      <c r="Q43" s="16"/>
      <c r="R43" s="16"/>
      <c r="S43" s="16"/>
      <c r="T43" s="16"/>
      <c r="U43" s="16"/>
      <c r="V43" s="16"/>
      <c r="W43" s="16"/>
      <c r="X43" s="16"/>
      <c r="Y43" s="16"/>
      <c r="Z43" s="16"/>
    </row>
    <row r="44">
      <c r="A44" s="10">
        <v>43644.0</v>
      </c>
      <c r="B44" s="11">
        <v>8.2488019E7</v>
      </c>
      <c r="C44" s="12" t="s">
        <v>82</v>
      </c>
      <c r="D44" s="13" t="s">
        <v>18</v>
      </c>
      <c r="E44" s="13" t="s">
        <v>22</v>
      </c>
      <c r="F44" s="13">
        <v>24.0</v>
      </c>
      <c r="G44" s="13" t="s">
        <v>34</v>
      </c>
      <c r="H44" s="13" t="s">
        <v>28</v>
      </c>
      <c r="I44" s="14" t="s">
        <v>18</v>
      </c>
      <c r="J44" s="14" t="s">
        <v>19</v>
      </c>
      <c r="K44" s="14">
        <v>31.0</v>
      </c>
      <c r="L44" s="14" t="s">
        <v>23</v>
      </c>
      <c r="M44" s="14" t="s">
        <v>24</v>
      </c>
      <c r="N44" s="14" t="s">
        <v>25</v>
      </c>
      <c r="O44" s="14" t="s">
        <v>35</v>
      </c>
      <c r="P44" s="15" t="s">
        <v>83</v>
      </c>
      <c r="Q44" s="16"/>
      <c r="R44" s="16"/>
      <c r="S44" s="16"/>
      <c r="T44" s="16"/>
      <c r="U44" s="16"/>
      <c r="V44" s="16"/>
      <c r="W44" s="16"/>
      <c r="X44" s="16"/>
      <c r="Y44" s="16"/>
      <c r="Z44" s="16"/>
    </row>
    <row r="45">
      <c r="I45" s="14" t="s">
        <v>18</v>
      </c>
      <c r="J45" s="14" t="s">
        <v>22</v>
      </c>
      <c r="K45" s="14">
        <v>27.0</v>
      </c>
      <c r="L45" s="14" t="s">
        <v>23</v>
      </c>
      <c r="M45" s="14" t="s">
        <v>24</v>
      </c>
      <c r="N45" s="14" t="s">
        <v>25</v>
      </c>
      <c r="O45" s="14" t="s">
        <v>35</v>
      </c>
      <c r="Q45" s="16"/>
      <c r="R45" s="16"/>
      <c r="S45" s="16"/>
      <c r="T45" s="16"/>
      <c r="U45" s="16"/>
      <c r="V45" s="16"/>
      <c r="W45" s="16"/>
      <c r="X45" s="16"/>
      <c r="Y45" s="16"/>
      <c r="Z45" s="16"/>
    </row>
    <row r="46">
      <c r="I46" s="14" t="s">
        <v>84</v>
      </c>
      <c r="J46" s="14" t="s">
        <v>19</v>
      </c>
      <c r="K46" s="14">
        <v>24.0</v>
      </c>
      <c r="L46" s="14" t="s">
        <v>20</v>
      </c>
      <c r="M46" s="14" t="s">
        <v>24</v>
      </c>
      <c r="N46" s="14" t="s">
        <v>25</v>
      </c>
      <c r="O46" s="14">
        <v>1.0</v>
      </c>
      <c r="Q46" s="16"/>
      <c r="R46" s="16"/>
      <c r="S46" s="16"/>
      <c r="T46" s="16"/>
      <c r="U46" s="16"/>
      <c r="V46" s="16"/>
      <c r="W46" s="16"/>
      <c r="X46" s="16"/>
      <c r="Y46" s="16"/>
      <c r="Z46" s="16"/>
    </row>
    <row r="47">
      <c r="A47" s="10">
        <v>43635.0</v>
      </c>
      <c r="B47" s="11">
        <v>7.7867119E7</v>
      </c>
      <c r="C47" s="12" t="s">
        <v>85</v>
      </c>
      <c r="D47" s="13" t="s">
        <v>18</v>
      </c>
      <c r="E47" s="13" t="s">
        <v>29</v>
      </c>
      <c r="F47" s="13">
        <v>23.0</v>
      </c>
      <c r="G47" s="13" t="s">
        <v>20</v>
      </c>
      <c r="H47" s="13" t="s">
        <v>28</v>
      </c>
      <c r="I47" s="14" t="s">
        <v>18</v>
      </c>
      <c r="J47" s="14" t="s">
        <v>22</v>
      </c>
      <c r="K47" s="14">
        <v>41.0</v>
      </c>
      <c r="L47" s="14" t="s">
        <v>23</v>
      </c>
      <c r="M47" s="14" t="s">
        <v>24</v>
      </c>
      <c r="N47" s="14" t="s">
        <v>21</v>
      </c>
      <c r="O47" s="14">
        <v>1.0</v>
      </c>
      <c r="P47" s="15" t="s">
        <v>86</v>
      </c>
      <c r="Q47" s="16"/>
      <c r="R47" s="16"/>
      <c r="S47" s="16"/>
      <c r="T47" s="16"/>
      <c r="U47" s="16"/>
      <c r="V47" s="16"/>
      <c r="W47" s="16"/>
      <c r="X47" s="16"/>
      <c r="Y47" s="16"/>
      <c r="Z47" s="16"/>
    </row>
    <row r="48">
      <c r="I48" s="14" t="s">
        <v>18</v>
      </c>
      <c r="J48" s="14" t="s">
        <v>19</v>
      </c>
      <c r="K48" s="14">
        <v>30.0</v>
      </c>
      <c r="L48" s="14" t="s">
        <v>23</v>
      </c>
      <c r="M48" s="14" t="s">
        <v>24</v>
      </c>
      <c r="N48" s="14" t="s">
        <v>21</v>
      </c>
      <c r="O48" s="14">
        <v>1.0</v>
      </c>
      <c r="Q48" s="16"/>
      <c r="R48" s="16"/>
      <c r="S48" s="16"/>
      <c r="T48" s="16"/>
      <c r="U48" s="16"/>
      <c r="V48" s="16"/>
      <c r="W48" s="16"/>
      <c r="X48" s="16"/>
      <c r="Y48" s="16"/>
      <c r="Z48" s="16"/>
    </row>
    <row r="49">
      <c r="A49" s="10">
        <v>43609.0</v>
      </c>
      <c r="B49" s="11">
        <v>6.5776819E7</v>
      </c>
      <c r="C49" s="12" t="s">
        <v>87</v>
      </c>
      <c r="D49" s="13" t="s">
        <v>18</v>
      </c>
      <c r="E49" s="13" t="s">
        <v>29</v>
      </c>
      <c r="F49" s="13">
        <v>35.0</v>
      </c>
      <c r="G49" s="13" t="s">
        <v>34</v>
      </c>
      <c r="H49" s="13" t="s">
        <v>28</v>
      </c>
      <c r="I49" s="14" t="s">
        <v>18</v>
      </c>
      <c r="J49" s="14" t="s">
        <v>22</v>
      </c>
      <c r="K49" s="14">
        <v>29.0</v>
      </c>
      <c r="L49" s="14" t="s">
        <v>23</v>
      </c>
      <c r="M49" s="14" t="s">
        <v>24</v>
      </c>
      <c r="N49" s="14" t="s">
        <v>25</v>
      </c>
      <c r="O49" s="14" t="s">
        <v>35</v>
      </c>
      <c r="P49" s="15" t="s">
        <v>88</v>
      </c>
      <c r="Q49" s="16"/>
      <c r="R49" s="16"/>
      <c r="S49" s="16"/>
      <c r="T49" s="16"/>
      <c r="U49" s="16"/>
      <c r="V49" s="16"/>
      <c r="W49" s="16"/>
      <c r="X49" s="16"/>
      <c r="Y49" s="16"/>
      <c r="Z49" s="16"/>
    </row>
    <row r="50">
      <c r="A50" s="10">
        <v>43568.0</v>
      </c>
      <c r="B50" s="11">
        <v>4.6151719E7</v>
      </c>
      <c r="C50" s="12" t="s">
        <v>89</v>
      </c>
      <c r="D50" s="13" t="s">
        <v>18</v>
      </c>
      <c r="E50" s="13" t="s">
        <v>29</v>
      </c>
      <c r="F50" s="13">
        <v>17.0</v>
      </c>
      <c r="G50" s="13" t="s">
        <v>20</v>
      </c>
      <c r="H50" s="13" t="s">
        <v>28</v>
      </c>
      <c r="I50" s="14" t="s">
        <v>18</v>
      </c>
      <c r="J50" s="14" t="s">
        <v>22</v>
      </c>
      <c r="K50" s="14">
        <v>34.0</v>
      </c>
      <c r="L50" s="14" t="s">
        <v>23</v>
      </c>
      <c r="M50" s="14" t="s">
        <v>24</v>
      </c>
      <c r="N50" s="14" t="s">
        <v>21</v>
      </c>
      <c r="O50" s="14" t="s">
        <v>35</v>
      </c>
      <c r="P50" s="15" t="s">
        <v>90</v>
      </c>
      <c r="Q50" s="16"/>
      <c r="R50" s="16"/>
      <c r="S50" s="16"/>
      <c r="T50" s="16"/>
      <c r="U50" s="16"/>
      <c r="V50" s="16"/>
      <c r="W50" s="16"/>
      <c r="X50" s="16"/>
      <c r="Y50" s="16"/>
      <c r="Z50" s="16"/>
    </row>
    <row r="51">
      <c r="A51" s="10">
        <v>43523.0</v>
      </c>
      <c r="B51" s="11">
        <v>2.5266619E7</v>
      </c>
      <c r="C51" s="12" t="s">
        <v>91</v>
      </c>
      <c r="D51" s="13" t="s">
        <v>18</v>
      </c>
      <c r="E51" s="13" t="s">
        <v>19</v>
      </c>
      <c r="F51" s="13">
        <v>19.0</v>
      </c>
      <c r="G51" s="13" t="s">
        <v>20</v>
      </c>
      <c r="H51" s="13" t="s">
        <v>28</v>
      </c>
      <c r="I51" s="14" t="s">
        <v>18</v>
      </c>
      <c r="J51" s="14" t="s">
        <v>22</v>
      </c>
      <c r="K51" s="14">
        <v>26.0</v>
      </c>
      <c r="L51" s="14" t="s">
        <v>23</v>
      </c>
      <c r="M51" s="14" t="s">
        <v>24</v>
      </c>
      <c r="N51" s="14" t="s">
        <v>25</v>
      </c>
      <c r="O51" s="14" t="s">
        <v>35</v>
      </c>
      <c r="P51" s="15" t="s">
        <v>92</v>
      </c>
      <c r="Q51" s="16"/>
      <c r="R51" s="16"/>
      <c r="S51" s="16"/>
      <c r="T51" s="16"/>
      <c r="U51" s="16"/>
      <c r="V51" s="16"/>
      <c r="W51" s="16"/>
      <c r="X51" s="16"/>
      <c r="Y51" s="16"/>
      <c r="Z51" s="16"/>
    </row>
    <row r="52">
      <c r="I52" s="14" t="s">
        <v>18</v>
      </c>
      <c r="J52" s="14" t="s">
        <v>22</v>
      </c>
      <c r="K52" s="14">
        <v>31.0</v>
      </c>
      <c r="L52" s="14" t="s">
        <v>23</v>
      </c>
      <c r="M52" s="14" t="s">
        <v>24</v>
      </c>
      <c r="N52" s="14" t="s">
        <v>25</v>
      </c>
      <c r="O52" s="14" t="s">
        <v>35</v>
      </c>
      <c r="Q52" s="16"/>
      <c r="R52" s="16"/>
      <c r="S52" s="16"/>
      <c r="T52" s="16"/>
      <c r="U52" s="16"/>
      <c r="V52" s="16"/>
      <c r="W52" s="16"/>
      <c r="X52" s="16"/>
      <c r="Y52" s="16"/>
      <c r="Z52" s="16"/>
    </row>
    <row r="53">
      <c r="A53" s="10">
        <v>43517.0</v>
      </c>
      <c r="B53" s="11">
        <v>2.2869919E7</v>
      </c>
      <c r="C53" s="12" t="s">
        <v>93</v>
      </c>
      <c r="D53" s="13" t="s">
        <v>18</v>
      </c>
      <c r="E53" s="13" t="s">
        <v>19</v>
      </c>
      <c r="F53" s="13">
        <v>17.0</v>
      </c>
      <c r="G53" s="13" t="s">
        <v>20</v>
      </c>
      <c r="H53" s="13" t="s">
        <v>28</v>
      </c>
      <c r="I53" s="14" t="s">
        <v>18</v>
      </c>
      <c r="J53" s="14" t="s">
        <v>22</v>
      </c>
      <c r="K53" s="14">
        <v>28.0</v>
      </c>
      <c r="L53" s="14" t="s">
        <v>23</v>
      </c>
      <c r="M53" s="14" t="s">
        <v>60</v>
      </c>
      <c r="N53" s="14" t="s">
        <v>21</v>
      </c>
      <c r="O53" s="14" t="s">
        <v>35</v>
      </c>
      <c r="P53" s="15" t="s">
        <v>94</v>
      </c>
      <c r="Q53" s="16"/>
      <c r="R53" s="16"/>
      <c r="S53" s="16"/>
      <c r="T53" s="16"/>
      <c r="U53" s="16"/>
      <c r="V53" s="16"/>
      <c r="W53" s="16"/>
      <c r="X53" s="16"/>
      <c r="Y53" s="16"/>
      <c r="Z53" s="16"/>
    </row>
    <row r="54">
      <c r="A54" s="10">
        <v>43496.0</v>
      </c>
      <c r="B54" s="11">
        <v>1.3527619E7</v>
      </c>
      <c r="C54" s="12" t="s">
        <v>95</v>
      </c>
      <c r="D54" s="13" t="s">
        <v>18</v>
      </c>
      <c r="E54" s="13" t="s">
        <v>29</v>
      </c>
      <c r="F54" s="13">
        <v>26.0</v>
      </c>
      <c r="G54" s="13" t="s">
        <v>23</v>
      </c>
      <c r="H54" s="13" t="s">
        <v>23</v>
      </c>
      <c r="I54" s="14" t="s">
        <v>18</v>
      </c>
      <c r="J54" s="14" t="s">
        <v>22</v>
      </c>
      <c r="K54" s="14">
        <v>33.0</v>
      </c>
      <c r="L54" s="14" t="s">
        <v>23</v>
      </c>
      <c r="M54" s="14" t="s">
        <v>24</v>
      </c>
      <c r="N54" s="14" t="s">
        <v>21</v>
      </c>
      <c r="O54" s="14" t="s">
        <v>35</v>
      </c>
      <c r="P54" s="15" t="s">
        <v>96</v>
      </c>
      <c r="Q54" s="16"/>
      <c r="R54" s="16"/>
      <c r="S54" s="16"/>
      <c r="T54" s="16"/>
      <c r="U54" s="16"/>
      <c r="V54" s="16"/>
      <c r="W54" s="16"/>
      <c r="X54" s="16"/>
      <c r="Y54" s="16"/>
      <c r="Z54" s="16"/>
    </row>
    <row r="55">
      <c r="D55" s="13" t="s">
        <v>18</v>
      </c>
      <c r="E55" s="13" t="s">
        <v>29</v>
      </c>
      <c r="F55" s="13">
        <v>24.0</v>
      </c>
      <c r="G55" s="13" t="s">
        <v>23</v>
      </c>
      <c r="H55" s="13" t="s">
        <v>23</v>
      </c>
      <c r="Q55" s="16"/>
      <c r="R55" s="16"/>
      <c r="S55" s="16"/>
      <c r="T55" s="16"/>
      <c r="U55" s="16"/>
      <c r="V55" s="16"/>
      <c r="W55" s="16"/>
      <c r="X55" s="16"/>
      <c r="Y55" s="16"/>
      <c r="Z55" s="16"/>
    </row>
    <row r="56">
      <c r="A56" s="10">
        <v>43493.0</v>
      </c>
      <c r="B56" s="11">
        <v>1.2191319E7</v>
      </c>
      <c r="C56" s="12" t="s">
        <v>97</v>
      </c>
      <c r="D56" s="13" t="s">
        <v>18</v>
      </c>
      <c r="E56" s="13" t="s">
        <v>19</v>
      </c>
      <c r="F56" s="13">
        <v>30.0</v>
      </c>
      <c r="G56" s="13" t="s">
        <v>20</v>
      </c>
      <c r="H56" s="13" t="s">
        <v>98</v>
      </c>
      <c r="I56" s="14" t="s">
        <v>18</v>
      </c>
      <c r="J56" s="21" t="s">
        <v>19</v>
      </c>
      <c r="K56" s="14">
        <v>28.0</v>
      </c>
      <c r="L56" s="14" t="s">
        <v>23</v>
      </c>
      <c r="M56" s="14" t="s">
        <v>24</v>
      </c>
      <c r="N56" s="14" t="s">
        <v>21</v>
      </c>
      <c r="O56" s="14">
        <v>1.0</v>
      </c>
      <c r="P56" s="15" t="s">
        <v>99</v>
      </c>
      <c r="Q56" s="16"/>
      <c r="R56" s="16"/>
      <c r="S56" s="16"/>
      <c r="T56" s="16"/>
      <c r="U56" s="16"/>
      <c r="V56" s="16"/>
      <c r="W56" s="16"/>
      <c r="X56" s="16"/>
      <c r="Y56" s="16"/>
      <c r="Z56" s="16"/>
    </row>
    <row r="57">
      <c r="A57" s="10">
        <v>43493.0</v>
      </c>
      <c r="B57" s="11">
        <v>1.2133719E7</v>
      </c>
      <c r="C57" s="12" t="s">
        <v>100</v>
      </c>
      <c r="D57" s="13" t="s">
        <v>18</v>
      </c>
      <c r="E57" s="13" t="s">
        <v>22</v>
      </c>
      <c r="F57" s="13">
        <v>59.0</v>
      </c>
      <c r="G57" s="13" t="s">
        <v>34</v>
      </c>
      <c r="H57" s="13" t="s">
        <v>28</v>
      </c>
      <c r="I57" s="14" t="s">
        <v>18</v>
      </c>
      <c r="J57" s="14" t="s">
        <v>19</v>
      </c>
      <c r="K57" s="14">
        <v>31.0</v>
      </c>
      <c r="L57" s="14" t="s">
        <v>23</v>
      </c>
      <c r="M57" s="14" t="s">
        <v>24</v>
      </c>
      <c r="N57" s="14" t="s">
        <v>53</v>
      </c>
      <c r="O57" s="14" t="s">
        <v>35</v>
      </c>
      <c r="P57" s="15" t="s">
        <v>101</v>
      </c>
      <c r="Q57" s="16"/>
      <c r="R57" s="16"/>
      <c r="S57" s="16"/>
      <c r="T57" s="16"/>
      <c r="U57" s="16"/>
      <c r="V57" s="16"/>
      <c r="W57" s="16"/>
      <c r="X57" s="16"/>
      <c r="Y57" s="16"/>
      <c r="Z57" s="16"/>
    </row>
    <row r="58">
      <c r="I58" s="14" t="s">
        <v>18</v>
      </c>
      <c r="J58" s="14" t="s">
        <v>19</v>
      </c>
      <c r="K58" s="14">
        <v>37.0</v>
      </c>
      <c r="L58" s="14" t="s">
        <v>23</v>
      </c>
      <c r="M58" s="14" t="s">
        <v>24</v>
      </c>
      <c r="N58" s="14" t="s">
        <v>53</v>
      </c>
      <c r="O58" s="14">
        <v>1.0</v>
      </c>
      <c r="Q58" s="16"/>
      <c r="R58" s="16"/>
      <c r="S58" s="16"/>
      <c r="T58" s="16"/>
      <c r="U58" s="16"/>
      <c r="V58" s="16"/>
      <c r="W58" s="16"/>
      <c r="X58" s="16"/>
      <c r="Y58" s="16"/>
      <c r="Z58" s="16"/>
    </row>
    <row r="59">
      <c r="D59" s="13" t="s">
        <v>84</v>
      </c>
      <c r="E59" s="13" t="s">
        <v>22</v>
      </c>
      <c r="F59" s="13">
        <v>58.0</v>
      </c>
      <c r="G59" s="13" t="s">
        <v>34</v>
      </c>
      <c r="H59" s="13" t="s">
        <v>23</v>
      </c>
      <c r="I59" s="14" t="s">
        <v>18</v>
      </c>
      <c r="J59" s="14" t="s">
        <v>19</v>
      </c>
      <c r="K59" s="14">
        <v>33.0</v>
      </c>
      <c r="L59" s="14" t="s">
        <v>23</v>
      </c>
      <c r="M59" s="14" t="s">
        <v>24</v>
      </c>
      <c r="N59" s="14" t="s">
        <v>53</v>
      </c>
      <c r="O59" s="14">
        <v>1.0</v>
      </c>
      <c r="Q59" s="16"/>
      <c r="R59" s="16"/>
      <c r="S59" s="16"/>
      <c r="T59" s="16"/>
      <c r="U59" s="16"/>
      <c r="V59" s="16"/>
      <c r="W59" s="16"/>
      <c r="X59" s="16"/>
      <c r="Y59" s="16"/>
      <c r="Z59" s="16"/>
    </row>
    <row r="60">
      <c r="I60" s="14" t="s">
        <v>18</v>
      </c>
      <c r="J60" s="14" t="s">
        <v>19</v>
      </c>
      <c r="K60" s="14">
        <v>38.0</v>
      </c>
      <c r="L60" s="14" t="s">
        <v>23</v>
      </c>
      <c r="M60" s="14" t="s">
        <v>24</v>
      </c>
      <c r="N60" s="14" t="s">
        <v>53</v>
      </c>
      <c r="O60" s="14" t="s">
        <v>35</v>
      </c>
      <c r="Q60" s="16"/>
      <c r="R60" s="16"/>
      <c r="S60" s="16"/>
      <c r="T60" s="16"/>
      <c r="U60" s="16"/>
      <c r="V60" s="16"/>
      <c r="W60" s="16"/>
      <c r="X60" s="16"/>
      <c r="Y60" s="16"/>
      <c r="Z60" s="16"/>
    </row>
    <row r="61">
      <c r="A61" s="10">
        <v>43493.0</v>
      </c>
      <c r="B61" s="11">
        <v>1.2191319E7</v>
      </c>
      <c r="C61" s="12" t="s">
        <v>97</v>
      </c>
      <c r="D61" s="13" t="s">
        <v>18</v>
      </c>
      <c r="E61" s="13" t="s">
        <v>19</v>
      </c>
      <c r="F61" s="13">
        <v>30.0</v>
      </c>
      <c r="G61" s="13" t="s">
        <v>20</v>
      </c>
      <c r="H61" s="13" t="s">
        <v>98</v>
      </c>
      <c r="I61" s="14" t="s">
        <v>18</v>
      </c>
      <c r="J61" s="14" t="s">
        <v>19</v>
      </c>
      <c r="K61" s="14">
        <v>28.0</v>
      </c>
      <c r="L61" s="14" t="s">
        <v>23</v>
      </c>
      <c r="M61" s="14" t="s">
        <v>24</v>
      </c>
      <c r="N61" s="14" t="s">
        <v>21</v>
      </c>
      <c r="O61" s="14">
        <v>1.0</v>
      </c>
      <c r="P61" s="15" t="s">
        <v>99</v>
      </c>
      <c r="Q61" s="16"/>
      <c r="R61" s="16"/>
      <c r="S61" s="16"/>
      <c r="T61" s="16"/>
      <c r="U61" s="16"/>
      <c r="V61" s="16"/>
      <c r="W61" s="16"/>
      <c r="X61" s="16"/>
      <c r="Y61" s="16"/>
      <c r="Z61" s="16"/>
    </row>
    <row r="62">
      <c r="A62" s="10">
        <v>43473.0</v>
      </c>
      <c r="B62" s="11">
        <v>3169319.0</v>
      </c>
      <c r="C62" s="12" t="s">
        <v>102</v>
      </c>
      <c r="D62" s="13" t="s">
        <v>18</v>
      </c>
      <c r="E62" s="13" t="s">
        <v>29</v>
      </c>
      <c r="F62" s="13">
        <v>26.0</v>
      </c>
      <c r="G62" s="13" t="s">
        <v>20</v>
      </c>
      <c r="H62" s="13" t="s">
        <v>28</v>
      </c>
      <c r="I62" s="14" t="s">
        <v>18</v>
      </c>
      <c r="J62" s="14" t="s">
        <v>22</v>
      </c>
      <c r="K62" s="14">
        <v>41.0</v>
      </c>
      <c r="L62" s="14" t="s">
        <v>23</v>
      </c>
      <c r="M62" s="14" t="s">
        <v>24</v>
      </c>
      <c r="N62" s="14" t="s">
        <v>25</v>
      </c>
      <c r="O62" s="14" t="s">
        <v>35</v>
      </c>
      <c r="P62" s="15" t="s">
        <v>103</v>
      </c>
      <c r="Q62" s="16"/>
      <c r="R62" s="16"/>
      <c r="S62" s="16"/>
      <c r="T62" s="16"/>
      <c r="U62" s="16"/>
      <c r="V62" s="16"/>
      <c r="W62" s="16"/>
      <c r="X62" s="16"/>
      <c r="Y62" s="16"/>
      <c r="Z62" s="16"/>
    </row>
    <row r="63">
      <c r="I63" s="14" t="s">
        <v>18</v>
      </c>
      <c r="J63" s="14" t="s">
        <v>22</v>
      </c>
      <c r="K63" s="14">
        <v>41.0</v>
      </c>
      <c r="L63" s="14" t="s">
        <v>23</v>
      </c>
      <c r="M63" s="14" t="s">
        <v>24</v>
      </c>
      <c r="N63" s="14" t="s">
        <v>25</v>
      </c>
      <c r="O63" s="14">
        <v>1.0</v>
      </c>
      <c r="Q63" s="16"/>
      <c r="R63" s="16"/>
      <c r="S63" s="16"/>
      <c r="T63" s="16"/>
      <c r="U63" s="16"/>
      <c r="V63" s="16"/>
      <c r="W63" s="16"/>
      <c r="X63" s="16"/>
      <c r="Y63" s="16"/>
      <c r="Z63" s="16"/>
    </row>
    <row r="64">
      <c r="A64" s="10">
        <v>43469.0</v>
      </c>
      <c r="B64" s="11">
        <v>1599519.0</v>
      </c>
      <c r="C64" s="12" t="s">
        <v>104</v>
      </c>
      <c r="D64" s="13" t="s">
        <v>18</v>
      </c>
      <c r="E64" s="13" t="s">
        <v>29</v>
      </c>
      <c r="F64" s="13">
        <v>32.0</v>
      </c>
      <c r="G64" s="13" t="s">
        <v>34</v>
      </c>
      <c r="H64" s="13" t="s">
        <v>28</v>
      </c>
      <c r="I64" s="14" t="s">
        <v>18</v>
      </c>
      <c r="J64" s="14" t="s">
        <v>29</v>
      </c>
      <c r="K64" s="14">
        <v>27.0</v>
      </c>
      <c r="L64" s="14" t="s">
        <v>23</v>
      </c>
      <c r="M64" s="14" t="s">
        <v>24</v>
      </c>
      <c r="N64" s="14" t="s">
        <v>21</v>
      </c>
      <c r="O64" s="14">
        <v>1.0</v>
      </c>
      <c r="P64" s="15" t="s">
        <v>105</v>
      </c>
      <c r="Q64" s="16"/>
      <c r="R64" s="16"/>
      <c r="S64" s="16"/>
      <c r="T64" s="16"/>
      <c r="U64" s="16"/>
      <c r="V64" s="16"/>
      <c r="W64" s="16"/>
      <c r="X64" s="16"/>
      <c r="Y64" s="16"/>
      <c r="Z64" s="16"/>
    </row>
    <row r="65">
      <c r="A65" s="10">
        <v>43156.0</v>
      </c>
      <c r="B65" s="11">
        <v>1.62241918E8</v>
      </c>
      <c r="C65" s="12" t="s">
        <v>106</v>
      </c>
      <c r="D65" s="13" t="s">
        <v>18</v>
      </c>
      <c r="E65" s="13" t="s">
        <v>22</v>
      </c>
      <c r="F65" s="13">
        <v>39.0</v>
      </c>
      <c r="G65" s="13" t="s">
        <v>23</v>
      </c>
      <c r="H65" s="13" t="s">
        <v>23</v>
      </c>
      <c r="I65" s="14" t="s">
        <v>18</v>
      </c>
      <c r="J65" s="14" t="s">
        <v>49</v>
      </c>
      <c r="K65" s="14">
        <v>25.0</v>
      </c>
      <c r="L65" s="14" t="s">
        <v>23</v>
      </c>
      <c r="M65" s="14" t="s">
        <v>24</v>
      </c>
      <c r="N65" s="14" t="s">
        <v>25</v>
      </c>
      <c r="O65" s="14">
        <v>1.0</v>
      </c>
      <c r="P65" s="15" t="s">
        <v>107</v>
      </c>
      <c r="Q65" s="22"/>
      <c r="R65" s="16"/>
      <c r="S65" s="16"/>
      <c r="T65" s="16"/>
      <c r="U65" s="16"/>
      <c r="V65" s="16"/>
      <c r="W65" s="16"/>
      <c r="X65" s="16"/>
      <c r="Y65" s="16"/>
      <c r="Z65" s="16"/>
    </row>
    <row r="66">
      <c r="A66" s="10">
        <v>43432.0</v>
      </c>
      <c r="B66" s="11">
        <v>1.50372018E8</v>
      </c>
      <c r="C66" s="12" t="s">
        <v>108</v>
      </c>
      <c r="D66" s="13" t="s">
        <v>18</v>
      </c>
      <c r="E66" s="13" t="s">
        <v>29</v>
      </c>
      <c r="F66" s="13">
        <v>28.0</v>
      </c>
      <c r="G66" s="13" t="s">
        <v>34</v>
      </c>
      <c r="H66" s="13" t="s">
        <v>23</v>
      </c>
      <c r="I66" s="14" t="s">
        <v>18</v>
      </c>
      <c r="J66" s="14" t="s">
        <v>22</v>
      </c>
      <c r="K66" s="14">
        <v>35.0</v>
      </c>
      <c r="L66" s="14" t="s">
        <v>23</v>
      </c>
      <c r="M66" s="14" t="s">
        <v>24</v>
      </c>
      <c r="N66" s="14" t="s">
        <v>21</v>
      </c>
      <c r="O66" s="14">
        <v>1.0</v>
      </c>
      <c r="P66" s="15" t="s">
        <v>109</v>
      </c>
      <c r="Q66" s="22"/>
      <c r="R66" s="16"/>
      <c r="S66" s="16"/>
      <c r="T66" s="16"/>
      <c r="U66" s="16"/>
      <c r="V66" s="16"/>
      <c r="W66" s="16"/>
      <c r="X66" s="16"/>
      <c r="Y66" s="16"/>
      <c r="Z66" s="16"/>
    </row>
    <row r="67">
      <c r="D67" s="13" t="s">
        <v>18</v>
      </c>
      <c r="E67" s="13" t="s">
        <v>29</v>
      </c>
      <c r="F67" s="13">
        <v>30.0</v>
      </c>
      <c r="G67" s="13" t="s">
        <v>34</v>
      </c>
      <c r="H67" s="13" t="s">
        <v>28</v>
      </c>
      <c r="Q67" s="22"/>
      <c r="R67" s="16"/>
      <c r="S67" s="16"/>
      <c r="T67" s="16"/>
      <c r="U67" s="16"/>
      <c r="V67" s="16"/>
      <c r="W67" s="16"/>
      <c r="X67" s="16"/>
      <c r="Y67" s="16"/>
      <c r="Z67" s="16"/>
    </row>
    <row r="68">
      <c r="A68" s="10">
        <v>43431.0</v>
      </c>
      <c r="B68" s="11">
        <v>1.49476218E8</v>
      </c>
      <c r="C68" s="12" t="s">
        <v>110</v>
      </c>
      <c r="D68" s="13" t="s">
        <v>18</v>
      </c>
      <c r="E68" s="13" t="s">
        <v>49</v>
      </c>
      <c r="F68" s="13">
        <v>41.0</v>
      </c>
      <c r="G68" s="13" t="s">
        <v>34</v>
      </c>
      <c r="H68" s="13" t="s">
        <v>28</v>
      </c>
      <c r="I68" s="14" t="s">
        <v>18</v>
      </c>
      <c r="J68" s="14" t="s">
        <v>19</v>
      </c>
      <c r="K68" s="14">
        <v>34.0</v>
      </c>
      <c r="L68" s="14" t="s">
        <v>23</v>
      </c>
      <c r="M68" s="14" t="s">
        <v>24</v>
      </c>
      <c r="N68" s="14" t="s">
        <v>25</v>
      </c>
      <c r="O68" s="14" t="s">
        <v>35</v>
      </c>
      <c r="P68" s="15" t="s">
        <v>111</v>
      </c>
      <c r="Q68" s="22"/>
      <c r="R68" s="16"/>
      <c r="S68" s="16"/>
      <c r="T68" s="16"/>
      <c r="U68" s="16"/>
      <c r="V68" s="16"/>
      <c r="W68" s="16"/>
      <c r="X68" s="16"/>
      <c r="Y68" s="16"/>
      <c r="Z68" s="16"/>
    </row>
    <row r="69">
      <c r="A69" s="10">
        <v>43418.0</v>
      </c>
      <c r="B69" s="11">
        <v>1.44320018E8</v>
      </c>
      <c r="C69" s="12" t="s">
        <v>112</v>
      </c>
      <c r="D69" s="13" t="s">
        <v>18</v>
      </c>
      <c r="E69" s="13" t="s">
        <v>19</v>
      </c>
      <c r="F69" s="13">
        <v>61.0</v>
      </c>
      <c r="G69" s="13" t="s">
        <v>34</v>
      </c>
      <c r="H69" s="13" t="s">
        <v>98</v>
      </c>
      <c r="I69" s="14" t="s">
        <v>84</v>
      </c>
      <c r="J69" s="14" t="s">
        <v>22</v>
      </c>
      <c r="K69" s="14">
        <v>25.0</v>
      </c>
      <c r="L69" s="14" t="s">
        <v>23</v>
      </c>
      <c r="M69" s="14" t="s">
        <v>24</v>
      </c>
      <c r="N69" s="14" t="s">
        <v>21</v>
      </c>
      <c r="O69" s="14">
        <v>1.0</v>
      </c>
      <c r="P69" s="15" t="s">
        <v>113</v>
      </c>
      <c r="Q69" s="22"/>
      <c r="R69" s="16"/>
      <c r="S69" s="16"/>
      <c r="T69" s="16"/>
      <c r="U69" s="16"/>
      <c r="V69" s="16"/>
      <c r="W69" s="16"/>
      <c r="X69" s="16"/>
      <c r="Y69" s="16"/>
      <c r="Z69" s="16"/>
    </row>
    <row r="70">
      <c r="A70" s="10">
        <v>43400.0</v>
      </c>
      <c r="B70" s="11">
        <v>1.35922718E8</v>
      </c>
      <c r="C70" s="12" t="s">
        <v>114</v>
      </c>
      <c r="D70" s="13" t="s">
        <v>18</v>
      </c>
      <c r="E70" s="13" t="s">
        <v>22</v>
      </c>
      <c r="F70" s="13">
        <v>30.0</v>
      </c>
      <c r="G70" s="13" t="s">
        <v>34</v>
      </c>
      <c r="H70" s="13" t="s">
        <v>28</v>
      </c>
      <c r="I70" s="14" t="s">
        <v>18</v>
      </c>
      <c r="J70" s="14" t="s">
        <v>22</v>
      </c>
      <c r="K70" s="14">
        <v>54.0</v>
      </c>
      <c r="L70" s="14" t="s">
        <v>23</v>
      </c>
      <c r="M70" s="14" t="s">
        <v>24</v>
      </c>
      <c r="N70" s="14" t="s">
        <v>21</v>
      </c>
      <c r="O70" s="14">
        <v>1.0</v>
      </c>
      <c r="P70" s="15" t="s">
        <v>115</v>
      </c>
      <c r="Q70" s="22"/>
      <c r="R70" s="16"/>
      <c r="S70" s="16"/>
      <c r="T70" s="16"/>
      <c r="U70" s="16"/>
      <c r="V70" s="16"/>
      <c r="W70" s="16"/>
      <c r="X70" s="16"/>
      <c r="Y70" s="16"/>
      <c r="Z70" s="16"/>
    </row>
    <row r="71">
      <c r="A71" s="10">
        <v>43371.0</v>
      </c>
      <c r="B71" s="11">
        <v>1.22990318E8</v>
      </c>
      <c r="C71" s="12" t="s">
        <v>116</v>
      </c>
      <c r="D71" s="13" t="s">
        <v>18</v>
      </c>
      <c r="E71" s="13" t="s">
        <v>29</v>
      </c>
      <c r="F71" s="13">
        <v>23.0</v>
      </c>
      <c r="G71" s="13" t="s">
        <v>34</v>
      </c>
      <c r="H71" s="13" t="s">
        <v>28</v>
      </c>
      <c r="I71" s="14" t="s">
        <v>18</v>
      </c>
      <c r="J71" s="14" t="s">
        <v>22</v>
      </c>
      <c r="K71" s="14">
        <v>37.0</v>
      </c>
      <c r="L71" s="14" t="s">
        <v>23</v>
      </c>
      <c r="M71" s="14" t="s">
        <v>24</v>
      </c>
      <c r="N71" s="14" t="s">
        <v>25</v>
      </c>
      <c r="O71" s="14">
        <v>1.0</v>
      </c>
      <c r="P71" s="15" t="s">
        <v>117</v>
      </c>
      <c r="Q71" s="22"/>
      <c r="R71" s="16"/>
      <c r="S71" s="16"/>
      <c r="T71" s="16"/>
      <c r="U71" s="16"/>
      <c r="V71" s="16"/>
      <c r="W71" s="16"/>
      <c r="X71" s="16"/>
      <c r="Y71" s="16"/>
      <c r="Z71" s="16"/>
    </row>
    <row r="72">
      <c r="I72" s="14" t="s">
        <v>18</v>
      </c>
      <c r="J72" s="14" t="s">
        <v>22</v>
      </c>
      <c r="K72" s="14">
        <v>30.0</v>
      </c>
      <c r="L72" s="14" t="s">
        <v>23</v>
      </c>
      <c r="M72" s="14" t="s">
        <v>24</v>
      </c>
      <c r="N72" s="14" t="s">
        <v>25</v>
      </c>
      <c r="O72" s="14" t="s">
        <v>35</v>
      </c>
      <c r="Q72" s="22"/>
      <c r="R72" s="16"/>
      <c r="S72" s="16"/>
      <c r="T72" s="16"/>
      <c r="U72" s="16"/>
      <c r="V72" s="16"/>
      <c r="W72" s="16"/>
      <c r="X72" s="16"/>
      <c r="Y72" s="16"/>
      <c r="Z72" s="16"/>
    </row>
    <row r="73">
      <c r="I73" s="14" t="s">
        <v>18</v>
      </c>
      <c r="J73" s="14" t="s">
        <v>22</v>
      </c>
      <c r="K73" s="14">
        <v>31.0</v>
      </c>
      <c r="L73" s="14" t="s">
        <v>23</v>
      </c>
      <c r="M73" s="14" t="s">
        <v>24</v>
      </c>
      <c r="N73" s="14" t="s">
        <v>25</v>
      </c>
      <c r="O73" s="14" t="s">
        <v>35</v>
      </c>
      <c r="Q73" s="22"/>
      <c r="R73" s="16"/>
      <c r="S73" s="16"/>
      <c r="T73" s="16"/>
      <c r="U73" s="16"/>
      <c r="V73" s="16"/>
      <c r="W73" s="16"/>
      <c r="X73" s="16"/>
      <c r="Y73" s="16"/>
      <c r="Z73" s="16"/>
    </row>
    <row r="74">
      <c r="A74" s="10">
        <v>43371.0</v>
      </c>
      <c r="B74" s="11">
        <v>1.23798518E8</v>
      </c>
      <c r="C74" s="12" t="s">
        <v>118</v>
      </c>
      <c r="D74" s="13" t="s">
        <v>18</v>
      </c>
      <c r="E74" s="13" t="s">
        <v>29</v>
      </c>
      <c r="F74" s="13">
        <v>26.0</v>
      </c>
      <c r="G74" s="13" t="s">
        <v>23</v>
      </c>
      <c r="H74" s="13" t="s">
        <v>21</v>
      </c>
      <c r="I74" s="14" t="s">
        <v>18</v>
      </c>
      <c r="J74" s="14" t="s">
        <v>19</v>
      </c>
      <c r="K74" s="14">
        <v>29.0</v>
      </c>
      <c r="L74" s="14" t="s">
        <v>23</v>
      </c>
      <c r="M74" s="14" t="s">
        <v>24</v>
      </c>
      <c r="N74" s="14" t="s">
        <v>21</v>
      </c>
      <c r="O74" s="14">
        <v>1.0</v>
      </c>
      <c r="P74" s="15" t="s">
        <v>119</v>
      </c>
      <c r="Q74" s="22"/>
      <c r="R74" s="16"/>
      <c r="S74" s="16"/>
      <c r="T74" s="16"/>
      <c r="U74" s="16"/>
      <c r="V74" s="16"/>
      <c r="W74" s="16"/>
      <c r="X74" s="16"/>
      <c r="Y74" s="16"/>
      <c r="Z74" s="16"/>
    </row>
    <row r="75">
      <c r="A75" s="10">
        <v>43351.0</v>
      </c>
      <c r="B75" s="11">
        <v>1.14287818E8</v>
      </c>
      <c r="C75" s="12" t="s">
        <v>120</v>
      </c>
      <c r="D75" s="13" t="s">
        <v>18</v>
      </c>
      <c r="E75" s="13" t="s">
        <v>29</v>
      </c>
      <c r="F75" s="13">
        <v>43.0</v>
      </c>
      <c r="G75" s="13" t="s">
        <v>34</v>
      </c>
      <c r="H75" s="13" t="s">
        <v>28</v>
      </c>
      <c r="I75" s="14" t="s">
        <v>18</v>
      </c>
      <c r="J75" s="14" t="s">
        <v>22</v>
      </c>
      <c r="K75" s="14">
        <v>50.0</v>
      </c>
      <c r="L75" s="14" t="s">
        <v>23</v>
      </c>
      <c r="M75" s="14" t="s">
        <v>24</v>
      </c>
      <c r="N75" s="14" t="s">
        <v>25</v>
      </c>
      <c r="O75" s="14">
        <v>1.0</v>
      </c>
      <c r="P75" s="15" t="s">
        <v>121</v>
      </c>
      <c r="Q75" s="22"/>
      <c r="R75" s="16"/>
      <c r="S75" s="16"/>
      <c r="T75" s="16"/>
      <c r="U75" s="16"/>
      <c r="V75" s="16"/>
      <c r="W75" s="16"/>
      <c r="X75" s="16"/>
      <c r="Y75" s="16"/>
      <c r="Z75" s="16"/>
    </row>
    <row r="76">
      <c r="A76" s="10">
        <v>43307.0</v>
      </c>
      <c r="B76" s="11">
        <v>9.5218318E7</v>
      </c>
      <c r="C76" s="12" t="s">
        <v>122</v>
      </c>
      <c r="D76" s="13" t="s">
        <v>18</v>
      </c>
      <c r="E76" s="13" t="s">
        <v>29</v>
      </c>
      <c r="F76" s="13">
        <v>17.0</v>
      </c>
      <c r="G76" s="13" t="s">
        <v>23</v>
      </c>
      <c r="H76" s="13" t="s">
        <v>28</v>
      </c>
      <c r="I76" s="14" t="s">
        <v>18</v>
      </c>
      <c r="J76" s="14" t="s">
        <v>19</v>
      </c>
      <c r="K76" s="14">
        <v>29.0</v>
      </c>
      <c r="L76" s="14" t="s">
        <v>23</v>
      </c>
      <c r="M76" s="14" t="s">
        <v>24</v>
      </c>
      <c r="N76" s="14" t="s">
        <v>21</v>
      </c>
      <c r="O76" s="14" t="s">
        <v>35</v>
      </c>
      <c r="P76" s="15" t="s">
        <v>123</v>
      </c>
      <c r="Q76" s="22"/>
      <c r="R76" s="16"/>
      <c r="S76" s="16"/>
      <c r="T76" s="16"/>
      <c r="U76" s="16"/>
      <c r="V76" s="16"/>
      <c r="W76" s="16"/>
      <c r="X76" s="16"/>
      <c r="Y76" s="16"/>
      <c r="Z76" s="16"/>
    </row>
    <row r="77">
      <c r="D77" s="13" t="s">
        <v>18</v>
      </c>
      <c r="E77" s="13" t="s">
        <v>29</v>
      </c>
      <c r="F77" s="13">
        <v>19.0</v>
      </c>
      <c r="G77" s="13" t="s">
        <v>20</v>
      </c>
      <c r="H77" s="13" t="s">
        <v>28</v>
      </c>
      <c r="I77" s="14" t="s">
        <v>18</v>
      </c>
      <c r="J77" s="14" t="s">
        <v>19</v>
      </c>
      <c r="K77" s="14">
        <v>29.0</v>
      </c>
      <c r="L77" s="14" t="s">
        <v>23</v>
      </c>
      <c r="M77" s="14" t="s">
        <v>24</v>
      </c>
      <c r="N77" s="14" t="s">
        <v>21</v>
      </c>
      <c r="O77" s="14" t="s">
        <v>35</v>
      </c>
      <c r="Q77" s="22"/>
      <c r="R77" s="16"/>
      <c r="S77" s="16"/>
      <c r="T77" s="16"/>
      <c r="U77" s="16"/>
      <c r="V77" s="16"/>
      <c r="W77" s="16"/>
      <c r="X77" s="16"/>
      <c r="Y77" s="16"/>
      <c r="Z77" s="16"/>
    </row>
    <row r="78">
      <c r="A78" s="10">
        <v>43304.0</v>
      </c>
      <c r="B78" s="11">
        <v>9.3701118E7</v>
      </c>
      <c r="C78" s="12" t="s">
        <v>124</v>
      </c>
      <c r="D78" s="13" t="s">
        <v>18</v>
      </c>
      <c r="E78" s="13" t="s">
        <v>19</v>
      </c>
      <c r="F78" s="13">
        <v>16.0</v>
      </c>
      <c r="G78" s="13" t="s">
        <v>23</v>
      </c>
      <c r="H78" s="13" t="s">
        <v>21</v>
      </c>
      <c r="I78" s="14" t="s">
        <v>18</v>
      </c>
      <c r="J78" s="14" t="s">
        <v>22</v>
      </c>
      <c r="K78" s="14">
        <v>30.0</v>
      </c>
      <c r="L78" s="14" t="s">
        <v>23</v>
      </c>
      <c r="M78" s="14" t="s">
        <v>24</v>
      </c>
      <c r="N78" s="14" t="s">
        <v>21</v>
      </c>
      <c r="O78" s="14" t="s">
        <v>35</v>
      </c>
      <c r="P78" s="15" t="s">
        <v>125</v>
      </c>
      <c r="Q78" s="22"/>
      <c r="R78" s="16"/>
      <c r="S78" s="16"/>
      <c r="T78" s="16"/>
      <c r="U78" s="16"/>
      <c r="V78" s="16"/>
      <c r="W78" s="16"/>
      <c r="X78" s="16"/>
      <c r="Y78" s="16"/>
      <c r="Z78" s="16"/>
    </row>
    <row r="79">
      <c r="A79" s="10">
        <v>43296.0</v>
      </c>
      <c r="B79" s="11">
        <v>9.0024918E7</v>
      </c>
      <c r="C79" s="12" t="s">
        <v>126</v>
      </c>
      <c r="D79" s="13" t="s">
        <v>18</v>
      </c>
      <c r="E79" s="13" t="s">
        <v>19</v>
      </c>
      <c r="F79" s="13">
        <v>18.0</v>
      </c>
      <c r="G79" s="13" t="s">
        <v>20</v>
      </c>
      <c r="H79" s="13" t="s">
        <v>28</v>
      </c>
      <c r="I79" s="14" t="s">
        <v>18</v>
      </c>
      <c r="J79" s="14" t="s">
        <v>22</v>
      </c>
      <c r="K79" s="14">
        <v>29.0</v>
      </c>
      <c r="L79" s="14" t="s">
        <v>23</v>
      </c>
      <c r="M79" s="14" t="s">
        <v>24</v>
      </c>
      <c r="N79" s="14" t="s">
        <v>25</v>
      </c>
      <c r="O79" s="14" t="s">
        <v>35</v>
      </c>
      <c r="P79" s="15" t="s">
        <v>127</v>
      </c>
      <c r="Q79" s="22"/>
      <c r="R79" s="16"/>
      <c r="S79" s="16"/>
      <c r="T79" s="16"/>
      <c r="U79" s="16"/>
      <c r="V79" s="16"/>
      <c r="W79" s="16"/>
      <c r="X79" s="16"/>
      <c r="Y79" s="16"/>
      <c r="Z79" s="16"/>
    </row>
    <row r="80">
      <c r="A80" s="10">
        <v>43273.0</v>
      </c>
      <c r="B80" s="11">
        <v>7.9427318E7</v>
      </c>
      <c r="C80" s="12" t="s">
        <v>128</v>
      </c>
      <c r="D80" s="13" t="s">
        <v>18</v>
      </c>
      <c r="E80" s="13" t="s">
        <v>19</v>
      </c>
      <c r="F80" s="13">
        <v>33.0</v>
      </c>
      <c r="G80" s="13" t="s">
        <v>23</v>
      </c>
      <c r="H80" s="13" t="s">
        <v>28</v>
      </c>
      <c r="I80" s="14" t="s">
        <v>18</v>
      </c>
      <c r="J80" s="14" t="s">
        <v>29</v>
      </c>
      <c r="K80" s="14">
        <v>44.0</v>
      </c>
      <c r="L80" s="14" t="s">
        <v>23</v>
      </c>
      <c r="M80" s="14" t="s">
        <v>60</v>
      </c>
      <c r="N80" s="14" t="s">
        <v>25</v>
      </c>
      <c r="O80" s="14">
        <v>1.0</v>
      </c>
      <c r="P80" s="15" t="s">
        <v>129</v>
      </c>
      <c r="Q80" s="22"/>
      <c r="R80" s="16"/>
      <c r="S80" s="16"/>
      <c r="T80" s="16"/>
      <c r="U80" s="16"/>
      <c r="V80" s="16"/>
      <c r="W80" s="16"/>
      <c r="X80" s="16"/>
      <c r="Y80" s="16"/>
      <c r="Z80" s="16"/>
    </row>
    <row r="81">
      <c r="A81" s="10">
        <v>43269.0</v>
      </c>
      <c r="B81" s="11">
        <v>7.7476418E7</v>
      </c>
      <c r="C81" s="12" t="s">
        <v>130</v>
      </c>
      <c r="D81" s="13" t="s">
        <v>18</v>
      </c>
      <c r="E81" s="13" t="s">
        <v>19</v>
      </c>
      <c r="F81" s="13">
        <v>37.0</v>
      </c>
      <c r="G81" s="13" t="s">
        <v>23</v>
      </c>
      <c r="H81" s="13" t="s">
        <v>21</v>
      </c>
      <c r="I81" s="14" t="s">
        <v>18</v>
      </c>
      <c r="J81" s="14" t="s">
        <v>22</v>
      </c>
      <c r="K81" s="14">
        <v>56.0</v>
      </c>
      <c r="L81" s="14" t="s">
        <v>23</v>
      </c>
      <c r="M81" s="14" t="s">
        <v>24</v>
      </c>
      <c r="N81" s="14" t="s">
        <v>25</v>
      </c>
      <c r="O81" s="14">
        <v>1.0</v>
      </c>
      <c r="P81" s="15" t="s">
        <v>131</v>
      </c>
      <c r="Q81" s="22"/>
      <c r="R81" s="16"/>
      <c r="S81" s="16"/>
      <c r="T81" s="16"/>
      <c r="U81" s="16"/>
      <c r="V81" s="16"/>
      <c r="W81" s="16"/>
      <c r="X81" s="16"/>
      <c r="Y81" s="16"/>
      <c r="Z81" s="16"/>
    </row>
    <row r="82">
      <c r="A82" s="10">
        <v>43256.0</v>
      </c>
      <c r="B82" s="11">
        <v>7.1389218E7</v>
      </c>
      <c r="C82" s="12" t="s">
        <v>132</v>
      </c>
      <c r="D82" s="13" t="s">
        <v>18</v>
      </c>
      <c r="E82" s="13" t="s">
        <v>33</v>
      </c>
      <c r="F82" s="19"/>
      <c r="G82" s="13" t="s">
        <v>23</v>
      </c>
      <c r="H82" s="13" t="s">
        <v>28</v>
      </c>
      <c r="I82" s="14" t="s">
        <v>18</v>
      </c>
      <c r="J82" s="14" t="s">
        <v>22</v>
      </c>
      <c r="K82" s="14">
        <v>34.0</v>
      </c>
      <c r="L82" s="14" t="s">
        <v>23</v>
      </c>
      <c r="M82" s="14" t="s">
        <v>24</v>
      </c>
      <c r="N82" s="14" t="s">
        <v>21</v>
      </c>
      <c r="O82" s="14">
        <v>1.0</v>
      </c>
      <c r="P82" s="15" t="s">
        <v>133</v>
      </c>
      <c r="Q82" s="22"/>
      <c r="R82" s="16"/>
      <c r="S82" s="16"/>
      <c r="T82" s="16"/>
      <c r="U82" s="16"/>
      <c r="V82" s="16"/>
      <c r="W82" s="16"/>
      <c r="X82" s="16"/>
      <c r="Y82" s="16"/>
      <c r="Z82" s="16"/>
    </row>
    <row r="83">
      <c r="A83" s="10">
        <v>43246.0</v>
      </c>
      <c r="B83" s="11">
        <v>6.6457618E7</v>
      </c>
      <c r="C83" s="12" t="s">
        <v>134</v>
      </c>
      <c r="D83" s="13" t="s">
        <v>18</v>
      </c>
      <c r="E83" s="13" t="s">
        <v>29</v>
      </c>
      <c r="F83" s="13">
        <v>6.0</v>
      </c>
      <c r="G83" s="13" t="s">
        <v>20</v>
      </c>
      <c r="H83" s="13" t="s">
        <v>135</v>
      </c>
      <c r="I83" s="14" t="s">
        <v>18</v>
      </c>
      <c r="J83" s="14" t="s">
        <v>29</v>
      </c>
      <c r="K83" s="14">
        <v>5.0</v>
      </c>
      <c r="L83" s="14" t="s">
        <v>23</v>
      </c>
      <c r="M83" s="14" t="s">
        <v>24</v>
      </c>
      <c r="N83" s="14" t="s">
        <v>21</v>
      </c>
      <c r="O83" s="14" t="s">
        <v>35</v>
      </c>
      <c r="P83" s="15" t="s">
        <v>136</v>
      </c>
      <c r="Q83" s="22"/>
      <c r="R83" s="16"/>
      <c r="S83" s="16"/>
      <c r="T83" s="16"/>
      <c r="U83" s="16"/>
      <c r="V83" s="16"/>
      <c r="W83" s="16"/>
      <c r="X83" s="16"/>
      <c r="Y83" s="16"/>
      <c r="Z83" s="16"/>
    </row>
    <row r="84">
      <c r="A84" s="10">
        <v>43147.0</v>
      </c>
      <c r="B84" s="11">
        <v>2.0235418E7</v>
      </c>
      <c r="C84" s="12" t="s">
        <v>137</v>
      </c>
      <c r="D84" s="13" t="s">
        <v>18</v>
      </c>
      <c r="E84" s="13" t="s">
        <v>29</v>
      </c>
      <c r="F84" s="13">
        <v>56.0</v>
      </c>
      <c r="G84" s="13" t="s">
        <v>20</v>
      </c>
      <c r="H84" s="13" t="s">
        <v>28</v>
      </c>
      <c r="I84" s="14" t="s">
        <v>18</v>
      </c>
      <c r="J84" s="14" t="s">
        <v>22</v>
      </c>
      <c r="K84" s="14">
        <v>53.0</v>
      </c>
      <c r="L84" s="14" t="s">
        <v>23</v>
      </c>
      <c r="M84" s="14" t="s">
        <v>24</v>
      </c>
      <c r="N84" s="14" t="s">
        <v>25</v>
      </c>
      <c r="O84" s="14">
        <v>1.0</v>
      </c>
      <c r="P84" s="15" t="s">
        <v>138</v>
      </c>
      <c r="Q84" s="22"/>
      <c r="R84" s="16"/>
      <c r="S84" s="16"/>
      <c r="T84" s="16"/>
      <c r="U84" s="16"/>
      <c r="V84" s="16"/>
      <c r="W84" s="16"/>
      <c r="X84" s="16"/>
      <c r="Y84" s="16"/>
      <c r="Z84" s="16"/>
    </row>
    <row r="85">
      <c r="I85" s="14" t="s">
        <v>18</v>
      </c>
      <c r="J85" s="14" t="s">
        <v>22</v>
      </c>
      <c r="K85" s="14">
        <v>53.0</v>
      </c>
      <c r="L85" s="14" t="s">
        <v>23</v>
      </c>
      <c r="M85" s="14" t="s">
        <v>24</v>
      </c>
      <c r="N85" s="14" t="s">
        <v>25</v>
      </c>
      <c r="O85" s="14">
        <v>1.0</v>
      </c>
      <c r="Q85" s="22"/>
      <c r="R85" s="16"/>
      <c r="S85" s="16"/>
      <c r="T85" s="16"/>
      <c r="U85" s="16"/>
      <c r="V85" s="16"/>
      <c r="W85" s="16"/>
      <c r="X85" s="16"/>
      <c r="Y85" s="16"/>
      <c r="Z85" s="16"/>
    </row>
    <row r="86">
      <c r="I86" s="14" t="s">
        <v>18</v>
      </c>
      <c r="J86" s="14" t="s">
        <v>22</v>
      </c>
      <c r="K86" s="14">
        <v>41.0</v>
      </c>
      <c r="L86" s="14" t="s">
        <v>23</v>
      </c>
      <c r="M86" s="14" t="s">
        <v>24</v>
      </c>
      <c r="N86" s="14" t="s">
        <v>25</v>
      </c>
      <c r="O86" s="14">
        <v>1.0</v>
      </c>
      <c r="Q86" s="22"/>
      <c r="R86" s="16"/>
      <c r="S86" s="16"/>
      <c r="T86" s="16"/>
      <c r="U86" s="16"/>
      <c r="V86" s="16"/>
      <c r="W86" s="16"/>
      <c r="X86" s="16"/>
      <c r="Y86" s="16"/>
      <c r="Z86" s="16"/>
    </row>
    <row r="87">
      <c r="I87" s="14" t="s">
        <v>18</v>
      </c>
      <c r="J87" s="14" t="s">
        <v>22</v>
      </c>
      <c r="K87" s="14">
        <v>41.0</v>
      </c>
      <c r="L87" s="14" t="s">
        <v>23</v>
      </c>
      <c r="M87" s="14" t="s">
        <v>24</v>
      </c>
      <c r="N87" s="14" t="s">
        <v>25</v>
      </c>
      <c r="O87" s="14">
        <v>1.0</v>
      </c>
      <c r="Q87" s="22"/>
      <c r="R87" s="16"/>
      <c r="S87" s="16"/>
      <c r="T87" s="16"/>
      <c r="U87" s="16"/>
      <c r="V87" s="16"/>
      <c r="W87" s="16"/>
      <c r="X87" s="16"/>
      <c r="Y87" s="16"/>
      <c r="Z87" s="16"/>
    </row>
    <row r="88">
      <c r="I88" s="14" t="s">
        <v>84</v>
      </c>
      <c r="J88" s="14" t="s">
        <v>29</v>
      </c>
      <c r="K88" s="14">
        <v>30.0</v>
      </c>
      <c r="L88" s="14" t="s">
        <v>23</v>
      </c>
      <c r="M88" s="14" t="s">
        <v>24</v>
      </c>
      <c r="N88" s="14" t="s">
        <v>25</v>
      </c>
      <c r="O88" s="14" t="s">
        <v>35</v>
      </c>
      <c r="Q88" s="22"/>
      <c r="R88" s="16"/>
      <c r="S88" s="16"/>
      <c r="T88" s="16"/>
      <c r="U88" s="16"/>
      <c r="V88" s="16"/>
      <c r="W88" s="16"/>
      <c r="X88" s="16"/>
      <c r="Y88" s="16"/>
      <c r="Z88" s="16"/>
    </row>
    <row r="89">
      <c r="A89" s="10">
        <v>43133.0</v>
      </c>
      <c r="B89" s="11">
        <v>1.3903618E7</v>
      </c>
      <c r="C89" s="12" t="s">
        <v>139</v>
      </c>
      <c r="D89" s="13" t="s">
        <v>18</v>
      </c>
      <c r="E89" s="13" t="s">
        <v>19</v>
      </c>
      <c r="F89" s="13">
        <v>32.0</v>
      </c>
      <c r="G89" s="13" t="s">
        <v>23</v>
      </c>
      <c r="H89" s="13" t="s">
        <v>140</v>
      </c>
      <c r="I89" s="14" t="s">
        <v>18</v>
      </c>
      <c r="J89" s="14" t="s">
        <v>29</v>
      </c>
      <c r="K89" s="14">
        <v>37.0</v>
      </c>
      <c r="L89" s="14" t="s">
        <v>23</v>
      </c>
      <c r="M89" s="14" t="s">
        <v>24</v>
      </c>
      <c r="N89" s="14" t="s">
        <v>141</v>
      </c>
      <c r="O89" s="14">
        <v>1.0</v>
      </c>
      <c r="P89" s="15" t="s">
        <v>142</v>
      </c>
      <c r="Q89" s="22"/>
      <c r="R89" s="16"/>
      <c r="S89" s="16"/>
      <c r="T89" s="16"/>
      <c r="U89" s="16"/>
      <c r="V89" s="16"/>
      <c r="W89" s="16"/>
      <c r="X89" s="16"/>
      <c r="Y89" s="16"/>
      <c r="Z89" s="16"/>
    </row>
    <row r="90">
      <c r="A90" s="10">
        <v>43132.0</v>
      </c>
      <c r="B90" s="11">
        <v>1.3572118E7</v>
      </c>
      <c r="C90" s="12" t="s">
        <v>143</v>
      </c>
      <c r="D90" s="13" t="s">
        <v>18</v>
      </c>
      <c r="E90" s="13" t="s">
        <v>29</v>
      </c>
      <c r="F90" s="13">
        <v>37.0</v>
      </c>
      <c r="G90" s="13" t="s">
        <v>34</v>
      </c>
      <c r="H90" s="13" t="s">
        <v>28</v>
      </c>
      <c r="I90" s="14" t="s">
        <v>18</v>
      </c>
      <c r="J90" s="14" t="s">
        <v>29</v>
      </c>
      <c r="K90" s="14">
        <v>50.0</v>
      </c>
      <c r="L90" s="14" t="s">
        <v>23</v>
      </c>
      <c r="M90" s="14" t="s">
        <v>24</v>
      </c>
      <c r="N90" s="14" t="s">
        <v>141</v>
      </c>
      <c r="O90" s="14">
        <v>1.0</v>
      </c>
      <c r="P90" s="15" t="s">
        <v>144</v>
      </c>
      <c r="Q90" s="22"/>
      <c r="R90" s="16"/>
      <c r="S90" s="16"/>
      <c r="T90" s="16"/>
      <c r="U90" s="16"/>
      <c r="V90" s="16"/>
      <c r="W90" s="16"/>
      <c r="X90" s="16"/>
      <c r="Y90" s="16"/>
      <c r="Z90" s="16"/>
    </row>
    <row r="91">
      <c r="A91" s="10">
        <v>43036.0</v>
      </c>
      <c r="B91" s="11">
        <v>1.36191017E8</v>
      </c>
      <c r="C91" s="12" t="s">
        <v>143</v>
      </c>
      <c r="D91" s="13" t="s">
        <v>18</v>
      </c>
      <c r="E91" s="13" t="s">
        <v>19</v>
      </c>
      <c r="F91" s="13">
        <v>24.0</v>
      </c>
      <c r="G91" s="13" t="s">
        <v>20</v>
      </c>
      <c r="H91" s="13" t="s">
        <v>28</v>
      </c>
      <c r="I91" s="14" t="s">
        <v>18</v>
      </c>
      <c r="J91" s="14" t="s">
        <v>19</v>
      </c>
      <c r="K91" s="14">
        <v>27.0</v>
      </c>
      <c r="L91" s="14" t="s">
        <v>23</v>
      </c>
      <c r="M91" s="14" t="s">
        <v>24</v>
      </c>
      <c r="N91" s="20"/>
      <c r="O91" s="14" t="s">
        <v>35</v>
      </c>
      <c r="P91" s="15" t="s">
        <v>145</v>
      </c>
      <c r="Q91" s="22"/>
      <c r="R91" s="16"/>
      <c r="S91" s="16"/>
      <c r="T91" s="16"/>
      <c r="U91" s="16"/>
      <c r="V91" s="16"/>
      <c r="W91" s="16"/>
      <c r="X91" s="16"/>
      <c r="Y91" s="16"/>
      <c r="Z91" s="16"/>
    </row>
    <row r="92">
      <c r="A92" s="10">
        <v>43032.0</v>
      </c>
      <c r="B92" s="11">
        <v>1.34253217E8</v>
      </c>
      <c r="C92" s="12" t="s">
        <v>146</v>
      </c>
      <c r="D92" s="13" t="s">
        <v>18</v>
      </c>
      <c r="E92" s="13" t="s">
        <v>19</v>
      </c>
      <c r="F92" s="13">
        <v>33.0</v>
      </c>
      <c r="G92" s="13" t="s">
        <v>34</v>
      </c>
      <c r="H92" s="13" t="s">
        <v>147</v>
      </c>
      <c r="I92" s="14" t="s">
        <v>18</v>
      </c>
      <c r="J92" s="14" t="s">
        <v>22</v>
      </c>
      <c r="K92" s="14">
        <v>51.0</v>
      </c>
      <c r="L92" s="14" t="s">
        <v>23</v>
      </c>
      <c r="M92" s="14" t="s">
        <v>24</v>
      </c>
      <c r="N92" s="20"/>
      <c r="O92" s="14" t="s">
        <v>35</v>
      </c>
      <c r="P92" s="15" t="s">
        <v>148</v>
      </c>
      <c r="Q92" s="22"/>
      <c r="R92" s="16"/>
      <c r="S92" s="16"/>
      <c r="T92" s="16"/>
      <c r="U92" s="16"/>
      <c r="V92" s="16"/>
      <c r="W92" s="16"/>
      <c r="X92" s="16"/>
      <c r="Y92" s="16"/>
      <c r="Z92" s="16"/>
    </row>
    <row r="93">
      <c r="A93" s="10">
        <v>43028.0</v>
      </c>
      <c r="B93" s="11">
        <v>1.32830217E8</v>
      </c>
      <c r="C93" s="12" t="s">
        <v>149</v>
      </c>
      <c r="D93" s="13" t="s">
        <v>18</v>
      </c>
      <c r="E93" s="13" t="s">
        <v>19</v>
      </c>
      <c r="F93" s="13">
        <v>54.0</v>
      </c>
      <c r="G93" s="13" t="s">
        <v>34</v>
      </c>
      <c r="H93" s="13" t="s">
        <v>38</v>
      </c>
      <c r="I93" s="14" t="s">
        <v>18</v>
      </c>
      <c r="J93" s="14" t="s">
        <v>19</v>
      </c>
      <c r="K93" s="14">
        <v>34.0</v>
      </c>
      <c r="L93" s="14" t="s">
        <v>23</v>
      </c>
      <c r="M93" s="14" t="s">
        <v>24</v>
      </c>
      <c r="N93" s="20"/>
      <c r="O93" s="14" t="s">
        <v>35</v>
      </c>
      <c r="P93" s="15" t="s">
        <v>150</v>
      </c>
      <c r="Q93" s="22"/>
      <c r="R93" s="16"/>
      <c r="S93" s="16"/>
      <c r="T93" s="16"/>
      <c r="U93" s="16"/>
      <c r="V93" s="16"/>
      <c r="W93" s="16"/>
      <c r="X93" s="16"/>
      <c r="Y93" s="16"/>
      <c r="Z93" s="16"/>
    </row>
    <row r="94">
      <c r="I94" s="14" t="s">
        <v>18</v>
      </c>
      <c r="J94" s="14" t="s">
        <v>22</v>
      </c>
      <c r="K94" s="14">
        <v>35.0</v>
      </c>
      <c r="L94" s="14" t="s">
        <v>23</v>
      </c>
      <c r="M94" s="14" t="s">
        <v>24</v>
      </c>
      <c r="N94" s="20"/>
      <c r="O94" s="14">
        <v>1.0</v>
      </c>
      <c r="Q94" s="22"/>
      <c r="R94" s="16"/>
      <c r="S94" s="16"/>
      <c r="T94" s="16"/>
      <c r="U94" s="16"/>
      <c r="V94" s="16"/>
      <c r="W94" s="16"/>
      <c r="X94" s="16"/>
      <c r="Y94" s="16"/>
      <c r="Z94" s="16"/>
    </row>
    <row r="95">
      <c r="I95" s="14" t="s">
        <v>18</v>
      </c>
      <c r="J95" s="14" t="s">
        <v>22</v>
      </c>
      <c r="K95" s="14">
        <v>24.0</v>
      </c>
      <c r="L95" s="14" t="s">
        <v>23</v>
      </c>
      <c r="M95" s="14" t="s">
        <v>24</v>
      </c>
      <c r="N95" s="20"/>
      <c r="O95" s="14">
        <v>1.0</v>
      </c>
      <c r="Q95" s="22"/>
      <c r="R95" s="16"/>
      <c r="S95" s="16"/>
      <c r="T95" s="16"/>
      <c r="U95" s="16"/>
      <c r="V95" s="16"/>
      <c r="W95" s="16"/>
      <c r="X95" s="16"/>
      <c r="Y95" s="16"/>
      <c r="Z95" s="16"/>
    </row>
    <row r="96">
      <c r="I96" s="14" t="s">
        <v>18</v>
      </c>
      <c r="J96" s="14" t="s">
        <v>19</v>
      </c>
      <c r="K96" s="14">
        <v>24.0</v>
      </c>
      <c r="L96" s="14" t="s">
        <v>23</v>
      </c>
      <c r="M96" s="14" t="s">
        <v>24</v>
      </c>
      <c r="N96" s="20"/>
      <c r="O96" s="14" t="s">
        <v>35</v>
      </c>
      <c r="Q96" s="22"/>
      <c r="R96" s="16"/>
      <c r="S96" s="16"/>
      <c r="T96" s="16"/>
      <c r="U96" s="16"/>
      <c r="V96" s="16"/>
      <c r="W96" s="16"/>
      <c r="X96" s="16"/>
      <c r="Y96" s="16"/>
      <c r="Z96" s="16"/>
    </row>
    <row r="97">
      <c r="A97" s="10">
        <v>42982.0</v>
      </c>
      <c r="B97" s="11">
        <v>1.12738517E8</v>
      </c>
      <c r="C97" s="12" t="s">
        <v>151</v>
      </c>
      <c r="D97" s="13" t="s">
        <v>84</v>
      </c>
      <c r="E97" s="13" t="s">
        <v>22</v>
      </c>
      <c r="F97" s="13">
        <v>28.0</v>
      </c>
      <c r="G97" s="13" t="s">
        <v>20</v>
      </c>
      <c r="H97" s="13" t="s">
        <v>23</v>
      </c>
      <c r="I97" s="14" t="s">
        <v>18</v>
      </c>
      <c r="J97" s="14" t="s">
        <v>19</v>
      </c>
      <c r="K97" s="14">
        <v>29.0</v>
      </c>
      <c r="L97" s="14" t="s">
        <v>23</v>
      </c>
      <c r="M97" s="14" t="s">
        <v>24</v>
      </c>
      <c r="N97" s="20"/>
      <c r="O97" s="14" t="s">
        <v>35</v>
      </c>
      <c r="Q97" s="22"/>
      <c r="R97" s="16"/>
      <c r="S97" s="16"/>
      <c r="T97" s="16"/>
      <c r="U97" s="16"/>
      <c r="V97" s="16"/>
      <c r="W97" s="16"/>
      <c r="X97" s="16"/>
      <c r="Y97" s="16"/>
      <c r="Z97" s="16"/>
    </row>
    <row r="98">
      <c r="D98" s="13" t="s">
        <v>84</v>
      </c>
      <c r="E98" s="13" t="s">
        <v>22</v>
      </c>
      <c r="F98" s="13">
        <v>32.0</v>
      </c>
      <c r="G98" s="13" t="s">
        <v>20</v>
      </c>
      <c r="H98" s="13" t="s">
        <v>152</v>
      </c>
      <c r="I98" s="14" t="s">
        <v>18</v>
      </c>
      <c r="J98" s="14" t="s">
        <v>19</v>
      </c>
      <c r="K98" s="14">
        <v>35.0</v>
      </c>
      <c r="L98" s="14" t="s">
        <v>23</v>
      </c>
      <c r="M98" s="14" t="s">
        <v>24</v>
      </c>
      <c r="N98" s="20"/>
      <c r="O98" s="14" t="s">
        <v>35</v>
      </c>
      <c r="P98" s="15" t="s">
        <v>153</v>
      </c>
      <c r="Q98" s="22"/>
      <c r="R98" s="16"/>
      <c r="S98" s="16"/>
      <c r="T98" s="16"/>
      <c r="U98" s="16"/>
      <c r="V98" s="16"/>
      <c r="W98" s="16"/>
      <c r="X98" s="16"/>
      <c r="Y98" s="16"/>
      <c r="Z98" s="16"/>
    </row>
    <row r="99">
      <c r="D99" s="19"/>
      <c r="E99" s="19"/>
      <c r="F99" s="19"/>
      <c r="G99" s="19"/>
      <c r="H99" s="19"/>
      <c r="I99" s="14" t="s">
        <v>18</v>
      </c>
      <c r="J99" s="14" t="s">
        <v>22</v>
      </c>
      <c r="K99" s="14">
        <v>49.0</v>
      </c>
      <c r="L99" s="14" t="s">
        <v>23</v>
      </c>
      <c r="M99" s="14" t="s">
        <v>24</v>
      </c>
      <c r="N99" s="20"/>
      <c r="O99" s="14" t="s">
        <v>35</v>
      </c>
      <c r="Q99" s="22"/>
      <c r="R99" s="16"/>
      <c r="S99" s="16"/>
      <c r="T99" s="16"/>
      <c r="U99" s="16"/>
      <c r="V99" s="16"/>
      <c r="W99" s="16"/>
      <c r="X99" s="16"/>
      <c r="Y99" s="16"/>
      <c r="Z99" s="16"/>
    </row>
    <row r="100">
      <c r="I100" s="14" t="s">
        <v>18</v>
      </c>
      <c r="J100" s="14" t="s">
        <v>22</v>
      </c>
      <c r="K100" s="14">
        <v>30.0</v>
      </c>
      <c r="L100" s="14" t="s">
        <v>23</v>
      </c>
      <c r="M100" s="14" t="s">
        <v>24</v>
      </c>
      <c r="N100" s="20"/>
      <c r="O100" s="14" t="s">
        <v>35</v>
      </c>
      <c r="Q100" s="22"/>
      <c r="R100" s="16"/>
      <c r="S100" s="16"/>
      <c r="T100" s="16"/>
      <c r="U100" s="16"/>
      <c r="V100" s="16"/>
      <c r="W100" s="16"/>
      <c r="X100" s="16"/>
      <c r="Y100" s="16"/>
      <c r="Z100" s="16"/>
    </row>
    <row r="101">
      <c r="I101" s="14" t="s">
        <v>18</v>
      </c>
      <c r="J101" s="14" t="s">
        <v>19</v>
      </c>
      <c r="K101" s="14">
        <v>26.0</v>
      </c>
      <c r="L101" s="14" t="s">
        <v>23</v>
      </c>
      <c r="M101" s="14" t="s">
        <v>24</v>
      </c>
      <c r="N101" s="20"/>
      <c r="O101" s="14" t="s">
        <v>35</v>
      </c>
      <c r="Q101" s="22"/>
      <c r="R101" s="16"/>
      <c r="S101" s="16"/>
      <c r="T101" s="16"/>
      <c r="U101" s="16"/>
      <c r="V101" s="16"/>
      <c r="W101" s="16"/>
      <c r="X101" s="16"/>
      <c r="Y101" s="16"/>
      <c r="Z101" s="16"/>
    </row>
    <row r="102">
      <c r="I102" s="14" t="s">
        <v>18</v>
      </c>
      <c r="J102" s="14" t="s">
        <v>19</v>
      </c>
      <c r="K102" s="14">
        <v>29.0</v>
      </c>
      <c r="L102" s="14" t="s">
        <v>23</v>
      </c>
      <c r="M102" s="14" t="s">
        <v>24</v>
      </c>
      <c r="N102" s="20"/>
      <c r="O102" s="14" t="s">
        <v>35</v>
      </c>
      <c r="Q102" s="22"/>
      <c r="R102" s="16"/>
      <c r="S102" s="16"/>
      <c r="T102" s="16"/>
      <c r="U102" s="16"/>
      <c r="V102" s="16"/>
      <c r="W102" s="16"/>
      <c r="X102" s="16"/>
      <c r="Y102" s="16"/>
      <c r="Z102" s="16"/>
    </row>
    <row r="103">
      <c r="I103" s="14" t="s">
        <v>18</v>
      </c>
      <c r="J103" s="14" t="s">
        <v>22</v>
      </c>
      <c r="K103" s="14">
        <v>25.0</v>
      </c>
      <c r="L103" s="14" t="s">
        <v>23</v>
      </c>
      <c r="M103" s="14" t="s">
        <v>24</v>
      </c>
      <c r="N103" s="20"/>
      <c r="O103" s="14" t="s">
        <v>35</v>
      </c>
      <c r="Q103" s="22"/>
      <c r="R103" s="16"/>
      <c r="S103" s="16"/>
      <c r="T103" s="16"/>
      <c r="U103" s="16"/>
      <c r="V103" s="16"/>
      <c r="W103" s="16"/>
      <c r="X103" s="16"/>
      <c r="Y103" s="16"/>
      <c r="Z103" s="16"/>
    </row>
    <row r="104">
      <c r="A104" s="10">
        <v>42872.0</v>
      </c>
      <c r="B104" s="11">
        <v>6.1603917E7</v>
      </c>
      <c r="C104" s="12" t="s">
        <v>154</v>
      </c>
      <c r="D104" s="13" t="s">
        <v>18</v>
      </c>
      <c r="E104" s="13" t="s">
        <v>29</v>
      </c>
      <c r="F104" s="13">
        <v>30.0</v>
      </c>
      <c r="G104" s="13" t="s">
        <v>20</v>
      </c>
      <c r="H104" s="13" t="s">
        <v>28</v>
      </c>
      <c r="I104" s="14" t="s">
        <v>18</v>
      </c>
      <c r="J104" s="14" t="s">
        <v>29</v>
      </c>
      <c r="K104" s="14">
        <v>36.0</v>
      </c>
      <c r="L104" s="14" t="s">
        <v>23</v>
      </c>
      <c r="M104" s="14" t="s">
        <v>60</v>
      </c>
      <c r="N104" s="20"/>
      <c r="O104" s="14" t="s">
        <v>35</v>
      </c>
      <c r="P104" s="15" t="s">
        <v>155</v>
      </c>
      <c r="Q104" s="22"/>
      <c r="R104" s="16"/>
      <c r="S104" s="16"/>
      <c r="T104" s="16"/>
      <c r="U104" s="16"/>
      <c r="V104" s="16"/>
      <c r="W104" s="16"/>
      <c r="X104" s="16"/>
      <c r="Y104" s="16"/>
      <c r="Z104" s="16"/>
    </row>
    <row r="105">
      <c r="I105" s="14" t="s">
        <v>18</v>
      </c>
      <c r="J105" s="14" t="s">
        <v>29</v>
      </c>
      <c r="K105" s="14">
        <v>35.0</v>
      </c>
      <c r="L105" s="14" t="s">
        <v>23</v>
      </c>
      <c r="M105" s="14" t="s">
        <v>60</v>
      </c>
      <c r="N105" s="20"/>
      <c r="O105" s="14" t="s">
        <v>35</v>
      </c>
      <c r="Q105" s="22"/>
      <c r="R105" s="16"/>
      <c r="S105" s="16"/>
      <c r="T105" s="16"/>
      <c r="U105" s="16"/>
      <c r="V105" s="16"/>
      <c r="W105" s="16"/>
      <c r="X105" s="16"/>
      <c r="Y105" s="16"/>
      <c r="Z105" s="16"/>
    </row>
    <row r="106">
      <c r="A106" s="10">
        <v>42861.0</v>
      </c>
      <c r="B106" s="11">
        <v>5.6940317E7</v>
      </c>
      <c r="C106" s="12" t="s">
        <v>156</v>
      </c>
      <c r="D106" s="13" t="s">
        <v>18</v>
      </c>
      <c r="E106" s="13" t="s">
        <v>29</v>
      </c>
      <c r="F106" s="13" t="s">
        <v>157</v>
      </c>
      <c r="G106" s="13" t="s">
        <v>23</v>
      </c>
      <c r="H106" s="13" t="s">
        <v>28</v>
      </c>
      <c r="I106" s="14" t="s">
        <v>18</v>
      </c>
      <c r="J106" s="14" t="s">
        <v>19</v>
      </c>
      <c r="K106" s="14">
        <v>24.0</v>
      </c>
      <c r="L106" s="14" t="s">
        <v>23</v>
      </c>
      <c r="M106" s="14" t="s">
        <v>24</v>
      </c>
      <c r="N106" s="20"/>
      <c r="O106" s="14" t="s">
        <v>35</v>
      </c>
      <c r="P106" s="15" t="s">
        <v>158</v>
      </c>
      <c r="Q106" s="22"/>
      <c r="R106" s="16"/>
      <c r="S106" s="16"/>
      <c r="T106" s="16"/>
      <c r="U106" s="16"/>
      <c r="V106" s="16"/>
      <c r="W106" s="16"/>
      <c r="X106" s="16"/>
      <c r="Y106" s="16"/>
      <c r="Z106" s="16"/>
    </row>
    <row r="107">
      <c r="A107" s="10">
        <v>42852.0</v>
      </c>
      <c r="B107" s="11">
        <v>5.2500217E7</v>
      </c>
      <c r="C107" s="12" t="s">
        <v>159</v>
      </c>
      <c r="D107" s="13" t="s">
        <v>18</v>
      </c>
      <c r="E107" s="13" t="s">
        <v>29</v>
      </c>
      <c r="F107" s="13">
        <v>36.0</v>
      </c>
      <c r="G107" s="13" t="s">
        <v>20</v>
      </c>
      <c r="H107" s="13" t="s">
        <v>160</v>
      </c>
      <c r="I107" s="14" t="s">
        <v>18</v>
      </c>
      <c r="J107" s="14" t="s">
        <v>19</v>
      </c>
      <c r="K107" s="14">
        <v>32.0</v>
      </c>
      <c r="L107" s="14" t="s">
        <v>23</v>
      </c>
      <c r="M107" s="14" t="s">
        <v>24</v>
      </c>
      <c r="N107" s="20"/>
      <c r="O107" s="14">
        <v>1.0</v>
      </c>
      <c r="P107" s="15" t="s">
        <v>150</v>
      </c>
      <c r="Q107" s="22"/>
      <c r="R107" s="16"/>
      <c r="S107" s="16"/>
      <c r="T107" s="16"/>
      <c r="U107" s="16"/>
      <c r="V107" s="16"/>
      <c r="W107" s="16"/>
      <c r="X107" s="16"/>
      <c r="Y107" s="16"/>
      <c r="Z107" s="16"/>
    </row>
    <row r="108">
      <c r="I108" s="14" t="s">
        <v>18</v>
      </c>
      <c r="J108" s="14" t="s">
        <v>19</v>
      </c>
      <c r="K108" s="14">
        <v>23.0</v>
      </c>
      <c r="L108" s="14" t="s">
        <v>23</v>
      </c>
      <c r="M108" s="14" t="s">
        <v>24</v>
      </c>
      <c r="N108" s="20"/>
      <c r="O108" s="14">
        <v>1.0</v>
      </c>
      <c r="Q108" s="22"/>
      <c r="R108" s="16"/>
      <c r="S108" s="16"/>
      <c r="T108" s="16"/>
      <c r="U108" s="16"/>
      <c r="V108" s="16"/>
      <c r="W108" s="16"/>
      <c r="X108" s="16"/>
      <c r="Y108" s="16"/>
      <c r="Z108" s="16"/>
    </row>
    <row r="109">
      <c r="A109" s="10">
        <v>42852.0</v>
      </c>
      <c r="B109" s="11">
        <v>5.2538517E7</v>
      </c>
      <c r="C109" s="12" t="s">
        <v>161</v>
      </c>
      <c r="D109" s="13" t="s">
        <v>18</v>
      </c>
      <c r="E109" s="13" t="s">
        <v>29</v>
      </c>
      <c r="F109" s="13">
        <v>21.0</v>
      </c>
      <c r="G109" s="13" t="s">
        <v>23</v>
      </c>
      <c r="H109" s="13" t="s">
        <v>23</v>
      </c>
      <c r="I109" s="14" t="s">
        <v>18</v>
      </c>
      <c r="J109" s="14" t="s">
        <v>29</v>
      </c>
      <c r="K109" s="14">
        <v>34.0</v>
      </c>
      <c r="L109" s="14" t="s">
        <v>23</v>
      </c>
      <c r="M109" s="14" t="s">
        <v>24</v>
      </c>
      <c r="N109" s="20"/>
      <c r="O109" s="14">
        <v>1.0</v>
      </c>
      <c r="P109" s="15" t="s">
        <v>153</v>
      </c>
      <c r="Q109" s="22"/>
      <c r="R109" s="16"/>
      <c r="S109" s="16"/>
      <c r="T109" s="16"/>
      <c r="U109" s="16"/>
      <c r="V109" s="16"/>
      <c r="W109" s="16"/>
      <c r="X109" s="16"/>
      <c r="Y109" s="16"/>
      <c r="Z109" s="16"/>
    </row>
    <row r="110">
      <c r="D110" s="13" t="s">
        <v>18</v>
      </c>
      <c r="E110" s="13" t="s">
        <v>29</v>
      </c>
      <c r="F110" s="13">
        <v>22.0</v>
      </c>
      <c r="G110" s="13" t="s">
        <v>23</v>
      </c>
      <c r="H110" s="13" t="s">
        <v>28</v>
      </c>
      <c r="N110" s="20"/>
      <c r="Q110" s="22"/>
      <c r="R110" s="16"/>
      <c r="S110" s="16"/>
      <c r="T110" s="16"/>
      <c r="U110" s="16"/>
      <c r="V110" s="16"/>
      <c r="W110" s="16"/>
      <c r="X110" s="16"/>
      <c r="Y110" s="16"/>
      <c r="Z110" s="16"/>
    </row>
    <row r="111">
      <c r="A111" s="10">
        <v>42849.0</v>
      </c>
      <c r="B111" s="11">
        <v>5.1362817E7</v>
      </c>
      <c r="C111" s="12" t="s">
        <v>162</v>
      </c>
      <c r="D111" s="13" t="s">
        <v>18</v>
      </c>
      <c r="E111" s="13" t="s">
        <v>29</v>
      </c>
      <c r="F111" s="13">
        <v>18.0</v>
      </c>
      <c r="G111" s="13" t="s">
        <v>23</v>
      </c>
      <c r="H111" s="13" t="s">
        <v>23</v>
      </c>
      <c r="I111" s="14" t="s">
        <v>18</v>
      </c>
      <c r="J111" s="14" t="s">
        <v>22</v>
      </c>
      <c r="K111" s="14">
        <v>31.0</v>
      </c>
      <c r="L111" s="14" t="s">
        <v>23</v>
      </c>
      <c r="M111" s="14" t="s">
        <v>24</v>
      </c>
      <c r="N111" s="20"/>
      <c r="O111" s="14">
        <v>1.0</v>
      </c>
      <c r="P111" s="15" t="s">
        <v>163</v>
      </c>
      <c r="Q111" s="22"/>
      <c r="R111" s="16"/>
      <c r="S111" s="16"/>
      <c r="T111" s="16"/>
      <c r="U111" s="16"/>
      <c r="V111" s="16"/>
      <c r="W111" s="16"/>
      <c r="X111" s="16"/>
      <c r="Y111" s="16"/>
      <c r="Z111" s="16"/>
    </row>
    <row r="112">
      <c r="D112" s="13" t="s">
        <v>164</v>
      </c>
      <c r="E112" s="13" t="s">
        <v>164</v>
      </c>
      <c r="F112" s="13" t="s">
        <v>164</v>
      </c>
      <c r="G112" s="13" t="s">
        <v>20</v>
      </c>
      <c r="H112" s="13" t="s">
        <v>140</v>
      </c>
      <c r="I112" s="14" t="s">
        <v>18</v>
      </c>
      <c r="J112" s="14" t="s">
        <v>22</v>
      </c>
      <c r="K112" s="14">
        <v>57.0</v>
      </c>
      <c r="L112" s="14" t="s">
        <v>23</v>
      </c>
      <c r="M112" s="14" t="s">
        <v>24</v>
      </c>
      <c r="N112" s="20"/>
      <c r="O112" s="14">
        <v>1.0</v>
      </c>
      <c r="Q112" s="22"/>
      <c r="R112" s="16"/>
      <c r="S112" s="16"/>
      <c r="T112" s="16"/>
      <c r="U112" s="16"/>
      <c r="V112" s="16"/>
      <c r="W112" s="16"/>
      <c r="X112" s="16"/>
      <c r="Y112" s="16"/>
      <c r="Z112" s="16"/>
    </row>
    <row r="113">
      <c r="D113" s="13" t="s">
        <v>164</v>
      </c>
      <c r="E113" s="13" t="s">
        <v>164</v>
      </c>
      <c r="F113" s="13" t="s">
        <v>164</v>
      </c>
      <c r="G113" s="13" t="s">
        <v>20</v>
      </c>
      <c r="H113" s="13" t="s">
        <v>28</v>
      </c>
      <c r="I113" s="14" t="s">
        <v>18</v>
      </c>
      <c r="J113" s="14" t="s">
        <v>22</v>
      </c>
      <c r="K113" s="14">
        <v>49.0</v>
      </c>
      <c r="L113" s="14" t="s">
        <v>23</v>
      </c>
      <c r="M113" s="14" t="s">
        <v>24</v>
      </c>
      <c r="N113" s="20"/>
      <c r="O113" s="14">
        <v>1.0</v>
      </c>
      <c r="Q113" s="22"/>
      <c r="R113" s="16"/>
      <c r="S113" s="16"/>
      <c r="T113" s="16"/>
      <c r="U113" s="16"/>
      <c r="V113" s="16"/>
      <c r="W113" s="16"/>
      <c r="X113" s="16"/>
      <c r="Y113" s="16"/>
      <c r="Z113" s="16"/>
    </row>
    <row r="114">
      <c r="D114" s="13" t="s">
        <v>164</v>
      </c>
      <c r="E114" s="13" t="s">
        <v>164</v>
      </c>
      <c r="F114" s="13" t="s">
        <v>164</v>
      </c>
      <c r="G114" s="13" t="s">
        <v>34</v>
      </c>
      <c r="H114" s="13" t="s">
        <v>165</v>
      </c>
      <c r="N114" s="20"/>
      <c r="Q114" s="22"/>
      <c r="R114" s="16"/>
      <c r="S114" s="16"/>
      <c r="T114" s="16"/>
      <c r="U114" s="16"/>
      <c r="V114" s="16"/>
      <c r="W114" s="16"/>
      <c r="X114" s="16"/>
      <c r="Y114" s="16"/>
      <c r="Z114" s="16"/>
    </row>
    <row r="115">
      <c r="A115" s="10">
        <v>42835.0</v>
      </c>
      <c r="B115" s="11">
        <v>4.4960417E7</v>
      </c>
      <c r="C115" s="12" t="s">
        <v>166</v>
      </c>
      <c r="D115" s="13" t="s">
        <v>18</v>
      </c>
      <c r="E115" s="13" t="s">
        <v>29</v>
      </c>
      <c r="F115" s="13">
        <v>39.0</v>
      </c>
      <c r="G115" s="13" t="s">
        <v>34</v>
      </c>
      <c r="H115" s="13" t="s">
        <v>28</v>
      </c>
      <c r="I115" s="14" t="s">
        <v>18</v>
      </c>
      <c r="J115" s="14" t="s">
        <v>22</v>
      </c>
      <c r="K115" s="14">
        <v>31.0</v>
      </c>
      <c r="L115" s="14" t="s">
        <v>23</v>
      </c>
      <c r="M115" s="14" t="s">
        <v>24</v>
      </c>
      <c r="N115" s="20"/>
      <c r="O115" s="14">
        <v>1.0</v>
      </c>
      <c r="P115" s="15" t="s">
        <v>167</v>
      </c>
      <c r="Q115" s="22"/>
      <c r="R115" s="16"/>
      <c r="S115" s="16"/>
      <c r="T115" s="16"/>
      <c r="U115" s="16"/>
      <c r="V115" s="16"/>
      <c r="W115" s="16"/>
      <c r="X115" s="16"/>
      <c r="Y115" s="16"/>
      <c r="Z115" s="16"/>
    </row>
    <row r="116">
      <c r="A116" s="10">
        <v>42817.0</v>
      </c>
      <c r="B116" s="11">
        <v>3.6699917E7</v>
      </c>
      <c r="C116" s="12" t="s">
        <v>168</v>
      </c>
      <c r="D116" s="13" t="s">
        <v>18</v>
      </c>
      <c r="E116" s="13" t="s">
        <v>29</v>
      </c>
      <c r="F116" s="13">
        <v>36.0</v>
      </c>
      <c r="G116" s="13" t="s">
        <v>20</v>
      </c>
      <c r="H116" s="13" t="s">
        <v>28</v>
      </c>
      <c r="I116" s="14" t="s">
        <v>18</v>
      </c>
      <c r="J116" s="14" t="s">
        <v>22</v>
      </c>
      <c r="K116" s="14">
        <v>34.0</v>
      </c>
      <c r="L116" s="14" t="s">
        <v>23</v>
      </c>
      <c r="M116" s="14" t="s">
        <v>24</v>
      </c>
      <c r="N116" s="20"/>
      <c r="O116" s="14" t="s">
        <v>35</v>
      </c>
      <c r="P116" s="15" t="s">
        <v>169</v>
      </c>
      <c r="Q116" s="22"/>
      <c r="R116" s="16"/>
      <c r="S116" s="16"/>
      <c r="T116" s="16"/>
      <c r="U116" s="16"/>
      <c r="V116" s="16"/>
      <c r="W116" s="16"/>
      <c r="X116" s="16"/>
      <c r="Y116" s="16"/>
      <c r="Z116" s="16"/>
    </row>
    <row r="117">
      <c r="I117" s="14" t="s">
        <v>18</v>
      </c>
      <c r="J117" s="14" t="s">
        <v>19</v>
      </c>
      <c r="K117" s="14">
        <v>31.0</v>
      </c>
      <c r="L117" s="14" t="s">
        <v>23</v>
      </c>
      <c r="M117" s="14" t="s">
        <v>24</v>
      </c>
      <c r="N117" s="20"/>
      <c r="O117" s="14" t="s">
        <v>35</v>
      </c>
      <c r="Q117" s="22"/>
      <c r="R117" s="16"/>
      <c r="S117" s="16"/>
      <c r="T117" s="16"/>
      <c r="U117" s="16"/>
      <c r="V117" s="16"/>
      <c r="W117" s="16"/>
      <c r="X117" s="16"/>
      <c r="Y117" s="16"/>
      <c r="Z117" s="16"/>
    </row>
    <row r="118">
      <c r="A118" s="10">
        <v>42804.0</v>
      </c>
      <c r="B118" s="11">
        <v>3.0911117E7</v>
      </c>
      <c r="C118" s="12" t="s">
        <v>170</v>
      </c>
      <c r="D118" s="13" t="s">
        <v>18</v>
      </c>
      <c r="E118" s="13" t="s">
        <v>29</v>
      </c>
      <c r="F118" s="13">
        <v>26.0</v>
      </c>
      <c r="G118" s="13" t="s">
        <v>20</v>
      </c>
      <c r="H118" s="13" t="s">
        <v>140</v>
      </c>
      <c r="I118" s="14" t="s">
        <v>18</v>
      </c>
      <c r="J118" s="14" t="s">
        <v>19</v>
      </c>
      <c r="K118" s="14">
        <v>36.0</v>
      </c>
      <c r="L118" s="14" t="s">
        <v>23</v>
      </c>
      <c r="M118" s="14" t="s">
        <v>60</v>
      </c>
      <c r="N118" s="20"/>
      <c r="O118" s="14">
        <v>1.0</v>
      </c>
      <c r="P118" s="15" t="s">
        <v>171</v>
      </c>
      <c r="Q118" s="22"/>
      <c r="R118" s="16"/>
      <c r="S118" s="16"/>
      <c r="T118" s="16"/>
      <c r="U118" s="16"/>
      <c r="V118" s="16"/>
      <c r="W118" s="16"/>
      <c r="X118" s="16"/>
      <c r="Y118" s="16"/>
      <c r="Z118" s="16"/>
    </row>
    <row r="119">
      <c r="D119" s="13" t="s">
        <v>18</v>
      </c>
      <c r="E119" s="13" t="s">
        <v>29</v>
      </c>
      <c r="F119" s="13">
        <v>27.0</v>
      </c>
      <c r="G119" s="13" t="s">
        <v>20</v>
      </c>
      <c r="H119" s="13" t="s">
        <v>140</v>
      </c>
      <c r="N119" s="20"/>
      <c r="Q119" s="22"/>
      <c r="R119" s="16"/>
      <c r="S119" s="16"/>
      <c r="T119" s="16"/>
      <c r="U119" s="16"/>
      <c r="V119" s="16"/>
      <c r="W119" s="16"/>
      <c r="X119" s="16"/>
      <c r="Y119" s="16"/>
      <c r="Z119" s="16"/>
    </row>
    <row r="120">
      <c r="A120" s="10">
        <v>42794.0</v>
      </c>
      <c r="B120" s="11">
        <v>2.6218717E7</v>
      </c>
      <c r="C120" s="12" t="s">
        <v>172</v>
      </c>
      <c r="D120" s="13" t="s">
        <v>18</v>
      </c>
      <c r="E120" s="13" t="s">
        <v>29</v>
      </c>
      <c r="F120" s="13">
        <v>25.0</v>
      </c>
      <c r="G120" s="13" t="s">
        <v>34</v>
      </c>
      <c r="H120" s="13" t="s">
        <v>28</v>
      </c>
      <c r="I120" s="14" t="s">
        <v>18</v>
      </c>
      <c r="J120" s="14" t="s">
        <v>19</v>
      </c>
      <c r="K120" s="14">
        <v>47.0</v>
      </c>
      <c r="L120" s="14" t="s">
        <v>23</v>
      </c>
      <c r="M120" s="14" t="s">
        <v>24</v>
      </c>
      <c r="N120" s="20"/>
      <c r="O120" s="14">
        <v>1.0</v>
      </c>
      <c r="P120" s="15" t="s">
        <v>173</v>
      </c>
      <c r="Q120" s="22"/>
      <c r="R120" s="16"/>
      <c r="S120" s="16"/>
      <c r="T120" s="16"/>
      <c r="U120" s="16"/>
      <c r="V120" s="16"/>
      <c r="W120" s="16"/>
      <c r="X120" s="16"/>
      <c r="Y120" s="16"/>
      <c r="Z120" s="16"/>
    </row>
    <row r="121">
      <c r="I121" s="14" t="s">
        <v>18</v>
      </c>
      <c r="J121" s="14" t="s">
        <v>19</v>
      </c>
      <c r="K121" s="14">
        <v>35.0</v>
      </c>
      <c r="L121" s="14" t="s">
        <v>20</v>
      </c>
      <c r="M121" s="14" t="s">
        <v>24</v>
      </c>
      <c r="N121" s="20"/>
      <c r="O121" s="14" t="s">
        <v>35</v>
      </c>
      <c r="Q121" s="22"/>
      <c r="R121" s="16"/>
      <c r="S121" s="16"/>
      <c r="T121" s="16"/>
      <c r="U121" s="16"/>
      <c r="V121" s="16"/>
      <c r="W121" s="16"/>
      <c r="X121" s="16"/>
      <c r="Y121" s="16"/>
      <c r="Z121" s="16"/>
    </row>
    <row r="122">
      <c r="A122" s="10">
        <v>42782.0</v>
      </c>
      <c r="B122" s="11">
        <v>2.0859317E7</v>
      </c>
      <c r="C122" s="12" t="s">
        <v>174</v>
      </c>
      <c r="D122" s="13" t="s">
        <v>18</v>
      </c>
      <c r="E122" s="13" t="s">
        <v>29</v>
      </c>
      <c r="F122" s="13">
        <v>42.0</v>
      </c>
      <c r="G122" s="13" t="s">
        <v>20</v>
      </c>
      <c r="H122" s="13" t="s">
        <v>175</v>
      </c>
      <c r="I122" s="14" t="s">
        <v>18</v>
      </c>
      <c r="J122" s="14" t="s">
        <v>29</v>
      </c>
      <c r="K122" s="14">
        <v>47.0</v>
      </c>
      <c r="L122" s="14" t="s">
        <v>23</v>
      </c>
      <c r="M122" s="14" t="s">
        <v>60</v>
      </c>
      <c r="N122" s="20"/>
      <c r="O122" s="14">
        <v>1.0</v>
      </c>
      <c r="P122" s="15" t="s">
        <v>176</v>
      </c>
      <c r="Q122" s="22"/>
      <c r="R122" s="16"/>
      <c r="S122" s="16"/>
      <c r="T122" s="16"/>
      <c r="U122" s="16"/>
      <c r="V122" s="16"/>
      <c r="W122" s="16"/>
      <c r="X122" s="16"/>
      <c r="Y122" s="16"/>
      <c r="Z122" s="16"/>
    </row>
    <row r="123">
      <c r="A123" s="10">
        <v>42757.0</v>
      </c>
      <c r="B123" s="11">
        <v>9641917.0</v>
      </c>
      <c r="C123" s="12" t="s">
        <v>177</v>
      </c>
      <c r="D123" s="13" t="s">
        <v>18</v>
      </c>
      <c r="E123" s="13" t="s">
        <v>19</v>
      </c>
      <c r="F123" s="13" t="s">
        <v>157</v>
      </c>
      <c r="G123" s="13" t="s">
        <v>140</v>
      </c>
      <c r="H123" s="13" t="s">
        <v>28</v>
      </c>
      <c r="I123" s="14" t="s">
        <v>18</v>
      </c>
      <c r="J123" s="14" t="s">
        <v>29</v>
      </c>
      <c r="K123" s="14">
        <v>47.0</v>
      </c>
      <c r="L123" s="14" t="s">
        <v>23</v>
      </c>
      <c r="M123" s="14" t="s">
        <v>60</v>
      </c>
      <c r="N123" s="20"/>
      <c r="O123" s="14">
        <v>1.0</v>
      </c>
      <c r="P123" s="15" t="s">
        <v>178</v>
      </c>
      <c r="Q123" s="16"/>
      <c r="R123" s="16"/>
      <c r="S123" s="16"/>
      <c r="T123" s="16"/>
      <c r="U123" s="16"/>
      <c r="V123" s="16"/>
      <c r="W123" s="16"/>
      <c r="X123" s="16"/>
      <c r="Y123" s="16"/>
      <c r="Z123" s="16"/>
    </row>
    <row r="124">
      <c r="A124" s="10">
        <v>42711.0</v>
      </c>
      <c r="B124" s="11">
        <v>1.55214316E8</v>
      </c>
      <c r="C124" s="12" t="s">
        <v>179</v>
      </c>
      <c r="D124" s="13" t="s">
        <v>18</v>
      </c>
      <c r="E124" s="13" t="s">
        <v>29</v>
      </c>
      <c r="F124" s="13">
        <v>37.0</v>
      </c>
      <c r="G124" s="13" t="s">
        <v>34</v>
      </c>
      <c r="H124" s="13" t="s">
        <v>28</v>
      </c>
      <c r="I124" s="14" t="s">
        <v>18</v>
      </c>
      <c r="J124" s="14" t="s">
        <v>19</v>
      </c>
      <c r="K124" s="14">
        <v>43.0</v>
      </c>
      <c r="L124" s="14" t="s">
        <v>23</v>
      </c>
      <c r="M124" s="14" t="s">
        <v>24</v>
      </c>
      <c r="N124" s="20"/>
      <c r="O124" s="14">
        <v>1.0</v>
      </c>
      <c r="P124" s="15" t="s">
        <v>180</v>
      </c>
      <c r="Q124" s="16"/>
      <c r="R124" s="16"/>
      <c r="S124" s="16"/>
      <c r="T124" s="16"/>
      <c r="U124" s="16"/>
      <c r="V124" s="16"/>
      <c r="W124" s="16"/>
      <c r="X124" s="16"/>
      <c r="Y124" s="16"/>
      <c r="Z124" s="16"/>
    </row>
    <row r="125">
      <c r="Q125" s="16"/>
      <c r="R125" s="16"/>
      <c r="S125" s="16"/>
      <c r="T125" s="16"/>
      <c r="U125" s="16"/>
      <c r="V125" s="16"/>
      <c r="W125" s="16"/>
      <c r="X125" s="16"/>
      <c r="Y125" s="16"/>
      <c r="Z125" s="16"/>
    </row>
    <row r="126">
      <c r="D126" s="13" t="s">
        <v>18</v>
      </c>
      <c r="E126" s="13" t="s">
        <v>29</v>
      </c>
      <c r="F126" s="13">
        <v>29.0</v>
      </c>
      <c r="G126" s="13" t="s">
        <v>23</v>
      </c>
      <c r="H126" s="13" t="s">
        <v>28</v>
      </c>
      <c r="I126" s="14" t="s">
        <v>18</v>
      </c>
      <c r="J126" s="14" t="s">
        <v>19</v>
      </c>
      <c r="K126" s="14">
        <v>43.0</v>
      </c>
      <c r="L126" s="14" t="s">
        <v>23</v>
      </c>
      <c r="M126" s="14" t="s">
        <v>24</v>
      </c>
      <c r="N126" s="20"/>
      <c r="O126" s="14" t="s">
        <v>35</v>
      </c>
      <c r="Q126" s="16"/>
      <c r="R126" s="16"/>
      <c r="S126" s="16"/>
      <c r="T126" s="16"/>
      <c r="U126" s="16"/>
      <c r="V126" s="16"/>
      <c r="W126" s="16"/>
      <c r="X126" s="16"/>
      <c r="Y126" s="16"/>
      <c r="Z126" s="16"/>
    </row>
    <row r="127">
      <c r="Q127" s="16"/>
      <c r="R127" s="16"/>
      <c r="S127" s="16"/>
      <c r="T127" s="16"/>
      <c r="U127" s="16"/>
      <c r="V127" s="16"/>
      <c r="W127" s="16"/>
      <c r="X127" s="16"/>
      <c r="Y127" s="16"/>
      <c r="Z127" s="16"/>
    </row>
    <row r="128">
      <c r="A128" s="10">
        <v>42709.0</v>
      </c>
      <c r="B128" s="11">
        <v>1.54131216E8</v>
      </c>
      <c r="C128" s="12" t="s">
        <v>181</v>
      </c>
      <c r="D128" s="13" t="s">
        <v>18</v>
      </c>
      <c r="E128" s="13" t="s">
        <v>19</v>
      </c>
      <c r="F128" s="13">
        <v>26.0</v>
      </c>
      <c r="G128" s="13" t="s">
        <v>20</v>
      </c>
      <c r="H128" s="13" t="s">
        <v>28</v>
      </c>
      <c r="I128" s="14" t="s">
        <v>18</v>
      </c>
      <c r="J128" s="14" t="s">
        <v>29</v>
      </c>
      <c r="K128" s="14">
        <v>29.0</v>
      </c>
      <c r="L128" s="14" t="s">
        <v>23</v>
      </c>
      <c r="M128" s="14" t="s">
        <v>24</v>
      </c>
      <c r="N128" s="20"/>
      <c r="O128" s="14" t="s">
        <v>35</v>
      </c>
      <c r="P128" s="15" t="s">
        <v>182</v>
      </c>
      <c r="Q128" s="16"/>
      <c r="R128" s="16"/>
      <c r="S128" s="16"/>
      <c r="T128" s="16"/>
      <c r="U128" s="16"/>
      <c r="V128" s="16"/>
      <c r="W128" s="16"/>
      <c r="X128" s="16"/>
      <c r="Y128" s="16"/>
      <c r="Z128" s="16"/>
    </row>
    <row r="129">
      <c r="I129" s="14" t="s">
        <v>18</v>
      </c>
      <c r="J129" s="14" t="s">
        <v>19</v>
      </c>
      <c r="K129" s="14">
        <v>28.0</v>
      </c>
      <c r="L129" s="14" t="s">
        <v>23</v>
      </c>
      <c r="M129" s="14" t="s">
        <v>24</v>
      </c>
      <c r="N129" s="20"/>
      <c r="O129" s="14" t="s">
        <v>35</v>
      </c>
      <c r="Q129" s="16"/>
      <c r="R129" s="16"/>
      <c r="S129" s="16"/>
      <c r="T129" s="16"/>
      <c r="U129" s="16"/>
      <c r="V129" s="16"/>
      <c r="W129" s="16"/>
      <c r="X129" s="16"/>
      <c r="Y129" s="16"/>
      <c r="Z129" s="16"/>
    </row>
    <row r="130">
      <c r="A130" s="10">
        <v>42702.0</v>
      </c>
      <c r="B130" s="11">
        <v>1.51462916E8</v>
      </c>
      <c r="C130" s="12" t="s">
        <v>183</v>
      </c>
      <c r="D130" s="13" t="s">
        <v>18</v>
      </c>
      <c r="E130" s="13" t="s">
        <v>19</v>
      </c>
      <c r="F130" s="13">
        <v>22.0</v>
      </c>
      <c r="G130" s="13" t="s">
        <v>20</v>
      </c>
      <c r="H130" s="13" t="s">
        <v>28</v>
      </c>
      <c r="I130" s="14" t="s">
        <v>18</v>
      </c>
      <c r="J130" s="14" t="s">
        <v>19</v>
      </c>
      <c r="K130" s="14">
        <v>25.0</v>
      </c>
      <c r="L130" s="14" t="s">
        <v>23</v>
      </c>
      <c r="M130" s="14" t="s">
        <v>24</v>
      </c>
      <c r="N130" s="20"/>
      <c r="O130" s="14">
        <v>1.0</v>
      </c>
      <c r="P130" s="15" t="s">
        <v>184</v>
      </c>
      <c r="Q130" s="16"/>
      <c r="R130" s="16"/>
      <c r="S130" s="16"/>
      <c r="T130" s="16"/>
      <c r="U130" s="16"/>
      <c r="V130" s="16"/>
      <c r="W130" s="16"/>
      <c r="X130" s="16"/>
      <c r="Y130" s="16"/>
      <c r="Z130" s="16"/>
    </row>
    <row r="131">
      <c r="A131" s="10">
        <v>42656.0</v>
      </c>
      <c r="B131" s="11">
        <v>1.31104116E8</v>
      </c>
      <c r="C131" s="12" t="s">
        <v>185</v>
      </c>
      <c r="D131" s="13" t="s">
        <v>18</v>
      </c>
      <c r="E131" s="13" t="s">
        <v>29</v>
      </c>
      <c r="F131" s="13">
        <v>21.0</v>
      </c>
      <c r="G131" s="13" t="s">
        <v>20</v>
      </c>
      <c r="H131" s="13" t="s">
        <v>186</v>
      </c>
      <c r="I131" s="14" t="s">
        <v>18</v>
      </c>
      <c r="J131" s="14" t="s">
        <v>22</v>
      </c>
      <c r="K131" s="14">
        <v>31.0</v>
      </c>
      <c r="L131" s="14" t="s">
        <v>20</v>
      </c>
      <c r="M131" s="14" t="s">
        <v>60</v>
      </c>
      <c r="N131" s="20"/>
      <c r="O131" s="14">
        <v>1.0</v>
      </c>
      <c r="P131" s="15" t="s">
        <v>187</v>
      </c>
      <c r="Q131" s="16"/>
      <c r="R131" s="16"/>
      <c r="S131" s="16"/>
      <c r="T131" s="16"/>
      <c r="U131" s="16"/>
      <c r="V131" s="16"/>
      <c r="W131" s="16"/>
      <c r="X131" s="16"/>
      <c r="Y131" s="16"/>
      <c r="Z131" s="16"/>
    </row>
    <row r="132">
      <c r="A132" s="10">
        <v>42639.0</v>
      </c>
      <c r="B132" s="11">
        <v>1.23203516E8</v>
      </c>
      <c r="C132" s="12" t="s">
        <v>188</v>
      </c>
      <c r="D132" s="13" t="s">
        <v>18</v>
      </c>
      <c r="E132" s="13" t="s">
        <v>22</v>
      </c>
      <c r="F132" s="13">
        <v>46.0</v>
      </c>
      <c r="G132" s="13" t="s">
        <v>34</v>
      </c>
      <c r="H132" s="13" t="s">
        <v>28</v>
      </c>
      <c r="I132" s="14" t="s">
        <v>18</v>
      </c>
      <c r="J132" s="14" t="s">
        <v>29</v>
      </c>
      <c r="K132" s="14">
        <v>34.0</v>
      </c>
      <c r="L132" s="14" t="s">
        <v>23</v>
      </c>
      <c r="M132" s="14" t="s">
        <v>24</v>
      </c>
      <c r="N132" s="20"/>
      <c r="O132" s="14">
        <v>1.0</v>
      </c>
      <c r="P132" s="15" t="s">
        <v>189</v>
      </c>
      <c r="Q132" s="16"/>
      <c r="R132" s="16"/>
      <c r="S132" s="16"/>
      <c r="T132" s="16"/>
      <c r="U132" s="16"/>
      <c r="V132" s="16"/>
      <c r="W132" s="16"/>
      <c r="X132" s="16"/>
      <c r="Y132" s="16"/>
      <c r="Z132" s="16"/>
    </row>
    <row r="133">
      <c r="I133" s="14" t="s">
        <v>18</v>
      </c>
      <c r="J133" s="14" t="s">
        <v>22</v>
      </c>
      <c r="K133" s="14">
        <v>33.0</v>
      </c>
      <c r="L133" s="14" t="s">
        <v>23</v>
      </c>
      <c r="M133" s="14" t="s">
        <v>24</v>
      </c>
      <c r="N133" s="20"/>
      <c r="O133" s="14">
        <v>1.0</v>
      </c>
      <c r="Q133" s="16"/>
      <c r="R133" s="16"/>
      <c r="S133" s="16"/>
      <c r="T133" s="16"/>
      <c r="U133" s="16"/>
      <c r="V133" s="16"/>
      <c r="W133" s="16"/>
      <c r="X133" s="16"/>
      <c r="Y133" s="16"/>
      <c r="Z133" s="16"/>
    </row>
    <row r="134">
      <c r="I134" s="14" t="s">
        <v>18</v>
      </c>
      <c r="J134" s="14" t="s">
        <v>22</v>
      </c>
      <c r="K134" s="14">
        <v>56.0</v>
      </c>
      <c r="L134" s="14" t="s">
        <v>23</v>
      </c>
      <c r="M134" s="14" t="s">
        <v>24</v>
      </c>
      <c r="N134" s="20"/>
      <c r="O134" s="14">
        <v>1.0</v>
      </c>
      <c r="Q134" s="16"/>
      <c r="R134" s="16"/>
      <c r="S134" s="16"/>
      <c r="T134" s="16"/>
      <c r="U134" s="16"/>
      <c r="V134" s="16"/>
      <c r="W134" s="16"/>
      <c r="X134" s="16"/>
      <c r="Y134" s="16"/>
      <c r="Z134" s="16"/>
    </row>
    <row r="135">
      <c r="I135" s="14" t="s">
        <v>18</v>
      </c>
      <c r="J135" s="14" t="s">
        <v>22</v>
      </c>
      <c r="K135" s="14">
        <v>48.0</v>
      </c>
      <c r="L135" s="14" t="s">
        <v>23</v>
      </c>
      <c r="M135" s="14" t="s">
        <v>24</v>
      </c>
      <c r="N135" s="20"/>
      <c r="O135" s="14">
        <v>1.0</v>
      </c>
      <c r="Q135" s="16"/>
      <c r="R135" s="16"/>
      <c r="S135" s="16"/>
      <c r="T135" s="16"/>
      <c r="U135" s="16"/>
      <c r="V135" s="16"/>
      <c r="W135" s="16"/>
      <c r="X135" s="16"/>
      <c r="Y135" s="16"/>
      <c r="Z135" s="16"/>
    </row>
    <row r="136">
      <c r="I136" s="14" t="s">
        <v>18</v>
      </c>
      <c r="J136" s="14" t="s">
        <v>22</v>
      </c>
      <c r="K136" s="14">
        <v>42.0</v>
      </c>
      <c r="L136" s="14" t="s">
        <v>23</v>
      </c>
      <c r="M136" s="14" t="s">
        <v>24</v>
      </c>
      <c r="N136" s="20"/>
      <c r="O136" s="14">
        <v>1.0</v>
      </c>
      <c r="Q136" s="16"/>
      <c r="R136" s="16"/>
      <c r="S136" s="16"/>
      <c r="T136" s="16"/>
      <c r="U136" s="16"/>
      <c r="V136" s="16"/>
      <c r="W136" s="16"/>
      <c r="X136" s="16"/>
      <c r="Y136" s="16"/>
      <c r="Z136" s="16"/>
    </row>
    <row r="137">
      <c r="A137" s="10">
        <v>42609.0</v>
      </c>
      <c r="B137" s="11">
        <v>1.09985316E8</v>
      </c>
      <c r="C137" s="12" t="s">
        <v>190</v>
      </c>
      <c r="D137" s="13" t="s">
        <v>164</v>
      </c>
      <c r="E137" s="13" t="s">
        <v>164</v>
      </c>
      <c r="F137" s="13" t="s">
        <v>164</v>
      </c>
      <c r="G137" s="13" t="s">
        <v>23</v>
      </c>
      <c r="H137" s="13" t="s">
        <v>23</v>
      </c>
      <c r="I137" s="14" t="s">
        <v>18</v>
      </c>
      <c r="J137" s="14" t="s">
        <v>45</v>
      </c>
      <c r="K137" s="14">
        <v>23.0</v>
      </c>
      <c r="L137" s="14" t="s">
        <v>23</v>
      </c>
      <c r="M137" s="14" t="s">
        <v>60</v>
      </c>
      <c r="N137" s="20"/>
      <c r="O137" s="14">
        <v>1.0</v>
      </c>
      <c r="P137" s="15" t="s">
        <v>191</v>
      </c>
      <c r="Q137" s="16"/>
      <c r="R137" s="16"/>
      <c r="S137" s="16"/>
      <c r="T137" s="16"/>
      <c r="U137" s="16"/>
      <c r="V137" s="16"/>
      <c r="W137" s="16"/>
      <c r="X137" s="16"/>
      <c r="Y137" s="16"/>
      <c r="Z137" s="16"/>
    </row>
    <row r="138">
      <c r="D138" s="13" t="s">
        <v>18</v>
      </c>
      <c r="E138" s="13" t="s">
        <v>29</v>
      </c>
      <c r="F138" s="13">
        <v>20.0</v>
      </c>
      <c r="G138" s="13" t="s">
        <v>23</v>
      </c>
      <c r="H138" s="13" t="s">
        <v>192</v>
      </c>
      <c r="N138" s="20"/>
      <c r="Q138" s="16"/>
      <c r="R138" s="16"/>
      <c r="S138" s="16"/>
      <c r="T138" s="16"/>
      <c r="U138" s="16"/>
      <c r="V138" s="16"/>
      <c r="W138" s="16"/>
      <c r="X138" s="16"/>
      <c r="Y138" s="16"/>
      <c r="Z138" s="16"/>
    </row>
    <row r="139">
      <c r="D139" s="13" t="s">
        <v>18</v>
      </c>
      <c r="E139" s="13" t="s">
        <v>29</v>
      </c>
      <c r="F139" s="13" t="s">
        <v>157</v>
      </c>
      <c r="G139" s="13" t="s">
        <v>23</v>
      </c>
      <c r="H139" s="13" t="s">
        <v>28</v>
      </c>
      <c r="N139" s="20"/>
      <c r="Q139" s="16"/>
      <c r="R139" s="16"/>
      <c r="S139" s="16"/>
      <c r="T139" s="16"/>
      <c r="U139" s="16"/>
      <c r="V139" s="16"/>
      <c r="W139" s="16"/>
      <c r="X139" s="16"/>
      <c r="Y139" s="16"/>
      <c r="Z139" s="16"/>
    </row>
    <row r="140">
      <c r="A140" s="10">
        <v>42586.0</v>
      </c>
      <c r="B140" s="11">
        <v>9.9760816E7</v>
      </c>
      <c r="C140" s="12" t="s">
        <v>193</v>
      </c>
      <c r="D140" s="13" t="s">
        <v>18</v>
      </c>
      <c r="E140" s="13" t="s">
        <v>19</v>
      </c>
      <c r="F140" s="13">
        <v>34.0</v>
      </c>
      <c r="G140" s="13" t="s">
        <v>20</v>
      </c>
      <c r="H140" s="13" t="s">
        <v>28</v>
      </c>
      <c r="I140" s="14" t="s">
        <v>18</v>
      </c>
      <c r="J140" s="14" t="s">
        <v>19</v>
      </c>
      <c r="K140" s="14">
        <v>27.0</v>
      </c>
      <c r="L140" s="14" t="s">
        <v>23</v>
      </c>
      <c r="M140" s="14" t="s">
        <v>24</v>
      </c>
      <c r="N140" s="20"/>
      <c r="O140" s="14" t="s">
        <v>35</v>
      </c>
      <c r="P140" s="15" t="s">
        <v>194</v>
      </c>
      <c r="Q140" s="16"/>
      <c r="R140" s="16"/>
      <c r="S140" s="16"/>
      <c r="T140" s="16"/>
      <c r="U140" s="16"/>
      <c r="V140" s="16"/>
      <c r="W140" s="16"/>
      <c r="X140" s="16"/>
      <c r="Y140" s="16"/>
      <c r="Z140" s="16"/>
    </row>
    <row r="141">
      <c r="A141" s="10">
        <v>42575.0</v>
      </c>
      <c r="B141" s="11">
        <v>9.4862816E7</v>
      </c>
      <c r="C141" s="12" t="s">
        <v>195</v>
      </c>
      <c r="D141" s="13" t="s">
        <v>18</v>
      </c>
      <c r="E141" s="13" t="s">
        <v>22</v>
      </c>
      <c r="F141" s="13">
        <v>27.0</v>
      </c>
      <c r="G141" s="13" t="s">
        <v>20</v>
      </c>
      <c r="H141" s="13" t="s">
        <v>196</v>
      </c>
      <c r="I141" s="14" t="s">
        <v>18</v>
      </c>
      <c r="J141" s="14" t="s">
        <v>22</v>
      </c>
      <c r="K141" s="14">
        <v>32.0</v>
      </c>
      <c r="L141" s="14" t="s">
        <v>23</v>
      </c>
      <c r="M141" s="14" t="s">
        <v>24</v>
      </c>
      <c r="N141" s="20"/>
      <c r="O141" s="14">
        <v>1.0</v>
      </c>
      <c r="P141" s="15" t="s">
        <v>197</v>
      </c>
      <c r="Q141" s="16"/>
      <c r="R141" s="16"/>
      <c r="S141" s="16"/>
      <c r="T141" s="16"/>
      <c r="U141" s="16"/>
      <c r="V141" s="16"/>
      <c r="W141" s="16"/>
      <c r="X141" s="16"/>
      <c r="Y141" s="16"/>
      <c r="Z141" s="16"/>
    </row>
    <row r="142">
      <c r="I142" s="14" t="s">
        <v>18</v>
      </c>
      <c r="J142" s="14" t="s">
        <v>22</v>
      </c>
      <c r="K142" s="14">
        <v>30.0</v>
      </c>
      <c r="L142" s="14" t="s">
        <v>23</v>
      </c>
      <c r="M142" s="14" t="s">
        <v>24</v>
      </c>
      <c r="N142" s="20"/>
      <c r="O142" s="14">
        <v>1.0</v>
      </c>
      <c r="Q142" s="16"/>
      <c r="R142" s="16"/>
      <c r="S142" s="16"/>
      <c r="T142" s="16"/>
      <c r="U142" s="16"/>
      <c r="V142" s="16"/>
      <c r="W142" s="16"/>
      <c r="X142" s="16"/>
      <c r="Y142" s="16"/>
      <c r="Z142" s="16"/>
    </row>
    <row r="143">
      <c r="A143" s="10">
        <v>42560.0</v>
      </c>
      <c r="B143" s="11">
        <v>8.8163616E7</v>
      </c>
      <c r="C143" s="12" t="s">
        <v>198</v>
      </c>
      <c r="D143" s="13" t="s">
        <v>18</v>
      </c>
      <c r="E143" s="13" t="s">
        <v>29</v>
      </c>
      <c r="F143" s="13">
        <v>38.0</v>
      </c>
      <c r="G143" s="13" t="s">
        <v>34</v>
      </c>
      <c r="H143" s="13" t="s">
        <v>28</v>
      </c>
      <c r="I143" s="14" t="s">
        <v>18</v>
      </c>
      <c r="J143" s="14" t="s">
        <v>19</v>
      </c>
      <c r="K143" s="14">
        <v>43.0</v>
      </c>
      <c r="L143" s="14" t="s">
        <v>23</v>
      </c>
      <c r="M143" s="14" t="s">
        <v>24</v>
      </c>
      <c r="N143" s="20"/>
      <c r="O143" s="14" t="s">
        <v>35</v>
      </c>
      <c r="P143" s="15" t="s">
        <v>199</v>
      </c>
      <c r="Q143" s="16"/>
      <c r="R143" s="16"/>
      <c r="S143" s="16"/>
      <c r="T143" s="16"/>
      <c r="U143" s="16"/>
      <c r="V143" s="16"/>
      <c r="W143" s="16"/>
      <c r="X143" s="16"/>
      <c r="Y143" s="16"/>
      <c r="Z143" s="16"/>
    </row>
    <row r="144">
      <c r="I144" s="14" t="s">
        <v>18</v>
      </c>
      <c r="J144" s="14" t="s">
        <v>19</v>
      </c>
      <c r="K144" s="14">
        <v>39.0</v>
      </c>
      <c r="L144" s="14" t="s">
        <v>23</v>
      </c>
      <c r="M144" s="14" t="s">
        <v>24</v>
      </c>
      <c r="N144" s="20"/>
      <c r="O144" s="14" t="s">
        <v>35</v>
      </c>
      <c r="Q144" s="16"/>
      <c r="R144" s="16"/>
      <c r="S144" s="16"/>
      <c r="T144" s="16"/>
      <c r="U144" s="16"/>
      <c r="V144" s="16"/>
      <c r="W144" s="16"/>
      <c r="X144" s="16"/>
      <c r="Y144" s="16"/>
      <c r="Z144" s="16"/>
    </row>
    <row r="145">
      <c r="A145" s="10">
        <v>42560.0</v>
      </c>
      <c r="B145" s="11">
        <v>8.8431916E7</v>
      </c>
      <c r="C145" s="12" t="s">
        <v>200</v>
      </c>
      <c r="D145" s="13" t="s">
        <v>18</v>
      </c>
      <c r="E145" s="13" t="s">
        <v>22</v>
      </c>
      <c r="F145" s="13">
        <v>49.0</v>
      </c>
      <c r="G145" s="13" t="s">
        <v>23</v>
      </c>
      <c r="H145" s="13" t="s">
        <v>28</v>
      </c>
      <c r="I145" s="14" t="s">
        <v>18</v>
      </c>
      <c r="J145" s="14" t="s">
        <v>22</v>
      </c>
      <c r="K145" s="14">
        <v>49.0</v>
      </c>
      <c r="L145" s="14" t="s">
        <v>23</v>
      </c>
      <c r="M145" s="14" t="s">
        <v>24</v>
      </c>
      <c r="N145" s="20"/>
      <c r="O145" s="14">
        <v>1.0</v>
      </c>
      <c r="P145" s="15" t="s">
        <v>201</v>
      </c>
      <c r="Q145" s="16"/>
      <c r="R145" s="16"/>
      <c r="S145" s="16"/>
      <c r="T145" s="16"/>
      <c r="U145" s="16"/>
      <c r="V145" s="16"/>
      <c r="W145" s="16"/>
      <c r="X145" s="16"/>
      <c r="Y145" s="16"/>
      <c r="Z145" s="16"/>
    </row>
    <row r="146">
      <c r="A146" s="10">
        <v>42528.0</v>
      </c>
      <c r="B146" s="11">
        <v>7.2782816E7</v>
      </c>
      <c r="C146" s="12" t="s">
        <v>202</v>
      </c>
      <c r="D146" s="13" t="s">
        <v>18</v>
      </c>
      <c r="E146" s="13" t="s">
        <v>29</v>
      </c>
      <c r="F146" s="13">
        <v>47.0</v>
      </c>
      <c r="G146" s="13" t="s">
        <v>20</v>
      </c>
      <c r="H146" s="13" t="s">
        <v>23</v>
      </c>
      <c r="I146" s="14" t="s">
        <v>18</v>
      </c>
      <c r="J146" s="14" t="s">
        <v>29</v>
      </c>
      <c r="K146" s="14">
        <v>53.0</v>
      </c>
      <c r="L146" s="14" t="s">
        <v>23</v>
      </c>
      <c r="M146" s="14" t="s">
        <v>60</v>
      </c>
      <c r="N146" s="20"/>
      <c r="O146" s="14" t="s">
        <v>35</v>
      </c>
      <c r="P146" s="15" t="s">
        <v>203</v>
      </c>
      <c r="Q146" s="16"/>
      <c r="R146" s="16"/>
      <c r="S146" s="16"/>
      <c r="T146" s="16"/>
      <c r="U146" s="16"/>
      <c r="V146" s="16"/>
      <c r="W146" s="16"/>
      <c r="X146" s="16"/>
      <c r="Y146" s="16"/>
      <c r="Z146" s="16"/>
    </row>
    <row r="147">
      <c r="A147" s="10">
        <v>42519.0</v>
      </c>
      <c r="B147" s="11">
        <v>7.2408916E7</v>
      </c>
      <c r="C147" s="12" t="s">
        <v>204</v>
      </c>
      <c r="D147" s="13" t="s">
        <v>18</v>
      </c>
      <c r="E147" s="13" t="s">
        <v>19</v>
      </c>
      <c r="F147" s="13">
        <v>25.0</v>
      </c>
      <c r="G147" s="13" t="s">
        <v>34</v>
      </c>
      <c r="H147" s="13" t="s">
        <v>28</v>
      </c>
      <c r="I147" s="14" t="s">
        <v>18</v>
      </c>
      <c r="J147" s="14" t="s">
        <v>22</v>
      </c>
      <c r="K147" s="14">
        <v>53.0</v>
      </c>
      <c r="L147" s="14" t="s">
        <v>23</v>
      </c>
      <c r="M147" s="14" t="s">
        <v>24</v>
      </c>
      <c r="N147" s="20"/>
      <c r="O147" s="14">
        <v>1.0</v>
      </c>
      <c r="P147" s="15" t="s">
        <v>205</v>
      </c>
      <c r="Q147" s="16"/>
      <c r="R147" s="16"/>
      <c r="S147" s="16"/>
      <c r="T147" s="16"/>
      <c r="U147" s="16"/>
      <c r="V147" s="16"/>
      <c r="W147" s="16"/>
      <c r="X147" s="16"/>
      <c r="Y147" s="16"/>
      <c r="Z147" s="16"/>
    </row>
    <row r="148">
      <c r="A148" s="10">
        <v>42517.0</v>
      </c>
      <c r="B148" s="11">
        <v>6.7632516E7</v>
      </c>
      <c r="C148" s="12" t="s">
        <v>206</v>
      </c>
      <c r="D148" s="13" t="s">
        <v>18</v>
      </c>
      <c r="E148" s="13" t="s">
        <v>33</v>
      </c>
      <c r="F148" s="13" t="s">
        <v>157</v>
      </c>
      <c r="G148" s="13" t="s">
        <v>23</v>
      </c>
      <c r="H148" s="13" t="s">
        <v>152</v>
      </c>
      <c r="I148" s="14" t="s">
        <v>18</v>
      </c>
      <c r="J148" s="14" t="s">
        <v>19</v>
      </c>
      <c r="K148" s="14">
        <v>47.0</v>
      </c>
      <c r="L148" s="14" t="s">
        <v>23</v>
      </c>
      <c r="M148" s="14" t="s">
        <v>24</v>
      </c>
      <c r="N148" s="20"/>
      <c r="O148" s="14" t="s">
        <v>35</v>
      </c>
      <c r="P148" s="15" t="s">
        <v>207</v>
      </c>
      <c r="Q148" s="16"/>
      <c r="R148" s="16"/>
      <c r="S148" s="16"/>
      <c r="T148" s="16"/>
      <c r="U148" s="16"/>
      <c r="V148" s="16"/>
      <c r="W148" s="16"/>
      <c r="X148" s="16"/>
      <c r="Y148" s="16"/>
      <c r="Z148" s="16"/>
    </row>
    <row r="149">
      <c r="I149" s="14" t="s">
        <v>18</v>
      </c>
      <c r="J149" s="14" t="s">
        <v>22</v>
      </c>
      <c r="K149" s="14">
        <v>34.0</v>
      </c>
      <c r="L149" s="14" t="s">
        <v>23</v>
      </c>
      <c r="M149" s="14" t="s">
        <v>24</v>
      </c>
      <c r="N149" s="20"/>
      <c r="O149" s="14" t="s">
        <v>35</v>
      </c>
      <c r="Q149" s="16"/>
      <c r="R149" s="16"/>
      <c r="S149" s="16"/>
      <c r="T149" s="16"/>
      <c r="U149" s="16"/>
      <c r="V149" s="16"/>
      <c r="W149" s="16"/>
      <c r="X149" s="16"/>
      <c r="Y149" s="16"/>
      <c r="Z149" s="16"/>
    </row>
    <row r="150">
      <c r="A150" s="10">
        <v>42514.0</v>
      </c>
      <c r="B150" s="11">
        <v>6.6462816E7</v>
      </c>
      <c r="C150" s="12" t="s">
        <v>208</v>
      </c>
      <c r="D150" s="13" t="s">
        <v>18</v>
      </c>
      <c r="E150" s="13" t="s">
        <v>22</v>
      </c>
      <c r="F150" s="13">
        <v>30.0</v>
      </c>
      <c r="G150" s="13" t="s">
        <v>20</v>
      </c>
      <c r="H150" s="13" t="s">
        <v>152</v>
      </c>
      <c r="I150" s="14" t="s">
        <v>18</v>
      </c>
      <c r="J150" s="14" t="s">
        <v>19</v>
      </c>
      <c r="K150" s="14">
        <v>56.0</v>
      </c>
      <c r="L150" s="14" t="s">
        <v>20</v>
      </c>
      <c r="M150" s="14" t="s">
        <v>24</v>
      </c>
      <c r="N150" s="20"/>
      <c r="O150" s="14">
        <v>1.0</v>
      </c>
      <c r="P150" s="15" t="s">
        <v>209</v>
      </c>
      <c r="Q150" s="16"/>
      <c r="R150" s="16"/>
      <c r="S150" s="16"/>
      <c r="T150" s="16"/>
      <c r="U150" s="16"/>
      <c r="V150" s="16"/>
      <c r="W150" s="16"/>
      <c r="X150" s="16"/>
      <c r="Y150" s="16"/>
      <c r="Z150" s="16"/>
    </row>
    <row r="151">
      <c r="A151" s="10">
        <v>42488.0</v>
      </c>
      <c r="B151" s="11">
        <v>5.4184916E7</v>
      </c>
      <c r="C151" s="12" t="s">
        <v>210</v>
      </c>
      <c r="D151" s="13" t="s">
        <v>18</v>
      </c>
      <c r="E151" s="13" t="s">
        <v>29</v>
      </c>
      <c r="F151" s="13">
        <v>42.0</v>
      </c>
      <c r="G151" s="13" t="s">
        <v>20</v>
      </c>
      <c r="H151" s="13" t="s">
        <v>140</v>
      </c>
      <c r="I151" s="14" t="s">
        <v>18</v>
      </c>
      <c r="J151" s="14" t="s">
        <v>22</v>
      </c>
      <c r="K151" s="14">
        <v>32.0</v>
      </c>
      <c r="L151" s="14" t="s">
        <v>23</v>
      </c>
      <c r="M151" s="14" t="s">
        <v>24</v>
      </c>
      <c r="N151" s="20"/>
      <c r="O151" s="14" t="s">
        <v>35</v>
      </c>
      <c r="P151" s="15" t="s">
        <v>211</v>
      </c>
      <c r="Q151" s="16"/>
      <c r="R151" s="16"/>
      <c r="S151" s="16"/>
      <c r="T151" s="16"/>
      <c r="U151" s="16"/>
      <c r="V151" s="16"/>
      <c r="W151" s="16"/>
      <c r="X151" s="16"/>
      <c r="Y151" s="16"/>
      <c r="Z151" s="16"/>
    </row>
    <row r="152">
      <c r="A152" s="10">
        <v>42510.0</v>
      </c>
      <c r="B152" s="11">
        <v>6.4416616E7</v>
      </c>
      <c r="C152" s="12" t="s">
        <v>212</v>
      </c>
      <c r="D152" s="13" t="s">
        <v>18</v>
      </c>
      <c r="E152" s="13" t="s">
        <v>19</v>
      </c>
      <c r="F152" s="13">
        <v>22.0</v>
      </c>
      <c r="G152" s="13" t="s">
        <v>20</v>
      </c>
      <c r="H152" s="13" t="s">
        <v>28</v>
      </c>
      <c r="I152" s="14" t="s">
        <v>18</v>
      </c>
      <c r="J152" s="14" t="s">
        <v>19</v>
      </c>
      <c r="K152" s="14">
        <v>40.0</v>
      </c>
      <c r="L152" s="14" t="s">
        <v>23</v>
      </c>
      <c r="M152" s="14" t="s">
        <v>24</v>
      </c>
      <c r="N152" s="20"/>
      <c r="O152" s="14" t="s">
        <v>35</v>
      </c>
      <c r="P152" s="15" t="s">
        <v>213</v>
      </c>
      <c r="Q152" s="16"/>
      <c r="R152" s="16"/>
      <c r="S152" s="16"/>
      <c r="T152" s="16"/>
      <c r="U152" s="16"/>
      <c r="V152" s="16"/>
      <c r="W152" s="16"/>
      <c r="X152" s="16"/>
      <c r="Y152" s="16"/>
      <c r="Z152" s="16"/>
    </row>
    <row r="153">
      <c r="A153" s="10">
        <v>42477.0</v>
      </c>
      <c r="B153" s="11">
        <v>4.8805716E7</v>
      </c>
      <c r="C153" s="12" t="s">
        <v>214</v>
      </c>
      <c r="D153" s="13" t="s">
        <v>18</v>
      </c>
      <c r="E153" s="13" t="s">
        <v>29</v>
      </c>
      <c r="F153" s="13">
        <v>29.0</v>
      </c>
      <c r="G153" s="13" t="s">
        <v>20</v>
      </c>
      <c r="H153" s="13" t="s">
        <v>28</v>
      </c>
      <c r="I153" s="14" t="s">
        <v>18</v>
      </c>
      <c r="J153" s="14" t="s">
        <v>19</v>
      </c>
      <c r="K153" s="14">
        <v>34.0</v>
      </c>
      <c r="L153" s="14" t="s">
        <v>23</v>
      </c>
      <c r="M153" s="14" t="s">
        <v>24</v>
      </c>
      <c r="N153" s="20"/>
      <c r="O153" s="14" t="s">
        <v>35</v>
      </c>
      <c r="P153" s="15" t="s">
        <v>215</v>
      </c>
      <c r="Q153" s="16"/>
      <c r="R153" s="16"/>
      <c r="S153" s="16"/>
      <c r="T153" s="16"/>
      <c r="U153" s="16"/>
      <c r="V153" s="16"/>
      <c r="W153" s="16"/>
      <c r="X153" s="16"/>
      <c r="Y153" s="16"/>
      <c r="Z153" s="16"/>
    </row>
    <row r="154">
      <c r="A154" s="10">
        <v>42474.0</v>
      </c>
      <c r="B154" s="11">
        <v>4.7566916E7</v>
      </c>
      <c r="C154" s="12" t="s">
        <v>216</v>
      </c>
      <c r="D154" s="13" t="s">
        <v>18</v>
      </c>
      <c r="E154" s="13" t="s">
        <v>29</v>
      </c>
      <c r="F154" s="13" t="s">
        <v>157</v>
      </c>
      <c r="G154" s="13" t="s">
        <v>140</v>
      </c>
      <c r="H154" s="13" t="s">
        <v>28</v>
      </c>
      <c r="I154" s="14" t="s">
        <v>18</v>
      </c>
      <c r="J154" s="14" t="s">
        <v>19</v>
      </c>
      <c r="K154" s="14">
        <v>51.0</v>
      </c>
      <c r="L154" s="14" t="s">
        <v>23</v>
      </c>
      <c r="M154" s="14" t="s">
        <v>60</v>
      </c>
      <c r="N154" s="20"/>
      <c r="O154" s="14">
        <v>1.0</v>
      </c>
      <c r="P154" s="15" t="s">
        <v>217</v>
      </c>
      <c r="Q154" s="16"/>
      <c r="R154" s="16"/>
      <c r="S154" s="16"/>
      <c r="T154" s="16"/>
      <c r="U154" s="16"/>
      <c r="V154" s="16"/>
      <c r="W154" s="16"/>
      <c r="X154" s="16"/>
      <c r="Y154" s="16"/>
      <c r="Z154" s="16"/>
    </row>
    <row r="155">
      <c r="D155" s="13" t="s">
        <v>18</v>
      </c>
      <c r="E155" s="13" t="s">
        <v>29</v>
      </c>
      <c r="F155" s="13">
        <v>37.0</v>
      </c>
      <c r="G155" s="13" t="s">
        <v>140</v>
      </c>
      <c r="H155" s="13" t="s">
        <v>28</v>
      </c>
      <c r="N155" s="20"/>
      <c r="Q155" s="16"/>
      <c r="R155" s="16"/>
      <c r="S155" s="16"/>
      <c r="T155" s="16"/>
      <c r="U155" s="16"/>
      <c r="V155" s="16"/>
      <c r="W155" s="16"/>
      <c r="X155" s="16"/>
      <c r="Y155" s="16"/>
      <c r="Z155" s="16"/>
    </row>
    <row r="156">
      <c r="A156" s="10">
        <v>42449.0</v>
      </c>
      <c r="B156" s="11">
        <v>3.5690916E7</v>
      </c>
      <c r="C156" s="12" t="s">
        <v>218</v>
      </c>
      <c r="D156" s="13" t="s">
        <v>18</v>
      </c>
      <c r="E156" s="13" t="s">
        <v>19</v>
      </c>
      <c r="F156" s="13">
        <v>28.0</v>
      </c>
      <c r="G156" s="13" t="s">
        <v>20</v>
      </c>
      <c r="H156" s="13" t="s">
        <v>28</v>
      </c>
      <c r="I156" s="14" t="s">
        <v>18</v>
      </c>
      <c r="J156" s="14" t="s">
        <v>19</v>
      </c>
      <c r="K156" s="14">
        <v>47.0</v>
      </c>
      <c r="L156" s="14" t="s">
        <v>23</v>
      </c>
      <c r="M156" s="14" t="s">
        <v>24</v>
      </c>
      <c r="N156" s="20"/>
      <c r="O156" s="14">
        <v>1.0</v>
      </c>
      <c r="P156" s="15" t="s">
        <v>219</v>
      </c>
      <c r="Q156" s="16"/>
      <c r="R156" s="16"/>
      <c r="S156" s="16"/>
      <c r="T156" s="16"/>
      <c r="U156" s="16"/>
      <c r="V156" s="16"/>
      <c r="W156" s="16"/>
      <c r="X156" s="16"/>
      <c r="Y156" s="16"/>
      <c r="Z156" s="16"/>
    </row>
    <row r="157">
      <c r="I157" s="14" t="s">
        <v>18</v>
      </c>
      <c r="J157" s="14" t="s">
        <v>19</v>
      </c>
      <c r="K157" s="14">
        <v>48.0</v>
      </c>
      <c r="L157" s="14" t="s">
        <v>23</v>
      </c>
      <c r="M157" s="14" t="s">
        <v>24</v>
      </c>
      <c r="N157" s="20"/>
      <c r="O157" s="14">
        <v>1.0</v>
      </c>
      <c r="Q157" s="16"/>
      <c r="R157" s="16"/>
      <c r="S157" s="16"/>
      <c r="T157" s="16"/>
      <c r="U157" s="16"/>
      <c r="V157" s="16"/>
      <c r="W157" s="16"/>
      <c r="X157" s="16"/>
      <c r="Y157" s="16"/>
      <c r="Z157" s="16"/>
    </row>
    <row r="158">
      <c r="A158" s="10">
        <v>42446.0</v>
      </c>
      <c r="B158" s="11">
        <v>3.4516216E7</v>
      </c>
      <c r="C158" s="12" t="s">
        <v>220</v>
      </c>
      <c r="D158" s="13" t="s">
        <v>18</v>
      </c>
      <c r="E158" s="13" t="s">
        <v>29</v>
      </c>
      <c r="F158" s="13">
        <v>32.0</v>
      </c>
      <c r="G158" s="13" t="s">
        <v>23</v>
      </c>
      <c r="H158" s="13" t="s">
        <v>28</v>
      </c>
      <c r="I158" s="14" t="s">
        <v>18</v>
      </c>
      <c r="J158" s="14" t="s">
        <v>22</v>
      </c>
      <c r="K158" s="14">
        <v>30.0</v>
      </c>
      <c r="L158" s="14" t="s">
        <v>23</v>
      </c>
      <c r="M158" s="14" t="s">
        <v>24</v>
      </c>
      <c r="N158" s="20"/>
      <c r="O158" s="14" t="s">
        <v>35</v>
      </c>
      <c r="P158" s="15" t="s">
        <v>221</v>
      </c>
      <c r="Q158" s="16"/>
      <c r="R158" s="16"/>
      <c r="S158" s="16"/>
      <c r="T158" s="16"/>
      <c r="U158" s="16"/>
      <c r="V158" s="16"/>
      <c r="W158" s="16"/>
      <c r="X158" s="16"/>
      <c r="Y158" s="16"/>
      <c r="Z158" s="16"/>
    </row>
    <row r="159">
      <c r="D159" s="13" t="s">
        <v>18</v>
      </c>
      <c r="E159" s="13" t="s">
        <v>29</v>
      </c>
      <c r="F159" s="13">
        <v>25.0</v>
      </c>
      <c r="G159" s="13" t="s">
        <v>20</v>
      </c>
      <c r="H159" s="13" t="s">
        <v>23</v>
      </c>
      <c r="I159" s="14" t="s">
        <v>18</v>
      </c>
      <c r="J159" s="14" t="s">
        <v>22</v>
      </c>
      <c r="K159" s="14">
        <v>30.0</v>
      </c>
      <c r="L159" s="14" t="s">
        <v>23</v>
      </c>
      <c r="M159" s="14" t="s">
        <v>24</v>
      </c>
      <c r="N159" s="20"/>
      <c r="O159" s="14" t="s">
        <v>35</v>
      </c>
      <c r="Q159" s="16"/>
      <c r="R159" s="16"/>
      <c r="S159" s="16"/>
      <c r="T159" s="16"/>
      <c r="U159" s="16"/>
      <c r="V159" s="16"/>
      <c r="W159" s="16"/>
      <c r="X159" s="16"/>
      <c r="Y159" s="16"/>
      <c r="Z159" s="16"/>
    </row>
    <row r="160">
      <c r="D160" s="13" t="s">
        <v>18</v>
      </c>
      <c r="E160" s="13" t="s">
        <v>29</v>
      </c>
      <c r="F160" s="13">
        <v>23.0</v>
      </c>
      <c r="G160" s="13" t="s">
        <v>20</v>
      </c>
      <c r="H160" s="13" t="s">
        <v>28</v>
      </c>
      <c r="I160" s="14" t="s">
        <v>18</v>
      </c>
      <c r="J160" s="14" t="s">
        <v>22</v>
      </c>
      <c r="K160" s="14">
        <v>31.0</v>
      </c>
      <c r="L160" s="14" t="s">
        <v>23</v>
      </c>
      <c r="M160" s="14" t="s">
        <v>24</v>
      </c>
      <c r="N160" s="20"/>
      <c r="O160" s="14" t="s">
        <v>35</v>
      </c>
      <c r="Q160" s="16"/>
      <c r="R160" s="16"/>
      <c r="S160" s="16"/>
      <c r="T160" s="16"/>
      <c r="U160" s="16"/>
      <c r="V160" s="16"/>
      <c r="W160" s="16"/>
      <c r="X160" s="16"/>
      <c r="Y160" s="16"/>
      <c r="Z160" s="16"/>
    </row>
    <row r="161">
      <c r="D161" s="13" t="s">
        <v>18</v>
      </c>
      <c r="E161" s="13" t="s">
        <v>29</v>
      </c>
      <c r="F161" s="13">
        <v>29.0</v>
      </c>
      <c r="G161" s="13" t="s">
        <v>34</v>
      </c>
      <c r="H161" s="13" t="s">
        <v>23</v>
      </c>
      <c r="I161" s="14" t="s">
        <v>18</v>
      </c>
      <c r="J161" s="14" t="s">
        <v>22</v>
      </c>
      <c r="K161" s="14">
        <v>47.0</v>
      </c>
      <c r="L161" s="14" t="s">
        <v>23</v>
      </c>
      <c r="M161" s="14" t="s">
        <v>24</v>
      </c>
      <c r="N161" s="20"/>
      <c r="O161" s="14">
        <v>1.0</v>
      </c>
      <c r="Q161" s="16"/>
      <c r="R161" s="16"/>
      <c r="S161" s="16"/>
      <c r="T161" s="16"/>
      <c r="U161" s="16"/>
      <c r="V161" s="16"/>
      <c r="W161" s="16"/>
      <c r="X161" s="16"/>
      <c r="Y161" s="16"/>
      <c r="Z161" s="16"/>
    </row>
    <row r="162">
      <c r="D162" s="13" t="s">
        <v>18</v>
      </c>
      <c r="E162" s="13" t="s">
        <v>29</v>
      </c>
      <c r="F162" s="13">
        <v>30.0</v>
      </c>
      <c r="G162" s="13" t="s">
        <v>34</v>
      </c>
      <c r="H162" s="13" t="s">
        <v>28</v>
      </c>
      <c r="I162" s="14" t="s">
        <v>18</v>
      </c>
      <c r="J162" s="14" t="s">
        <v>22</v>
      </c>
      <c r="K162" s="14">
        <v>26.0</v>
      </c>
      <c r="L162" s="14" t="s">
        <v>23</v>
      </c>
      <c r="M162" s="14" t="s">
        <v>24</v>
      </c>
      <c r="N162" s="20"/>
      <c r="O162" s="14" t="s">
        <v>35</v>
      </c>
      <c r="Q162" s="16"/>
      <c r="R162" s="16"/>
      <c r="S162" s="16"/>
      <c r="T162" s="16"/>
      <c r="U162" s="16"/>
      <c r="V162" s="16"/>
      <c r="W162" s="16"/>
      <c r="X162" s="16"/>
      <c r="Y162" s="16"/>
      <c r="Z162" s="16"/>
    </row>
    <row r="163">
      <c r="D163" s="13" t="s">
        <v>18</v>
      </c>
      <c r="E163" s="13" t="s">
        <v>29</v>
      </c>
      <c r="F163" s="13">
        <v>32.0</v>
      </c>
      <c r="G163" s="13" t="s">
        <v>23</v>
      </c>
      <c r="H163" s="13" t="s">
        <v>28</v>
      </c>
      <c r="I163" s="14" t="s">
        <v>18</v>
      </c>
      <c r="J163" s="14" t="s">
        <v>22</v>
      </c>
      <c r="K163" s="14">
        <v>34.0</v>
      </c>
      <c r="L163" s="14" t="s">
        <v>23</v>
      </c>
      <c r="M163" s="14" t="s">
        <v>24</v>
      </c>
      <c r="N163" s="20"/>
      <c r="O163" s="14">
        <v>1.0</v>
      </c>
      <c r="Q163" s="16"/>
      <c r="R163" s="16"/>
      <c r="S163" s="16"/>
      <c r="T163" s="16"/>
      <c r="U163" s="16"/>
      <c r="V163" s="16"/>
      <c r="W163" s="16"/>
      <c r="X163" s="16"/>
      <c r="Y163" s="16"/>
      <c r="Z163" s="16"/>
    </row>
    <row r="164">
      <c r="A164" s="10">
        <v>42441.0</v>
      </c>
      <c r="B164" s="11">
        <v>3.2189216E7</v>
      </c>
      <c r="C164" s="12" t="s">
        <v>222</v>
      </c>
      <c r="D164" s="13" t="s">
        <v>18</v>
      </c>
      <c r="E164" s="13" t="s">
        <v>29</v>
      </c>
      <c r="F164" s="13">
        <v>37.0</v>
      </c>
      <c r="G164" s="13" t="s">
        <v>34</v>
      </c>
      <c r="H164" s="13" t="s">
        <v>23</v>
      </c>
      <c r="I164" s="14" t="s">
        <v>18</v>
      </c>
      <c r="J164" s="14" t="s">
        <v>29</v>
      </c>
      <c r="K164" s="14">
        <v>28.0</v>
      </c>
      <c r="L164" s="14" t="s">
        <v>23</v>
      </c>
      <c r="M164" s="14" t="s">
        <v>24</v>
      </c>
      <c r="N164" s="20"/>
      <c r="O164" s="14">
        <v>1.0</v>
      </c>
      <c r="P164" s="15" t="s">
        <v>223</v>
      </c>
      <c r="Q164" s="16"/>
      <c r="R164" s="16"/>
      <c r="S164" s="16"/>
      <c r="T164" s="16"/>
      <c r="U164" s="16"/>
      <c r="V164" s="16"/>
      <c r="W164" s="16"/>
      <c r="X164" s="16"/>
      <c r="Y164" s="16"/>
      <c r="Z164" s="16"/>
    </row>
    <row r="165">
      <c r="A165" s="10">
        <v>42437.0</v>
      </c>
      <c r="B165" s="11">
        <v>3.0130016E7</v>
      </c>
      <c r="C165" s="12" t="s">
        <v>224</v>
      </c>
      <c r="D165" s="13" t="s">
        <v>18</v>
      </c>
      <c r="E165" s="13" t="s">
        <v>29</v>
      </c>
      <c r="F165" s="13">
        <v>20.0</v>
      </c>
      <c r="G165" s="13" t="s">
        <v>23</v>
      </c>
      <c r="H165" s="13" t="s">
        <v>28</v>
      </c>
      <c r="I165" s="14" t="s">
        <v>18</v>
      </c>
      <c r="J165" s="14" t="s">
        <v>22</v>
      </c>
      <c r="K165" s="14">
        <v>48.0</v>
      </c>
      <c r="L165" s="14" t="s">
        <v>23</v>
      </c>
      <c r="M165" s="14" t="s">
        <v>24</v>
      </c>
      <c r="N165" s="20"/>
      <c r="O165" s="14">
        <v>1.0</v>
      </c>
      <c r="P165" s="15" t="s">
        <v>225</v>
      </c>
      <c r="Q165" s="16"/>
      <c r="R165" s="16"/>
      <c r="S165" s="16"/>
      <c r="T165" s="16"/>
      <c r="U165" s="16"/>
      <c r="V165" s="16"/>
      <c r="W165" s="16"/>
      <c r="X165" s="16"/>
      <c r="Y165" s="16"/>
      <c r="Z165" s="16"/>
    </row>
    <row r="166">
      <c r="I166" s="14" t="s">
        <v>18</v>
      </c>
      <c r="J166" s="14" t="s">
        <v>19</v>
      </c>
      <c r="K166" s="14">
        <v>38.0</v>
      </c>
      <c r="L166" s="14" t="s">
        <v>23</v>
      </c>
      <c r="M166" s="14" t="s">
        <v>24</v>
      </c>
      <c r="N166" s="20"/>
      <c r="O166" s="14">
        <v>1.0</v>
      </c>
      <c r="Q166" s="16"/>
      <c r="R166" s="16"/>
      <c r="S166" s="16"/>
      <c r="T166" s="16"/>
      <c r="U166" s="16"/>
      <c r="V166" s="16"/>
      <c r="W166" s="16"/>
      <c r="X166" s="16"/>
      <c r="Y166" s="16"/>
      <c r="Z166" s="16"/>
    </row>
    <row r="167">
      <c r="A167" s="10">
        <v>42413.0</v>
      </c>
      <c r="B167" s="11">
        <v>1.9345016E7</v>
      </c>
      <c r="C167" s="12" t="s">
        <v>226</v>
      </c>
      <c r="D167" s="13" t="s">
        <v>164</v>
      </c>
      <c r="E167" s="13" t="s">
        <v>164</v>
      </c>
      <c r="F167" s="13" t="s">
        <v>164</v>
      </c>
      <c r="G167" s="13" t="s">
        <v>20</v>
      </c>
      <c r="H167" s="13" t="s">
        <v>28</v>
      </c>
      <c r="I167" s="14" t="s">
        <v>18</v>
      </c>
      <c r="J167" s="14" t="s">
        <v>19</v>
      </c>
      <c r="K167" s="14">
        <v>50.0</v>
      </c>
      <c r="L167" s="14" t="s">
        <v>23</v>
      </c>
      <c r="M167" s="14" t="s">
        <v>24</v>
      </c>
      <c r="N167" s="20"/>
      <c r="O167" s="14">
        <v>1.0</v>
      </c>
      <c r="P167" s="15" t="s">
        <v>227</v>
      </c>
      <c r="Q167" s="16"/>
      <c r="R167" s="16"/>
      <c r="S167" s="16"/>
      <c r="T167" s="16"/>
      <c r="U167" s="16"/>
      <c r="V167" s="16"/>
      <c r="W167" s="16"/>
      <c r="X167" s="16"/>
      <c r="Y167" s="16"/>
      <c r="Z167" s="16"/>
    </row>
    <row r="168">
      <c r="D168" s="13" t="s">
        <v>18</v>
      </c>
      <c r="E168" s="13" t="s">
        <v>29</v>
      </c>
      <c r="F168" s="13">
        <v>20.0</v>
      </c>
      <c r="G168" s="13" t="s">
        <v>23</v>
      </c>
      <c r="H168" s="13" t="s">
        <v>28</v>
      </c>
      <c r="N168" s="20"/>
      <c r="Q168" s="16"/>
      <c r="R168" s="16"/>
      <c r="S168" s="16"/>
      <c r="T168" s="16"/>
      <c r="U168" s="16"/>
      <c r="V168" s="16"/>
      <c r="W168" s="16"/>
      <c r="X168" s="16"/>
      <c r="Y168" s="16"/>
      <c r="Z168" s="16"/>
    </row>
    <row r="169">
      <c r="A169" s="10">
        <v>42405.0</v>
      </c>
      <c r="B169" s="11">
        <v>1.5817516E7</v>
      </c>
      <c r="C169" s="12" t="s">
        <v>228</v>
      </c>
      <c r="D169" s="13" t="s">
        <v>164</v>
      </c>
      <c r="E169" s="13" t="s">
        <v>164</v>
      </c>
      <c r="F169" s="13" t="s">
        <v>164</v>
      </c>
      <c r="G169" s="13" t="s">
        <v>23</v>
      </c>
      <c r="H169" s="13" t="s">
        <v>23</v>
      </c>
      <c r="I169" s="14" t="s">
        <v>18</v>
      </c>
      <c r="J169" s="14" t="s">
        <v>22</v>
      </c>
      <c r="K169" s="14">
        <v>47.0</v>
      </c>
      <c r="L169" s="14" t="s">
        <v>23</v>
      </c>
      <c r="M169" s="14" t="s">
        <v>60</v>
      </c>
      <c r="N169" s="20"/>
      <c r="O169" s="14">
        <v>1.0</v>
      </c>
      <c r="P169" s="15" t="s">
        <v>229</v>
      </c>
      <c r="Q169" s="16"/>
      <c r="R169" s="16"/>
      <c r="S169" s="16"/>
      <c r="T169" s="16"/>
      <c r="U169" s="16"/>
      <c r="V169" s="16"/>
      <c r="W169" s="16"/>
      <c r="X169" s="16"/>
      <c r="Y169" s="16"/>
      <c r="Z169" s="16"/>
    </row>
    <row r="170">
      <c r="D170" s="13" t="s">
        <v>164</v>
      </c>
      <c r="E170" s="13" t="s">
        <v>164</v>
      </c>
      <c r="F170" s="13" t="s">
        <v>164</v>
      </c>
      <c r="G170" s="13" t="s">
        <v>20</v>
      </c>
      <c r="H170" s="13" t="s">
        <v>28</v>
      </c>
      <c r="N170" s="20"/>
      <c r="Q170" s="16"/>
      <c r="R170" s="16"/>
      <c r="S170" s="16"/>
      <c r="T170" s="16"/>
      <c r="U170" s="16"/>
      <c r="V170" s="16"/>
      <c r="W170" s="16"/>
      <c r="X170" s="16"/>
      <c r="Y170" s="16"/>
      <c r="Z170" s="16"/>
    </row>
    <row r="171">
      <c r="A171" s="10">
        <v>42395.0</v>
      </c>
      <c r="B171" s="11">
        <v>1.1017416E7</v>
      </c>
      <c r="C171" s="12" t="s">
        <v>230</v>
      </c>
      <c r="D171" s="13" t="s">
        <v>84</v>
      </c>
      <c r="E171" s="13" t="s">
        <v>22</v>
      </c>
      <c r="F171" s="13">
        <v>40.0</v>
      </c>
      <c r="G171" s="13" t="s">
        <v>23</v>
      </c>
      <c r="H171" s="13" t="s">
        <v>28</v>
      </c>
      <c r="I171" s="14" t="s">
        <v>18</v>
      </c>
      <c r="J171" s="14" t="s">
        <v>22</v>
      </c>
      <c r="K171" s="14">
        <v>35.0</v>
      </c>
      <c r="L171" s="14" t="s">
        <v>23</v>
      </c>
      <c r="M171" s="14" t="s">
        <v>24</v>
      </c>
      <c r="N171" s="20"/>
      <c r="O171" s="14" t="s">
        <v>35</v>
      </c>
      <c r="P171" s="15" t="s">
        <v>231</v>
      </c>
      <c r="Q171" s="16"/>
      <c r="R171" s="16"/>
      <c r="S171" s="16"/>
      <c r="T171" s="16"/>
      <c r="U171" s="16"/>
      <c r="V171" s="16"/>
      <c r="W171" s="16"/>
      <c r="X171" s="16"/>
      <c r="Y171" s="16"/>
      <c r="Z171" s="16"/>
    </row>
    <row r="172">
      <c r="I172" s="14" t="s">
        <v>18</v>
      </c>
      <c r="J172" s="14" t="s">
        <v>29</v>
      </c>
      <c r="K172" s="14">
        <v>27.0</v>
      </c>
      <c r="L172" s="14" t="s">
        <v>23</v>
      </c>
      <c r="M172" s="14" t="s">
        <v>24</v>
      </c>
      <c r="N172" s="20"/>
      <c r="O172" s="14" t="s">
        <v>35</v>
      </c>
      <c r="Q172" s="16"/>
      <c r="R172" s="16"/>
      <c r="S172" s="16"/>
      <c r="T172" s="16"/>
      <c r="U172" s="16"/>
      <c r="V172" s="16"/>
      <c r="W172" s="16"/>
      <c r="X172" s="16"/>
      <c r="Y172" s="16"/>
      <c r="Z172" s="16"/>
    </row>
    <row r="173">
      <c r="A173" s="10">
        <v>42388.0</v>
      </c>
      <c r="B173" s="11">
        <v>7896816.0</v>
      </c>
      <c r="C173" s="12" t="s">
        <v>232</v>
      </c>
      <c r="D173" s="13" t="s">
        <v>18</v>
      </c>
      <c r="E173" s="13" t="s">
        <v>29</v>
      </c>
      <c r="F173" s="13">
        <v>27.0</v>
      </c>
      <c r="G173" s="13" t="s">
        <v>23</v>
      </c>
      <c r="H173" s="13" t="s">
        <v>28</v>
      </c>
      <c r="I173" s="14" t="s">
        <v>18</v>
      </c>
      <c r="J173" s="14" t="s">
        <v>22</v>
      </c>
      <c r="K173" s="14">
        <v>33.0</v>
      </c>
      <c r="L173" s="14" t="s">
        <v>20</v>
      </c>
      <c r="M173" s="14" t="s">
        <v>24</v>
      </c>
      <c r="N173" s="20"/>
      <c r="O173" s="14">
        <v>1.0</v>
      </c>
      <c r="P173" s="15" t="s">
        <v>233</v>
      </c>
      <c r="Q173" s="16"/>
      <c r="R173" s="16"/>
      <c r="S173" s="16"/>
      <c r="T173" s="16"/>
      <c r="U173" s="16"/>
      <c r="V173" s="16"/>
      <c r="W173" s="16"/>
      <c r="X173" s="16"/>
      <c r="Y173" s="16"/>
      <c r="Z173" s="16"/>
    </row>
    <row r="174">
      <c r="D174" s="13" t="s">
        <v>164</v>
      </c>
      <c r="E174" s="13" t="s">
        <v>164</v>
      </c>
      <c r="F174" s="13" t="s">
        <v>164</v>
      </c>
      <c r="G174" s="13" t="s">
        <v>23</v>
      </c>
      <c r="H174" s="13" t="s">
        <v>23</v>
      </c>
      <c r="Q174" s="16"/>
      <c r="R174" s="16"/>
      <c r="S174" s="16"/>
      <c r="T174" s="16"/>
      <c r="U174" s="16"/>
      <c r="V174" s="16"/>
      <c r="W174" s="16"/>
      <c r="X174" s="16"/>
      <c r="Y174" s="16"/>
      <c r="Z174" s="16"/>
    </row>
    <row r="175">
      <c r="A175" s="10">
        <v>42367.0</v>
      </c>
      <c r="B175" s="23">
        <v>1.66610115E8</v>
      </c>
      <c r="C175" s="12" t="s">
        <v>234</v>
      </c>
      <c r="D175" s="13" t="s">
        <v>18</v>
      </c>
      <c r="E175" s="13" t="s">
        <v>29</v>
      </c>
      <c r="F175" s="13">
        <v>22.0</v>
      </c>
      <c r="G175" s="13" t="s">
        <v>23</v>
      </c>
      <c r="H175" s="13" t="s">
        <v>23</v>
      </c>
      <c r="I175" s="14" t="s">
        <v>18</v>
      </c>
      <c r="J175" s="14" t="s">
        <v>22</v>
      </c>
      <c r="K175" s="14">
        <v>32.0</v>
      </c>
      <c r="L175" s="14" t="s">
        <v>23</v>
      </c>
      <c r="M175" s="14" t="s">
        <v>60</v>
      </c>
      <c r="N175" s="20"/>
      <c r="O175" s="14">
        <v>1.0</v>
      </c>
      <c r="P175" s="15" t="s">
        <v>235</v>
      </c>
      <c r="Q175" s="16"/>
      <c r="R175" s="16"/>
      <c r="S175" s="16"/>
      <c r="T175" s="16"/>
      <c r="U175" s="16"/>
      <c r="V175" s="16"/>
      <c r="W175" s="16"/>
      <c r="X175" s="16"/>
      <c r="Y175" s="16"/>
      <c r="Z175" s="16"/>
    </row>
    <row r="176">
      <c r="D176" s="13" t="s">
        <v>18</v>
      </c>
      <c r="E176" s="13" t="s">
        <v>29</v>
      </c>
      <c r="F176" s="13">
        <v>23.0</v>
      </c>
      <c r="G176" s="13" t="s">
        <v>20</v>
      </c>
      <c r="H176" s="13" t="s">
        <v>28</v>
      </c>
      <c r="Q176" s="16"/>
      <c r="R176" s="16"/>
      <c r="S176" s="16"/>
      <c r="T176" s="16"/>
      <c r="U176" s="16"/>
      <c r="V176" s="16"/>
      <c r="W176" s="16"/>
      <c r="X176" s="16"/>
      <c r="Y176" s="16"/>
      <c r="Z176" s="16"/>
    </row>
    <row r="177">
      <c r="A177" s="10">
        <v>42363.0</v>
      </c>
      <c r="B177" s="23">
        <v>1.65095615E8</v>
      </c>
      <c r="C177" s="12" t="s">
        <v>236</v>
      </c>
      <c r="D177" s="13" t="s">
        <v>164</v>
      </c>
      <c r="E177" s="13" t="s">
        <v>164</v>
      </c>
      <c r="F177" s="13" t="s">
        <v>164</v>
      </c>
      <c r="G177" s="13" t="s">
        <v>20</v>
      </c>
      <c r="H177" s="13" t="s">
        <v>23</v>
      </c>
      <c r="I177" s="14" t="s">
        <v>18</v>
      </c>
      <c r="J177" s="14" t="s">
        <v>22</v>
      </c>
      <c r="K177" s="14">
        <v>23.0</v>
      </c>
      <c r="L177" s="14" t="s">
        <v>20</v>
      </c>
      <c r="M177" s="14" t="s">
        <v>24</v>
      </c>
      <c r="N177" s="20"/>
      <c r="O177" s="14">
        <v>1.0</v>
      </c>
      <c r="P177" s="15" t="s">
        <v>237</v>
      </c>
      <c r="Q177" s="16"/>
      <c r="R177" s="16"/>
      <c r="S177" s="16"/>
      <c r="T177" s="16"/>
      <c r="U177" s="16"/>
      <c r="V177" s="16"/>
      <c r="W177" s="16"/>
      <c r="X177" s="16"/>
      <c r="Y177" s="16"/>
      <c r="Z177" s="16"/>
    </row>
    <row r="178">
      <c r="A178" s="10">
        <v>42350.0</v>
      </c>
      <c r="B178" s="23">
        <v>1.58966515E8</v>
      </c>
      <c r="C178" s="12" t="s">
        <v>238</v>
      </c>
      <c r="D178" s="13" t="s">
        <v>18</v>
      </c>
      <c r="E178" s="13" t="s">
        <v>19</v>
      </c>
      <c r="F178" s="13">
        <v>35.0</v>
      </c>
      <c r="G178" s="13" t="s">
        <v>20</v>
      </c>
      <c r="H178" s="13" t="s">
        <v>23</v>
      </c>
      <c r="I178" s="14" t="s">
        <v>18</v>
      </c>
      <c r="J178" s="14" t="s">
        <v>19</v>
      </c>
      <c r="K178" s="14">
        <v>47.0</v>
      </c>
      <c r="L178" s="14" t="s">
        <v>23</v>
      </c>
      <c r="M178" s="14" t="s">
        <v>24</v>
      </c>
      <c r="N178" s="20"/>
      <c r="O178" s="14" t="s">
        <v>35</v>
      </c>
      <c r="P178" s="15" t="s">
        <v>239</v>
      </c>
      <c r="Q178" s="16"/>
      <c r="R178" s="16"/>
      <c r="S178" s="16"/>
      <c r="T178" s="16"/>
      <c r="U178" s="16"/>
      <c r="V178" s="16"/>
      <c r="W178" s="16"/>
      <c r="X178" s="16"/>
      <c r="Y178" s="16"/>
      <c r="Z178" s="16"/>
    </row>
    <row r="179">
      <c r="A179" s="10">
        <v>42312.0</v>
      </c>
      <c r="B179" s="23">
        <v>1.41999815E8</v>
      </c>
      <c r="C179" s="12" t="s">
        <v>240</v>
      </c>
      <c r="D179" s="13" t="s">
        <v>18</v>
      </c>
      <c r="E179" s="13" t="s">
        <v>29</v>
      </c>
      <c r="F179" s="13">
        <v>56.0</v>
      </c>
      <c r="G179" s="13" t="s">
        <v>34</v>
      </c>
      <c r="H179" s="13" t="s">
        <v>28</v>
      </c>
      <c r="I179" s="14" t="s">
        <v>18</v>
      </c>
      <c r="J179" s="14" t="s">
        <v>22</v>
      </c>
      <c r="K179" s="14">
        <v>28.0</v>
      </c>
      <c r="L179" s="14" t="s">
        <v>23</v>
      </c>
      <c r="M179" s="14" t="s">
        <v>24</v>
      </c>
      <c r="N179" s="20"/>
      <c r="O179" s="14">
        <v>1.0</v>
      </c>
      <c r="P179" s="15" t="s">
        <v>241</v>
      </c>
      <c r="Q179" s="16"/>
      <c r="R179" s="16"/>
      <c r="S179" s="16"/>
      <c r="T179" s="16"/>
      <c r="U179" s="16"/>
      <c r="V179" s="16"/>
      <c r="W179" s="16"/>
      <c r="X179" s="16"/>
      <c r="Y179" s="16"/>
      <c r="Z179" s="16"/>
    </row>
    <row r="180">
      <c r="A180" s="10">
        <v>42307.0</v>
      </c>
      <c r="B180" s="23">
        <v>1.39741915E8</v>
      </c>
      <c r="C180" s="12" t="s">
        <v>242</v>
      </c>
      <c r="D180" s="13" t="s">
        <v>18</v>
      </c>
      <c r="E180" s="13" t="s">
        <v>29</v>
      </c>
      <c r="F180" s="13">
        <v>24.0</v>
      </c>
      <c r="G180" s="13" t="s">
        <v>34</v>
      </c>
      <c r="H180" s="13" t="s">
        <v>28</v>
      </c>
      <c r="I180" s="14" t="s">
        <v>18</v>
      </c>
      <c r="J180" s="14" t="s">
        <v>22</v>
      </c>
      <c r="K180" s="14">
        <v>35.0</v>
      </c>
      <c r="L180" s="14" t="s">
        <v>23</v>
      </c>
      <c r="M180" s="14" t="s">
        <v>24</v>
      </c>
      <c r="N180" s="20"/>
      <c r="O180" s="14" t="s">
        <v>35</v>
      </c>
      <c r="P180" s="15" t="s">
        <v>243</v>
      </c>
      <c r="Q180" s="16"/>
      <c r="R180" s="16"/>
      <c r="S180" s="16"/>
      <c r="T180" s="16"/>
      <c r="U180" s="16"/>
      <c r="V180" s="16"/>
      <c r="W180" s="16"/>
      <c r="X180" s="16"/>
      <c r="Y180" s="16"/>
      <c r="Z180" s="16"/>
    </row>
    <row r="181">
      <c r="D181" s="13" t="s">
        <v>18</v>
      </c>
      <c r="E181" s="13" t="s">
        <v>29</v>
      </c>
      <c r="F181" s="13">
        <v>25.0</v>
      </c>
      <c r="G181" s="13" t="s">
        <v>34</v>
      </c>
      <c r="H181" s="13" t="s">
        <v>28</v>
      </c>
      <c r="I181" s="14" t="s">
        <v>18</v>
      </c>
      <c r="J181" s="14" t="s">
        <v>22</v>
      </c>
      <c r="K181" s="14">
        <v>40.0</v>
      </c>
      <c r="L181" s="14" t="s">
        <v>23</v>
      </c>
      <c r="M181" s="14" t="s">
        <v>24</v>
      </c>
      <c r="N181" s="20"/>
      <c r="Q181" s="16"/>
      <c r="R181" s="16"/>
      <c r="S181" s="16"/>
      <c r="T181" s="16"/>
      <c r="U181" s="16"/>
      <c r="V181" s="16"/>
      <c r="W181" s="16"/>
      <c r="X181" s="16"/>
      <c r="Y181" s="16"/>
      <c r="Z181" s="16"/>
    </row>
    <row r="182">
      <c r="D182" s="13" t="s">
        <v>18</v>
      </c>
      <c r="E182" s="13" t="s">
        <v>29</v>
      </c>
      <c r="F182" s="13">
        <v>24.0</v>
      </c>
      <c r="G182" s="13" t="s">
        <v>20</v>
      </c>
      <c r="H182" s="13" t="s">
        <v>28</v>
      </c>
      <c r="Q182" s="16"/>
      <c r="R182" s="16"/>
      <c r="S182" s="16"/>
      <c r="T182" s="16"/>
      <c r="U182" s="16"/>
      <c r="V182" s="16"/>
      <c r="W182" s="16"/>
      <c r="X182" s="16"/>
      <c r="Y182" s="16"/>
      <c r="Z182" s="16"/>
    </row>
    <row r="183">
      <c r="A183" s="10">
        <v>42293.0</v>
      </c>
      <c r="B183" s="23">
        <v>1.33534615E8</v>
      </c>
      <c r="C183" s="12" t="s">
        <v>244</v>
      </c>
      <c r="D183" s="13" t="s">
        <v>18</v>
      </c>
      <c r="E183" s="13" t="s">
        <v>22</v>
      </c>
      <c r="F183" s="13">
        <v>27.0</v>
      </c>
      <c r="G183" s="13" t="s">
        <v>34</v>
      </c>
      <c r="H183" s="13" t="s">
        <v>28</v>
      </c>
      <c r="I183" s="14" t="s">
        <v>18</v>
      </c>
      <c r="J183" s="14" t="s">
        <v>22</v>
      </c>
      <c r="K183" s="14">
        <v>52.0</v>
      </c>
      <c r="L183" s="14" t="s">
        <v>23</v>
      </c>
      <c r="M183" s="14" t="s">
        <v>24</v>
      </c>
      <c r="N183" s="20"/>
      <c r="O183" s="14">
        <v>1.0</v>
      </c>
      <c r="P183" s="15" t="s">
        <v>245</v>
      </c>
      <c r="Q183" s="16"/>
      <c r="R183" s="16"/>
      <c r="S183" s="16"/>
      <c r="T183" s="16"/>
      <c r="U183" s="16"/>
      <c r="V183" s="16"/>
      <c r="W183" s="16"/>
      <c r="X183" s="16"/>
      <c r="Y183" s="16"/>
      <c r="Z183" s="16"/>
    </row>
    <row r="184">
      <c r="A184" s="10">
        <v>42292.0</v>
      </c>
      <c r="B184" s="23">
        <v>1.33195715E8</v>
      </c>
      <c r="C184" s="12" t="s">
        <v>246</v>
      </c>
      <c r="D184" s="13" t="s">
        <v>18</v>
      </c>
      <c r="E184" s="13" t="s">
        <v>29</v>
      </c>
      <c r="F184" s="13">
        <v>22.0</v>
      </c>
      <c r="G184" s="13" t="s">
        <v>20</v>
      </c>
      <c r="H184" s="13" t="s">
        <v>28</v>
      </c>
      <c r="I184" s="14" t="s">
        <v>18</v>
      </c>
      <c r="J184" s="14" t="s">
        <v>19</v>
      </c>
      <c r="K184" s="14">
        <v>49.0</v>
      </c>
      <c r="L184" s="14" t="s">
        <v>23</v>
      </c>
      <c r="M184" s="14" t="s">
        <v>24</v>
      </c>
      <c r="N184" s="20"/>
      <c r="O184" s="14">
        <v>1.0</v>
      </c>
      <c r="P184" s="15" t="s">
        <v>247</v>
      </c>
      <c r="Q184" s="16"/>
      <c r="R184" s="16"/>
      <c r="S184" s="16"/>
      <c r="T184" s="16"/>
      <c r="U184" s="16"/>
      <c r="V184" s="16"/>
      <c r="W184" s="16"/>
      <c r="X184" s="16"/>
      <c r="Y184" s="16"/>
      <c r="Z184" s="16"/>
    </row>
    <row r="185">
      <c r="D185" s="13" t="s">
        <v>18</v>
      </c>
      <c r="E185" s="13" t="s">
        <v>29</v>
      </c>
      <c r="F185" s="13">
        <v>20.0</v>
      </c>
      <c r="G185" s="13" t="s">
        <v>23</v>
      </c>
      <c r="H185" s="13" t="s">
        <v>23</v>
      </c>
      <c r="I185" s="14" t="s">
        <v>18</v>
      </c>
      <c r="J185" s="14" t="s">
        <v>22</v>
      </c>
      <c r="K185" s="14">
        <v>40.0</v>
      </c>
      <c r="L185" s="14" t="s">
        <v>23</v>
      </c>
      <c r="M185" s="14" t="s">
        <v>24</v>
      </c>
      <c r="O185" s="14">
        <v>1.0</v>
      </c>
      <c r="Q185" s="16"/>
      <c r="R185" s="16"/>
      <c r="S185" s="16"/>
      <c r="T185" s="16"/>
      <c r="U185" s="16"/>
      <c r="V185" s="16"/>
      <c r="W185" s="16"/>
      <c r="X185" s="16"/>
      <c r="Y185" s="16"/>
      <c r="Z185" s="16"/>
    </row>
    <row r="186">
      <c r="D186" s="13" t="s">
        <v>18</v>
      </c>
      <c r="E186" s="13" t="s">
        <v>29</v>
      </c>
      <c r="F186" s="13">
        <v>20.0</v>
      </c>
      <c r="G186" s="13" t="s">
        <v>34</v>
      </c>
      <c r="H186" s="13" t="s">
        <v>28</v>
      </c>
      <c r="I186" s="14" t="s">
        <v>18</v>
      </c>
      <c r="J186" s="14" t="s">
        <v>22</v>
      </c>
      <c r="K186" s="14">
        <v>35.0</v>
      </c>
      <c r="L186" s="14" t="s">
        <v>23</v>
      </c>
      <c r="M186" s="14" t="s">
        <v>24</v>
      </c>
      <c r="O186" s="14">
        <v>1.0</v>
      </c>
      <c r="Q186" s="16"/>
      <c r="R186" s="16"/>
      <c r="S186" s="16"/>
      <c r="T186" s="16"/>
      <c r="U186" s="16"/>
      <c r="V186" s="16"/>
      <c r="W186" s="16"/>
      <c r="X186" s="16"/>
      <c r="Y186" s="16"/>
      <c r="Z186" s="16"/>
    </row>
    <row r="187">
      <c r="A187" s="10">
        <v>42286.0</v>
      </c>
      <c r="B187" s="23">
        <v>1.30647615E8</v>
      </c>
      <c r="C187" s="12" t="s">
        <v>248</v>
      </c>
      <c r="D187" s="13" t="s">
        <v>18</v>
      </c>
      <c r="E187" s="13" t="s">
        <v>19</v>
      </c>
      <c r="F187" s="13">
        <v>22.0</v>
      </c>
      <c r="G187" s="13" t="s">
        <v>20</v>
      </c>
      <c r="H187" s="13" t="s">
        <v>38</v>
      </c>
      <c r="I187" s="14" t="s">
        <v>18</v>
      </c>
      <c r="J187" s="14" t="s">
        <v>29</v>
      </c>
      <c r="K187" s="14">
        <v>53.0</v>
      </c>
      <c r="L187" s="14" t="s">
        <v>23</v>
      </c>
      <c r="M187" s="14" t="s">
        <v>24</v>
      </c>
      <c r="N187" s="20"/>
      <c r="O187" s="14">
        <v>1.0</v>
      </c>
      <c r="P187" s="15" t="s">
        <v>249</v>
      </c>
      <c r="Q187" s="16"/>
      <c r="R187" s="16"/>
      <c r="S187" s="16"/>
      <c r="T187" s="16"/>
      <c r="U187" s="16"/>
      <c r="V187" s="16"/>
      <c r="W187" s="16"/>
      <c r="X187" s="16"/>
      <c r="Y187" s="16"/>
      <c r="Z187" s="16"/>
    </row>
    <row r="188">
      <c r="A188" s="10">
        <v>42285.0</v>
      </c>
      <c r="B188" s="23">
        <v>1.30282515E8</v>
      </c>
      <c r="C188" s="12" t="s">
        <v>174</v>
      </c>
      <c r="D188" s="13" t="s">
        <v>164</v>
      </c>
      <c r="E188" s="13" t="s">
        <v>164</v>
      </c>
      <c r="F188" s="13" t="s">
        <v>164</v>
      </c>
      <c r="G188" s="13" t="s">
        <v>20</v>
      </c>
      <c r="H188" s="13" t="s">
        <v>28</v>
      </c>
      <c r="I188" s="14" t="s">
        <v>18</v>
      </c>
      <c r="J188" s="14" t="s">
        <v>22</v>
      </c>
      <c r="K188" s="14">
        <v>54.0</v>
      </c>
      <c r="L188" s="14" t="s">
        <v>23</v>
      </c>
      <c r="M188" s="14" t="s">
        <v>24</v>
      </c>
      <c r="N188" s="20"/>
      <c r="O188" s="14">
        <v>1.0</v>
      </c>
      <c r="P188" s="15" t="s">
        <v>250</v>
      </c>
      <c r="Q188" s="16"/>
      <c r="R188" s="16"/>
      <c r="S188" s="16"/>
      <c r="T188" s="16"/>
      <c r="U188" s="16"/>
      <c r="V188" s="16"/>
      <c r="W188" s="16"/>
      <c r="X188" s="16"/>
      <c r="Y188" s="16"/>
      <c r="Z188" s="16"/>
    </row>
    <row r="189">
      <c r="A189" s="10">
        <v>42280.0</v>
      </c>
      <c r="B189" s="23">
        <v>1.27727615E8</v>
      </c>
      <c r="C189" s="12" t="s">
        <v>251</v>
      </c>
      <c r="D189" s="13" t="s">
        <v>18</v>
      </c>
      <c r="E189" s="13" t="s">
        <v>19</v>
      </c>
      <c r="F189" s="13">
        <v>22.0</v>
      </c>
      <c r="G189" s="13" t="s">
        <v>23</v>
      </c>
      <c r="H189" s="13" t="s">
        <v>28</v>
      </c>
      <c r="I189" s="14" t="s">
        <v>18</v>
      </c>
      <c r="J189" s="14" t="s">
        <v>19</v>
      </c>
      <c r="K189" s="14">
        <v>42.0</v>
      </c>
      <c r="L189" s="14" t="s">
        <v>23</v>
      </c>
      <c r="M189" s="14" t="s">
        <v>24</v>
      </c>
      <c r="N189" s="20"/>
      <c r="O189" s="14">
        <v>1.0</v>
      </c>
      <c r="P189" s="15" t="s">
        <v>252</v>
      </c>
      <c r="Q189" s="16"/>
      <c r="R189" s="16"/>
      <c r="S189" s="16"/>
      <c r="T189" s="16"/>
      <c r="U189" s="16"/>
      <c r="V189" s="16"/>
      <c r="W189" s="16"/>
      <c r="X189" s="16"/>
      <c r="Y189" s="16"/>
      <c r="Z189" s="16"/>
    </row>
    <row r="190">
      <c r="A190" s="10">
        <v>42271.0</v>
      </c>
      <c r="B190" s="23">
        <v>1.23663615E8</v>
      </c>
      <c r="C190" s="12" t="s">
        <v>253</v>
      </c>
      <c r="D190" s="13" t="s">
        <v>18</v>
      </c>
      <c r="E190" s="13" t="s">
        <v>22</v>
      </c>
      <c r="F190" s="13">
        <v>37.0</v>
      </c>
      <c r="G190" s="13" t="s">
        <v>23</v>
      </c>
      <c r="H190" s="13" t="s">
        <v>152</v>
      </c>
      <c r="I190" s="14" t="s">
        <v>18</v>
      </c>
      <c r="J190" s="14" t="s">
        <v>22</v>
      </c>
      <c r="K190" s="14">
        <v>24.0</v>
      </c>
      <c r="L190" s="14" t="s">
        <v>23</v>
      </c>
      <c r="M190" s="14" t="s">
        <v>24</v>
      </c>
      <c r="N190" s="20"/>
      <c r="O190" s="14" t="s">
        <v>35</v>
      </c>
      <c r="P190" s="15" t="s">
        <v>254</v>
      </c>
      <c r="Q190" s="16"/>
      <c r="R190" s="16"/>
      <c r="S190" s="16"/>
      <c r="T190" s="16"/>
      <c r="U190" s="16"/>
      <c r="V190" s="16"/>
      <c r="W190" s="16"/>
      <c r="X190" s="16"/>
      <c r="Y190" s="16"/>
      <c r="Z190" s="16"/>
    </row>
    <row r="191">
      <c r="A191" s="10">
        <v>42255.0</v>
      </c>
      <c r="B191" s="23">
        <v>1.16471815E8</v>
      </c>
      <c r="C191" s="12" t="s">
        <v>255</v>
      </c>
      <c r="D191" s="13" t="s">
        <v>18</v>
      </c>
      <c r="E191" s="13" t="s">
        <v>19</v>
      </c>
      <c r="F191" s="13">
        <v>29.0</v>
      </c>
      <c r="G191" s="13" t="s">
        <v>23</v>
      </c>
      <c r="H191" s="13" t="s">
        <v>28</v>
      </c>
      <c r="I191" s="14" t="s">
        <v>18</v>
      </c>
      <c r="J191" s="14" t="s">
        <v>19</v>
      </c>
      <c r="K191" s="14">
        <v>29.0</v>
      </c>
      <c r="L191" s="14" t="s">
        <v>23</v>
      </c>
      <c r="M191" s="14" t="s">
        <v>24</v>
      </c>
      <c r="N191" s="14" t="s">
        <v>256</v>
      </c>
      <c r="O191" s="14">
        <v>1.0</v>
      </c>
      <c r="P191" s="15" t="s">
        <v>257</v>
      </c>
      <c r="Q191" s="16"/>
      <c r="R191" s="16"/>
      <c r="S191" s="16"/>
      <c r="T191" s="16"/>
      <c r="U191" s="16"/>
      <c r="V191" s="16"/>
      <c r="W191" s="16"/>
      <c r="X191" s="16"/>
      <c r="Y191" s="16"/>
      <c r="Z191" s="16"/>
    </row>
    <row r="192">
      <c r="Q192" s="16"/>
      <c r="R192" s="16"/>
      <c r="S192" s="16"/>
      <c r="T192" s="16"/>
      <c r="U192" s="16"/>
      <c r="V192" s="16"/>
      <c r="W192" s="16"/>
      <c r="X192" s="16"/>
      <c r="Y192" s="16"/>
      <c r="Z192" s="16"/>
    </row>
    <row r="193">
      <c r="D193" s="13" t="s">
        <v>18</v>
      </c>
      <c r="E193" s="13" t="s">
        <v>19</v>
      </c>
      <c r="F193" s="13">
        <v>23.0</v>
      </c>
      <c r="G193" s="13" t="s">
        <v>23</v>
      </c>
      <c r="H193" s="13" t="s">
        <v>23</v>
      </c>
      <c r="I193" s="14" t="s">
        <v>18</v>
      </c>
      <c r="J193" s="14" t="s">
        <v>22</v>
      </c>
      <c r="K193" s="14">
        <v>25.0</v>
      </c>
      <c r="L193" s="14" t="s">
        <v>23</v>
      </c>
      <c r="M193" s="14" t="s">
        <v>24</v>
      </c>
      <c r="N193" s="14" t="s">
        <v>256</v>
      </c>
      <c r="O193" s="14">
        <v>1.0</v>
      </c>
      <c r="Q193" s="16"/>
      <c r="R193" s="16"/>
      <c r="S193" s="16"/>
      <c r="T193" s="16"/>
      <c r="U193" s="16"/>
      <c r="V193" s="16"/>
      <c r="W193" s="16"/>
      <c r="X193" s="16"/>
      <c r="Y193" s="16"/>
      <c r="Z193" s="16"/>
    </row>
    <row r="194">
      <c r="A194" s="10">
        <v>42252.0</v>
      </c>
      <c r="B194" s="23">
        <v>1.15223915E8</v>
      </c>
      <c r="C194" s="12" t="s">
        <v>258</v>
      </c>
      <c r="D194" s="13" t="s">
        <v>18</v>
      </c>
      <c r="E194" s="13" t="s">
        <v>33</v>
      </c>
      <c r="F194" s="13" t="s">
        <v>157</v>
      </c>
      <c r="G194" s="13" t="s">
        <v>20</v>
      </c>
      <c r="H194" s="13" t="s">
        <v>28</v>
      </c>
      <c r="I194" s="14" t="s">
        <v>18</v>
      </c>
      <c r="J194" s="14" t="s">
        <v>22</v>
      </c>
      <c r="K194" s="14">
        <v>28.0</v>
      </c>
      <c r="L194" s="14" t="s">
        <v>23</v>
      </c>
      <c r="M194" s="14" t="s">
        <v>24</v>
      </c>
      <c r="N194" s="14" t="s">
        <v>256</v>
      </c>
      <c r="O194" s="14" t="s">
        <v>35</v>
      </c>
      <c r="P194" s="15" t="s">
        <v>259</v>
      </c>
      <c r="Q194" s="16"/>
      <c r="R194" s="16"/>
      <c r="S194" s="16"/>
      <c r="T194" s="16"/>
      <c r="U194" s="16"/>
      <c r="V194" s="16"/>
      <c r="W194" s="16"/>
      <c r="X194" s="16"/>
      <c r="Y194" s="16"/>
      <c r="Z194" s="16"/>
    </row>
    <row r="195">
      <c r="A195" s="10">
        <v>42243.0</v>
      </c>
      <c r="B195" s="23">
        <v>1.11183815E8</v>
      </c>
      <c r="C195" s="12" t="s">
        <v>260</v>
      </c>
      <c r="D195" s="13" t="s">
        <v>18</v>
      </c>
      <c r="E195" s="13" t="s">
        <v>29</v>
      </c>
      <c r="F195" s="13">
        <v>26.0</v>
      </c>
      <c r="G195" s="13" t="s">
        <v>20</v>
      </c>
      <c r="H195" s="13" t="s">
        <v>186</v>
      </c>
      <c r="I195" s="14" t="s">
        <v>18</v>
      </c>
      <c r="J195" s="14" t="s">
        <v>19</v>
      </c>
      <c r="K195" s="14">
        <v>44.0</v>
      </c>
      <c r="L195" s="14" t="s">
        <v>20</v>
      </c>
      <c r="M195" s="14" t="s">
        <v>24</v>
      </c>
      <c r="N195" s="20"/>
      <c r="O195" s="20"/>
      <c r="P195" s="15" t="s">
        <v>261</v>
      </c>
      <c r="Q195" s="16"/>
      <c r="R195" s="16"/>
      <c r="S195" s="16"/>
      <c r="T195" s="16"/>
      <c r="U195" s="16"/>
      <c r="V195" s="16"/>
      <c r="W195" s="16"/>
      <c r="X195" s="16"/>
      <c r="Y195" s="16"/>
      <c r="Z195" s="16"/>
    </row>
    <row r="196">
      <c r="A196" s="10">
        <v>42237.0</v>
      </c>
      <c r="B196" s="23">
        <v>1.08702415E8</v>
      </c>
      <c r="C196" s="12" t="s">
        <v>262</v>
      </c>
      <c r="D196" s="13" t="s">
        <v>84</v>
      </c>
      <c r="E196" s="13" t="s">
        <v>29</v>
      </c>
      <c r="F196" s="13" t="s">
        <v>157</v>
      </c>
      <c r="G196" s="13" t="s">
        <v>23</v>
      </c>
      <c r="H196" s="13" t="s">
        <v>28</v>
      </c>
      <c r="I196" s="14" t="s">
        <v>18</v>
      </c>
      <c r="J196" s="14" t="s">
        <v>29</v>
      </c>
      <c r="K196" s="14">
        <v>37.0</v>
      </c>
      <c r="L196" s="14" t="s">
        <v>23</v>
      </c>
      <c r="M196" s="14" t="s">
        <v>60</v>
      </c>
      <c r="N196" s="20"/>
      <c r="O196" s="20"/>
      <c r="P196" s="15" t="s">
        <v>263</v>
      </c>
      <c r="Q196" s="16"/>
      <c r="R196" s="16"/>
      <c r="S196" s="16"/>
      <c r="T196" s="16"/>
      <c r="U196" s="16"/>
      <c r="V196" s="16"/>
      <c r="W196" s="16"/>
      <c r="X196" s="16"/>
      <c r="Y196" s="16"/>
      <c r="Z196" s="16"/>
    </row>
    <row r="197">
      <c r="D197" s="13" t="s">
        <v>18</v>
      </c>
      <c r="E197" s="13" t="s">
        <v>29</v>
      </c>
      <c r="F197" s="13" t="s">
        <v>157</v>
      </c>
      <c r="G197" s="13" t="s">
        <v>23</v>
      </c>
      <c r="H197" s="13" t="s">
        <v>23</v>
      </c>
      <c r="Q197" s="16"/>
      <c r="R197" s="16"/>
      <c r="S197" s="16"/>
      <c r="T197" s="16"/>
      <c r="U197" s="16"/>
      <c r="V197" s="16"/>
      <c r="W197" s="16"/>
      <c r="X197" s="16"/>
      <c r="Y197" s="16"/>
      <c r="Z197" s="16"/>
    </row>
    <row r="198">
      <c r="A198" s="10">
        <v>42233.0</v>
      </c>
      <c r="B198" s="23">
        <v>1.06630315E8</v>
      </c>
      <c r="C198" s="12" t="s">
        <v>264</v>
      </c>
      <c r="D198" s="13" t="s">
        <v>18</v>
      </c>
      <c r="E198" s="13" t="s">
        <v>29</v>
      </c>
      <c r="F198" s="13">
        <v>35.0</v>
      </c>
      <c r="G198" s="13" t="s">
        <v>34</v>
      </c>
      <c r="H198" s="13" t="s">
        <v>28</v>
      </c>
      <c r="I198" s="14" t="s">
        <v>18</v>
      </c>
      <c r="J198" s="14" t="s">
        <v>19</v>
      </c>
      <c r="K198" s="14">
        <v>34.0</v>
      </c>
      <c r="L198" s="14" t="s">
        <v>23</v>
      </c>
      <c r="M198" s="14" t="s">
        <v>24</v>
      </c>
      <c r="N198" s="20"/>
      <c r="O198" s="20"/>
      <c r="P198" s="15" t="s">
        <v>265</v>
      </c>
      <c r="Q198" s="16"/>
      <c r="R198" s="16"/>
      <c r="S198" s="16"/>
      <c r="T198" s="16"/>
      <c r="U198" s="16"/>
      <c r="V198" s="16"/>
      <c r="W198" s="16"/>
      <c r="X198" s="16"/>
      <c r="Y198" s="16"/>
      <c r="Z198" s="16"/>
    </row>
    <row r="199">
      <c r="A199" s="10">
        <v>42218.0</v>
      </c>
      <c r="B199" s="23">
        <v>9.9571615E7</v>
      </c>
      <c r="C199" s="12" t="s">
        <v>266</v>
      </c>
      <c r="D199" s="13" t="s">
        <v>18</v>
      </c>
      <c r="E199" s="13" t="s">
        <v>22</v>
      </c>
      <c r="F199" s="13">
        <v>63.0</v>
      </c>
      <c r="G199" s="13" t="s">
        <v>34</v>
      </c>
      <c r="H199" s="13" t="s">
        <v>152</v>
      </c>
      <c r="I199" s="14" t="s">
        <v>18</v>
      </c>
      <c r="J199" s="14" t="s">
        <v>22</v>
      </c>
      <c r="K199" s="14">
        <v>32.0</v>
      </c>
      <c r="L199" s="14" t="s">
        <v>23</v>
      </c>
      <c r="M199" s="14" t="s">
        <v>24</v>
      </c>
      <c r="N199" s="20"/>
      <c r="O199" s="20"/>
      <c r="P199" s="15" t="s">
        <v>267</v>
      </c>
      <c r="Q199" s="16"/>
      <c r="R199" s="16"/>
      <c r="S199" s="16"/>
      <c r="T199" s="16"/>
      <c r="U199" s="16"/>
      <c r="V199" s="16"/>
      <c r="W199" s="16"/>
      <c r="X199" s="16"/>
      <c r="Y199" s="16"/>
      <c r="Z199" s="16"/>
    </row>
    <row r="200">
      <c r="I200" s="14" t="s">
        <v>18</v>
      </c>
      <c r="J200" s="14" t="s">
        <v>19</v>
      </c>
      <c r="K200" s="14">
        <v>42.0</v>
      </c>
      <c r="L200" s="14" t="s">
        <v>23</v>
      </c>
      <c r="M200" s="14" t="s">
        <v>24</v>
      </c>
      <c r="Q200" s="16"/>
      <c r="R200" s="16"/>
      <c r="S200" s="16"/>
      <c r="T200" s="16"/>
      <c r="U200" s="16"/>
      <c r="V200" s="16"/>
      <c r="W200" s="16"/>
      <c r="X200" s="16"/>
      <c r="Y200" s="16"/>
      <c r="Z200" s="16"/>
    </row>
    <row r="201">
      <c r="A201" s="10">
        <v>42213.0</v>
      </c>
      <c r="B201" s="23">
        <v>9.7568715E7</v>
      </c>
      <c r="C201" s="12" t="s">
        <v>268</v>
      </c>
      <c r="D201" s="13" t="s">
        <v>18</v>
      </c>
      <c r="E201" s="13" t="s">
        <v>29</v>
      </c>
      <c r="F201" s="13">
        <v>24.0</v>
      </c>
      <c r="G201" s="13" t="s">
        <v>23</v>
      </c>
      <c r="H201" s="13" t="s">
        <v>28</v>
      </c>
      <c r="I201" s="14" t="s">
        <v>18</v>
      </c>
      <c r="J201" s="14" t="s">
        <v>22</v>
      </c>
      <c r="K201" s="14">
        <v>48.0</v>
      </c>
      <c r="L201" s="14" t="s">
        <v>23</v>
      </c>
      <c r="M201" s="14" t="s">
        <v>24</v>
      </c>
      <c r="N201" s="20"/>
      <c r="O201" s="20"/>
      <c r="P201" s="15" t="s">
        <v>269</v>
      </c>
      <c r="Q201" s="16"/>
      <c r="R201" s="16"/>
      <c r="S201" s="16"/>
      <c r="T201" s="16"/>
      <c r="U201" s="16"/>
      <c r="V201" s="16"/>
      <c r="W201" s="16"/>
      <c r="X201" s="16"/>
      <c r="Y201" s="16"/>
      <c r="Z201" s="16"/>
    </row>
    <row r="202">
      <c r="I202" s="14" t="s">
        <v>18</v>
      </c>
      <c r="J202" s="14" t="s">
        <v>29</v>
      </c>
      <c r="K202" s="14">
        <v>43.0</v>
      </c>
      <c r="L202" s="14" t="s">
        <v>23</v>
      </c>
      <c r="M202" s="14" t="s">
        <v>24</v>
      </c>
      <c r="Q202" s="16"/>
      <c r="R202" s="16"/>
      <c r="S202" s="16"/>
      <c r="T202" s="16"/>
      <c r="U202" s="16"/>
      <c r="V202" s="16"/>
      <c r="W202" s="16"/>
      <c r="X202" s="16"/>
      <c r="Y202" s="16"/>
      <c r="Z202" s="16"/>
    </row>
    <row r="203">
      <c r="A203" s="10">
        <v>42207.0</v>
      </c>
      <c r="B203" s="23">
        <v>9.4851715E7</v>
      </c>
      <c r="C203" s="12" t="s">
        <v>270</v>
      </c>
      <c r="D203" s="13" t="s">
        <v>18</v>
      </c>
      <c r="E203" s="13" t="s">
        <v>19</v>
      </c>
      <c r="F203" s="13">
        <v>23.0</v>
      </c>
      <c r="G203" s="13" t="s">
        <v>20</v>
      </c>
      <c r="H203" s="13" t="s">
        <v>28</v>
      </c>
      <c r="I203" s="14" t="s">
        <v>18</v>
      </c>
      <c r="J203" s="14" t="s">
        <v>22</v>
      </c>
      <c r="K203" s="14">
        <v>42.0</v>
      </c>
      <c r="L203" s="14" t="s">
        <v>23</v>
      </c>
      <c r="M203" s="14" t="s">
        <v>60</v>
      </c>
      <c r="N203" s="20"/>
      <c r="O203" s="20"/>
      <c r="P203" s="15" t="s">
        <v>271</v>
      </c>
      <c r="Q203" s="16"/>
      <c r="R203" s="16"/>
      <c r="S203" s="16"/>
      <c r="T203" s="16"/>
      <c r="U203" s="16"/>
      <c r="V203" s="16"/>
      <c r="W203" s="16"/>
      <c r="X203" s="16"/>
      <c r="Y203" s="16"/>
      <c r="Z203" s="16"/>
    </row>
    <row r="204">
      <c r="A204" s="10">
        <v>42192.0</v>
      </c>
      <c r="B204" s="23">
        <v>8.7555915E7</v>
      </c>
      <c r="C204" s="12" t="s">
        <v>272</v>
      </c>
      <c r="D204" s="13" t="s">
        <v>164</v>
      </c>
      <c r="E204" s="13" t="s">
        <v>164</v>
      </c>
      <c r="F204" s="13" t="s">
        <v>164</v>
      </c>
      <c r="G204" s="13" t="s">
        <v>34</v>
      </c>
      <c r="H204" s="13" t="s">
        <v>28</v>
      </c>
      <c r="I204" s="14" t="s">
        <v>18</v>
      </c>
      <c r="J204" s="14" t="s">
        <v>19</v>
      </c>
      <c r="K204" s="14">
        <v>38.0</v>
      </c>
      <c r="L204" s="14" t="s">
        <v>23</v>
      </c>
      <c r="M204" s="14" t="s">
        <v>24</v>
      </c>
      <c r="N204" s="20"/>
      <c r="O204" s="14">
        <v>1.0</v>
      </c>
      <c r="P204" s="15" t="s">
        <v>273</v>
      </c>
      <c r="Q204" s="16"/>
      <c r="R204" s="16"/>
      <c r="S204" s="16"/>
      <c r="T204" s="16"/>
      <c r="U204" s="16"/>
      <c r="V204" s="16"/>
      <c r="W204" s="16"/>
      <c r="X204" s="16"/>
      <c r="Y204" s="16"/>
      <c r="Z204" s="16"/>
    </row>
    <row r="205">
      <c r="D205" s="13" t="s">
        <v>164</v>
      </c>
      <c r="E205" s="13" t="s">
        <v>164</v>
      </c>
      <c r="F205" s="13" t="s">
        <v>164</v>
      </c>
      <c r="G205" s="13" t="s">
        <v>20</v>
      </c>
      <c r="H205" s="13" t="s">
        <v>28</v>
      </c>
      <c r="Q205" s="16"/>
      <c r="R205" s="16"/>
      <c r="S205" s="16"/>
      <c r="T205" s="16"/>
      <c r="U205" s="16"/>
      <c r="V205" s="16"/>
      <c r="W205" s="16"/>
      <c r="X205" s="16"/>
      <c r="Y205" s="16"/>
      <c r="Z205" s="16"/>
    </row>
    <row r="206">
      <c r="D206" s="13" t="s">
        <v>84</v>
      </c>
      <c r="E206" s="13" t="s">
        <v>29</v>
      </c>
      <c r="F206" s="13">
        <v>24.0</v>
      </c>
      <c r="G206" s="13" t="s">
        <v>20</v>
      </c>
      <c r="H206" s="13" t="s">
        <v>23</v>
      </c>
      <c r="Q206" s="16"/>
      <c r="R206" s="16"/>
      <c r="S206" s="16"/>
      <c r="T206" s="16"/>
      <c r="U206" s="16"/>
      <c r="V206" s="16"/>
      <c r="W206" s="16"/>
      <c r="X206" s="16"/>
      <c r="Y206" s="16"/>
      <c r="Z206" s="16"/>
    </row>
    <row r="207">
      <c r="A207" s="10">
        <v>42192.0</v>
      </c>
      <c r="B207" s="23">
        <v>8.7658515E7</v>
      </c>
      <c r="C207" s="12" t="s">
        <v>274</v>
      </c>
      <c r="D207" s="13" t="s">
        <v>18</v>
      </c>
      <c r="E207" s="13" t="s">
        <v>49</v>
      </c>
      <c r="F207" s="13">
        <v>21.0</v>
      </c>
      <c r="G207" s="13" t="s">
        <v>23</v>
      </c>
      <c r="H207" s="13" t="s">
        <v>28</v>
      </c>
      <c r="I207" s="14" t="s">
        <v>18</v>
      </c>
      <c r="J207" s="14" t="s">
        <v>22</v>
      </c>
      <c r="K207" s="14">
        <v>52.0</v>
      </c>
      <c r="L207" s="14" t="s">
        <v>23</v>
      </c>
      <c r="M207" s="14" t="s">
        <v>24</v>
      </c>
      <c r="N207" s="20"/>
      <c r="O207" s="20"/>
      <c r="P207" s="15" t="s">
        <v>275</v>
      </c>
      <c r="Q207" s="16"/>
      <c r="R207" s="16"/>
      <c r="S207" s="16"/>
      <c r="T207" s="16"/>
      <c r="U207" s="16"/>
      <c r="V207" s="16"/>
      <c r="W207" s="16"/>
      <c r="X207" s="16"/>
      <c r="Y207" s="16"/>
      <c r="Z207" s="16"/>
    </row>
    <row r="208">
      <c r="D208" s="13" t="s">
        <v>18</v>
      </c>
      <c r="E208" s="13" t="s">
        <v>29</v>
      </c>
      <c r="F208" s="13">
        <v>21.0</v>
      </c>
      <c r="G208" s="13" t="s">
        <v>23</v>
      </c>
      <c r="H208" s="13" t="s">
        <v>28</v>
      </c>
      <c r="I208" s="14" t="s">
        <v>18</v>
      </c>
      <c r="J208" s="14" t="s">
        <v>22</v>
      </c>
      <c r="K208" s="14">
        <v>33.0</v>
      </c>
      <c r="L208" s="14" t="s">
        <v>23</v>
      </c>
      <c r="M208" s="14" t="s">
        <v>24</v>
      </c>
      <c r="Q208" s="16"/>
      <c r="R208" s="16"/>
      <c r="S208" s="16"/>
      <c r="T208" s="16"/>
      <c r="U208" s="16"/>
      <c r="V208" s="16"/>
      <c r="W208" s="16"/>
      <c r="X208" s="16"/>
      <c r="Y208" s="16"/>
      <c r="Z208" s="16"/>
    </row>
    <row r="209">
      <c r="D209" s="13" t="s">
        <v>18</v>
      </c>
      <c r="E209" s="13" t="s">
        <v>29</v>
      </c>
      <c r="F209" s="13">
        <v>24.0</v>
      </c>
      <c r="G209" s="13" t="s">
        <v>20</v>
      </c>
      <c r="H209" s="13" t="s">
        <v>28</v>
      </c>
      <c r="I209" s="14" t="s">
        <v>18</v>
      </c>
      <c r="J209" s="14" t="s">
        <v>19</v>
      </c>
      <c r="K209" s="14">
        <v>44.0</v>
      </c>
      <c r="L209" s="14" t="s">
        <v>23</v>
      </c>
      <c r="M209" s="14" t="s">
        <v>24</v>
      </c>
      <c r="Q209" s="16"/>
      <c r="R209" s="16"/>
      <c r="S209" s="16"/>
      <c r="T209" s="16"/>
      <c r="U209" s="16"/>
      <c r="V209" s="16"/>
      <c r="W209" s="16"/>
      <c r="X209" s="16"/>
      <c r="Y209" s="16"/>
      <c r="Z209" s="16"/>
    </row>
    <row r="210">
      <c r="A210" s="10">
        <v>42158.0</v>
      </c>
      <c r="B210" s="23">
        <v>7.1376915E7</v>
      </c>
      <c r="C210" s="12" t="s">
        <v>276</v>
      </c>
      <c r="D210" s="13" t="s">
        <v>18</v>
      </c>
      <c r="E210" s="13" t="s">
        <v>19</v>
      </c>
      <c r="F210" s="13">
        <v>33.0</v>
      </c>
      <c r="G210" s="13" t="s">
        <v>34</v>
      </c>
      <c r="H210" s="13" t="s">
        <v>38</v>
      </c>
      <c r="I210" s="14" t="s">
        <v>18</v>
      </c>
      <c r="J210" s="14" t="s">
        <v>22</v>
      </c>
      <c r="K210" s="14">
        <v>53.0</v>
      </c>
      <c r="L210" s="14" t="s">
        <v>23</v>
      </c>
      <c r="M210" s="14" t="s">
        <v>24</v>
      </c>
      <c r="N210" s="20"/>
      <c r="O210" s="20"/>
      <c r="P210" s="15" t="s">
        <v>277</v>
      </c>
      <c r="Q210" s="16"/>
      <c r="R210" s="16"/>
      <c r="S210" s="16"/>
      <c r="T210" s="16"/>
      <c r="U210" s="16"/>
      <c r="V210" s="16"/>
      <c r="W210" s="16"/>
      <c r="X210" s="16"/>
      <c r="Y210" s="16"/>
      <c r="Z210" s="16"/>
    </row>
    <row r="211">
      <c r="I211" s="14" t="s">
        <v>18</v>
      </c>
      <c r="J211" s="14" t="s">
        <v>22</v>
      </c>
      <c r="K211" s="14">
        <v>48.0</v>
      </c>
      <c r="L211" s="14" t="s">
        <v>23</v>
      </c>
      <c r="M211" s="14" t="s">
        <v>24</v>
      </c>
      <c r="Q211" s="16"/>
      <c r="R211" s="16"/>
      <c r="S211" s="16"/>
      <c r="T211" s="16"/>
      <c r="U211" s="16"/>
      <c r="V211" s="16"/>
      <c r="W211" s="16"/>
      <c r="X211" s="16"/>
      <c r="Y211" s="16"/>
      <c r="Z211" s="16"/>
    </row>
    <row r="212">
      <c r="A212" s="10">
        <v>42122.0</v>
      </c>
      <c r="B212" s="23">
        <v>5.3879915E7</v>
      </c>
      <c r="C212" s="12" t="s">
        <v>174</v>
      </c>
      <c r="D212" s="13" t="s">
        <v>18</v>
      </c>
      <c r="E212" s="13" t="s">
        <v>29</v>
      </c>
      <c r="F212" s="13" t="s">
        <v>157</v>
      </c>
      <c r="G212" s="13" t="s">
        <v>23</v>
      </c>
      <c r="H212" s="13" t="s">
        <v>28</v>
      </c>
      <c r="I212" s="14" t="s">
        <v>18</v>
      </c>
      <c r="J212" s="14" t="s">
        <v>19</v>
      </c>
      <c r="K212" s="14">
        <v>38.0</v>
      </c>
      <c r="L212" s="14" t="s">
        <v>23</v>
      </c>
      <c r="M212" s="14" t="s">
        <v>60</v>
      </c>
      <c r="N212" s="20"/>
      <c r="O212" s="20"/>
      <c r="P212" s="15" t="s">
        <v>278</v>
      </c>
      <c r="Q212" s="16"/>
      <c r="R212" s="16"/>
      <c r="S212" s="16"/>
      <c r="T212" s="16"/>
      <c r="U212" s="16"/>
      <c r="V212" s="16"/>
      <c r="W212" s="16"/>
      <c r="X212" s="16"/>
      <c r="Y212" s="16"/>
      <c r="Z212" s="16"/>
    </row>
    <row r="213">
      <c r="A213" s="10">
        <v>42111.0</v>
      </c>
      <c r="B213" s="23">
        <v>4.7973815E7</v>
      </c>
      <c r="C213" s="12" t="s">
        <v>279</v>
      </c>
      <c r="D213" s="13" t="s">
        <v>84</v>
      </c>
      <c r="E213" s="13" t="s">
        <v>19</v>
      </c>
      <c r="F213" s="13">
        <v>29.0</v>
      </c>
      <c r="G213" s="13" t="s">
        <v>20</v>
      </c>
      <c r="H213" s="13" t="s">
        <v>23</v>
      </c>
      <c r="I213" s="14" t="s">
        <v>18</v>
      </c>
      <c r="J213" s="14" t="s">
        <v>19</v>
      </c>
      <c r="K213" s="14">
        <v>38.0</v>
      </c>
      <c r="L213" s="14" t="s">
        <v>23</v>
      </c>
      <c r="M213" s="14" t="s">
        <v>24</v>
      </c>
      <c r="N213" s="20"/>
      <c r="O213" s="20"/>
      <c r="P213" s="15" t="s">
        <v>280</v>
      </c>
      <c r="Q213" s="16"/>
      <c r="R213" s="16"/>
      <c r="S213" s="16"/>
      <c r="T213" s="16"/>
      <c r="U213" s="16"/>
      <c r="V213" s="16"/>
      <c r="W213" s="16"/>
      <c r="X213" s="16"/>
      <c r="Y213" s="16"/>
      <c r="Z213" s="16"/>
    </row>
    <row r="214">
      <c r="A214" s="10">
        <v>42109.0</v>
      </c>
      <c r="B214" s="23">
        <v>4.7127315E7</v>
      </c>
      <c r="C214" s="12" t="s">
        <v>281</v>
      </c>
      <c r="D214" s="13" t="s">
        <v>18</v>
      </c>
      <c r="E214" s="13" t="s">
        <v>29</v>
      </c>
      <c r="F214" s="13">
        <v>42.0</v>
      </c>
      <c r="G214" s="13" t="s">
        <v>34</v>
      </c>
      <c r="H214" s="13" t="s">
        <v>23</v>
      </c>
      <c r="I214" s="14" t="s">
        <v>18</v>
      </c>
      <c r="J214" s="14" t="s">
        <v>19</v>
      </c>
      <c r="K214" s="14">
        <v>32.0</v>
      </c>
      <c r="L214" s="14" t="s">
        <v>23</v>
      </c>
      <c r="M214" s="14" t="s">
        <v>24</v>
      </c>
      <c r="N214" s="20"/>
      <c r="O214" s="20"/>
      <c r="P214" s="15" t="s">
        <v>282</v>
      </c>
      <c r="Q214" s="16"/>
      <c r="R214" s="16"/>
      <c r="S214" s="16"/>
      <c r="T214" s="16"/>
      <c r="U214" s="16"/>
      <c r="V214" s="16"/>
      <c r="W214" s="16"/>
      <c r="X214" s="16"/>
      <c r="Y214" s="16"/>
      <c r="Z214" s="16"/>
    </row>
    <row r="215">
      <c r="H215" s="13" t="s">
        <v>23</v>
      </c>
      <c r="I215" s="14" t="s">
        <v>18</v>
      </c>
      <c r="J215" s="14" t="s">
        <v>22</v>
      </c>
      <c r="K215" s="14">
        <v>30.0</v>
      </c>
      <c r="L215" s="14" t="s">
        <v>23</v>
      </c>
      <c r="M215" s="14" t="s">
        <v>24</v>
      </c>
      <c r="Q215" s="16"/>
      <c r="R215" s="16"/>
      <c r="S215" s="16"/>
      <c r="T215" s="16"/>
      <c r="U215" s="16"/>
      <c r="V215" s="16"/>
      <c r="W215" s="16"/>
      <c r="X215" s="16"/>
      <c r="Y215" s="16"/>
      <c r="Z215" s="16"/>
    </row>
    <row r="216">
      <c r="A216" s="10">
        <v>42107.0</v>
      </c>
      <c r="B216" s="23">
        <v>4.6362715E7</v>
      </c>
      <c r="C216" s="12" t="s">
        <v>283</v>
      </c>
      <c r="D216" s="13" t="s">
        <v>18</v>
      </c>
      <c r="E216" s="13" t="s">
        <v>19</v>
      </c>
      <c r="F216" s="13">
        <v>24.0</v>
      </c>
      <c r="G216" s="13" t="s">
        <v>34</v>
      </c>
      <c r="H216" s="13" t="s">
        <v>28</v>
      </c>
      <c r="I216" s="14" t="s">
        <v>18</v>
      </c>
      <c r="J216" s="14" t="s">
        <v>19</v>
      </c>
      <c r="K216" s="14">
        <v>42.0</v>
      </c>
      <c r="L216" s="14" t="s">
        <v>23</v>
      </c>
      <c r="M216" s="14" t="s">
        <v>60</v>
      </c>
      <c r="N216" s="20"/>
      <c r="O216" s="20"/>
      <c r="P216" s="15" t="s">
        <v>284</v>
      </c>
      <c r="Q216" s="16"/>
      <c r="R216" s="16"/>
      <c r="S216" s="16"/>
      <c r="T216" s="16"/>
      <c r="U216" s="16"/>
      <c r="V216" s="16"/>
      <c r="W216" s="16"/>
      <c r="X216" s="16"/>
      <c r="Y216" s="16"/>
      <c r="Z216" s="16"/>
    </row>
    <row r="217">
      <c r="A217" s="10">
        <v>42096.0</v>
      </c>
      <c r="B217" s="23">
        <v>4.1129615E7</v>
      </c>
      <c r="C217" s="12" t="s">
        <v>285</v>
      </c>
      <c r="D217" s="13" t="s">
        <v>18</v>
      </c>
      <c r="E217" s="13" t="s">
        <v>29</v>
      </c>
      <c r="F217" s="13">
        <v>26.0</v>
      </c>
      <c r="G217" s="13" t="s">
        <v>20</v>
      </c>
      <c r="H217" s="13" t="s">
        <v>23</v>
      </c>
      <c r="I217" s="14" t="s">
        <v>18</v>
      </c>
      <c r="J217" s="14" t="s">
        <v>22</v>
      </c>
      <c r="K217" s="14">
        <v>53.0</v>
      </c>
      <c r="L217" s="14" t="s">
        <v>23</v>
      </c>
      <c r="M217" s="14" t="s">
        <v>24</v>
      </c>
      <c r="N217" s="20"/>
      <c r="O217" s="20"/>
      <c r="P217" s="15" t="s">
        <v>286</v>
      </c>
      <c r="Q217" s="16"/>
      <c r="R217" s="16"/>
      <c r="S217" s="16"/>
      <c r="T217" s="16"/>
      <c r="U217" s="16"/>
      <c r="V217" s="16"/>
      <c r="W217" s="16"/>
      <c r="X217" s="16"/>
      <c r="Y217" s="16"/>
      <c r="Z217" s="16"/>
    </row>
    <row r="218">
      <c r="A218" s="10">
        <v>42045.0</v>
      </c>
      <c r="B218" s="23">
        <v>1.7884215E7</v>
      </c>
      <c r="C218" s="12" t="s">
        <v>287</v>
      </c>
      <c r="D218" s="13" t="s">
        <v>18</v>
      </c>
      <c r="E218" s="13" t="s">
        <v>19</v>
      </c>
      <c r="F218" s="13">
        <v>28.0</v>
      </c>
      <c r="G218" s="13" t="s">
        <v>23</v>
      </c>
      <c r="H218" s="13" t="s">
        <v>28</v>
      </c>
      <c r="I218" s="14" t="s">
        <v>18</v>
      </c>
      <c r="J218" s="14" t="s">
        <v>19</v>
      </c>
      <c r="K218" s="14">
        <v>29.0</v>
      </c>
      <c r="L218" s="14" t="s">
        <v>23</v>
      </c>
      <c r="M218" s="14" t="s">
        <v>24</v>
      </c>
      <c r="N218" s="20"/>
      <c r="O218" s="20"/>
      <c r="P218" s="15" t="s">
        <v>288</v>
      </c>
      <c r="Q218" s="16"/>
      <c r="R218" s="16"/>
      <c r="S218" s="16"/>
      <c r="T218" s="16"/>
      <c r="U218" s="16"/>
      <c r="V218" s="16"/>
      <c r="W218" s="16"/>
      <c r="X218" s="16"/>
      <c r="Y218" s="16"/>
      <c r="Z218" s="16"/>
    </row>
    <row r="219">
      <c r="D219" s="13" t="s">
        <v>18</v>
      </c>
      <c r="E219" s="13" t="s">
        <v>19</v>
      </c>
      <c r="F219" s="13">
        <v>25.0</v>
      </c>
      <c r="G219" s="13" t="s">
        <v>23</v>
      </c>
      <c r="H219" s="13" t="s">
        <v>23</v>
      </c>
      <c r="Q219" s="16"/>
      <c r="R219" s="16"/>
      <c r="S219" s="16"/>
      <c r="T219" s="16"/>
      <c r="U219" s="16"/>
      <c r="V219" s="16"/>
      <c r="W219" s="16"/>
      <c r="X219" s="16"/>
      <c r="Y219" s="16"/>
      <c r="Z219" s="16"/>
    </row>
    <row r="220">
      <c r="D220" s="13" t="s">
        <v>84</v>
      </c>
      <c r="E220" s="13" t="s">
        <v>19</v>
      </c>
      <c r="F220" s="13">
        <v>22.0</v>
      </c>
      <c r="G220" s="13" t="s">
        <v>23</v>
      </c>
      <c r="H220" s="13" t="s">
        <v>23</v>
      </c>
      <c r="Q220" s="16"/>
      <c r="R220" s="16"/>
      <c r="S220" s="16"/>
      <c r="T220" s="16"/>
      <c r="U220" s="16"/>
      <c r="V220" s="16"/>
      <c r="W220" s="16"/>
      <c r="X220" s="16"/>
      <c r="Y220" s="16"/>
      <c r="Z220" s="16"/>
    </row>
    <row r="221">
      <c r="A221" s="10">
        <v>42023.0</v>
      </c>
      <c r="B221" s="23">
        <v>7847415.0</v>
      </c>
      <c r="C221" s="12" t="s">
        <v>289</v>
      </c>
      <c r="D221" s="13" t="s">
        <v>18</v>
      </c>
      <c r="E221" s="13" t="s">
        <v>29</v>
      </c>
      <c r="F221" s="13" t="s">
        <v>157</v>
      </c>
      <c r="G221" s="13" t="s">
        <v>23</v>
      </c>
      <c r="H221" s="13" t="s">
        <v>23</v>
      </c>
      <c r="I221" s="14" t="s">
        <v>18</v>
      </c>
      <c r="J221" s="14" t="s">
        <v>45</v>
      </c>
      <c r="K221" s="14">
        <v>36.0</v>
      </c>
      <c r="L221" s="14" t="s">
        <v>23</v>
      </c>
      <c r="M221" s="14" t="s">
        <v>60</v>
      </c>
      <c r="N221" s="20"/>
      <c r="O221" s="20"/>
      <c r="P221" s="15" t="s">
        <v>290</v>
      </c>
      <c r="Q221" s="16"/>
      <c r="R221" s="16"/>
      <c r="S221" s="16"/>
      <c r="T221" s="16"/>
      <c r="U221" s="16"/>
      <c r="V221" s="16"/>
      <c r="W221" s="16"/>
      <c r="X221" s="16"/>
      <c r="Y221" s="16"/>
      <c r="Z221" s="16"/>
    </row>
    <row r="222">
      <c r="A222" s="10">
        <v>42020.0</v>
      </c>
      <c r="B222" s="23">
        <v>6314215.0</v>
      </c>
      <c r="C222" s="12" t="s">
        <v>291</v>
      </c>
      <c r="D222" s="13" t="s">
        <v>18</v>
      </c>
      <c r="E222" s="13" t="s">
        <v>19</v>
      </c>
      <c r="F222" s="13">
        <v>26.0</v>
      </c>
      <c r="G222" s="13" t="s">
        <v>34</v>
      </c>
      <c r="H222" s="13" t="s">
        <v>28</v>
      </c>
      <c r="I222" s="14" t="s">
        <v>18</v>
      </c>
      <c r="J222" s="14" t="s">
        <v>22</v>
      </c>
      <c r="K222" s="14">
        <v>49.0</v>
      </c>
      <c r="L222" s="14" t="s">
        <v>23</v>
      </c>
      <c r="M222" s="14" t="s">
        <v>60</v>
      </c>
      <c r="N222" s="20"/>
      <c r="O222" s="14">
        <v>1.0</v>
      </c>
      <c r="P222" s="15" t="s">
        <v>292</v>
      </c>
      <c r="Q222" s="16"/>
      <c r="R222" s="16"/>
      <c r="S222" s="16"/>
      <c r="T222" s="16"/>
      <c r="U222" s="16"/>
      <c r="V222" s="16"/>
      <c r="W222" s="16"/>
      <c r="X222" s="16"/>
      <c r="Y222" s="16"/>
      <c r="Z222" s="16"/>
    </row>
    <row r="223">
      <c r="A223" s="10">
        <v>42020.0</v>
      </c>
      <c r="B223" s="23">
        <v>6695315.0</v>
      </c>
      <c r="C223" s="12" t="s">
        <v>293</v>
      </c>
      <c r="D223" s="13" t="s">
        <v>18</v>
      </c>
      <c r="E223" s="13" t="s">
        <v>29</v>
      </c>
      <c r="F223" s="13">
        <v>18.0</v>
      </c>
      <c r="G223" s="13" t="s">
        <v>20</v>
      </c>
      <c r="H223" s="13" t="s">
        <v>28</v>
      </c>
      <c r="I223" s="14" t="s">
        <v>18</v>
      </c>
      <c r="J223" s="14" t="s">
        <v>22</v>
      </c>
      <c r="K223" s="14">
        <v>46.0</v>
      </c>
      <c r="L223" s="14" t="s">
        <v>23</v>
      </c>
      <c r="M223" s="14" t="s">
        <v>60</v>
      </c>
      <c r="N223" s="20"/>
      <c r="O223" s="20"/>
      <c r="P223" s="15" t="s">
        <v>294</v>
      </c>
      <c r="Q223" s="16"/>
      <c r="R223" s="16"/>
      <c r="S223" s="16"/>
      <c r="T223" s="16"/>
      <c r="U223" s="16"/>
      <c r="V223" s="16"/>
      <c r="W223" s="16"/>
      <c r="X223" s="16"/>
      <c r="Y223" s="16"/>
      <c r="Z223" s="16"/>
    </row>
    <row r="224">
      <c r="D224" s="13" t="s">
        <v>18</v>
      </c>
      <c r="E224" s="13" t="s">
        <v>29</v>
      </c>
      <c r="F224" s="13">
        <v>19.0</v>
      </c>
      <c r="G224" s="13" t="s">
        <v>23</v>
      </c>
      <c r="H224" s="13" t="s">
        <v>23</v>
      </c>
      <c r="Q224" s="16"/>
      <c r="R224" s="16"/>
      <c r="S224" s="16"/>
      <c r="T224" s="16"/>
      <c r="U224" s="16"/>
      <c r="V224" s="16"/>
      <c r="W224" s="16"/>
      <c r="X224" s="16"/>
      <c r="Y224" s="16"/>
      <c r="Z224" s="16"/>
    </row>
    <row r="225">
      <c r="D225" s="13" t="s">
        <v>18</v>
      </c>
      <c r="E225" s="13" t="s">
        <v>29</v>
      </c>
      <c r="F225" s="13">
        <v>19.0</v>
      </c>
      <c r="G225" s="13" t="s">
        <v>23</v>
      </c>
      <c r="H225" s="13" t="s">
        <v>23</v>
      </c>
      <c r="Q225" s="16"/>
      <c r="R225" s="16"/>
      <c r="S225" s="16"/>
      <c r="T225" s="16"/>
      <c r="U225" s="16"/>
      <c r="V225" s="16"/>
      <c r="W225" s="16"/>
      <c r="X225" s="16"/>
      <c r="Y225" s="16"/>
      <c r="Z225" s="16"/>
    </row>
    <row r="226">
      <c r="A226" s="10">
        <v>42013.0</v>
      </c>
      <c r="B226" s="23">
        <v>3483515.0</v>
      </c>
      <c r="C226" s="12" t="s">
        <v>295</v>
      </c>
      <c r="D226" s="13" t="s">
        <v>18</v>
      </c>
      <c r="E226" s="13" t="s">
        <v>19</v>
      </c>
      <c r="F226" s="13">
        <v>19.0</v>
      </c>
      <c r="G226" s="13" t="s">
        <v>20</v>
      </c>
      <c r="H226" s="13" t="s">
        <v>23</v>
      </c>
      <c r="I226" s="14" t="s">
        <v>18</v>
      </c>
      <c r="J226" s="14" t="s">
        <v>19</v>
      </c>
      <c r="K226" s="14">
        <v>30.0</v>
      </c>
      <c r="L226" s="14" t="s">
        <v>23</v>
      </c>
      <c r="M226" s="14" t="s">
        <v>24</v>
      </c>
      <c r="N226" s="20"/>
      <c r="O226" s="20"/>
      <c r="P226" s="15" t="s">
        <v>296</v>
      </c>
      <c r="Q226" s="16"/>
      <c r="R226" s="16"/>
      <c r="S226" s="16"/>
      <c r="T226" s="16"/>
      <c r="U226" s="16"/>
      <c r="V226" s="16"/>
      <c r="W226" s="16"/>
      <c r="X226" s="16"/>
      <c r="Y226" s="16"/>
      <c r="Z226" s="16"/>
    </row>
    <row r="227">
      <c r="A227" s="10">
        <v>42013.0</v>
      </c>
      <c r="B227" s="23">
        <v>3652815.0</v>
      </c>
      <c r="C227" s="12" t="s">
        <v>297</v>
      </c>
      <c r="D227" s="13" t="s">
        <v>18</v>
      </c>
      <c r="E227" s="13" t="s">
        <v>19</v>
      </c>
      <c r="F227" s="13">
        <v>20.0</v>
      </c>
      <c r="G227" s="13" t="s">
        <v>20</v>
      </c>
      <c r="H227" s="13" t="s">
        <v>28</v>
      </c>
      <c r="I227" s="14" t="s">
        <v>18</v>
      </c>
      <c r="J227" s="14" t="s">
        <v>45</v>
      </c>
      <c r="K227" s="14">
        <v>29.0</v>
      </c>
      <c r="L227" s="14" t="s">
        <v>23</v>
      </c>
      <c r="M227" s="14" t="s">
        <v>24</v>
      </c>
      <c r="N227" s="20"/>
      <c r="O227" s="20"/>
      <c r="P227" s="15" t="s">
        <v>298</v>
      </c>
      <c r="Q227" s="16"/>
      <c r="R227" s="16"/>
      <c r="S227" s="16"/>
      <c r="T227" s="16"/>
      <c r="U227" s="16"/>
      <c r="V227" s="16"/>
      <c r="W227" s="16"/>
      <c r="X227" s="16"/>
      <c r="Y227" s="16"/>
      <c r="Z227" s="16"/>
    </row>
    <row r="228">
      <c r="A228" s="10">
        <v>41990.0</v>
      </c>
      <c r="B228" s="23">
        <v>1.60528814E8</v>
      </c>
      <c r="C228" s="12" t="s">
        <v>299</v>
      </c>
      <c r="D228" s="13" t="s">
        <v>18</v>
      </c>
      <c r="E228" s="13" t="s">
        <v>29</v>
      </c>
      <c r="F228" s="13">
        <v>32.0</v>
      </c>
      <c r="G228" s="13" t="s">
        <v>20</v>
      </c>
      <c r="H228" s="13" t="s">
        <v>28</v>
      </c>
      <c r="I228" s="14" t="s">
        <v>18</v>
      </c>
      <c r="J228" s="14" t="s">
        <v>19</v>
      </c>
      <c r="K228" s="14">
        <v>29.0</v>
      </c>
      <c r="L228" s="14" t="s">
        <v>23</v>
      </c>
      <c r="M228" s="14" t="s">
        <v>24</v>
      </c>
      <c r="N228" s="20"/>
      <c r="O228" s="20"/>
      <c r="P228" s="15" t="s">
        <v>300</v>
      </c>
      <c r="Q228" s="16"/>
      <c r="R228" s="16"/>
      <c r="S228" s="16"/>
      <c r="T228" s="16"/>
      <c r="U228" s="16"/>
      <c r="V228" s="16"/>
      <c r="W228" s="16"/>
      <c r="X228" s="16"/>
      <c r="Y228" s="16"/>
      <c r="Z228" s="16"/>
    </row>
    <row r="229">
      <c r="A229" s="10">
        <v>41988.0</v>
      </c>
      <c r="B229" s="23">
        <v>1.59236414E8</v>
      </c>
      <c r="C229" s="12" t="s">
        <v>301</v>
      </c>
      <c r="D229" s="13" t="s">
        <v>18</v>
      </c>
      <c r="E229" s="13" t="s">
        <v>29</v>
      </c>
      <c r="F229" s="13">
        <v>20.0</v>
      </c>
      <c r="G229" s="13" t="s">
        <v>20</v>
      </c>
      <c r="H229" s="13" t="s">
        <v>28</v>
      </c>
      <c r="I229" s="14" t="s">
        <v>18</v>
      </c>
      <c r="J229" s="14" t="s">
        <v>19</v>
      </c>
      <c r="K229" s="14">
        <v>35.0</v>
      </c>
      <c r="L229" s="14" t="s">
        <v>23</v>
      </c>
      <c r="M229" s="14" t="s">
        <v>24</v>
      </c>
      <c r="N229" s="20"/>
      <c r="O229" s="20"/>
      <c r="P229" s="15" t="s">
        <v>302</v>
      </c>
      <c r="Q229" s="16"/>
      <c r="R229" s="16"/>
      <c r="S229" s="16"/>
      <c r="T229" s="16"/>
      <c r="U229" s="16"/>
      <c r="V229" s="16"/>
      <c r="W229" s="16"/>
      <c r="X229" s="16"/>
      <c r="Y229" s="16"/>
      <c r="Z229" s="16"/>
    </row>
    <row r="230">
      <c r="A230" s="10">
        <v>41985.0</v>
      </c>
      <c r="B230" s="23">
        <v>1.58181414E8</v>
      </c>
      <c r="C230" s="12" t="s">
        <v>303</v>
      </c>
      <c r="D230" s="13" t="s">
        <v>18</v>
      </c>
      <c r="E230" s="13" t="s">
        <v>29</v>
      </c>
      <c r="F230" s="13">
        <v>38.0</v>
      </c>
      <c r="G230" s="13" t="s">
        <v>20</v>
      </c>
      <c r="H230" s="13" t="s">
        <v>23</v>
      </c>
      <c r="I230" s="14" t="s">
        <v>18</v>
      </c>
      <c r="J230" s="14" t="s">
        <v>19</v>
      </c>
      <c r="K230" s="14">
        <v>29.0</v>
      </c>
      <c r="L230" s="14" t="s">
        <v>23</v>
      </c>
      <c r="M230" s="14" t="s">
        <v>24</v>
      </c>
      <c r="N230" s="20"/>
      <c r="O230" s="20"/>
      <c r="P230" s="15" t="s">
        <v>304</v>
      </c>
      <c r="Q230" s="16"/>
      <c r="R230" s="16"/>
      <c r="S230" s="16"/>
      <c r="T230" s="16"/>
      <c r="U230" s="16"/>
      <c r="V230" s="16"/>
      <c r="W230" s="16"/>
      <c r="X230" s="16"/>
      <c r="Y230" s="16"/>
      <c r="Z230" s="16"/>
    </row>
    <row r="231">
      <c r="I231" s="14" t="s">
        <v>18</v>
      </c>
      <c r="J231" s="14" t="s">
        <v>29</v>
      </c>
      <c r="K231" s="14">
        <v>31.0</v>
      </c>
      <c r="L231" s="14" t="s">
        <v>23</v>
      </c>
      <c r="M231" s="14" t="s">
        <v>24</v>
      </c>
      <c r="N231" s="20"/>
      <c r="O231" s="20"/>
      <c r="Q231" s="16"/>
      <c r="R231" s="16"/>
      <c r="S231" s="16"/>
      <c r="T231" s="16"/>
      <c r="U231" s="16"/>
      <c r="V231" s="16"/>
      <c r="W231" s="16"/>
      <c r="X231" s="16"/>
      <c r="Y231" s="16"/>
      <c r="Z231" s="16"/>
    </row>
    <row r="232">
      <c r="A232" s="10">
        <v>41981.0</v>
      </c>
      <c r="B232" s="23">
        <v>1.55866314E8</v>
      </c>
      <c r="C232" s="12" t="s">
        <v>305</v>
      </c>
      <c r="D232" s="13" t="s">
        <v>18</v>
      </c>
      <c r="E232" s="13" t="s">
        <v>29</v>
      </c>
      <c r="F232" s="13">
        <v>33.0</v>
      </c>
      <c r="G232" s="13" t="s">
        <v>23</v>
      </c>
      <c r="H232" s="13" t="s">
        <v>28</v>
      </c>
      <c r="I232" s="14" t="s">
        <v>18</v>
      </c>
      <c r="J232" s="14" t="s">
        <v>22</v>
      </c>
      <c r="K232" s="14">
        <v>30.0</v>
      </c>
      <c r="L232" s="14" t="s">
        <v>23</v>
      </c>
      <c r="M232" s="14" t="s">
        <v>60</v>
      </c>
      <c r="N232" s="20"/>
      <c r="O232" s="20"/>
      <c r="P232" s="15" t="s">
        <v>306</v>
      </c>
      <c r="Q232" s="16"/>
      <c r="R232" s="16"/>
      <c r="S232" s="16"/>
      <c r="T232" s="16"/>
      <c r="U232" s="16"/>
      <c r="V232" s="16"/>
      <c r="W232" s="16"/>
      <c r="X232" s="16"/>
      <c r="Y232" s="16"/>
      <c r="Z232" s="16"/>
    </row>
    <row r="233">
      <c r="A233" s="10">
        <v>41955.0</v>
      </c>
      <c r="B233" s="23">
        <v>1.44326514E8</v>
      </c>
      <c r="C233" s="12" t="s">
        <v>307</v>
      </c>
      <c r="D233" s="13" t="s">
        <v>18</v>
      </c>
      <c r="E233" s="13" t="s">
        <v>19</v>
      </c>
      <c r="F233" s="13">
        <v>26.0</v>
      </c>
      <c r="G233" s="13" t="s">
        <v>23</v>
      </c>
      <c r="H233" s="13" t="s">
        <v>28</v>
      </c>
      <c r="I233" s="14" t="s">
        <v>18</v>
      </c>
      <c r="J233" s="14" t="s">
        <v>22</v>
      </c>
      <c r="K233" s="14">
        <v>46.0</v>
      </c>
      <c r="L233" s="14" t="s">
        <v>23</v>
      </c>
      <c r="M233" s="14" t="s">
        <v>24</v>
      </c>
      <c r="N233" s="20"/>
      <c r="O233" s="20"/>
      <c r="P233" s="15" t="s">
        <v>308</v>
      </c>
      <c r="Q233" s="16"/>
      <c r="R233" s="16"/>
      <c r="S233" s="16"/>
      <c r="T233" s="16"/>
      <c r="U233" s="16"/>
      <c r="V233" s="16"/>
      <c r="W233" s="16"/>
      <c r="X233" s="16"/>
      <c r="Y233" s="16"/>
      <c r="Z233" s="16"/>
    </row>
    <row r="234">
      <c r="A234" s="10">
        <v>41934.0</v>
      </c>
      <c r="B234" s="23">
        <v>1.34580514E8</v>
      </c>
      <c r="C234" s="12" t="s">
        <v>309</v>
      </c>
      <c r="D234" s="13" t="s">
        <v>18</v>
      </c>
      <c r="E234" s="13" t="s">
        <v>29</v>
      </c>
      <c r="F234" s="13">
        <v>34.0</v>
      </c>
      <c r="G234" s="13" t="s">
        <v>20</v>
      </c>
      <c r="H234" s="13" t="s">
        <v>28</v>
      </c>
      <c r="I234" s="14" t="s">
        <v>18</v>
      </c>
      <c r="J234" s="14" t="s">
        <v>22</v>
      </c>
      <c r="K234" s="14">
        <v>45.0</v>
      </c>
      <c r="L234" s="14" t="s">
        <v>23</v>
      </c>
      <c r="M234" s="14" t="s">
        <v>24</v>
      </c>
      <c r="N234" s="20"/>
      <c r="O234" s="20"/>
      <c r="P234" s="15" t="s">
        <v>310</v>
      </c>
      <c r="Q234" s="16"/>
      <c r="R234" s="16"/>
      <c r="S234" s="16"/>
      <c r="T234" s="16"/>
      <c r="U234" s="16"/>
      <c r="V234" s="16"/>
      <c r="W234" s="16"/>
      <c r="X234" s="16"/>
      <c r="Y234" s="16"/>
      <c r="Z234" s="16"/>
    </row>
    <row r="235">
      <c r="A235" s="10">
        <v>41930.0</v>
      </c>
      <c r="B235" s="23">
        <v>1.32565014E8</v>
      </c>
      <c r="C235" s="12" t="s">
        <v>311</v>
      </c>
      <c r="D235" s="13" t="s">
        <v>18</v>
      </c>
      <c r="E235" s="13" t="s">
        <v>22</v>
      </c>
      <c r="F235" s="13">
        <v>55.0</v>
      </c>
      <c r="G235" s="13" t="s">
        <v>23</v>
      </c>
      <c r="H235" s="13" t="s">
        <v>152</v>
      </c>
      <c r="I235" s="14" t="s">
        <v>18</v>
      </c>
      <c r="J235" s="14" t="s">
        <v>29</v>
      </c>
      <c r="K235" s="14">
        <v>39.0</v>
      </c>
      <c r="L235" s="14" t="s">
        <v>23</v>
      </c>
      <c r="M235" s="14" t="s">
        <v>24</v>
      </c>
      <c r="N235" s="20"/>
      <c r="O235" s="20"/>
      <c r="P235" s="15" t="s">
        <v>312</v>
      </c>
      <c r="Q235" s="16"/>
      <c r="R235" s="16"/>
      <c r="S235" s="16"/>
      <c r="T235" s="16"/>
      <c r="U235" s="16"/>
      <c r="V235" s="16"/>
      <c r="W235" s="16"/>
      <c r="X235" s="16"/>
      <c r="Y235" s="16"/>
      <c r="Z235" s="16"/>
    </row>
    <row r="236">
      <c r="A236" s="10">
        <v>41924.0</v>
      </c>
      <c r="B236" s="23">
        <v>1.30116114E8</v>
      </c>
      <c r="C236" s="12" t="s">
        <v>313</v>
      </c>
      <c r="D236" s="13" t="s">
        <v>18</v>
      </c>
      <c r="E236" s="13" t="s">
        <v>19</v>
      </c>
      <c r="F236" s="13">
        <v>31.0</v>
      </c>
      <c r="G236" s="13" t="s">
        <v>20</v>
      </c>
      <c r="H236" s="13" t="s">
        <v>152</v>
      </c>
      <c r="I236" s="14" t="s">
        <v>18</v>
      </c>
      <c r="J236" s="14" t="s">
        <v>29</v>
      </c>
      <c r="K236" s="14">
        <v>43.0</v>
      </c>
      <c r="L236" s="14" t="s">
        <v>23</v>
      </c>
      <c r="M236" s="14" t="s">
        <v>60</v>
      </c>
      <c r="N236" s="20"/>
      <c r="O236" s="20"/>
      <c r="P236" s="15" t="s">
        <v>314</v>
      </c>
      <c r="Q236" s="16"/>
      <c r="R236" s="16"/>
      <c r="S236" s="16"/>
      <c r="T236" s="16"/>
      <c r="U236" s="16"/>
      <c r="V236" s="16"/>
      <c r="W236" s="16"/>
      <c r="X236" s="16"/>
      <c r="Y236" s="16"/>
      <c r="Z236" s="16"/>
    </row>
    <row r="237">
      <c r="D237" s="13" t="s">
        <v>18</v>
      </c>
      <c r="E237" s="13" t="s">
        <v>22</v>
      </c>
      <c r="F237" s="13">
        <v>36.0</v>
      </c>
      <c r="G237" s="13" t="s">
        <v>20</v>
      </c>
      <c r="H237" s="13" t="s">
        <v>152</v>
      </c>
      <c r="I237" s="14" t="s">
        <v>18</v>
      </c>
      <c r="J237" s="14" t="s">
        <v>22</v>
      </c>
      <c r="K237" s="14">
        <v>45.0</v>
      </c>
      <c r="L237" s="14" t="s">
        <v>23</v>
      </c>
      <c r="M237" s="14" t="s">
        <v>60</v>
      </c>
      <c r="N237" s="20"/>
      <c r="O237" s="20"/>
      <c r="Q237" s="16"/>
      <c r="R237" s="16"/>
      <c r="S237" s="16"/>
      <c r="T237" s="16"/>
      <c r="U237" s="16"/>
      <c r="V237" s="16"/>
      <c r="W237" s="16"/>
      <c r="X237" s="16"/>
      <c r="Y237" s="16"/>
      <c r="Z237" s="16"/>
    </row>
    <row r="238">
      <c r="A238" s="10">
        <v>41918.0</v>
      </c>
      <c r="B238" s="23">
        <v>1.27340314E8</v>
      </c>
      <c r="C238" s="12" t="s">
        <v>315</v>
      </c>
      <c r="D238" s="13" t="s">
        <v>18</v>
      </c>
      <c r="E238" s="13" t="s">
        <v>19</v>
      </c>
      <c r="F238" s="13">
        <v>36.0</v>
      </c>
      <c r="G238" s="13" t="s">
        <v>34</v>
      </c>
      <c r="H238" s="13" t="s">
        <v>28</v>
      </c>
      <c r="I238" s="14" t="s">
        <v>18</v>
      </c>
      <c r="J238" s="14" t="s">
        <v>29</v>
      </c>
      <c r="K238" s="14">
        <v>42.0</v>
      </c>
      <c r="L238" s="14" t="s">
        <v>23</v>
      </c>
      <c r="M238" s="14" t="s">
        <v>24</v>
      </c>
      <c r="N238" s="20"/>
      <c r="O238" s="20"/>
      <c r="P238" s="15" t="s">
        <v>316</v>
      </c>
      <c r="Q238" s="16"/>
      <c r="R238" s="16"/>
      <c r="S238" s="16"/>
      <c r="T238" s="16"/>
      <c r="U238" s="16"/>
      <c r="V238" s="16"/>
      <c r="W238" s="16"/>
      <c r="X238" s="16"/>
      <c r="Y238" s="16"/>
      <c r="Z238" s="16"/>
    </row>
    <row r="239">
      <c r="I239" s="14" t="s">
        <v>18</v>
      </c>
      <c r="J239" s="14" t="s">
        <v>22</v>
      </c>
      <c r="K239" s="14">
        <v>46.0</v>
      </c>
      <c r="L239" s="14" t="s">
        <v>23</v>
      </c>
      <c r="M239" s="14" t="s">
        <v>24</v>
      </c>
      <c r="N239" s="20"/>
      <c r="O239" s="20"/>
      <c r="Q239" s="16"/>
      <c r="R239" s="16"/>
      <c r="S239" s="16"/>
      <c r="T239" s="16"/>
      <c r="U239" s="16"/>
      <c r="V239" s="16"/>
      <c r="W239" s="16"/>
      <c r="X239" s="16"/>
      <c r="Y239" s="16"/>
      <c r="Z239" s="16"/>
    </row>
    <row r="240">
      <c r="A240" s="10">
        <v>41913.0</v>
      </c>
      <c r="B240" s="23">
        <v>1.24567814E8</v>
      </c>
      <c r="C240" s="12" t="s">
        <v>317</v>
      </c>
      <c r="D240" s="13" t="s">
        <v>18</v>
      </c>
      <c r="E240" s="13" t="s">
        <v>22</v>
      </c>
      <c r="F240" s="13">
        <v>34.0</v>
      </c>
      <c r="G240" s="13" t="s">
        <v>34</v>
      </c>
      <c r="H240" s="13" t="s">
        <v>28</v>
      </c>
      <c r="I240" s="14" t="s">
        <v>18</v>
      </c>
      <c r="J240" s="14" t="s">
        <v>22</v>
      </c>
      <c r="K240" s="14">
        <v>43.0</v>
      </c>
      <c r="L240" s="14" t="s">
        <v>23</v>
      </c>
      <c r="M240" s="14" t="s">
        <v>24</v>
      </c>
      <c r="N240" s="20"/>
      <c r="O240" s="20"/>
      <c r="P240" s="15" t="s">
        <v>318</v>
      </c>
      <c r="Q240" s="16"/>
      <c r="R240" s="16"/>
      <c r="S240" s="16"/>
      <c r="T240" s="16"/>
      <c r="U240" s="16"/>
      <c r="V240" s="16"/>
      <c r="W240" s="16"/>
      <c r="X240" s="16"/>
      <c r="Y240" s="16"/>
      <c r="Z240" s="16"/>
    </row>
    <row r="241">
      <c r="A241" s="10">
        <v>41912.0</v>
      </c>
      <c r="B241" s="23">
        <v>1.24142914E8</v>
      </c>
      <c r="C241" s="12" t="s">
        <v>319</v>
      </c>
      <c r="D241" s="13" t="s">
        <v>18</v>
      </c>
      <c r="E241" s="13" t="s">
        <v>22</v>
      </c>
      <c r="F241" s="13">
        <v>32.0</v>
      </c>
      <c r="G241" s="13" t="s">
        <v>34</v>
      </c>
      <c r="H241" s="13" t="s">
        <v>28</v>
      </c>
      <c r="I241" s="14" t="s">
        <v>18</v>
      </c>
      <c r="J241" s="14" t="s">
        <v>19</v>
      </c>
      <c r="K241" s="14">
        <v>31.0</v>
      </c>
      <c r="L241" s="14" t="s">
        <v>20</v>
      </c>
      <c r="M241" s="14" t="s">
        <v>24</v>
      </c>
      <c r="N241" s="20"/>
      <c r="O241" s="20"/>
      <c r="P241" s="15" t="s">
        <v>320</v>
      </c>
      <c r="Q241" s="16"/>
      <c r="R241" s="16"/>
      <c r="S241" s="16"/>
      <c r="T241" s="16"/>
      <c r="U241" s="16"/>
      <c r="V241" s="16"/>
      <c r="W241" s="16"/>
      <c r="X241" s="16"/>
      <c r="Y241" s="16"/>
      <c r="Z241" s="16"/>
    </row>
    <row r="242">
      <c r="I242" s="14" t="s">
        <v>18</v>
      </c>
      <c r="J242" s="14" t="s">
        <v>45</v>
      </c>
      <c r="K242" s="14">
        <v>26.0</v>
      </c>
      <c r="L242" s="14" t="s">
        <v>23</v>
      </c>
      <c r="M242" s="14" t="s">
        <v>24</v>
      </c>
      <c r="N242" s="20"/>
      <c r="O242" s="20"/>
      <c r="Q242" s="16"/>
      <c r="R242" s="16"/>
      <c r="S242" s="16"/>
      <c r="T242" s="16"/>
      <c r="U242" s="16"/>
      <c r="V242" s="16"/>
      <c r="W242" s="16"/>
      <c r="X242" s="16"/>
      <c r="Y242" s="16"/>
      <c r="Z242" s="16"/>
    </row>
    <row r="243">
      <c r="A243" s="10">
        <v>41905.0</v>
      </c>
      <c r="B243" s="23">
        <v>1.20847114E8</v>
      </c>
      <c r="C243" s="12" t="s">
        <v>321</v>
      </c>
      <c r="D243" s="13" t="s">
        <v>18</v>
      </c>
      <c r="E243" s="13" t="s">
        <v>29</v>
      </c>
      <c r="F243" s="13">
        <v>25.0</v>
      </c>
      <c r="G243" s="13" t="s">
        <v>20</v>
      </c>
      <c r="H243" s="13" t="s">
        <v>152</v>
      </c>
      <c r="I243" s="14" t="s">
        <v>18</v>
      </c>
      <c r="J243" s="14" t="s">
        <v>22</v>
      </c>
      <c r="K243" s="14">
        <v>28.0</v>
      </c>
      <c r="L243" s="14" t="s">
        <v>23</v>
      </c>
      <c r="M243" s="14" t="s">
        <v>24</v>
      </c>
      <c r="N243" s="20"/>
      <c r="O243" s="20"/>
      <c r="P243" s="15" t="s">
        <v>322</v>
      </c>
      <c r="Q243" s="16"/>
      <c r="R243" s="16"/>
      <c r="S243" s="16"/>
      <c r="T243" s="16"/>
      <c r="U243" s="16"/>
      <c r="V243" s="16"/>
      <c r="W243" s="16"/>
      <c r="X243" s="16"/>
      <c r="Y243" s="16"/>
      <c r="Z243" s="16"/>
    </row>
    <row r="244">
      <c r="H244" s="13" t="s">
        <v>152</v>
      </c>
      <c r="I244" s="14" t="s">
        <v>18</v>
      </c>
      <c r="J244" s="14" t="s">
        <v>22</v>
      </c>
      <c r="K244" s="14">
        <v>30.0</v>
      </c>
      <c r="L244" s="14" t="s">
        <v>23</v>
      </c>
      <c r="M244" s="14" t="s">
        <v>24</v>
      </c>
      <c r="N244" s="20"/>
      <c r="O244" s="20"/>
      <c r="Q244" s="16"/>
      <c r="R244" s="16"/>
      <c r="S244" s="16"/>
      <c r="T244" s="16"/>
      <c r="U244" s="16"/>
      <c r="V244" s="16"/>
      <c r="W244" s="16"/>
      <c r="X244" s="16"/>
      <c r="Y244" s="16"/>
      <c r="Z244" s="16"/>
    </row>
    <row r="245">
      <c r="A245" s="10">
        <v>41899.0</v>
      </c>
      <c r="B245" s="23">
        <v>1.18130414E8</v>
      </c>
      <c r="C245" s="12" t="s">
        <v>323</v>
      </c>
      <c r="D245" s="13" t="s">
        <v>18</v>
      </c>
      <c r="E245" s="13" t="s">
        <v>22</v>
      </c>
      <c r="F245" s="13">
        <v>44.0</v>
      </c>
      <c r="G245" s="13" t="s">
        <v>20</v>
      </c>
      <c r="H245" s="13" t="s">
        <v>28</v>
      </c>
      <c r="I245" s="14" t="s">
        <v>18</v>
      </c>
      <c r="J245" s="14" t="s">
        <v>22</v>
      </c>
      <c r="K245" s="14">
        <v>41.0</v>
      </c>
      <c r="L245" s="14" t="s">
        <v>23</v>
      </c>
      <c r="M245" s="14" t="s">
        <v>24</v>
      </c>
      <c r="N245" s="20"/>
      <c r="O245" s="20"/>
      <c r="P245" s="15" t="s">
        <v>324</v>
      </c>
      <c r="Q245" s="16"/>
      <c r="R245" s="16"/>
      <c r="S245" s="16"/>
      <c r="T245" s="16"/>
      <c r="U245" s="16"/>
      <c r="V245" s="16"/>
      <c r="W245" s="16"/>
      <c r="X245" s="16"/>
      <c r="Y245" s="16"/>
      <c r="Z245" s="16"/>
    </row>
    <row r="246">
      <c r="D246" s="13" t="s">
        <v>84</v>
      </c>
      <c r="E246" s="13" t="s">
        <v>22</v>
      </c>
      <c r="F246" s="13">
        <v>38.0</v>
      </c>
      <c r="G246" s="13" t="s">
        <v>23</v>
      </c>
      <c r="H246" s="13" t="s">
        <v>23</v>
      </c>
      <c r="N246" s="20"/>
      <c r="O246" s="20"/>
      <c r="Q246" s="16"/>
      <c r="R246" s="16"/>
      <c r="S246" s="16"/>
      <c r="T246" s="16"/>
      <c r="U246" s="16"/>
      <c r="V246" s="16"/>
      <c r="W246" s="16"/>
      <c r="X246" s="16"/>
      <c r="Y246" s="16"/>
      <c r="Z246" s="16"/>
    </row>
    <row r="247">
      <c r="D247" s="13" t="s">
        <v>18</v>
      </c>
      <c r="E247" s="13" t="s">
        <v>22</v>
      </c>
      <c r="F247" s="13">
        <v>20.0</v>
      </c>
      <c r="G247" s="13" t="s">
        <v>23</v>
      </c>
      <c r="H247" s="13" t="s">
        <v>23</v>
      </c>
      <c r="N247" s="20"/>
      <c r="O247" s="20"/>
      <c r="Q247" s="16"/>
      <c r="R247" s="16"/>
      <c r="S247" s="16"/>
      <c r="T247" s="16"/>
      <c r="U247" s="16"/>
      <c r="V247" s="16"/>
      <c r="W247" s="16"/>
      <c r="X247" s="16"/>
      <c r="Y247" s="16"/>
      <c r="Z247" s="16"/>
    </row>
    <row r="248">
      <c r="A248" s="10">
        <v>41864.0</v>
      </c>
      <c r="B248" s="23">
        <v>1.02070914E8</v>
      </c>
      <c r="C248" s="12" t="s">
        <v>325</v>
      </c>
      <c r="D248" s="13" t="s">
        <v>18</v>
      </c>
      <c r="E248" s="13" t="s">
        <v>19</v>
      </c>
      <c r="F248" s="13">
        <v>28.0</v>
      </c>
      <c r="G248" s="13" t="s">
        <v>34</v>
      </c>
      <c r="H248" s="13" t="s">
        <v>28</v>
      </c>
      <c r="I248" s="14" t="s">
        <v>18</v>
      </c>
      <c r="J248" s="14" t="s">
        <v>22</v>
      </c>
      <c r="K248" s="14">
        <v>28.0</v>
      </c>
      <c r="L248" s="14" t="s">
        <v>20</v>
      </c>
      <c r="M248" s="14" t="s">
        <v>24</v>
      </c>
      <c r="N248" s="20"/>
      <c r="O248" s="20"/>
      <c r="P248" s="15" t="s">
        <v>326</v>
      </c>
      <c r="Q248" s="16"/>
      <c r="R248" s="16"/>
      <c r="S248" s="16"/>
      <c r="T248" s="16"/>
      <c r="U248" s="16"/>
      <c r="V248" s="16"/>
      <c r="W248" s="16"/>
      <c r="X248" s="16"/>
      <c r="Y248" s="16"/>
      <c r="Z248" s="16"/>
    </row>
    <row r="249">
      <c r="A249" s="10">
        <v>41864.0</v>
      </c>
      <c r="B249" s="23">
        <v>1.02260814E8</v>
      </c>
      <c r="C249" s="12" t="s">
        <v>327</v>
      </c>
      <c r="D249" s="13" t="s">
        <v>18</v>
      </c>
      <c r="E249" s="13" t="s">
        <v>19</v>
      </c>
      <c r="F249" s="13">
        <v>40.0</v>
      </c>
      <c r="G249" s="13" t="s">
        <v>34</v>
      </c>
      <c r="H249" s="13" t="s">
        <v>28</v>
      </c>
      <c r="I249" s="14" t="s">
        <v>18</v>
      </c>
      <c r="J249" s="14" t="s">
        <v>22</v>
      </c>
      <c r="K249" s="14">
        <v>32.0</v>
      </c>
      <c r="L249" s="14" t="s">
        <v>23</v>
      </c>
      <c r="M249" s="14" t="s">
        <v>24</v>
      </c>
      <c r="N249" s="20"/>
      <c r="O249" s="20"/>
      <c r="P249" s="15" t="s">
        <v>328</v>
      </c>
      <c r="Q249" s="16"/>
      <c r="R249" s="16"/>
      <c r="S249" s="16"/>
      <c r="T249" s="16"/>
      <c r="U249" s="16"/>
      <c r="V249" s="16"/>
      <c r="W249" s="16"/>
      <c r="X249" s="16"/>
      <c r="Y249" s="16"/>
      <c r="Z249" s="16"/>
    </row>
    <row r="250">
      <c r="A250" s="10">
        <v>41854.0</v>
      </c>
      <c r="B250" s="23">
        <v>9.7245814E7</v>
      </c>
      <c r="C250" s="12" t="s">
        <v>329</v>
      </c>
      <c r="D250" s="13" t="s">
        <v>18</v>
      </c>
      <c r="E250" s="13" t="s">
        <v>29</v>
      </c>
      <c r="F250" s="13" t="s">
        <v>157</v>
      </c>
      <c r="G250" s="13" t="s">
        <v>23</v>
      </c>
      <c r="H250" s="13" t="s">
        <v>186</v>
      </c>
      <c r="I250" s="14" t="s">
        <v>18</v>
      </c>
      <c r="J250" s="14" t="s">
        <v>19</v>
      </c>
      <c r="K250" s="14">
        <v>45.0</v>
      </c>
      <c r="L250" s="14" t="s">
        <v>20</v>
      </c>
      <c r="M250" s="14" t="s">
        <v>60</v>
      </c>
      <c r="N250" s="20"/>
      <c r="O250" s="20"/>
      <c r="P250" s="15" t="s">
        <v>330</v>
      </c>
      <c r="Q250" s="16"/>
      <c r="R250" s="16"/>
      <c r="S250" s="16"/>
      <c r="T250" s="16"/>
      <c r="U250" s="16"/>
      <c r="V250" s="16"/>
      <c r="W250" s="16"/>
      <c r="X250" s="16"/>
      <c r="Y250" s="16"/>
      <c r="Z250" s="16"/>
    </row>
    <row r="251">
      <c r="D251" s="13" t="s">
        <v>18</v>
      </c>
      <c r="E251" s="13" t="s">
        <v>29</v>
      </c>
      <c r="F251" s="13" t="s">
        <v>157</v>
      </c>
      <c r="G251" s="13" t="s">
        <v>23</v>
      </c>
      <c r="H251" s="13" t="s">
        <v>186</v>
      </c>
      <c r="N251" s="20"/>
      <c r="O251" s="20"/>
      <c r="Q251" s="16"/>
      <c r="R251" s="16"/>
      <c r="S251" s="16"/>
      <c r="T251" s="16"/>
      <c r="U251" s="16"/>
      <c r="V251" s="16"/>
      <c r="W251" s="16"/>
      <c r="X251" s="16"/>
      <c r="Y251" s="16"/>
      <c r="Z251" s="16"/>
    </row>
    <row r="252">
      <c r="A252" s="10">
        <v>41849.0</v>
      </c>
      <c r="B252" s="23">
        <v>9.5144314E7</v>
      </c>
      <c r="C252" s="12" t="s">
        <v>331</v>
      </c>
      <c r="D252" s="13" t="s">
        <v>164</v>
      </c>
      <c r="E252" s="13" t="s">
        <v>164</v>
      </c>
      <c r="F252" s="13" t="s">
        <v>164</v>
      </c>
      <c r="G252" s="13" t="s">
        <v>20</v>
      </c>
      <c r="H252" s="13" t="s">
        <v>23</v>
      </c>
      <c r="I252" s="14" t="s">
        <v>18</v>
      </c>
      <c r="J252" s="14" t="s">
        <v>19</v>
      </c>
      <c r="K252" s="14">
        <v>26.0</v>
      </c>
      <c r="L252" s="14" t="s">
        <v>23</v>
      </c>
      <c r="M252" s="14" t="s">
        <v>24</v>
      </c>
      <c r="N252" s="20"/>
      <c r="O252" s="20"/>
      <c r="P252" s="15" t="s">
        <v>332</v>
      </c>
      <c r="Q252" s="16"/>
      <c r="R252" s="16"/>
      <c r="S252" s="16"/>
      <c r="T252" s="16"/>
      <c r="U252" s="16"/>
      <c r="V252" s="16"/>
      <c r="W252" s="16"/>
      <c r="X252" s="16"/>
      <c r="Y252" s="16"/>
      <c r="Z252" s="16"/>
    </row>
    <row r="253">
      <c r="A253" s="10">
        <v>41847.0</v>
      </c>
      <c r="B253" s="23">
        <v>9.4268814E7</v>
      </c>
      <c r="C253" s="12" t="s">
        <v>333</v>
      </c>
      <c r="D253" s="13" t="s">
        <v>18</v>
      </c>
      <c r="E253" s="13" t="s">
        <v>29</v>
      </c>
      <c r="F253" s="13">
        <v>22.0</v>
      </c>
      <c r="G253" s="13" t="s">
        <v>23</v>
      </c>
      <c r="H253" s="13" t="s">
        <v>23</v>
      </c>
      <c r="I253" s="14" t="s">
        <v>18</v>
      </c>
      <c r="J253" s="14" t="s">
        <v>29</v>
      </c>
      <c r="K253" s="14">
        <v>47.0</v>
      </c>
      <c r="L253" s="14" t="s">
        <v>23</v>
      </c>
      <c r="M253" s="14" t="s">
        <v>24</v>
      </c>
      <c r="N253" s="20"/>
      <c r="O253" s="20"/>
      <c r="P253" s="15" t="s">
        <v>334</v>
      </c>
      <c r="Q253" s="16"/>
      <c r="R253" s="16"/>
      <c r="S253" s="16"/>
      <c r="T253" s="16"/>
      <c r="U253" s="16"/>
      <c r="V253" s="16"/>
      <c r="W253" s="16"/>
      <c r="X253" s="16"/>
      <c r="Y253" s="16"/>
      <c r="Z253" s="16"/>
    </row>
    <row r="254">
      <c r="D254" s="13" t="s">
        <v>18</v>
      </c>
      <c r="E254" s="13" t="s">
        <v>29</v>
      </c>
      <c r="F254" s="13">
        <v>27.0</v>
      </c>
      <c r="G254" s="13" t="s">
        <v>23</v>
      </c>
      <c r="H254" s="13" t="s">
        <v>28</v>
      </c>
      <c r="N254" s="20"/>
      <c r="O254" s="20"/>
      <c r="Q254" s="16"/>
      <c r="R254" s="16"/>
      <c r="S254" s="16"/>
      <c r="T254" s="16"/>
      <c r="U254" s="16"/>
      <c r="V254" s="16"/>
      <c r="W254" s="16"/>
      <c r="X254" s="16"/>
      <c r="Y254" s="16"/>
      <c r="Z254" s="16"/>
    </row>
    <row r="255">
      <c r="A255" s="10">
        <v>41764.0</v>
      </c>
      <c r="B255" s="23">
        <v>5.5474514E7</v>
      </c>
      <c r="C255" s="12" t="s">
        <v>335</v>
      </c>
      <c r="D255" s="13" t="s">
        <v>18</v>
      </c>
      <c r="E255" s="13" t="s">
        <v>29</v>
      </c>
      <c r="F255" s="13">
        <v>34.0</v>
      </c>
      <c r="G255" s="13" t="s">
        <v>34</v>
      </c>
      <c r="H255" s="13" t="s">
        <v>28</v>
      </c>
      <c r="I255" s="14" t="s">
        <v>18</v>
      </c>
      <c r="J255" s="14" t="s">
        <v>22</v>
      </c>
      <c r="K255" s="14">
        <v>38.0</v>
      </c>
      <c r="L255" s="14" t="s">
        <v>23</v>
      </c>
      <c r="M255" s="14" t="s">
        <v>24</v>
      </c>
      <c r="N255" s="20"/>
      <c r="O255" s="20"/>
      <c r="P255" s="15" t="s">
        <v>336</v>
      </c>
      <c r="Q255" s="16"/>
      <c r="R255" s="16"/>
      <c r="S255" s="16"/>
      <c r="T255" s="16"/>
      <c r="U255" s="16"/>
      <c r="V255" s="16"/>
      <c r="W255" s="16"/>
      <c r="X255" s="16"/>
      <c r="Y255" s="16"/>
      <c r="Z255" s="16"/>
    </row>
    <row r="256">
      <c r="D256" s="13" t="s">
        <v>18</v>
      </c>
      <c r="E256" s="13" t="s">
        <v>29</v>
      </c>
      <c r="F256" s="13">
        <v>32.0</v>
      </c>
      <c r="G256" s="13" t="s">
        <v>23</v>
      </c>
      <c r="H256" s="13" t="s">
        <v>23</v>
      </c>
      <c r="N256" s="20"/>
      <c r="O256" s="20"/>
      <c r="Q256" s="16"/>
      <c r="R256" s="16"/>
      <c r="S256" s="16"/>
      <c r="T256" s="16"/>
      <c r="U256" s="16"/>
      <c r="V256" s="16"/>
      <c r="W256" s="16"/>
      <c r="X256" s="16"/>
      <c r="Y256" s="16"/>
      <c r="Z256" s="16"/>
    </row>
    <row r="257">
      <c r="A257" s="10">
        <v>41760.0</v>
      </c>
      <c r="B257" s="23">
        <v>5.3375914E7</v>
      </c>
      <c r="C257" s="12" t="s">
        <v>337</v>
      </c>
      <c r="D257" s="13" t="s">
        <v>18</v>
      </c>
      <c r="E257" s="13" t="s">
        <v>29</v>
      </c>
      <c r="F257" s="13">
        <v>27.0</v>
      </c>
      <c r="G257" s="13" t="s">
        <v>20</v>
      </c>
      <c r="H257" s="13" t="s">
        <v>338</v>
      </c>
      <c r="I257" s="14" t="s">
        <v>18</v>
      </c>
      <c r="J257" s="14" t="s">
        <v>29</v>
      </c>
      <c r="K257" s="14">
        <v>34.0</v>
      </c>
      <c r="L257" s="14" t="s">
        <v>23</v>
      </c>
      <c r="M257" s="14" t="s">
        <v>24</v>
      </c>
      <c r="N257" s="20"/>
      <c r="O257" s="20"/>
      <c r="P257" s="15" t="s">
        <v>339</v>
      </c>
      <c r="Q257" s="16"/>
      <c r="R257" s="16"/>
      <c r="S257" s="16"/>
      <c r="T257" s="16"/>
      <c r="U257" s="16"/>
      <c r="V257" s="16"/>
      <c r="W257" s="16"/>
      <c r="X257" s="16"/>
      <c r="Y257" s="16"/>
      <c r="Z257" s="16"/>
    </row>
    <row r="258">
      <c r="A258" s="10">
        <v>41718.0</v>
      </c>
      <c r="B258" s="23">
        <v>3.4188114E7</v>
      </c>
      <c r="C258" s="12" t="s">
        <v>340</v>
      </c>
      <c r="D258" s="13" t="s">
        <v>18</v>
      </c>
      <c r="E258" s="13" t="s">
        <v>29</v>
      </c>
      <c r="F258" s="13" t="s">
        <v>157</v>
      </c>
      <c r="G258" s="13" t="s">
        <v>140</v>
      </c>
      <c r="H258" s="13" t="s">
        <v>28</v>
      </c>
      <c r="I258" s="14" t="s">
        <v>18</v>
      </c>
      <c r="J258" s="14" t="s">
        <v>19</v>
      </c>
      <c r="K258" s="14">
        <v>32.0</v>
      </c>
      <c r="L258" s="14" t="s">
        <v>23</v>
      </c>
      <c r="M258" s="14" t="s">
        <v>24</v>
      </c>
      <c r="N258" s="20"/>
      <c r="O258" s="20"/>
      <c r="P258" s="15" t="s">
        <v>341</v>
      </c>
      <c r="Q258" s="16"/>
      <c r="R258" s="16"/>
      <c r="S258" s="16"/>
      <c r="T258" s="16"/>
      <c r="U258" s="16"/>
      <c r="V258" s="16"/>
      <c r="W258" s="16"/>
      <c r="X258" s="16"/>
      <c r="Y258" s="16"/>
      <c r="Z258" s="16"/>
    </row>
    <row r="259">
      <c r="A259" s="10">
        <v>41716.0</v>
      </c>
      <c r="B259" s="23">
        <v>3.3110514E7</v>
      </c>
      <c r="C259" s="12" t="s">
        <v>342</v>
      </c>
      <c r="D259" s="13" t="s">
        <v>18</v>
      </c>
      <c r="E259" s="13" t="s">
        <v>29</v>
      </c>
      <c r="F259" s="13">
        <v>34.0</v>
      </c>
      <c r="G259" s="13" t="s">
        <v>20</v>
      </c>
      <c r="H259" s="13" t="s">
        <v>23</v>
      </c>
      <c r="I259" s="14" t="s">
        <v>18</v>
      </c>
      <c r="J259" s="14" t="s">
        <v>29</v>
      </c>
      <c r="K259" s="14">
        <v>39.0</v>
      </c>
      <c r="L259" s="14" t="s">
        <v>23</v>
      </c>
      <c r="M259" s="14" t="s">
        <v>24</v>
      </c>
      <c r="N259" s="20"/>
      <c r="O259" s="20"/>
      <c r="P259" s="15" t="s">
        <v>343</v>
      </c>
      <c r="Q259" s="16"/>
      <c r="R259" s="16"/>
      <c r="S259" s="16"/>
      <c r="T259" s="16"/>
      <c r="U259" s="16"/>
      <c r="V259" s="16"/>
      <c r="W259" s="16"/>
      <c r="X259" s="16"/>
      <c r="Y259" s="16"/>
      <c r="Z259" s="16"/>
    </row>
    <row r="260">
      <c r="A260" s="10">
        <v>41715.0</v>
      </c>
      <c r="B260" s="23">
        <v>3.2413614E7</v>
      </c>
      <c r="C260" s="12" t="s">
        <v>344</v>
      </c>
      <c r="D260" s="13" t="s">
        <v>18</v>
      </c>
      <c r="E260" s="13" t="s">
        <v>29</v>
      </c>
      <c r="F260" s="13">
        <v>26.0</v>
      </c>
      <c r="G260" s="13" t="s">
        <v>34</v>
      </c>
      <c r="H260" s="13" t="s">
        <v>186</v>
      </c>
      <c r="I260" s="14" t="s">
        <v>18</v>
      </c>
      <c r="J260" s="14" t="s">
        <v>45</v>
      </c>
      <c r="K260" s="14">
        <v>41.0</v>
      </c>
      <c r="L260" s="14" t="s">
        <v>23</v>
      </c>
      <c r="M260" s="14" t="s">
        <v>24</v>
      </c>
      <c r="N260" s="20"/>
      <c r="O260" s="20"/>
      <c r="P260" s="15" t="s">
        <v>345</v>
      </c>
      <c r="Q260" s="16"/>
      <c r="R260" s="16"/>
      <c r="S260" s="16"/>
      <c r="T260" s="16"/>
      <c r="U260" s="16"/>
      <c r="V260" s="16"/>
      <c r="W260" s="16"/>
      <c r="X260" s="16"/>
      <c r="Y260" s="16"/>
      <c r="Z260" s="16"/>
    </row>
    <row r="261">
      <c r="A261" s="10">
        <v>41711.0</v>
      </c>
      <c r="B261" s="23">
        <v>3.0609914E7</v>
      </c>
      <c r="C261" s="12" t="s">
        <v>346</v>
      </c>
      <c r="D261" s="13" t="s">
        <v>18</v>
      </c>
      <c r="E261" s="13" t="s">
        <v>29</v>
      </c>
      <c r="F261" s="13">
        <v>47.0</v>
      </c>
      <c r="G261" s="13" t="s">
        <v>140</v>
      </c>
      <c r="H261" s="13" t="s">
        <v>152</v>
      </c>
      <c r="I261" s="14" t="s">
        <v>18</v>
      </c>
      <c r="J261" s="14" t="s">
        <v>19</v>
      </c>
      <c r="K261" s="14">
        <v>40.0</v>
      </c>
      <c r="L261" s="14" t="s">
        <v>23</v>
      </c>
      <c r="M261" s="14" t="s">
        <v>24</v>
      </c>
      <c r="N261" s="20"/>
      <c r="O261" s="20"/>
      <c r="P261" s="15" t="s">
        <v>347</v>
      </c>
      <c r="Q261" s="16"/>
      <c r="R261" s="16"/>
      <c r="S261" s="16"/>
      <c r="T261" s="16"/>
      <c r="U261" s="16"/>
      <c r="V261" s="16"/>
      <c r="W261" s="16"/>
      <c r="X261" s="16"/>
      <c r="Y261" s="16"/>
      <c r="Z261" s="16"/>
    </row>
    <row r="262">
      <c r="D262" s="13" t="s">
        <v>18</v>
      </c>
      <c r="E262" s="13" t="s">
        <v>29</v>
      </c>
      <c r="F262" s="13">
        <v>49.0</v>
      </c>
      <c r="G262" s="13" t="s">
        <v>20</v>
      </c>
      <c r="H262" s="13" t="s">
        <v>152</v>
      </c>
      <c r="N262" s="20"/>
      <c r="O262" s="20"/>
      <c r="Q262" s="16"/>
      <c r="R262" s="16"/>
      <c r="S262" s="16"/>
      <c r="T262" s="16"/>
      <c r="U262" s="16"/>
      <c r="V262" s="16"/>
      <c r="W262" s="16"/>
      <c r="X262" s="16"/>
      <c r="Y262" s="16"/>
      <c r="Z262" s="16"/>
    </row>
    <row r="263">
      <c r="A263" s="10">
        <v>41704.0</v>
      </c>
      <c r="B263" s="23">
        <v>2.7504414E7</v>
      </c>
      <c r="C263" s="12" t="s">
        <v>174</v>
      </c>
      <c r="D263" s="13" t="s">
        <v>33</v>
      </c>
      <c r="E263" s="13" t="s">
        <v>33</v>
      </c>
      <c r="F263" s="13" t="s">
        <v>157</v>
      </c>
      <c r="G263" s="13" t="s">
        <v>140</v>
      </c>
      <c r="H263" s="13" t="s">
        <v>23</v>
      </c>
      <c r="I263" s="14" t="s">
        <v>18</v>
      </c>
      <c r="J263" s="14" t="s">
        <v>29</v>
      </c>
      <c r="K263" s="14">
        <v>37.0</v>
      </c>
      <c r="L263" s="14" t="s">
        <v>23</v>
      </c>
      <c r="M263" s="14" t="s">
        <v>60</v>
      </c>
      <c r="N263" s="20"/>
      <c r="O263" s="20"/>
      <c r="P263" s="15" t="s">
        <v>348</v>
      </c>
      <c r="Q263" s="16"/>
      <c r="R263" s="16"/>
      <c r="S263" s="16"/>
      <c r="T263" s="16"/>
      <c r="U263" s="16"/>
      <c r="V263" s="16"/>
      <c r="W263" s="16"/>
      <c r="X263" s="16"/>
      <c r="Y263" s="16"/>
      <c r="Z263" s="16"/>
    </row>
    <row r="264">
      <c r="D264" s="13" t="s">
        <v>164</v>
      </c>
      <c r="E264" s="13" t="s">
        <v>164</v>
      </c>
      <c r="F264" s="13" t="s">
        <v>164</v>
      </c>
      <c r="G264" s="13" t="s">
        <v>34</v>
      </c>
      <c r="H264" s="13" t="s">
        <v>349</v>
      </c>
      <c r="N264" s="20"/>
      <c r="O264" s="20"/>
      <c r="Q264" s="16"/>
      <c r="R264" s="16"/>
      <c r="S264" s="16"/>
      <c r="T264" s="16"/>
      <c r="U264" s="16"/>
      <c r="V264" s="16"/>
      <c r="W264" s="16"/>
      <c r="X264" s="16"/>
      <c r="Y264" s="16"/>
      <c r="Z264" s="16"/>
    </row>
    <row r="265">
      <c r="A265" s="10">
        <v>41697.0</v>
      </c>
      <c r="B265" s="23">
        <v>2.4475814E7</v>
      </c>
      <c r="C265" s="12" t="s">
        <v>350</v>
      </c>
      <c r="D265" s="13" t="s">
        <v>18</v>
      </c>
      <c r="E265" s="13" t="s">
        <v>29</v>
      </c>
      <c r="F265" s="13">
        <v>54.0</v>
      </c>
      <c r="G265" s="13" t="s">
        <v>20</v>
      </c>
      <c r="H265" s="13" t="s">
        <v>351</v>
      </c>
      <c r="I265" s="14" t="s">
        <v>18</v>
      </c>
      <c r="J265" s="14" t="s">
        <v>22</v>
      </c>
      <c r="K265" s="14">
        <v>27.0</v>
      </c>
      <c r="L265" s="14" t="s">
        <v>23</v>
      </c>
      <c r="M265" s="14" t="s">
        <v>24</v>
      </c>
      <c r="N265" s="20"/>
      <c r="O265" s="20"/>
      <c r="P265" s="15" t="s">
        <v>352</v>
      </c>
      <c r="Q265" s="16"/>
      <c r="R265" s="16"/>
      <c r="S265" s="16"/>
      <c r="T265" s="16"/>
      <c r="U265" s="16"/>
      <c r="V265" s="16"/>
      <c r="W265" s="16"/>
      <c r="X265" s="16"/>
      <c r="Y265" s="16"/>
      <c r="Z265" s="16"/>
    </row>
    <row r="266">
      <c r="A266" s="10">
        <v>41686.0</v>
      </c>
      <c r="B266" s="23">
        <v>1.9897714E7</v>
      </c>
      <c r="C266" s="12" t="s">
        <v>353</v>
      </c>
      <c r="D266" s="13" t="s">
        <v>164</v>
      </c>
      <c r="E266" s="13" t="s">
        <v>164</v>
      </c>
      <c r="F266" s="13" t="s">
        <v>164</v>
      </c>
      <c r="G266" s="13" t="s">
        <v>34</v>
      </c>
      <c r="H266" s="13" t="s">
        <v>349</v>
      </c>
      <c r="I266" s="14" t="s">
        <v>18</v>
      </c>
      <c r="J266" s="14" t="s">
        <v>19</v>
      </c>
      <c r="K266" s="14">
        <v>48.0</v>
      </c>
      <c r="L266" s="14" t="s">
        <v>23</v>
      </c>
      <c r="M266" s="14" t="s">
        <v>60</v>
      </c>
      <c r="N266" s="20"/>
      <c r="O266" s="20"/>
      <c r="P266" s="15" t="s">
        <v>354</v>
      </c>
      <c r="Q266" s="16"/>
      <c r="R266" s="16"/>
      <c r="S266" s="16"/>
      <c r="T266" s="16"/>
      <c r="U266" s="16"/>
      <c r="V266" s="16"/>
      <c r="W266" s="16"/>
      <c r="X266" s="16"/>
      <c r="Y266" s="16"/>
      <c r="Z266" s="16"/>
    </row>
    <row r="267">
      <c r="D267" s="13" t="s">
        <v>164</v>
      </c>
      <c r="E267" s="13" t="s">
        <v>164</v>
      </c>
      <c r="F267" s="13" t="s">
        <v>164</v>
      </c>
      <c r="G267" s="13" t="s">
        <v>23</v>
      </c>
      <c r="H267" s="13" t="s">
        <v>23</v>
      </c>
      <c r="N267" s="20"/>
      <c r="O267" s="20"/>
      <c r="Q267" s="16"/>
      <c r="R267" s="16"/>
      <c r="S267" s="16"/>
      <c r="T267" s="16"/>
      <c r="U267" s="16"/>
      <c r="V267" s="16"/>
      <c r="W267" s="16"/>
      <c r="X267" s="16"/>
      <c r="Y267" s="16"/>
      <c r="Z267" s="16"/>
    </row>
    <row r="268">
      <c r="A268" s="10">
        <v>41684.0</v>
      </c>
      <c r="B268" s="23">
        <v>1.9009014E7</v>
      </c>
      <c r="C268" s="12" t="s">
        <v>355</v>
      </c>
      <c r="D268" s="13" t="s">
        <v>18</v>
      </c>
      <c r="E268" s="13" t="s">
        <v>29</v>
      </c>
      <c r="F268" s="13">
        <v>19.0</v>
      </c>
      <c r="G268" s="13" t="s">
        <v>23</v>
      </c>
      <c r="H268" s="13" t="s">
        <v>23</v>
      </c>
      <c r="I268" s="14" t="s">
        <v>18</v>
      </c>
      <c r="J268" s="14" t="s">
        <v>22</v>
      </c>
      <c r="K268" s="14">
        <v>33.0</v>
      </c>
      <c r="L268" s="14" t="s">
        <v>23</v>
      </c>
      <c r="M268" s="14" t="s">
        <v>24</v>
      </c>
      <c r="N268" s="20"/>
      <c r="O268" s="20"/>
      <c r="P268" s="15" t="s">
        <v>356</v>
      </c>
      <c r="Q268" s="16"/>
      <c r="R268" s="16"/>
      <c r="S268" s="16"/>
      <c r="T268" s="16"/>
      <c r="U268" s="16"/>
      <c r="V268" s="16"/>
      <c r="W268" s="16"/>
      <c r="X268" s="16"/>
      <c r="Y268" s="16"/>
      <c r="Z268" s="16"/>
    </row>
    <row r="269">
      <c r="D269" s="13" t="s">
        <v>164</v>
      </c>
      <c r="E269" s="13" t="s">
        <v>164</v>
      </c>
      <c r="F269" s="13" t="s">
        <v>164</v>
      </c>
      <c r="G269" s="13" t="s">
        <v>23</v>
      </c>
      <c r="H269" s="13" t="s">
        <v>23</v>
      </c>
      <c r="N269" s="20"/>
      <c r="O269" s="20"/>
      <c r="Q269" s="16"/>
      <c r="R269" s="16"/>
      <c r="S269" s="16"/>
      <c r="T269" s="16"/>
      <c r="U269" s="16"/>
      <c r="V269" s="16"/>
      <c r="W269" s="16"/>
      <c r="X269" s="16"/>
      <c r="Y269" s="16"/>
      <c r="Z269" s="16"/>
    </row>
    <row r="270">
      <c r="D270" s="13" t="s">
        <v>18</v>
      </c>
      <c r="E270" s="13" t="s">
        <v>29</v>
      </c>
      <c r="F270" s="13">
        <v>19.0</v>
      </c>
      <c r="G270" s="13" t="s">
        <v>20</v>
      </c>
      <c r="H270" s="13" t="s">
        <v>28</v>
      </c>
      <c r="N270" s="20"/>
      <c r="O270" s="20"/>
      <c r="Q270" s="16"/>
      <c r="R270" s="16"/>
      <c r="S270" s="16"/>
      <c r="T270" s="16"/>
      <c r="U270" s="16"/>
      <c r="V270" s="16"/>
      <c r="W270" s="16"/>
      <c r="X270" s="16"/>
      <c r="Y270" s="16"/>
      <c r="Z270" s="16"/>
    </row>
    <row r="271">
      <c r="A271" s="10">
        <v>41679.0</v>
      </c>
      <c r="B271" s="23">
        <v>1.6581114E7</v>
      </c>
      <c r="C271" s="12" t="s">
        <v>357</v>
      </c>
      <c r="D271" s="13" t="s">
        <v>164</v>
      </c>
      <c r="E271" s="13" t="s">
        <v>164</v>
      </c>
      <c r="F271" s="13" t="s">
        <v>164</v>
      </c>
      <c r="G271" s="13" t="s">
        <v>23</v>
      </c>
      <c r="H271" s="13" t="s">
        <v>23</v>
      </c>
      <c r="I271" s="14" t="s">
        <v>18</v>
      </c>
      <c r="J271" s="14" t="s">
        <v>29</v>
      </c>
      <c r="K271" s="14">
        <v>42.0</v>
      </c>
      <c r="L271" s="14" t="s">
        <v>23</v>
      </c>
      <c r="M271" s="14" t="s">
        <v>60</v>
      </c>
      <c r="N271" s="20"/>
      <c r="O271" s="20"/>
      <c r="P271" s="15" t="s">
        <v>358</v>
      </c>
      <c r="Q271" s="16"/>
      <c r="R271" s="16"/>
      <c r="S271" s="16"/>
      <c r="T271" s="16"/>
      <c r="U271" s="16"/>
      <c r="V271" s="16"/>
      <c r="W271" s="16"/>
      <c r="X271" s="16"/>
      <c r="Y271" s="16"/>
      <c r="Z271" s="16"/>
    </row>
    <row r="272">
      <c r="D272" s="13" t="s">
        <v>164</v>
      </c>
      <c r="E272" s="13" t="s">
        <v>164</v>
      </c>
      <c r="F272" s="13" t="s">
        <v>164</v>
      </c>
      <c r="G272" s="13" t="s">
        <v>20</v>
      </c>
      <c r="H272" s="13" t="s">
        <v>349</v>
      </c>
      <c r="N272" s="20"/>
      <c r="O272" s="20"/>
      <c r="Q272" s="16"/>
      <c r="R272" s="16"/>
      <c r="S272" s="16"/>
      <c r="T272" s="16"/>
      <c r="U272" s="16"/>
      <c r="V272" s="16"/>
      <c r="W272" s="16"/>
      <c r="X272" s="16"/>
      <c r="Y272" s="16"/>
      <c r="Z272" s="16"/>
    </row>
    <row r="273">
      <c r="D273" s="13" t="s">
        <v>18</v>
      </c>
      <c r="E273" s="13" t="s">
        <v>22</v>
      </c>
      <c r="F273" s="13">
        <v>18.0</v>
      </c>
      <c r="G273" s="13" t="s">
        <v>20</v>
      </c>
      <c r="H273" s="13" t="s">
        <v>23</v>
      </c>
      <c r="N273" s="20"/>
      <c r="O273" s="20"/>
      <c r="Q273" s="16"/>
      <c r="R273" s="16"/>
      <c r="S273" s="16"/>
      <c r="T273" s="16"/>
      <c r="U273" s="16"/>
      <c r="V273" s="16"/>
      <c r="W273" s="16"/>
      <c r="X273" s="16"/>
      <c r="Y273" s="16"/>
      <c r="Z273" s="16"/>
    </row>
    <row r="274">
      <c r="A274" s="10">
        <v>41662.0</v>
      </c>
      <c r="B274" s="23">
        <v>9805514.0</v>
      </c>
      <c r="C274" s="12" t="s">
        <v>359</v>
      </c>
      <c r="D274" s="13" t="s">
        <v>18</v>
      </c>
      <c r="E274" s="13" t="s">
        <v>29</v>
      </c>
      <c r="F274" s="13">
        <v>24.0</v>
      </c>
      <c r="G274" s="13" t="s">
        <v>34</v>
      </c>
      <c r="H274" s="13" t="s">
        <v>28</v>
      </c>
      <c r="I274" s="14" t="s">
        <v>18</v>
      </c>
      <c r="J274" s="14" t="s">
        <v>22</v>
      </c>
      <c r="K274" s="14">
        <v>28.0</v>
      </c>
      <c r="L274" s="14" t="s">
        <v>23</v>
      </c>
      <c r="M274" s="14" t="s">
        <v>24</v>
      </c>
      <c r="N274" s="20"/>
      <c r="O274" s="20"/>
      <c r="P274" s="15" t="s">
        <v>360</v>
      </c>
      <c r="Q274" s="16"/>
      <c r="R274" s="16"/>
      <c r="S274" s="16"/>
      <c r="T274" s="16"/>
      <c r="U274" s="16"/>
      <c r="V274" s="16"/>
      <c r="W274" s="16"/>
      <c r="X274" s="16"/>
      <c r="Y274" s="16"/>
      <c r="Z274" s="16"/>
    </row>
    <row r="275">
      <c r="I275" s="14" t="s">
        <v>18</v>
      </c>
      <c r="J275" s="14" t="s">
        <v>22</v>
      </c>
      <c r="K275" s="14">
        <v>33.0</v>
      </c>
      <c r="L275" s="14" t="s">
        <v>23</v>
      </c>
      <c r="M275" s="14" t="s">
        <v>24</v>
      </c>
      <c r="N275" s="20"/>
      <c r="O275" s="20"/>
      <c r="Q275" s="16"/>
      <c r="R275" s="16"/>
      <c r="S275" s="16"/>
      <c r="T275" s="16"/>
      <c r="U275" s="16"/>
      <c r="V275" s="16"/>
      <c r="W275" s="16"/>
      <c r="X275" s="16"/>
      <c r="Y275" s="16"/>
      <c r="Z275" s="16"/>
    </row>
    <row r="276">
      <c r="A276" s="10">
        <v>41658.0</v>
      </c>
      <c r="B276" s="23">
        <v>7934614.0</v>
      </c>
      <c r="C276" s="12" t="s">
        <v>361</v>
      </c>
      <c r="D276" s="13" t="s">
        <v>18</v>
      </c>
      <c r="E276" s="13" t="s">
        <v>29</v>
      </c>
      <c r="F276" s="13">
        <v>23.0</v>
      </c>
      <c r="G276" s="13" t="s">
        <v>20</v>
      </c>
      <c r="H276" s="13" t="s">
        <v>28</v>
      </c>
      <c r="I276" s="14" t="s">
        <v>18</v>
      </c>
      <c r="J276" s="14" t="s">
        <v>19</v>
      </c>
      <c r="K276" s="14">
        <v>23.0</v>
      </c>
      <c r="L276" s="14" t="s">
        <v>23</v>
      </c>
      <c r="M276" s="14" t="s">
        <v>24</v>
      </c>
      <c r="N276" s="20"/>
      <c r="O276" s="20"/>
      <c r="P276" s="15" t="s">
        <v>362</v>
      </c>
      <c r="Q276" s="16"/>
      <c r="R276" s="16"/>
      <c r="S276" s="16"/>
      <c r="T276" s="16"/>
      <c r="U276" s="16"/>
      <c r="V276" s="16"/>
      <c r="W276" s="16"/>
      <c r="X276" s="16"/>
      <c r="Y276" s="16"/>
      <c r="Z276" s="16"/>
    </row>
    <row r="277">
      <c r="A277" s="10">
        <v>41655.0</v>
      </c>
      <c r="B277" s="23">
        <v>6830214.0</v>
      </c>
      <c r="C277" s="12" t="s">
        <v>363</v>
      </c>
      <c r="D277" s="13" t="s">
        <v>18</v>
      </c>
      <c r="E277" s="13" t="s">
        <v>29</v>
      </c>
      <c r="F277" s="13">
        <v>26.0</v>
      </c>
      <c r="G277" s="13" t="s">
        <v>34</v>
      </c>
      <c r="H277" s="13" t="s">
        <v>23</v>
      </c>
      <c r="I277" s="14" t="s">
        <v>18</v>
      </c>
      <c r="J277" s="14" t="s">
        <v>19</v>
      </c>
      <c r="K277" s="14">
        <v>34.0</v>
      </c>
      <c r="L277" s="14" t="s">
        <v>23</v>
      </c>
      <c r="M277" s="14" t="s">
        <v>60</v>
      </c>
      <c r="N277" s="20"/>
      <c r="O277" s="20"/>
      <c r="P277" s="15" t="s">
        <v>364</v>
      </c>
      <c r="Q277" s="16"/>
      <c r="R277" s="16"/>
      <c r="S277" s="16"/>
      <c r="T277" s="16"/>
      <c r="U277" s="16"/>
      <c r="V277" s="16"/>
      <c r="W277" s="16"/>
      <c r="X277" s="16"/>
      <c r="Y277" s="16"/>
      <c r="Z277" s="16"/>
    </row>
    <row r="278">
      <c r="A278" s="10">
        <v>41652.0</v>
      </c>
      <c r="B278" s="23">
        <v>5578914.0</v>
      </c>
      <c r="C278" s="12" t="s">
        <v>365</v>
      </c>
      <c r="D278" s="13" t="s">
        <v>18</v>
      </c>
      <c r="E278" s="13" t="s">
        <v>22</v>
      </c>
      <c r="F278" s="13">
        <v>36.0</v>
      </c>
      <c r="G278" s="13" t="s">
        <v>20</v>
      </c>
      <c r="H278" s="13" t="s">
        <v>38</v>
      </c>
      <c r="I278" s="14" t="s">
        <v>18</v>
      </c>
      <c r="J278" s="14" t="s">
        <v>22</v>
      </c>
      <c r="K278" s="14">
        <v>28.0</v>
      </c>
      <c r="L278" s="14" t="s">
        <v>23</v>
      </c>
      <c r="M278" s="14" t="s">
        <v>24</v>
      </c>
      <c r="N278" s="20"/>
      <c r="O278" s="20"/>
      <c r="P278" s="15" t="s">
        <v>366</v>
      </c>
      <c r="Q278" s="16"/>
      <c r="R278" s="16"/>
      <c r="S278" s="16"/>
      <c r="T278" s="16"/>
      <c r="U278" s="16"/>
      <c r="V278" s="16"/>
      <c r="W278" s="16"/>
      <c r="X278" s="16"/>
      <c r="Y278" s="16"/>
      <c r="Z278" s="16"/>
    </row>
    <row r="279">
      <c r="A279" s="10">
        <v>41651.0</v>
      </c>
      <c r="B279" s="23">
        <v>4732914.0</v>
      </c>
      <c r="C279" s="12" t="s">
        <v>367</v>
      </c>
      <c r="D279" s="13" t="s">
        <v>18</v>
      </c>
      <c r="E279" s="13" t="s">
        <v>22</v>
      </c>
      <c r="F279" s="13">
        <v>22.0</v>
      </c>
      <c r="G279" s="13" t="s">
        <v>23</v>
      </c>
      <c r="H279" s="13" t="s">
        <v>28</v>
      </c>
      <c r="I279" s="14" t="s">
        <v>18</v>
      </c>
      <c r="J279" s="14" t="s">
        <v>19</v>
      </c>
      <c r="K279" s="14">
        <v>40.0</v>
      </c>
      <c r="L279" s="14" t="s">
        <v>23</v>
      </c>
      <c r="M279" s="14" t="s">
        <v>60</v>
      </c>
      <c r="N279" s="20"/>
      <c r="O279" s="20"/>
      <c r="P279" s="15" t="s">
        <v>368</v>
      </c>
      <c r="Q279" s="16"/>
      <c r="R279" s="16"/>
      <c r="S279" s="16"/>
      <c r="T279" s="16"/>
      <c r="U279" s="16"/>
      <c r="V279" s="16"/>
      <c r="W279" s="16"/>
      <c r="X279" s="16"/>
      <c r="Y279" s="16"/>
      <c r="Z279" s="16"/>
    </row>
    <row r="280">
      <c r="A280" s="10">
        <v>41634.0</v>
      </c>
      <c r="B280" s="23">
        <v>1.60489413E8</v>
      </c>
      <c r="C280" s="12" t="s">
        <v>369</v>
      </c>
      <c r="D280" s="13" t="s">
        <v>18</v>
      </c>
      <c r="E280" s="13" t="s">
        <v>29</v>
      </c>
      <c r="F280" s="13" t="s">
        <v>157</v>
      </c>
      <c r="G280" s="13" t="s">
        <v>140</v>
      </c>
      <c r="H280" s="13" t="s">
        <v>152</v>
      </c>
      <c r="I280" s="14" t="s">
        <v>18</v>
      </c>
      <c r="J280" s="14" t="s">
        <v>29</v>
      </c>
      <c r="K280" s="14">
        <v>41.0</v>
      </c>
      <c r="L280" s="14" t="s">
        <v>23</v>
      </c>
      <c r="M280" s="14" t="s">
        <v>24</v>
      </c>
      <c r="N280" s="20"/>
      <c r="O280" s="20"/>
      <c r="P280" s="15" t="s">
        <v>370</v>
      </c>
      <c r="Q280" s="16"/>
      <c r="R280" s="16"/>
      <c r="S280" s="16"/>
      <c r="T280" s="16"/>
      <c r="U280" s="16"/>
      <c r="V280" s="16"/>
      <c r="W280" s="16"/>
      <c r="X280" s="16"/>
      <c r="Y280" s="16"/>
      <c r="Z280" s="16"/>
    </row>
    <row r="281">
      <c r="A281" s="10">
        <v>41617.0</v>
      </c>
      <c r="B281" s="23">
        <v>1.53332913E8</v>
      </c>
      <c r="C281" s="12" t="s">
        <v>371</v>
      </c>
      <c r="D281" s="13" t="s">
        <v>18</v>
      </c>
      <c r="E281" s="13" t="s">
        <v>22</v>
      </c>
      <c r="F281" s="13">
        <v>30.0</v>
      </c>
      <c r="G281" s="13" t="s">
        <v>23</v>
      </c>
      <c r="H281" s="13" t="s">
        <v>23</v>
      </c>
      <c r="I281" s="14" t="s">
        <v>18</v>
      </c>
      <c r="J281" s="14" t="s">
        <v>22</v>
      </c>
      <c r="K281" s="14">
        <v>50.0</v>
      </c>
      <c r="L281" s="14" t="s">
        <v>23</v>
      </c>
      <c r="M281" s="14" t="s">
        <v>24</v>
      </c>
      <c r="N281" s="20"/>
      <c r="O281" s="20"/>
      <c r="P281" s="15" t="s">
        <v>372</v>
      </c>
      <c r="Q281" s="16"/>
      <c r="R281" s="16"/>
      <c r="S281" s="16"/>
      <c r="T281" s="16"/>
      <c r="U281" s="16"/>
      <c r="V281" s="16"/>
      <c r="W281" s="16"/>
      <c r="X281" s="16"/>
      <c r="Y281" s="16"/>
      <c r="Z281" s="16"/>
    </row>
    <row r="282">
      <c r="A282" s="10">
        <v>41609.0</v>
      </c>
      <c r="B282" s="23">
        <v>1.49898913E8</v>
      </c>
      <c r="C282" s="12" t="s">
        <v>373</v>
      </c>
      <c r="D282" s="13" t="s">
        <v>18</v>
      </c>
      <c r="E282" s="13" t="s">
        <v>19</v>
      </c>
      <c r="F282" s="13">
        <v>24.0</v>
      </c>
      <c r="G282" s="13" t="s">
        <v>23</v>
      </c>
      <c r="H282" s="13" t="s">
        <v>23</v>
      </c>
      <c r="I282" s="14" t="s">
        <v>18</v>
      </c>
      <c r="J282" s="14" t="s">
        <v>19</v>
      </c>
      <c r="K282" s="14">
        <v>28.0</v>
      </c>
      <c r="L282" s="14" t="s">
        <v>23</v>
      </c>
      <c r="M282" s="14" t="s">
        <v>24</v>
      </c>
      <c r="N282" s="20"/>
      <c r="O282" s="20"/>
      <c r="P282" s="15" t="s">
        <v>374</v>
      </c>
      <c r="Q282" s="16"/>
      <c r="R282" s="16"/>
      <c r="S282" s="16"/>
      <c r="T282" s="16"/>
      <c r="U282" s="16"/>
      <c r="V282" s="16"/>
      <c r="W282" s="16"/>
      <c r="X282" s="16"/>
      <c r="Y282" s="16"/>
      <c r="Z282" s="16"/>
    </row>
    <row r="283">
      <c r="A283" s="10">
        <v>41608.0</v>
      </c>
      <c r="B283" s="23">
        <v>1.50207613E8</v>
      </c>
      <c r="C283" s="12" t="s">
        <v>375</v>
      </c>
      <c r="D283" s="13" t="s">
        <v>18</v>
      </c>
      <c r="E283" s="13" t="s">
        <v>29</v>
      </c>
      <c r="F283" s="13">
        <v>18.0</v>
      </c>
      <c r="G283" s="13" t="s">
        <v>23</v>
      </c>
      <c r="H283" s="13" t="s">
        <v>23</v>
      </c>
      <c r="I283" s="14" t="s">
        <v>18</v>
      </c>
      <c r="J283" s="14" t="s">
        <v>19</v>
      </c>
      <c r="K283" s="14">
        <v>33.0</v>
      </c>
      <c r="L283" s="14" t="s">
        <v>23</v>
      </c>
      <c r="M283" s="14" t="s">
        <v>60</v>
      </c>
      <c r="N283" s="20"/>
      <c r="O283" s="20"/>
      <c r="P283" s="15" t="s">
        <v>376</v>
      </c>
      <c r="Q283" s="16"/>
      <c r="R283" s="16"/>
      <c r="S283" s="16"/>
      <c r="T283" s="16"/>
      <c r="U283" s="16"/>
      <c r="V283" s="16"/>
      <c r="W283" s="16"/>
      <c r="X283" s="16"/>
      <c r="Y283" s="16"/>
      <c r="Z283" s="16"/>
    </row>
    <row r="284">
      <c r="D284" s="13" t="s">
        <v>18</v>
      </c>
      <c r="E284" s="13" t="s">
        <v>19</v>
      </c>
      <c r="F284" s="13">
        <v>16.0</v>
      </c>
      <c r="G284" s="13" t="s">
        <v>23</v>
      </c>
      <c r="H284" s="13" t="s">
        <v>23</v>
      </c>
      <c r="N284" s="20"/>
      <c r="O284" s="20"/>
      <c r="Q284" s="16"/>
      <c r="R284" s="16"/>
      <c r="S284" s="16"/>
      <c r="T284" s="16"/>
      <c r="U284" s="16"/>
      <c r="V284" s="16"/>
      <c r="W284" s="16"/>
      <c r="X284" s="16"/>
      <c r="Y284" s="16"/>
      <c r="Z284" s="16"/>
    </row>
    <row r="285">
      <c r="D285" s="13" t="s">
        <v>18</v>
      </c>
      <c r="E285" s="13" t="s">
        <v>19</v>
      </c>
      <c r="F285" s="13">
        <v>18.0</v>
      </c>
      <c r="G285" s="13" t="s">
        <v>23</v>
      </c>
      <c r="H285" s="13" t="s">
        <v>23</v>
      </c>
      <c r="N285" s="20"/>
      <c r="O285" s="20"/>
      <c r="Q285" s="16"/>
      <c r="R285" s="16"/>
      <c r="S285" s="16"/>
      <c r="T285" s="16"/>
      <c r="U285" s="16"/>
      <c r="V285" s="16"/>
      <c r="W285" s="16"/>
      <c r="X285" s="16"/>
      <c r="Y285" s="16"/>
      <c r="Z285" s="16"/>
    </row>
    <row r="286">
      <c r="D286" s="13" t="s">
        <v>18</v>
      </c>
      <c r="E286" s="13" t="s">
        <v>19</v>
      </c>
      <c r="F286" s="13">
        <v>18.0</v>
      </c>
      <c r="G286" s="13" t="s">
        <v>23</v>
      </c>
      <c r="H286" s="13" t="s">
        <v>23</v>
      </c>
      <c r="N286" s="20"/>
      <c r="O286" s="20"/>
      <c r="Q286" s="16"/>
      <c r="R286" s="16"/>
      <c r="S286" s="16"/>
      <c r="T286" s="16"/>
      <c r="U286" s="16"/>
      <c r="V286" s="16"/>
      <c r="W286" s="16"/>
      <c r="X286" s="16"/>
      <c r="Y286" s="16"/>
      <c r="Z286" s="16"/>
    </row>
    <row r="287">
      <c r="D287" s="13" t="s">
        <v>18</v>
      </c>
      <c r="E287" s="13" t="s">
        <v>19</v>
      </c>
      <c r="F287" s="13">
        <v>16.0</v>
      </c>
      <c r="G287" s="13" t="s">
        <v>23</v>
      </c>
      <c r="H287" s="13" t="s">
        <v>23</v>
      </c>
      <c r="N287" s="20"/>
      <c r="O287" s="20"/>
      <c r="Q287" s="16"/>
      <c r="R287" s="16"/>
      <c r="S287" s="16"/>
      <c r="T287" s="16"/>
      <c r="U287" s="16"/>
      <c r="V287" s="16"/>
      <c r="W287" s="16"/>
      <c r="X287" s="16"/>
      <c r="Y287" s="16"/>
      <c r="Z287" s="16"/>
    </row>
    <row r="288">
      <c r="D288" s="13" t="s">
        <v>18</v>
      </c>
      <c r="E288" s="13" t="s">
        <v>29</v>
      </c>
      <c r="F288" s="13">
        <v>17.0</v>
      </c>
      <c r="G288" s="13" t="s">
        <v>23</v>
      </c>
      <c r="H288" s="13" t="s">
        <v>23</v>
      </c>
      <c r="N288" s="20"/>
      <c r="O288" s="20"/>
      <c r="Q288" s="16"/>
      <c r="R288" s="16"/>
      <c r="S288" s="16"/>
      <c r="T288" s="16"/>
      <c r="U288" s="16"/>
      <c r="V288" s="16"/>
      <c r="W288" s="16"/>
      <c r="X288" s="16"/>
      <c r="Y288" s="16"/>
      <c r="Z288" s="16"/>
    </row>
    <row r="289">
      <c r="A289" s="10">
        <v>41581.0</v>
      </c>
      <c r="B289" s="23">
        <v>1.37943813E8</v>
      </c>
      <c r="C289" s="12" t="s">
        <v>377</v>
      </c>
      <c r="D289" s="13" t="s">
        <v>18</v>
      </c>
      <c r="E289" s="13" t="s">
        <v>29</v>
      </c>
      <c r="F289" s="13">
        <v>17.0</v>
      </c>
      <c r="G289" s="13" t="s">
        <v>20</v>
      </c>
      <c r="H289" s="13" t="s">
        <v>28</v>
      </c>
      <c r="I289" s="14" t="s">
        <v>18</v>
      </c>
      <c r="J289" s="14" t="s">
        <v>19</v>
      </c>
      <c r="K289" s="14">
        <v>36.0</v>
      </c>
      <c r="L289" s="14" t="s">
        <v>23</v>
      </c>
      <c r="M289" s="14" t="s">
        <v>24</v>
      </c>
      <c r="N289" s="20"/>
      <c r="O289" s="20"/>
      <c r="P289" s="15" t="s">
        <v>378</v>
      </c>
      <c r="Q289" s="16"/>
      <c r="R289" s="16"/>
      <c r="S289" s="16"/>
      <c r="T289" s="16"/>
      <c r="U289" s="16"/>
      <c r="V289" s="16"/>
      <c r="W289" s="16"/>
      <c r="X289" s="16"/>
      <c r="Y289" s="16"/>
      <c r="Z289" s="16"/>
    </row>
    <row r="290">
      <c r="A290" s="10">
        <v>41571.0</v>
      </c>
      <c r="B290" s="23">
        <v>1.33633813E8</v>
      </c>
      <c r="C290" s="12" t="s">
        <v>379</v>
      </c>
      <c r="D290" s="13" t="s">
        <v>18</v>
      </c>
      <c r="E290" s="13" t="s">
        <v>29</v>
      </c>
      <c r="F290" s="13">
        <v>22.0</v>
      </c>
      <c r="G290" s="13" t="s">
        <v>34</v>
      </c>
      <c r="H290" s="13" t="s">
        <v>38</v>
      </c>
      <c r="I290" s="14" t="s">
        <v>18</v>
      </c>
      <c r="J290" s="14" t="s">
        <v>19</v>
      </c>
      <c r="K290" s="14">
        <v>22.0</v>
      </c>
      <c r="L290" s="14" t="s">
        <v>23</v>
      </c>
      <c r="M290" s="14" t="s">
        <v>24</v>
      </c>
      <c r="N290" s="20"/>
      <c r="O290" s="20"/>
      <c r="P290" s="15" t="s">
        <v>380</v>
      </c>
      <c r="Q290" s="16"/>
      <c r="R290" s="16"/>
      <c r="S290" s="16"/>
      <c r="T290" s="16"/>
      <c r="U290" s="16"/>
      <c r="V290" s="16"/>
      <c r="W290" s="16"/>
      <c r="X290" s="16"/>
      <c r="Y290" s="16"/>
      <c r="Z290" s="16"/>
    </row>
    <row r="291">
      <c r="A291" s="10">
        <v>41547.0</v>
      </c>
      <c r="B291" s="23">
        <v>1.22668913E8</v>
      </c>
      <c r="C291" s="12" t="s">
        <v>381</v>
      </c>
      <c r="D291" s="13" t="s">
        <v>18</v>
      </c>
      <c r="E291" s="13" t="s">
        <v>22</v>
      </c>
      <c r="F291" s="13">
        <v>25.0</v>
      </c>
      <c r="G291" s="13" t="s">
        <v>20</v>
      </c>
      <c r="H291" s="13" t="s">
        <v>382</v>
      </c>
      <c r="I291" s="14" t="s">
        <v>18</v>
      </c>
      <c r="J291" s="14" t="s">
        <v>22</v>
      </c>
      <c r="K291" s="14">
        <v>53.0</v>
      </c>
      <c r="L291" s="14" t="s">
        <v>23</v>
      </c>
      <c r="M291" s="14" t="s">
        <v>24</v>
      </c>
      <c r="N291" s="20"/>
      <c r="O291" s="20"/>
      <c r="P291" s="15" t="s">
        <v>383</v>
      </c>
      <c r="Q291" s="16"/>
      <c r="R291" s="16"/>
      <c r="S291" s="16"/>
      <c r="T291" s="16"/>
      <c r="U291" s="16"/>
      <c r="V291" s="16"/>
      <c r="W291" s="16"/>
      <c r="X291" s="16"/>
      <c r="Y291" s="16"/>
      <c r="Z291" s="16"/>
    </row>
    <row r="292">
      <c r="A292" s="10">
        <v>41543.0</v>
      </c>
      <c r="B292" s="23">
        <v>1.20839113E8</v>
      </c>
      <c r="C292" s="12" t="s">
        <v>384</v>
      </c>
      <c r="D292" s="13" t="s">
        <v>18</v>
      </c>
      <c r="E292" s="13" t="s">
        <v>29</v>
      </c>
      <c r="F292" s="13">
        <v>24.0</v>
      </c>
      <c r="G292" s="13" t="s">
        <v>20</v>
      </c>
      <c r="H292" s="13" t="s">
        <v>28</v>
      </c>
      <c r="I292" s="14" t="s">
        <v>18</v>
      </c>
      <c r="J292" s="14" t="s">
        <v>29</v>
      </c>
      <c r="K292" s="14">
        <v>28.0</v>
      </c>
      <c r="L292" s="14" t="s">
        <v>23</v>
      </c>
      <c r="M292" s="14" t="s">
        <v>24</v>
      </c>
      <c r="N292" s="20"/>
      <c r="O292" s="20"/>
      <c r="P292" s="15" t="s">
        <v>385</v>
      </c>
      <c r="Q292" s="16"/>
      <c r="R292" s="16"/>
      <c r="S292" s="16"/>
      <c r="T292" s="16"/>
      <c r="U292" s="16"/>
      <c r="V292" s="16"/>
      <c r="W292" s="16"/>
      <c r="X292" s="16"/>
      <c r="Y292" s="16"/>
      <c r="Z292" s="16"/>
    </row>
    <row r="293">
      <c r="D293" s="13" t="s">
        <v>18</v>
      </c>
      <c r="E293" s="13" t="s">
        <v>29</v>
      </c>
      <c r="F293" s="13">
        <v>20.0</v>
      </c>
      <c r="G293" s="13" t="s">
        <v>23</v>
      </c>
      <c r="H293" s="13" t="s">
        <v>28</v>
      </c>
      <c r="N293" s="20"/>
      <c r="O293" s="20"/>
      <c r="Q293" s="16"/>
      <c r="R293" s="16"/>
      <c r="S293" s="16"/>
      <c r="T293" s="16"/>
      <c r="U293" s="16"/>
      <c r="V293" s="16"/>
      <c r="W293" s="16"/>
      <c r="X293" s="16"/>
      <c r="Y293" s="16"/>
      <c r="Z293" s="16"/>
    </row>
    <row r="294">
      <c r="A294" s="10">
        <v>41542.0</v>
      </c>
      <c r="B294" s="23">
        <v>1.20421213E8</v>
      </c>
      <c r="C294" s="12" t="s">
        <v>386</v>
      </c>
      <c r="D294" s="13" t="s">
        <v>18</v>
      </c>
      <c r="E294" s="13" t="s">
        <v>19</v>
      </c>
      <c r="F294" s="13">
        <v>55.0</v>
      </c>
      <c r="G294" s="13" t="s">
        <v>34</v>
      </c>
      <c r="H294" s="13" t="s">
        <v>28</v>
      </c>
      <c r="I294" s="14" t="s">
        <v>18</v>
      </c>
      <c r="J294" s="14" t="s">
        <v>22</v>
      </c>
      <c r="K294" s="14">
        <v>50.0</v>
      </c>
      <c r="L294" s="14" t="s">
        <v>23</v>
      </c>
      <c r="M294" s="14" t="s">
        <v>24</v>
      </c>
      <c r="N294" s="20"/>
      <c r="O294" s="20"/>
      <c r="P294" s="15" t="s">
        <v>387</v>
      </c>
      <c r="Q294" s="16"/>
      <c r="R294" s="16"/>
      <c r="S294" s="16"/>
      <c r="T294" s="16"/>
      <c r="U294" s="16"/>
      <c r="V294" s="16"/>
      <c r="W294" s="16"/>
      <c r="X294" s="16"/>
      <c r="Y294" s="16"/>
      <c r="Z294" s="16"/>
    </row>
    <row r="295">
      <c r="A295" s="10">
        <v>41530.0</v>
      </c>
      <c r="B295" s="23">
        <v>1.15266113E8</v>
      </c>
      <c r="C295" s="12" t="s">
        <v>388</v>
      </c>
      <c r="D295" s="13" t="s">
        <v>18</v>
      </c>
      <c r="E295" s="13" t="s">
        <v>19</v>
      </c>
      <c r="F295" s="13">
        <v>23.0</v>
      </c>
      <c r="G295" s="13" t="s">
        <v>20</v>
      </c>
      <c r="H295" s="13" t="s">
        <v>28</v>
      </c>
      <c r="I295" s="14" t="s">
        <v>18</v>
      </c>
      <c r="J295" s="14" t="s">
        <v>19</v>
      </c>
      <c r="K295" s="14">
        <v>52.0</v>
      </c>
      <c r="L295" s="14" t="s">
        <v>23</v>
      </c>
      <c r="M295" s="14" t="s">
        <v>24</v>
      </c>
      <c r="N295" s="20"/>
      <c r="O295" s="20"/>
      <c r="P295" s="15" t="s">
        <v>389</v>
      </c>
      <c r="Q295" s="16"/>
      <c r="R295" s="16"/>
      <c r="S295" s="16"/>
      <c r="T295" s="16"/>
      <c r="U295" s="16"/>
      <c r="V295" s="16"/>
      <c r="W295" s="16"/>
      <c r="X295" s="16"/>
      <c r="Y295" s="16"/>
      <c r="Z295" s="16"/>
    </row>
    <row r="296">
      <c r="D296" s="13" t="s">
        <v>18</v>
      </c>
      <c r="E296" s="13" t="s">
        <v>19</v>
      </c>
      <c r="F296" s="13">
        <v>17.0</v>
      </c>
      <c r="G296" s="13" t="s">
        <v>23</v>
      </c>
      <c r="H296" s="13" t="s">
        <v>23</v>
      </c>
      <c r="N296" s="20"/>
      <c r="O296" s="20"/>
      <c r="Q296" s="16"/>
      <c r="R296" s="16"/>
      <c r="S296" s="16"/>
      <c r="T296" s="16"/>
      <c r="U296" s="16"/>
      <c r="V296" s="16"/>
      <c r="W296" s="16"/>
      <c r="X296" s="16"/>
      <c r="Y296" s="16"/>
      <c r="Z296" s="16"/>
    </row>
    <row r="297">
      <c r="D297" s="13" t="s">
        <v>18</v>
      </c>
      <c r="E297" s="13" t="s">
        <v>19</v>
      </c>
      <c r="F297" s="13">
        <v>17.0</v>
      </c>
      <c r="G297" s="13" t="s">
        <v>23</v>
      </c>
      <c r="H297" s="13" t="s">
        <v>23</v>
      </c>
      <c r="N297" s="20"/>
      <c r="O297" s="20"/>
      <c r="Q297" s="16"/>
      <c r="R297" s="16"/>
      <c r="S297" s="16"/>
      <c r="T297" s="16"/>
      <c r="U297" s="16"/>
      <c r="V297" s="16"/>
      <c r="W297" s="16"/>
      <c r="X297" s="16"/>
      <c r="Y297" s="16"/>
      <c r="Z297" s="16"/>
    </row>
    <row r="298">
      <c r="D298" s="13" t="s">
        <v>18</v>
      </c>
      <c r="E298" s="13" t="s">
        <v>19</v>
      </c>
      <c r="F298" s="13">
        <v>23.0</v>
      </c>
      <c r="G298" s="13" t="s">
        <v>23</v>
      </c>
      <c r="H298" s="13" t="s">
        <v>23</v>
      </c>
      <c r="N298" s="20"/>
      <c r="O298" s="20"/>
      <c r="Q298" s="16"/>
      <c r="R298" s="16"/>
      <c r="S298" s="16"/>
      <c r="T298" s="16"/>
      <c r="U298" s="16"/>
      <c r="V298" s="16"/>
      <c r="W298" s="16"/>
      <c r="X298" s="16"/>
      <c r="Y298" s="16"/>
      <c r="Z298" s="16"/>
    </row>
    <row r="299">
      <c r="A299" s="10">
        <v>41526.0</v>
      </c>
      <c r="B299" s="23">
        <v>1.13255013E8</v>
      </c>
      <c r="C299" s="12" t="s">
        <v>390</v>
      </c>
      <c r="D299" s="13" t="s">
        <v>18</v>
      </c>
      <c r="E299" s="13" t="s">
        <v>22</v>
      </c>
      <c r="F299" s="13">
        <v>27.0</v>
      </c>
      <c r="G299" s="13" t="s">
        <v>34</v>
      </c>
      <c r="H299" s="13" t="s">
        <v>28</v>
      </c>
      <c r="I299" s="14" t="s">
        <v>18</v>
      </c>
      <c r="J299" s="14" t="s">
        <v>22</v>
      </c>
      <c r="K299" s="14">
        <v>29.0</v>
      </c>
      <c r="L299" s="14" t="s">
        <v>23</v>
      </c>
      <c r="M299" s="14" t="s">
        <v>24</v>
      </c>
      <c r="N299" s="20"/>
      <c r="O299" s="20"/>
      <c r="P299" s="15" t="s">
        <v>391</v>
      </c>
      <c r="Q299" s="16"/>
      <c r="R299" s="16"/>
      <c r="S299" s="16"/>
      <c r="T299" s="16"/>
      <c r="U299" s="16"/>
      <c r="V299" s="16"/>
      <c r="W299" s="16"/>
      <c r="X299" s="16"/>
      <c r="Y299" s="16"/>
      <c r="Z299" s="16"/>
    </row>
    <row r="300">
      <c r="I300" s="14" t="s">
        <v>18</v>
      </c>
      <c r="J300" s="14" t="s">
        <v>19</v>
      </c>
      <c r="K300" s="14">
        <v>30.0</v>
      </c>
      <c r="L300" s="14" t="s">
        <v>23</v>
      </c>
      <c r="M300" s="14" t="s">
        <v>24</v>
      </c>
      <c r="N300" s="20"/>
      <c r="O300" s="20"/>
      <c r="Q300" s="16"/>
      <c r="R300" s="16"/>
      <c r="S300" s="16"/>
      <c r="T300" s="16"/>
      <c r="U300" s="16"/>
      <c r="V300" s="16"/>
      <c r="W300" s="16"/>
      <c r="X300" s="16"/>
      <c r="Y300" s="16"/>
      <c r="Z300" s="16"/>
    </row>
    <row r="301">
      <c r="D301" s="13" t="s">
        <v>84</v>
      </c>
      <c r="E301" s="13" t="s">
        <v>22</v>
      </c>
      <c r="F301" s="13">
        <v>39.0</v>
      </c>
      <c r="G301" s="13" t="s">
        <v>23</v>
      </c>
      <c r="H301" s="13" t="s">
        <v>23</v>
      </c>
      <c r="I301" s="14" t="s">
        <v>18</v>
      </c>
      <c r="J301" s="14" t="s">
        <v>22</v>
      </c>
      <c r="K301" s="14">
        <v>29.0</v>
      </c>
      <c r="L301" s="14" t="s">
        <v>23</v>
      </c>
      <c r="M301" s="14" t="s">
        <v>24</v>
      </c>
      <c r="N301" s="20"/>
      <c r="O301" s="20"/>
      <c r="Q301" s="16"/>
      <c r="R301" s="16"/>
      <c r="S301" s="16"/>
      <c r="T301" s="16"/>
      <c r="U301" s="16"/>
      <c r="V301" s="16"/>
      <c r="W301" s="16"/>
      <c r="X301" s="16"/>
      <c r="Y301" s="16"/>
      <c r="Z301" s="16"/>
    </row>
    <row r="302">
      <c r="I302" s="14" t="s">
        <v>18</v>
      </c>
      <c r="J302" s="14" t="s">
        <v>22</v>
      </c>
      <c r="K302" s="14">
        <v>25.0</v>
      </c>
      <c r="L302" s="14" t="s">
        <v>23</v>
      </c>
      <c r="M302" s="14" t="s">
        <v>24</v>
      </c>
      <c r="N302" s="20"/>
      <c r="O302" s="20"/>
      <c r="Q302" s="16"/>
      <c r="R302" s="16"/>
      <c r="S302" s="16"/>
      <c r="T302" s="16"/>
      <c r="U302" s="16"/>
      <c r="V302" s="16"/>
      <c r="W302" s="16"/>
      <c r="X302" s="16"/>
      <c r="Y302" s="16"/>
      <c r="Z302" s="16"/>
    </row>
    <row r="303">
      <c r="A303" s="10">
        <v>41518.0</v>
      </c>
      <c r="B303" s="23">
        <v>1.10045013E8</v>
      </c>
      <c r="C303" s="12" t="s">
        <v>392</v>
      </c>
      <c r="D303" s="13" t="s">
        <v>18</v>
      </c>
      <c r="E303" s="13" t="s">
        <v>19</v>
      </c>
      <c r="F303" s="13">
        <v>28.0</v>
      </c>
      <c r="G303" s="13" t="s">
        <v>34</v>
      </c>
      <c r="H303" s="13" t="s">
        <v>28</v>
      </c>
      <c r="I303" s="14" t="s">
        <v>18</v>
      </c>
      <c r="J303" s="14" t="s">
        <v>19</v>
      </c>
      <c r="K303" s="14">
        <v>23.0</v>
      </c>
      <c r="L303" s="14" t="s">
        <v>23</v>
      </c>
      <c r="M303" s="14" t="s">
        <v>24</v>
      </c>
      <c r="N303" s="20"/>
      <c r="O303" s="20"/>
      <c r="P303" s="15" t="s">
        <v>393</v>
      </c>
      <c r="Q303" s="16"/>
      <c r="R303" s="16"/>
      <c r="S303" s="16"/>
      <c r="T303" s="16"/>
      <c r="U303" s="16"/>
      <c r="V303" s="16"/>
      <c r="W303" s="16"/>
      <c r="X303" s="16"/>
      <c r="Y303" s="16"/>
      <c r="Z303" s="16"/>
    </row>
    <row r="304">
      <c r="A304" s="10">
        <v>41508.0</v>
      </c>
      <c r="B304" s="23">
        <v>1.05776713E8</v>
      </c>
      <c r="C304" s="12" t="s">
        <v>394</v>
      </c>
      <c r="D304" s="13" t="s">
        <v>18</v>
      </c>
      <c r="E304" s="13" t="s">
        <v>29</v>
      </c>
      <c r="F304" s="13">
        <v>32.0</v>
      </c>
      <c r="G304" s="13" t="s">
        <v>20</v>
      </c>
      <c r="H304" s="13" t="s">
        <v>28</v>
      </c>
      <c r="I304" s="14" t="s">
        <v>18</v>
      </c>
      <c r="J304" s="14" t="s">
        <v>22</v>
      </c>
      <c r="K304" s="14">
        <v>42.0</v>
      </c>
      <c r="L304" s="14" t="s">
        <v>23</v>
      </c>
      <c r="M304" s="14" t="s">
        <v>24</v>
      </c>
      <c r="N304" s="20"/>
      <c r="O304" s="20"/>
      <c r="P304" s="15" t="s">
        <v>395</v>
      </c>
      <c r="Q304" s="16"/>
      <c r="R304" s="16"/>
      <c r="S304" s="16"/>
      <c r="T304" s="16"/>
      <c r="U304" s="16"/>
      <c r="V304" s="16"/>
      <c r="W304" s="16"/>
      <c r="X304" s="16"/>
      <c r="Y304" s="16"/>
      <c r="Z304" s="16"/>
    </row>
    <row r="305">
      <c r="I305" s="14" t="s">
        <v>18</v>
      </c>
      <c r="J305" s="14" t="s">
        <v>45</v>
      </c>
      <c r="K305" s="14">
        <v>43.0</v>
      </c>
      <c r="L305" s="14" t="s">
        <v>23</v>
      </c>
      <c r="M305" s="14" t="s">
        <v>24</v>
      </c>
      <c r="N305" s="20"/>
      <c r="O305" s="20"/>
      <c r="Q305" s="16"/>
      <c r="R305" s="16"/>
      <c r="S305" s="16"/>
      <c r="T305" s="16"/>
      <c r="U305" s="16"/>
      <c r="V305" s="16"/>
      <c r="W305" s="16"/>
      <c r="X305" s="16"/>
      <c r="Y305" s="16"/>
      <c r="Z305" s="16"/>
    </row>
    <row r="306">
      <c r="A306" s="10">
        <v>41493.0</v>
      </c>
      <c r="B306" s="23">
        <v>9.8692013E7</v>
      </c>
      <c r="C306" s="12" t="s">
        <v>396</v>
      </c>
      <c r="D306" s="13" t="s">
        <v>18</v>
      </c>
      <c r="E306" s="13" t="s">
        <v>19</v>
      </c>
      <c r="F306" s="13">
        <v>52.0</v>
      </c>
      <c r="G306" s="13" t="s">
        <v>23</v>
      </c>
      <c r="H306" s="13" t="s">
        <v>28</v>
      </c>
      <c r="I306" s="14" t="s">
        <v>18</v>
      </c>
      <c r="J306" s="14" t="s">
        <v>22</v>
      </c>
      <c r="K306" s="14">
        <v>43.0</v>
      </c>
      <c r="L306" s="14" t="s">
        <v>23</v>
      </c>
      <c r="M306" s="14" t="s">
        <v>24</v>
      </c>
      <c r="N306" s="20"/>
      <c r="O306" s="20"/>
      <c r="P306" s="15" t="s">
        <v>397</v>
      </c>
      <c r="Q306" s="16"/>
      <c r="R306" s="16"/>
      <c r="S306" s="16"/>
      <c r="T306" s="16"/>
      <c r="U306" s="16"/>
      <c r="V306" s="16"/>
      <c r="W306" s="16"/>
      <c r="X306" s="16"/>
      <c r="Y306" s="16"/>
      <c r="Z306" s="16"/>
    </row>
    <row r="307">
      <c r="A307" s="10">
        <v>41491.0</v>
      </c>
      <c r="B307" s="23">
        <v>9.7994313E7</v>
      </c>
      <c r="C307" s="12" t="s">
        <v>398</v>
      </c>
      <c r="D307" s="13" t="s">
        <v>18</v>
      </c>
      <c r="E307" s="13" t="s">
        <v>19</v>
      </c>
      <c r="F307" s="13">
        <v>28.0</v>
      </c>
      <c r="G307" s="13" t="s">
        <v>34</v>
      </c>
      <c r="H307" s="13" t="s">
        <v>28</v>
      </c>
      <c r="I307" s="14" t="s">
        <v>18</v>
      </c>
      <c r="J307" s="14" t="s">
        <v>22</v>
      </c>
      <c r="K307" s="14">
        <v>47.0</v>
      </c>
      <c r="L307" s="14" t="s">
        <v>23</v>
      </c>
      <c r="M307" s="14" t="s">
        <v>24</v>
      </c>
      <c r="N307" s="20"/>
      <c r="O307" s="20"/>
      <c r="P307" s="15" t="s">
        <v>399</v>
      </c>
      <c r="Q307" s="16"/>
      <c r="R307" s="16"/>
      <c r="S307" s="16"/>
      <c r="T307" s="16"/>
      <c r="U307" s="16"/>
      <c r="V307" s="16"/>
      <c r="W307" s="16"/>
      <c r="X307" s="16"/>
      <c r="Y307" s="16"/>
      <c r="Z307" s="16"/>
    </row>
    <row r="308">
      <c r="H308" s="13" t="s">
        <v>28</v>
      </c>
      <c r="I308" s="14" t="s">
        <v>84</v>
      </c>
      <c r="J308" s="14" t="s">
        <v>19</v>
      </c>
      <c r="K308" s="14">
        <v>28.0</v>
      </c>
      <c r="L308" s="14" t="s">
        <v>23</v>
      </c>
      <c r="M308" s="14" t="s">
        <v>24</v>
      </c>
      <c r="N308" s="20"/>
      <c r="O308" s="20"/>
      <c r="Q308" s="16"/>
      <c r="R308" s="16"/>
      <c r="S308" s="16"/>
      <c r="T308" s="16"/>
      <c r="U308" s="16"/>
      <c r="V308" s="16"/>
      <c r="W308" s="16"/>
      <c r="X308" s="16"/>
      <c r="Y308" s="16"/>
      <c r="Z308" s="16"/>
    </row>
    <row r="309">
      <c r="A309" s="10">
        <v>41440.0</v>
      </c>
      <c r="B309" s="23">
        <v>7.4452613E7</v>
      </c>
      <c r="C309" s="12" t="s">
        <v>400</v>
      </c>
      <c r="D309" s="13" t="s">
        <v>18</v>
      </c>
      <c r="E309" s="13" t="s">
        <v>29</v>
      </c>
      <c r="F309" s="13">
        <v>34.0</v>
      </c>
      <c r="G309" s="13" t="s">
        <v>20</v>
      </c>
      <c r="H309" s="13" t="s">
        <v>152</v>
      </c>
      <c r="I309" s="14" t="s">
        <v>18</v>
      </c>
      <c r="J309" s="14" t="s">
        <v>19</v>
      </c>
      <c r="K309" s="14">
        <v>42.0</v>
      </c>
      <c r="L309" s="14" t="s">
        <v>23</v>
      </c>
      <c r="M309" s="14" t="s">
        <v>24</v>
      </c>
      <c r="N309" s="20"/>
      <c r="O309" s="20"/>
      <c r="P309" s="15" t="s">
        <v>401</v>
      </c>
      <c r="Q309" s="16"/>
      <c r="R309" s="16"/>
      <c r="S309" s="16"/>
      <c r="T309" s="16"/>
      <c r="U309" s="16"/>
      <c r="V309" s="16"/>
      <c r="W309" s="16"/>
      <c r="X309" s="16"/>
      <c r="Y309" s="16"/>
      <c r="Z309" s="16"/>
    </row>
    <row r="310">
      <c r="A310" s="10">
        <v>41427.0</v>
      </c>
      <c r="B310" s="23">
        <v>6.8384613E7</v>
      </c>
      <c r="C310" s="12" t="s">
        <v>402</v>
      </c>
      <c r="D310" s="13" t="s">
        <v>18</v>
      </c>
      <c r="E310" s="13" t="s">
        <v>29</v>
      </c>
      <c r="F310" s="13">
        <v>14.0</v>
      </c>
      <c r="G310" s="13" t="s">
        <v>23</v>
      </c>
      <c r="H310" s="13" t="s">
        <v>23</v>
      </c>
      <c r="I310" s="14" t="s">
        <v>18</v>
      </c>
      <c r="J310" s="14" t="s">
        <v>19</v>
      </c>
      <c r="K310" s="14">
        <v>36.0</v>
      </c>
      <c r="L310" s="14" t="s">
        <v>23</v>
      </c>
      <c r="M310" s="14" t="s">
        <v>24</v>
      </c>
      <c r="N310" s="20"/>
      <c r="O310" s="20"/>
      <c r="P310" s="15" t="s">
        <v>403</v>
      </c>
      <c r="Q310" s="16"/>
      <c r="R310" s="16"/>
      <c r="S310" s="16"/>
      <c r="T310" s="16"/>
      <c r="U310" s="16"/>
      <c r="V310" s="16"/>
      <c r="W310" s="16"/>
      <c r="X310" s="16"/>
      <c r="Y310" s="16"/>
      <c r="Z310" s="16"/>
    </row>
    <row r="311">
      <c r="D311" s="13" t="s">
        <v>18</v>
      </c>
      <c r="E311" s="13" t="s">
        <v>29</v>
      </c>
      <c r="F311" s="13">
        <v>15.0</v>
      </c>
      <c r="G311" s="13" t="s">
        <v>23</v>
      </c>
      <c r="H311" s="13" t="s">
        <v>23</v>
      </c>
      <c r="N311" s="20"/>
      <c r="O311" s="20"/>
      <c r="Q311" s="16"/>
      <c r="R311" s="16"/>
      <c r="S311" s="16"/>
      <c r="T311" s="16"/>
      <c r="U311" s="16"/>
      <c r="V311" s="16"/>
      <c r="W311" s="16"/>
      <c r="X311" s="16"/>
      <c r="Y311" s="16"/>
      <c r="Z311" s="16"/>
    </row>
    <row r="312">
      <c r="D312" s="13" t="s">
        <v>18</v>
      </c>
      <c r="E312" s="13" t="s">
        <v>29</v>
      </c>
      <c r="F312" s="13">
        <v>16.0</v>
      </c>
      <c r="G312" s="13" t="s">
        <v>23</v>
      </c>
      <c r="H312" s="13" t="s">
        <v>23</v>
      </c>
      <c r="N312" s="20"/>
      <c r="O312" s="20"/>
      <c r="Q312" s="16"/>
      <c r="R312" s="16"/>
      <c r="S312" s="16"/>
      <c r="T312" s="16"/>
      <c r="U312" s="16"/>
      <c r="V312" s="16"/>
      <c r="W312" s="16"/>
      <c r="X312" s="16"/>
      <c r="Y312" s="16"/>
      <c r="Z312" s="16"/>
    </row>
    <row r="313">
      <c r="D313" s="13" t="s">
        <v>18</v>
      </c>
      <c r="E313" s="13" t="s">
        <v>29</v>
      </c>
      <c r="F313" s="13" t="s">
        <v>157</v>
      </c>
      <c r="G313" s="13" t="s">
        <v>23</v>
      </c>
      <c r="H313" s="13" t="s">
        <v>28</v>
      </c>
      <c r="N313" s="20"/>
      <c r="O313" s="20"/>
      <c r="Q313" s="16"/>
      <c r="R313" s="16"/>
      <c r="S313" s="16"/>
      <c r="T313" s="16"/>
      <c r="U313" s="16"/>
      <c r="V313" s="16"/>
      <c r="W313" s="16"/>
      <c r="X313" s="16"/>
      <c r="Y313" s="16"/>
      <c r="Z313" s="16"/>
    </row>
    <row r="314">
      <c r="A314" s="10">
        <v>41425.0</v>
      </c>
      <c r="B314" s="23">
        <v>6.7283213E7</v>
      </c>
      <c r="C314" s="12" t="s">
        <v>404</v>
      </c>
      <c r="D314" s="13" t="s">
        <v>18</v>
      </c>
      <c r="E314" s="13" t="s">
        <v>29</v>
      </c>
      <c r="F314" s="13">
        <v>21.0</v>
      </c>
      <c r="G314" s="13" t="s">
        <v>20</v>
      </c>
      <c r="H314" s="13" t="s">
        <v>28</v>
      </c>
      <c r="I314" s="14" t="s">
        <v>18</v>
      </c>
      <c r="J314" s="14" t="s">
        <v>22</v>
      </c>
      <c r="K314" s="14">
        <v>29.0</v>
      </c>
      <c r="L314" s="14" t="s">
        <v>23</v>
      </c>
      <c r="M314" s="14" t="s">
        <v>24</v>
      </c>
      <c r="N314" s="20"/>
      <c r="O314" s="20"/>
      <c r="P314" s="15" t="s">
        <v>405</v>
      </c>
      <c r="Q314" s="16"/>
      <c r="R314" s="16"/>
      <c r="S314" s="16"/>
      <c r="T314" s="16"/>
      <c r="U314" s="16"/>
      <c r="V314" s="16"/>
      <c r="W314" s="16"/>
      <c r="X314" s="16"/>
      <c r="Y314" s="16"/>
      <c r="Z314" s="16"/>
    </row>
    <row r="315">
      <c r="A315" s="10">
        <v>41390.0</v>
      </c>
      <c r="B315" s="23">
        <v>1355467.0</v>
      </c>
      <c r="C315" s="12" t="s">
        <v>406</v>
      </c>
      <c r="D315" s="13" t="s">
        <v>18</v>
      </c>
      <c r="E315" s="13" t="s">
        <v>33</v>
      </c>
      <c r="F315" s="13">
        <v>23.0</v>
      </c>
      <c r="G315" s="13" t="s">
        <v>23</v>
      </c>
      <c r="H315" s="13" t="s">
        <v>28</v>
      </c>
      <c r="I315" s="14" t="s">
        <v>18</v>
      </c>
      <c r="J315" s="14" t="s">
        <v>22</v>
      </c>
      <c r="K315" s="14">
        <v>56.0</v>
      </c>
      <c r="L315" s="14" t="s">
        <v>23</v>
      </c>
      <c r="M315" s="14" t="s">
        <v>60</v>
      </c>
      <c r="N315" s="20"/>
      <c r="O315" s="20"/>
      <c r="P315" s="15" t="s">
        <v>407</v>
      </c>
      <c r="Q315" s="16"/>
      <c r="R315" s="16"/>
      <c r="S315" s="16"/>
      <c r="T315" s="16"/>
      <c r="U315" s="16"/>
      <c r="V315" s="16"/>
      <c r="W315" s="16"/>
      <c r="X315" s="16"/>
      <c r="Y315" s="16"/>
      <c r="Z315" s="16"/>
    </row>
    <row r="316">
      <c r="D316" s="13" t="s">
        <v>18</v>
      </c>
      <c r="E316" s="13" t="s">
        <v>29</v>
      </c>
      <c r="F316" s="13">
        <v>21.0</v>
      </c>
      <c r="G316" s="13" t="s">
        <v>23</v>
      </c>
      <c r="H316" s="13" t="s">
        <v>28</v>
      </c>
      <c r="N316" s="20"/>
      <c r="O316" s="20"/>
      <c r="Q316" s="16"/>
      <c r="R316" s="16"/>
      <c r="S316" s="16"/>
      <c r="T316" s="16"/>
      <c r="U316" s="16"/>
      <c r="V316" s="16"/>
      <c r="W316" s="16"/>
      <c r="X316" s="16"/>
      <c r="Y316" s="16"/>
      <c r="Z316" s="16"/>
    </row>
    <row r="317">
      <c r="D317" s="13" t="s">
        <v>18</v>
      </c>
      <c r="E317" s="13" t="s">
        <v>29</v>
      </c>
      <c r="F317" s="13">
        <v>18.0</v>
      </c>
      <c r="G317" s="13" t="s">
        <v>34</v>
      </c>
      <c r="H317" s="13" t="s">
        <v>28</v>
      </c>
      <c r="N317" s="20"/>
      <c r="O317" s="20"/>
      <c r="Q317" s="16"/>
      <c r="R317" s="16"/>
      <c r="S317" s="16"/>
      <c r="T317" s="16"/>
      <c r="U317" s="16"/>
      <c r="V317" s="16"/>
      <c r="W317" s="16"/>
      <c r="X317" s="16"/>
      <c r="Y317" s="16"/>
      <c r="Z317" s="16"/>
    </row>
    <row r="318">
      <c r="A318" s="10">
        <v>41375.0</v>
      </c>
      <c r="B318" s="23">
        <v>4.4046113E7</v>
      </c>
      <c r="C318" s="12" t="s">
        <v>408</v>
      </c>
      <c r="D318" s="13" t="s">
        <v>18</v>
      </c>
      <c r="E318" s="13" t="s">
        <v>29</v>
      </c>
      <c r="F318" s="13">
        <v>30.0</v>
      </c>
      <c r="G318" s="13" t="s">
        <v>20</v>
      </c>
      <c r="H318" s="13" t="s">
        <v>28</v>
      </c>
      <c r="I318" s="14" t="s">
        <v>18</v>
      </c>
      <c r="J318" s="14" t="s">
        <v>19</v>
      </c>
      <c r="K318" s="14">
        <v>37.0</v>
      </c>
      <c r="L318" s="14" t="s">
        <v>23</v>
      </c>
      <c r="M318" s="14" t="s">
        <v>24</v>
      </c>
      <c r="N318" s="20"/>
      <c r="O318" s="20"/>
      <c r="P318" s="15" t="s">
        <v>409</v>
      </c>
      <c r="Q318" s="16"/>
      <c r="R318" s="16"/>
      <c r="S318" s="16"/>
      <c r="T318" s="16"/>
      <c r="U318" s="16"/>
      <c r="V318" s="16"/>
      <c r="W318" s="16"/>
      <c r="X318" s="16"/>
      <c r="Y318" s="16"/>
      <c r="Z318" s="16"/>
    </row>
    <row r="319">
      <c r="D319" s="13" t="s">
        <v>18</v>
      </c>
      <c r="E319" s="13" t="s">
        <v>29</v>
      </c>
      <c r="F319" s="13" t="s">
        <v>157</v>
      </c>
      <c r="G319" s="13" t="s">
        <v>23</v>
      </c>
      <c r="H319" s="13" t="s">
        <v>28</v>
      </c>
      <c r="N319" s="20"/>
      <c r="O319" s="20"/>
      <c r="Q319" s="16"/>
      <c r="R319" s="16"/>
      <c r="S319" s="16"/>
      <c r="T319" s="16"/>
      <c r="U319" s="16"/>
      <c r="V319" s="16"/>
      <c r="W319" s="16"/>
      <c r="X319" s="16"/>
      <c r="Y319" s="16"/>
      <c r="Z319" s="16"/>
    </row>
    <row r="320">
      <c r="A320" s="10">
        <v>41374.0</v>
      </c>
      <c r="B320" s="23">
        <v>4.3485213E7</v>
      </c>
      <c r="C320" s="12" t="s">
        <v>410</v>
      </c>
      <c r="D320" s="13" t="s">
        <v>18</v>
      </c>
      <c r="E320" s="13" t="s">
        <v>29</v>
      </c>
      <c r="F320" s="13">
        <v>24.0</v>
      </c>
      <c r="G320" s="13" t="s">
        <v>23</v>
      </c>
      <c r="H320" s="13" t="s">
        <v>28</v>
      </c>
      <c r="I320" s="14" t="s">
        <v>18</v>
      </c>
      <c r="J320" s="14" t="s">
        <v>22</v>
      </c>
      <c r="K320" s="14">
        <v>34.0</v>
      </c>
      <c r="L320" s="14" t="s">
        <v>23</v>
      </c>
      <c r="M320" s="14" t="s">
        <v>24</v>
      </c>
      <c r="N320" s="20"/>
      <c r="O320" s="20"/>
      <c r="P320" s="15" t="s">
        <v>411</v>
      </c>
      <c r="Q320" s="16"/>
      <c r="R320" s="16"/>
      <c r="S320" s="16"/>
      <c r="T320" s="16"/>
      <c r="U320" s="16"/>
      <c r="V320" s="16"/>
      <c r="W320" s="16"/>
      <c r="X320" s="16"/>
      <c r="Y320" s="16"/>
      <c r="Z320" s="16"/>
    </row>
    <row r="321">
      <c r="D321" s="13" t="s">
        <v>33</v>
      </c>
      <c r="E321" s="13" t="s">
        <v>33</v>
      </c>
      <c r="F321" s="13" t="s">
        <v>157</v>
      </c>
      <c r="G321" s="13" t="s">
        <v>23</v>
      </c>
      <c r="H321" s="13" t="s">
        <v>23</v>
      </c>
      <c r="N321" s="20"/>
      <c r="O321" s="20"/>
      <c r="Q321" s="16"/>
      <c r="R321" s="16"/>
      <c r="S321" s="16"/>
      <c r="T321" s="16"/>
      <c r="U321" s="16"/>
      <c r="V321" s="16"/>
      <c r="W321" s="16"/>
      <c r="X321" s="16"/>
      <c r="Y321" s="16"/>
      <c r="Z321" s="16"/>
    </row>
    <row r="322">
      <c r="D322" s="13" t="s">
        <v>33</v>
      </c>
      <c r="E322" s="13" t="s">
        <v>33</v>
      </c>
      <c r="F322" s="13" t="s">
        <v>157</v>
      </c>
      <c r="G322" s="13" t="s">
        <v>23</v>
      </c>
      <c r="H322" s="13" t="s">
        <v>23</v>
      </c>
      <c r="I322" s="14" t="s">
        <v>18</v>
      </c>
      <c r="J322" s="14" t="s">
        <v>19</v>
      </c>
      <c r="K322" s="14">
        <v>28.0</v>
      </c>
      <c r="L322" s="14" t="s">
        <v>23</v>
      </c>
      <c r="M322" s="14" t="s">
        <v>60</v>
      </c>
      <c r="N322" s="20"/>
      <c r="O322" s="20"/>
      <c r="Q322" s="16"/>
      <c r="R322" s="16"/>
      <c r="S322" s="16"/>
      <c r="T322" s="16"/>
      <c r="U322" s="16"/>
      <c r="V322" s="16"/>
      <c r="W322" s="16"/>
      <c r="X322" s="16"/>
      <c r="Y322" s="16"/>
      <c r="Z322" s="16"/>
    </row>
    <row r="323">
      <c r="D323" s="13" t="s">
        <v>33</v>
      </c>
      <c r="E323" s="13" t="s">
        <v>33</v>
      </c>
      <c r="F323" s="13" t="s">
        <v>157</v>
      </c>
      <c r="G323" s="13" t="s">
        <v>23</v>
      </c>
      <c r="H323" s="13" t="s">
        <v>23</v>
      </c>
      <c r="N323" s="20"/>
      <c r="O323" s="20"/>
      <c r="Q323" s="16"/>
      <c r="R323" s="16"/>
      <c r="S323" s="16"/>
      <c r="T323" s="16"/>
      <c r="U323" s="16"/>
      <c r="V323" s="16"/>
      <c r="W323" s="16"/>
      <c r="X323" s="16"/>
      <c r="Y323" s="16"/>
      <c r="Z323" s="16"/>
    </row>
    <row r="324">
      <c r="A324" s="10">
        <v>41370.0</v>
      </c>
      <c r="B324" s="23">
        <v>4.1917613E7</v>
      </c>
      <c r="C324" s="12" t="s">
        <v>412</v>
      </c>
      <c r="D324" s="13" t="s">
        <v>18</v>
      </c>
      <c r="E324" s="13" t="s">
        <v>29</v>
      </c>
      <c r="F324" s="13">
        <v>21.0</v>
      </c>
      <c r="G324" s="13" t="s">
        <v>23</v>
      </c>
      <c r="H324" s="13" t="s">
        <v>28</v>
      </c>
      <c r="I324" s="14" t="s">
        <v>18</v>
      </c>
      <c r="J324" s="14" t="s">
        <v>29</v>
      </c>
      <c r="K324" s="14">
        <v>43.0</v>
      </c>
      <c r="L324" s="14" t="s">
        <v>23</v>
      </c>
      <c r="M324" s="14" t="s">
        <v>24</v>
      </c>
      <c r="N324" s="20"/>
      <c r="O324" s="20"/>
      <c r="P324" s="15" t="s">
        <v>413</v>
      </c>
      <c r="Q324" s="16"/>
      <c r="R324" s="16"/>
      <c r="S324" s="16"/>
      <c r="T324" s="16"/>
      <c r="U324" s="16"/>
      <c r="V324" s="16"/>
      <c r="W324" s="16"/>
      <c r="X324" s="16"/>
      <c r="Y324" s="16"/>
      <c r="Z324" s="16"/>
    </row>
    <row r="325">
      <c r="D325" s="13" t="s">
        <v>18</v>
      </c>
      <c r="E325" s="13" t="s">
        <v>29</v>
      </c>
      <c r="F325" s="13">
        <v>18.0</v>
      </c>
      <c r="G325" s="13" t="s">
        <v>23</v>
      </c>
      <c r="H325" s="13" t="s">
        <v>23</v>
      </c>
      <c r="N325" s="20"/>
      <c r="O325" s="20"/>
      <c r="Q325" s="16"/>
      <c r="R325" s="16"/>
      <c r="S325" s="16"/>
      <c r="T325" s="16"/>
      <c r="U325" s="16"/>
      <c r="V325" s="16"/>
      <c r="W325" s="16"/>
      <c r="X325" s="16"/>
      <c r="Y325" s="16"/>
      <c r="Z325" s="16"/>
    </row>
    <row r="326">
      <c r="A326" s="10">
        <v>41356.0</v>
      </c>
      <c r="B326" s="23">
        <v>3.5614113E7</v>
      </c>
      <c r="C326" s="12" t="s">
        <v>414</v>
      </c>
      <c r="D326" s="13" t="s">
        <v>18</v>
      </c>
      <c r="E326" s="13" t="s">
        <v>29</v>
      </c>
      <c r="F326" s="13">
        <v>44.0</v>
      </c>
      <c r="G326" s="13" t="s">
        <v>20</v>
      </c>
      <c r="H326" s="13" t="s">
        <v>28</v>
      </c>
      <c r="I326" s="14" t="s">
        <v>18</v>
      </c>
      <c r="J326" s="14" t="s">
        <v>22</v>
      </c>
      <c r="K326" s="14">
        <v>50.0</v>
      </c>
      <c r="L326" s="14" t="s">
        <v>23</v>
      </c>
      <c r="M326" s="14" t="s">
        <v>24</v>
      </c>
      <c r="N326" s="20"/>
      <c r="O326" s="20"/>
      <c r="P326" s="15" t="s">
        <v>415</v>
      </c>
      <c r="Q326" s="16"/>
      <c r="R326" s="16"/>
      <c r="S326" s="16"/>
      <c r="T326" s="16"/>
      <c r="U326" s="16"/>
      <c r="V326" s="16"/>
      <c r="W326" s="16"/>
      <c r="X326" s="16"/>
      <c r="Y326" s="16"/>
      <c r="Z326" s="16"/>
    </row>
    <row r="327">
      <c r="I327" s="14" t="s">
        <v>18</v>
      </c>
      <c r="J327" s="14" t="s">
        <v>22</v>
      </c>
      <c r="K327" s="14">
        <v>43.0</v>
      </c>
      <c r="L327" s="14" t="s">
        <v>23</v>
      </c>
      <c r="M327" s="14" t="s">
        <v>24</v>
      </c>
      <c r="N327" s="20"/>
      <c r="O327" s="20"/>
      <c r="Q327" s="16"/>
      <c r="R327" s="16"/>
      <c r="S327" s="16"/>
      <c r="T327" s="16"/>
      <c r="U327" s="16"/>
      <c r="V327" s="16"/>
      <c r="W327" s="16"/>
      <c r="X327" s="16"/>
      <c r="Y327" s="16"/>
      <c r="Z327" s="16"/>
    </row>
    <row r="328">
      <c r="A328" s="10">
        <v>41353.0</v>
      </c>
      <c r="B328" s="23">
        <v>3.4501713E7</v>
      </c>
      <c r="C328" s="12" t="s">
        <v>416</v>
      </c>
      <c r="D328" s="13" t="s">
        <v>18</v>
      </c>
      <c r="E328" s="13" t="s">
        <v>19</v>
      </c>
      <c r="F328" s="13">
        <v>17.0</v>
      </c>
      <c r="G328" s="13" t="s">
        <v>20</v>
      </c>
      <c r="H328" s="13" t="s">
        <v>28</v>
      </c>
      <c r="I328" s="14" t="s">
        <v>18</v>
      </c>
      <c r="J328" s="14" t="s">
        <v>19</v>
      </c>
      <c r="K328" s="14">
        <v>45.0</v>
      </c>
      <c r="L328" s="14" t="s">
        <v>23</v>
      </c>
      <c r="M328" s="14" t="s">
        <v>24</v>
      </c>
      <c r="N328" s="20"/>
      <c r="O328" s="20"/>
      <c r="P328" s="15" t="s">
        <v>417</v>
      </c>
      <c r="Q328" s="16"/>
      <c r="R328" s="16"/>
      <c r="S328" s="16"/>
      <c r="T328" s="16"/>
      <c r="U328" s="16"/>
      <c r="V328" s="16"/>
      <c r="W328" s="16"/>
      <c r="X328" s="16"/>
      <c r="Y328" s="16"/>
      <c r="Z328" s="16"/>
    </row>
    <row r="329">
      <c r="I329" s="14" t="s">
        <v>18</v>
      </c>
      <c r="J329" s="14" t="s">
        <v>19</v>
      </c>
      <c r="K329" s="14">
        <v>40.0</v>
      </c>
      <c r="L329" s="14" t="s">
        <v>23</v>
      </c>
      <c r="M329" s="14" t="s">
        <v>24</v>
      </c>
      <c r="N329" s="20"/>
      <c r="O329" s="20"/>
      <c r="Q329" s="16"/>
      <c r="R329" s="16"/>
      <c r="S329" s="16"/>
      <c r="T329" s="16"/>
      <c r="U329" s="16"/>
      <c r="V329" s="16"/>
      <c r="W329" s="16"/>
      <c r="X329" s="16"/>
      <c r="Y329" s="16"/>
      <c r="Z329" s="16"/>
    </row>
    <row r="330">
      <c r="I330" s="14" t="s">
        <v>18</v>
      </c>
      <c r="J330" s="14" t="s">
        <v>22</v>
      </c>
      <c r="K330" s="14">
        <v>34.0</v>
      </c>
      <c r="L330" s="14" t="s">
        <v>23</v>
      </c>
      <c r="M330" s="14" t="s">
        <v>24</v>
      </c>
      <c r="N330" s="20"/>
      <c r="O330" s="20"/>
      <c r="Q330" s="16"/>
      <c r="R330" s="16"/>
      <c r="S330" s="16"/>
      <c r="T330" s="16"/>
      <c r="U330" s="16"/>
      <c r="V330" s="16"/>
      <c r="W330" s="16"/>
      <c r="X330" s="16"/>
      <c r="Y330" s="16"/>
      <c r="Z330" s="16"/>
    </row>
    <row r="331">
      <c r="A331" s="10">
        <v>41352.0</v>
      </c>
      <c r="B331" s="23">
        <v>3.3958813E7</v>
      </c>
      <c r="C331" s="12" t="s">
        <v>418</v>
      </c>
      <c r="D331" s="13" t="s">
        <v>18</v>
      </c>
      <c r="E331" s="13" t="s">
        <v>29</v>
      </c>
      <c r="F331" s="13">
        <v>38.0</v>
      </c>
      <c r="G331" s="13" t="s">
        <v>20</v>
      </c>
      <c r="H331" s="13" t="s">
        <v>23</v>
      </c>
      <c r="I331" s="14" t="s">
        <v>18</v>
      </c>
      <c r="J331" s="14" t="s">
        <v>19</v>
      </c>
      <c r="K331" s="14">
        <v>48.0</v>
      </c>
      <c r="L331" s="14" t="s">
        <v>23</v>
      </c>
      <c r="M331" s="14" t="s">
        <v>24</v>
      </c>
      <c r="N331" s="20"/>
      <c r="O331" s="20"/>
      <c r="P331" s="15" t="s">
        <v>419</v>
      </c>
      <c r="Q331" s="16"/>
      <c r="R331" s="16"/>
      <c r="S331" s="16"/>
      <c r="T331" s="16"/>
      <c r="U331" s="16"/>
      <c r="V331" s="16"/>
      <c r="W331" s="16"/>
      <c r="X331" s="16"/>
      <c r="Y331" s="16"/>
      <c r="Z331" s="16"/>
    </row>
    <row r="332">
      <c r="A332" s="10">
        <v>41351.0</v>
      </c>
      <c r="B332" s="23">
        <v>3.3144013E7</v>
      </c>
      <c r="C332" s="12" t="s">
        <v>420</v>
      </c>
      <c r="D332" s="13" t="s">
        <v>18</v>
      </c>
      <c r="E332" s="13" t="s">
        <v>19</v>
      </c>
      <c r="F332" s="13">
        <v>33.0</v>
      </c>
      <c r="G332" s="13" t="s">
        <v>34</v>
      </c>
      <c r="H332" s="13" t="s">
        <v>28</v>
      </c>
      <c r="I332" s="14" t="s">
        <v>18</v>
      </c>
      <c r="J332" s="14" t="s">
        <v>22</v>
      </c>
      <c r="K332" s="14">
        <v>27.0</v>
      </c>
      <c r="L332" s="14" t="s">
        <v>23</v>
      </c>
      <c r="M332" s="14" t="s">
        <v>24</v>
      </c>
      <c r="N332" s="20"/>
      <c r="O332" s="20"/>
      <c r="P332" s="15" t="s">
        <v>421</v>
      </c>
      <c r="Q332" s="16"/>
      <c r="R332" s="16"/>
      <c r="S332" s="16"/>
      <c r="T332" s="16"/>
      <c r="U332" s="16"/>
      <c r="V332" s="16"/>
      <c r="W332" s="16"/>
      <c r="X332" s="16"/>
      <c r="Y332" s="16"/>
      <c r="Z332" s="16"/>
    </row>
    <row r="333">
      <c r="A333" s="10">
        <v>41336.0</v>
      </c>
      <c r="B333" s="23">
        <v>2.6584013E7</v>
      </c>
      <c r="C333" s="12" t="s">
        <v>422</v>
      </c>
      <c r="D333" s="13" t="s">
        <v>18</v>
      </c>
      <c r="E333" s="13" t="s">
        <v>29</v>
      </c>
      <c r="F333" s="13">
        <v>45.0</v>
      </c>
      <c r="G333" s="13" t="s">
        <v>20</v>
      </c>
      <c r="H333" s="13" t="s">
        <v>28</v>
      </c>
      <c r="I333" s="14" t="s">
        <v>18</v>
      </c>
      <c r="J333" s="14" t="s">
        <v>29</v>
      </c>
      <c r="K333" s="14">
        <v>44.0</v>
      </c>
      <c r="L333" s="14" t="s">
        <v>23</v>
      </c>
      <c r="M333" s="14" t="s">
        <v>24</v>
      </c>
      <c r="N333" s="20"/>
      <c r="O333" s="20"/>
      <c r="P333" s="15" t="s">
        <v>423</v>
      </c>
      <c r="Q333" s="16"/>
      <c r="R333" s="16"/>
      <c r="S333" s="16"/>
      <c r="T333" s="16"/>
      <c r="U333" s="16"/>
      <c r="V333" s="16"/>
      <c r="W333" s="16"/>
      <c r="X333" s="16"/>
      <c r="Y333" s="16"/>
      <c r="Z333" s="16"/>
    </row>
    <row r="334">
      <c r="I334" s="14" t="s">
        <v>18</v>
      </c>
      <c r="J334" s="14" t="s">
        <v>29</v>
      </c>
      <c r="K334" s="14">
        <v>39.0</v>
      </c>
      <c r="L334" s="14" t="s">
        <v>23</v>
      </c>
      <c r="M334" s="14" t="s">
        <v>24</v>
      </c>
      <c r="N334" s="20"/>
      <c r="O334" s="20"/>
      <c r="Q334" s="16"/>
      <c r="R334" s="16"/>
      <c r="S334" s="16"/>
      <c r="T334" s="16"/>
      <c r="U334" s="16"/>
      <c r="V334" s="16"/>
      <c r="W334" s="16"/>
      <c r="X334" s="16"/>
      <c r="Y334" s="16"/>
      <c r="Z334" s="16"/>
    </row>
    <row r="335">
      <c r="A335" s="10">
        <v>41333.0</v>
      </c>
      <c r="B335" s="23">
        <v>2.5253413E7</v>
      </c>
      <c r="C335" s="12" t="s">
        <v>424</v>
      </c>
      <c r="D335" s="13" t="s">
        <v>18</v>
      </c>
      <c r="E335" s="13" t="s">
        <v>29</v>
      </c>
      <c r="F335" s="13">
        <v>46.0</v>
      </c>
      <c r="G335" s="13" t="s">
        <v>34</v>
      </c>
      <c r="H335" s="13" t="s">
        <v>425</v>
      </c>
      <c r="I335" s="14" t="s">
        <v>18</v>
      </c>
      <c r="J335" s="14" t="s">
        <v>19</v>
      </c>
      <c r="K335" s="14">
        <v>28.0</v>
      </c>
      <c r="L335" s="14" t="s">
        <v>23</v>
      </c>
      <c r="M335" s="14" t="s">
        <v>24</v>
      </c>
      <c r="N335" s="20"/>
      <c r="O335" s="20"/>
      <c r="P335" s="15" t="s">
        <v>426</v>
      </c>
      <c r="Q335" s="16"/>
      <c r="R335" s="16"/>
      <c r="S335" s="16"/>
      <c r="T335" s="16"/>
      <c r="U335" s="16"/>
      <c r="V335" s="16"/>
      <c r="W335" s="16"/>
      <c r="X335" s="16"/>
      <c r="Y335" s="16"/>
      <c r="Z335" s="16"/>
    </row>
    <row r="336">
      <c r="A336" s="10">
        <v>41320.0</v>
      </c>
      <c r="B336" s="23">
        <v>1.9558313E7</v>
      </c>
      <c r="C336" s="12" t="s">
        <v>427</v>
      </c>
      <c r="D336" s="13" t="s">
        <v>18</v>
      </c>
      <c r="E336" s="13" t="s">
        <v>19</v>
      </c>
      <c r="F336" s="13">
        <v>51.0</v>
      </c>
      <c r="G336" s="13" t="s">
        <v>23</v>
      </c>
      <c r="H336" s="13" t="s">
        <v>152</v>
      </c>
      <c r="I336" s="14" t="s">
        <v>18</v>
      </c>
      <c r="J336" s="14" t="s">
        <v>22</v>
      </c>
      <c r="K336" s="14">
        <v>30.0</v>
      </c>
      <c r="L336" s="14" t="s">
        <v>23</v>
      </c>
      <c r="M336" s="14" t="s">
        <v>24</v>
      </c>
      <c r="N336" s="20"/>
      <c r="O336" s="20"/>
      <c r="P336" s="15" t="s">
        <v>428</v>
      </c>
      <c r="Q336" s="16"/>
      <c r="R336" s="16"/>
      <c r="S336" s="16"/>
      <c r="T336" s="16"/>
      <c r="U336" s="16"/>
      <c r="V336" s="16"/>
      <c r="W336" s="16"/>
      <c r="X336" s="16"/>
      <c r="Y336" s="16"/>
      <c r="Z336" s="16"/>
    </row>
    <row r="337">
      <c r="I337" s="14" t="s">
        <v>18</v>
      </c>
      <c r="J337" s="14" t="s">
        <v>22</v>
      </c>
      <c r="K337" s="14">
        <v>30.0</v>
      </c>
      <c r="L337" s="14" t="s">
        <v>23</v>
      </c>
      <c r="M337" s="14" t="s">
        <v>24</v>
      </c>
      <c r="N337" s="20"/>
      <c r="O337" s="20"/>
      <c r="Q337" s="16"/>
      <c r="R337" s="16"/>
      <c r="S337" s="16"/>
      <c r="T337" s="16"/>
      <c r="U337" s="16"/>
      <c r="V337" s="16"/>
      <c r="W337" s="16"/>
      <c r="X337" s="16"/>
      <c r="Y337" s="16"/>
      <c r="Z337" s="16"/>
    </row>
    <row r="338">
      <c r="A338" s="10">
        <v>41318.0</v>
      </c>
      <c r="B338" s="23">
        <v>1.8168313E7</v>
      </c>
      <c r="C338" s="12" t="s">
        <v>429</v>
      </c>
      <c r="D338" s="13" t="s">
        <v>18</v>
      </c>
      <c r="E338" s="13" t="s">
        <v>29</v>
      </c>
      <c r="F338" s="13">
        <v>32.0</v>
      </c>
      <c r="G338" s="13" t="s">
        <v>20</v>
      </c>
      <c r="H338" s="13" t="s">
        <v>28</v>
      </c>
      <c r="I338" s="14" t="s">
        <v>18</v>
      </c>
      <c r="J338" s="14" t="s">
        <v>19</v>
      </c>
      <c r="K338" s="14">
        <v>31.0</v>
      </c>
      <c r="L338" s="14" t="s">
        <v>23</v>
      </c>
      <c r="M338" s="14" t="s">
        <v>24</v>
      </c>
      <c r="N338" s="20"/>
      <c r="O338" s="20"/>
      <c r="P338" s="15" t="s">
        <v>430</v>
      </c>
      <c r="Q338" s="16"/>
      <c r="R338" s="16"/>
      <c r="S338" s="16"/>
      <c r="T338" s="16"/>
      <c r="U338" s="16"/>
      <c r="V338" s="16"/>
      <c r="W338" s="16"/>
      <c r="X338" s="16"/>
      <c r="Y338" s="16"/>
      <c r="Z338" s="16"/>
    </row>
    <row r="339">
      <c r="A339" s="10">
        <v>41318.0</v>
      </c>
      <c r="B339" s="23">
        <v>1.8448313E7</v>
      </c>
      <c r="C339" s="12" t="s">
        <v>431</v>
      </c>
      <c r="D339" s="13" t="s">
        <v>18</v>
      </c>
      <c r="E339" s="13" t="s">
        <v>29</v>
      </c>
      <c r="F339" s="13">
        <v>34.0</v>
      </c>
      <c r="G339" s="13" t="s">
        <v>34</v>
      </c>
      <c r="H339" s="13" t="s">
        <v>38</v>
      </c>
      <c r="I339" s="14" t="s">
        <v>18</v>
      </c>
      <c r="J339" s="14" t="s">
        <v>22</v>
      </c>
      <c r="K339" s="14">
        <v>37.0</v>
      </c>
      <c r="L339" s="14" t="s">
        <v>23</v>
      </c>
      <c r="M339" s="14" t="s">
        <v>24</v>
      </c>
      <c r="N339" s="20"/>
      <c r="O339" s="20"/>
      <c r="P339" s="15" t="s">
        <v>432</v>
      </c>
      <c r="Q339" s="16"/>
      <c r="R339" s="16"/>
      <c r="S339" s="16"/>
      <c r="T339" s="16"/>
      <c r="U339" s="16"/>
      <c r="V339" s="16"/>
      <c r="W339" s="16"/>
      <c r="X339" s="16"/>
      <c r="Y339" s="16"/>
      <c r="Z339" s="16"/>
    </row>
    <row r="340">
      <c r="A340" s="10">
        <v>41313.0</v>
      </c>
      <c r="B340" s="23">
        <v>1.6110813E7</v>
      </c>
      <c r="C340" s="12" t="s">
        <v>433</v>
      </c>
      <c r="D340" s="13" t="s">
        <v>18</v>
      </c>
      <c r="E340" s="13" t="s">
        <v>22</v>
      </c>
      <c r="F340" s="13">
        <v>44.0</v>
      </c>
      <c r="G340" s="13" t="s">
        <v>23</v>
      </c>
      <c r="H340" s="13" t="s">
        <v>152</v>
      </c>
      <c r="I340" s="14" t="s">
        <v>18</v>
      </c>
      <c r="J340" s="14" t="s">
        <v>45</v>
      </c>
      <c r="K340" s="14">
        <v>29.0</v>
      </c>
      <c r="L340" s="14" t="s">
        <v>23</v>
      </c>
      <c r="M340" s="14" t="s">
        <v>24</v>
      </c>
      <c r="N340" s="20"/>
      <c r="O340" s="20"/>
      <c r="P340" s="15" t="s">
        <v>434</v>
      </c>
      <c r="Q340" s="16"/>
      <c r="R340" s="16"/>
      <c r="S340" s="16"/>
      <c r="T340" s="16"/>
      <c r="U340" s="16"/>
      <c r="V340" s="16"/>
      <c r="W340" s="16"/>
      <c r="X340" s="16"/>
      <c r="Y340" s="16"/>
      <c r="Z340" s="16"/>
    </row>
    <row r="341">
      <c r="D341" s="13" t="s">
        <v>84</v>
      </c>
      <c r="E341" s="13" t="s">
        <v>22</v>
      </c>
      <c r="F341" s="13">
        <v>38.0</v>
      </c>
      <c r="G341" s="13" t="s">
        <v>23</v>
      </c>
      <c r="H341" s="13" t="s">
        <v>23</v>
      </c>
      <c r="N341" s="20"/>
      <c r="O341" s="20"/>
      <c r="Q341" s="16"/>
      <c r="R341" s="16"/>
      <c r="S341" s="16"/>
      <c r="T341" s="16"/>
      <c r="U341" s="16"/>
      <c r="V341" s="16"/>
      <c r="W341" s="16"/>
      <c r="X341" s="16"/>
      <c r="Y341" s="16"/>
      <c r="Z341" s="16"/>
    </row>
    <row r="342">
      <c r="A342" s="10">
        <v>41307.0</v>
      </c>
      <c r="B342" s="23">
        <v>1.3852913E7</v>
      </c>
      <c r="C342" s="12" t="s">
        <v>435</v>
      </c>
      <c r="D342" s="13" t="s">
        <v>18</v>
      </c>
      <c r="E342" s="13" t="s">
        <v>29</v>
      </c>
      <c r="F342" s="13">
        <v>33.0</v>
      </c>
      <c r="G342" s="13" t="s">
        <v>20</v>
      </c>
      <c r="H342" s="13" t="s">
        <v>152</v>
      </c>
      <c r="I342" s="14" t="s">
        <v>18</v>
      </c>
      <c r="J342" s="14" t="s">
        <v>22</v>
      </c>
      <c r="K342" s="14">
        <v>34.0</v>
      </c>
      <c r="L342" s="14" t="s">
        <v>23</v>
      </c>
      <c r="M342" s="14" t="s">
        <v>24</v>
      </c>
      <c r="N342" s="20"/>
      <c r="O342" s="20"/>
      <c r="P342" s="15" t="s">
        <v>436</v>
      </c>
      <c r="Q342" s="16"/>
      <c r="R342" s="16"/>
      <c r="S342" s="16"/>
      <c r="T342" s="16"/>
      <c r="U342" s="16"/>
      <c r="V342" s="16"/>
      <c r="W342" s="16"/>
      <c r="X342" s="16"/>
      <c r="Y342" s="16"/>
      <c r="Z342" s="16"/>
    </row>
    <row r="343">
      <c r="I343" s="14" t="s">
        <v>18</v>
      </c>
      <c r="J343" s="14" t="s">
        <v>19</v>
      </c>
      <c r="K343" s="14">
        <v>29.0</v>
      </c>
      <c r="L343" s="14" t="s">
        <v>23</v>
      </c>
      <c r="M343" s="14" t="s">
        <v>24</v>
      </c>
      <c r="N343" s="20"/>
      <c r="O343" s="20"/>
      <c r="Q343" s="16"/>
      <c r="R343" s="16"/>
      <c r="S343" s="16"/>
      <c r="T343" s="16"/>
      <c r="U343" s="16"/>
      <c r="V343" s="16"/>
      <c r="W343" s="16"/>
      <c r="X343" s="16"/>
      <c r="Y343" s="16"/>
      <c r="Z343" s="16"/>
    </row>
    <row r="344">
      <c r="I344" s="14" t="s">
        <v>18</v>
      </c>
      <c r="J344" s="14" t="s">
        <v>19</v>
      </c>
      <c r="K344" s="14">
        <v>28.0</v>
      </c>
      <c r="L344" s="14" t="s">
        <v>23</v>
      </c>
      <c r="M344" s="14" t="s">
        <v>24</v>
      </c>
      <c r="N344" s="20"/>
      <c r="O344" s="20"/>
      <c r="Q344" s="16"/>
      <c r="R344" s="16"/>
      <c r="S344" s="16"/>
      <c r="T344" s="16"/>
      <c r="U344" s="16"/>
      <c r="V344" s="16"/>
      <c r="W344" s="16"/>
      <c r="X344" s="16"/>
      <c r="Y344" s="16"/>
      <c r="Z344" s="16"/>
    </row>
    <row r="345">
      <c r="A345" s="10">
        <v>41290.0</v>
      </c>
      <c r="B345" s="23">
        <v>6043313.0</v>
      </c>
      <c r="C345" s="12" t="s">
        <v>437</v>
      </c>
      <c r="D345" s="13" t="s">
        <v>18</v>
      </c>
      <c r="E345" s="13" t="s">
        <v>22</v>
      </c>
      <c r="F345" s="13" t="s">
        <v>157</v>
      </c>
      <c r="G345" s="13" t="s">
        <v>23</v>
      </c>
      <c r="H345" s="13" t="s">
        <v>140</v>
      </c>
      <c r="I345" s="14" t="s">
        <v>18</v>
      </c>
      <c r="J345" s="14" t="s">
        <v>29</v>
      </c>
      <c r="K345" s="14">
        <v>47.0</v>
      </c>
      <c r="L345" s="14" t="s">
        <v>23</v>
      </c>
      <c r="M345" s="14" t="s">
        <v>60</v>
      </c>
      <c r="N345" s="20"/>
      <c r="O345" s="20"/>
      <c r="P345" s="15" t="s">
        <v>438</v>
      </c>
      <c r="Q345" s="16"/>
      <c r="R345" s="16"/>
      <c r="S345" s="16"/>
      <c r="T345" s="16"/>
      <c r="U345" s="16"/>
      <c r="V345" s="16"/>
      <c r="W345" s="16"/>
      <c r="X345" s="16"/>
      <c r="Y345" s="16"/>
      <c r="Z345" s="16"/>
    </row>
    <row r="346">
      <c r="A346" s="10">
        <v>41286.0</v>
      </c>
      <c r="B346" s="23">
        <v>4468713.0</v>
      </c>
      <c r="C346" s="12" t="s">
        <v>439</v>
      </c>
      <c r="D346" s="13" t="s">
        <v>18</v>
      </c>
      <c r="E346" s="13" t="s">
        <v>29</v>
      </c>
      <c r="F346" s="13">
        <v>23.0</v>
      </c>
      <c r="G346" s="13" t="s">
        <v>20</v>
      </c>
      <c r="H346" s="13" t="s">
        <v>28</v>
      </c>
      <c r="I346" s="14" t="s">
        <v>18</v>
      </c>
      <c r="J346" s="14" t="s">
        <v>22</v>
      </c>
      <c r="K346" s="14">
        <v>27.0</v>
      </c>
      <c r="L346" s="14" t="s">
        <v>23</v>
      </c>
      <c r="M346" s="14" t="s">
        <v>24</v>
      </c>
      <c r="N346" s="20"/>
      <c r="O346" s="20"/>
      <c r="P346" s="15" t="s">
        <v>440</v>
      </c>
      <c r="Q346" s="16"/>
      <c r="R346" s="16"/>
      <c r="S346" s="16"/>
      <c r="T346" s="16"/>
      <c r="U346" s="16"/>
      <c r="V346" s="16"/>
      <c r="W346" s="16"/>
      <c r="X346" s="16"/>
      <c r="Y346" s="16"/>
      <c r="Z346" s="16"/>
    </row>
    <row r="347">
      <c r="A347" s="10">
        <v>41286.0</v>
      </c>
      <c r="B347" s="23">
        <v>4789613.0</v>
      </c>
      <c r="C347" s="12" t="s">
        <v>441</v>
      </c>
      <c r="D347" s="13" t="s">
        <v>18</v>
      </c>
      <c r="E347" s="13" t="s">
        <v>29</v>
      </c>
      <c r="F347" s="13">
        <v>19.0</v>
      </c>
      <c r="G347" s="13" t="s">
        <v>20</v>
      </c>
      <c r="H347" s="13" t="s">
        <v>28</v>
      </c>
      <c r="I347" s="14" t="s">
        <v>18</v>
      </c>
      <c r="J347" s="14" t="s">
        <v>22</v>
      </c>
      <c r="K347" s="14">
        <v>33.0</v>
      </c>
      <c r="L347" s="14" t="s">
        <v>23</v>
      </c>
      <c r="M347" s="14" t="s">
        <v>60</v>
      </c>
      <c r="N347" s="20"/>
      <c r="O347" s="20"/>
      <c r="P347" s="15" t="s">
        <v>442</v>
      </c>
      <c r="Q347" s="16"/>
      <c r="R347" s="16"/>
      <c r="S347" s="16"/>
      <c r="T347" s="16"/>
      <c r="U347" s="16"/>
      <c r="V347" s="16"/>
      <c r="W347" s="16"/>
      <c r="X347" s="16"/>
      <c r="Y347" s="16"/>
      <c r="Z347" s="16"/>
    </row>
    <row r="348">
      <c r="D348" s="13" t="s">
        <v>18</v>
      </c>
      <c r="E348" s="13" t="s">
        <v>29</v>
      </c>
      <c r="F348" s="13">
        <v>18.0</v>
      </c>
      <c r="G348" s="13" t="s">
        <v>23</v>
      </c>
      <c r="H348" s="13" t="s">
        <v>23</v>
      </c>
      <c r="N348" s="20"/>
      <c r="O348" s="20"/>
      <c r="Q348" s="16"/>
      <c r="R348" s="16"/>
      <c r="S348" s="16"/>
      <c r="T348" s="16"/>
      <c r="U348" s="16"/>
      <c r="V348" s="16"/>
      <c r="W348" s="16"/>
      <c r="X348" s="16"/>
      <c r="Y348" s="16"/>
      <c r="Z348" s="16"/>
    </row>
    <row r="349">
      <c r="D349" s="13" t="s">
        <v>18</v>
      </c>
      <c r="E349" s="13" t="s">
        <v>29</v>
      </c>
      <c r="F349" s="13">
        <v>22.0</v>
      </c>
      <c r="G349" s="13" t="s">
        <v>23</v>
      </c>
      <c r="H349" s="13" t="s">
        <v>23</v>
      </c>
      <c r="N349" s="20"/>
      <c r="O349" s="20"/>
      <c r="Q349" s="16"/>
      <c r="R349" s="16"/>
      <c r="S349" s="16"/>
      <c r="T349" s="16"/>
      <c r="U349" s="16"/>
      <c r="V349" s="16"/>
      <c r="W349" s="16"/>
      <c r="X349" s="16"/>
      <c r="Y349" s="16"/>
      <c r="Z349" s="16"/>
    </row>
    <row r="350">
      <c r="D350" s="13" t="s">
        <v>18</v>
      </c>
      <c r="E350" s="13" t="s">
        <v>29</v>
      </c>
      <c r="F350" s="13">
        <v>17.0</v>
      </c>
      <c r="G350" s="13" t="s">
        <v>23</v>
      </c>
      <c r="H350" s="13" t="s">
        <v>23</v>
      </c>
      <c r="N350" s="20"/>
      <c r="O350" s="20"/>
      <c r="Q350" s="16"/>
      <c r="R350" s="16"/>
      <c r="S350" s="16"/>
      <c r="T350" s="16"/>
      <c r="U350" s="16"/>
      <c r="V350" s="16"/>
      <c r="W350" s="16"/>
      <c r="X350" s="16"/>
      <c r="Y350" s="16"/>
      <c r="Z350" s="16"/>
    </row>
    <row r="351">
      <c r="D351" s="13" t="s">
        <v>18</v>
      </c>
      <c r="E351" s="13" t="s">
        <v>29</v>
      </c>
      <c r="F351" s="13">
        <v>20.0</v>
      </c>
      <c r="G351" s="13" t="s">
        <v>23</v>
      </c>
      <c r="H351" s="13" t="s">
        <v>28</v>
      </c>
      <c r="N351" s="20"/>
      <c r="O351" s="20"/>
      <c r="Q351" s="16"/>
      <c r="R351" s="16"/>
      <c r="S351" s="16"/>
      <c r="T351" s="16"/>
      <c r="U351" s="16"/>
      <c r="V351" s="16"/>
      <c r="W351" s="16"/>
      <c r="X351" s="16"/>
      <c r="Y351" s="16"/>
      <c r="Z351" s="16"/>
    </row>
    <row r="352">
      <c r="D352" s="13" t="s">
        <v>18</v>
      </c>
      <c r="E352" s="13" t="s">
        <v>29</v>
      </c>
      <c r="F352" s="13">
        <v>19.0</v>
      </c>
      <c r="G352" s="13" t="s">
        <v>23</v>
      </c>
      <c r="H352" s="13" t="s">
        <v>28</v>
      </c>
      <c r="N352" s="20"/>
      <c r="O352" s="20"/>
      <c r="Q352" s="16"/>
      <c r="R352" s="16"/>
      <c r="S352" s="16"/>
      <c r="T352" s="16"/>
      <c r="U352" s="16"/>
      <c r="V352" s="16"/>
      <c r="W352" s="16"/>
      <c r="X352" s="16"/>
      <c r="Y352" s="16"/>
      <c r="Z352" s="16"/>
    </row>
    <row r="353">
      <c r="A353" s="10">
        <v>41278.0</v>
      </c>
      <c r="B353" s="23">
        <v>1469213.0</v>
      </c>
      <c r="C353" s="12" t="s">
        <v>443</v>
      </c>
      <c r="D353" s="13" t="s">
        <v>18</v>
      </c>
      <c r="E353" s="13" t="s">
        <v>29</v>
      </c>
      <c r="F353" s="13" t="s">
        <v>157</v>
      </c>
      <c r="G353" s="13" t="s">
        <v>23</v>
      </c>
      <c r="H353" s="13" t="s">
        <v>140</v>
      </c>
      <c r="I353" s="14" t="s">
        <v>18</v>
      </c>
      <c r="J353" s="14" t="s">
        <v>22</v>
      </c>
      <c r="K353" s="14">
        <v>40.0</v>
      </c>
      <c r="L353" s="14" t="s">
        <v>23</v>
      </c>
      <c r="M353" s="14" t="s">
        <v>24</v>
      </c>
      <c r="N353" s="20"/>
      <c r="O353" s="20"/>
      <c r="P353" s="15" t="s">
        <v>444</v>
      </c>
      <c r="Q353" s="16"/>
      <c r="R353" s="16"/>
      <c r="S353" s="16"/>
      <c r="T353" s="16"/>
      <c r="U353" s="16"/>
      <c r="V353" s="16"/>
      <c r="W353" s="16"/>
      <c r="X353" s="16"/>
      <c r="Y353" s="16"/>
      <c r="Z353" s="16"/>
    </row>
    <row r="354">
      <c r="D354" s="13" t="s">
        <v>18</v>
      </c>
      <c r="E354" s="13" t="s">
        <v>29</v>
      </c>
      <c r="F354" s="13" t="s">
        <v>157</v>
      </c>
      <c r="G354" s="13" t="s">
        <v>23</v>
      </c>
      <c r="H354" s="13" t="s">
        <v>140</v>
      </c>
      <c r="N354" s="20"/>
      <c r="O354" s="20"/>
      <c r="Q354" s="16"/>
      <c r="R354" s="16"/>
      <c r="S354" s="16"/>
      <c r="T354" s="16"/>
      <c r="U354" s="16"/>
      <c r="V354" s="16"/>
      <c r="W354" s="16"/>
      <c r="X354" s="16"/>
      <c r="Y354" s="16"/>
      <c r="Z354" s="16"/>
    </row>
    <row r="355">
      <c r="A355" s="10">
        <v>41269.0</v>
      </c>
      <c r="B355" s="23">
        <v>1.62463012E8</v>
      </c>
      <c r="C355" s="12" t="s">
        <v>445</v>
      </c>
      <c r="D355" s="13" t="s">
        <v>18</v>
      </c>
      <c r="E355" s="13" t="s">
        <v>29</v>
      </c>
      <c r="F355" s="13">
        <v>41.0</v>
      </c>
      <c r="G355" s="13" t="s">
        <v>20</v>
      </c>
      <c r="H355" s="13" t="s">
        <v>152</v>
      </c>
      <c r="I355" s="14" t="s">
        <v>18</v>
      </c>
      <c r="J355" s="14" t="s">
        <v>22</v>
      </c>
      <c r="K355" s="14">
        <v>40.0</v>
      </c>
      <c r="L355" s="14" t="s">
        <v>20</v>
      </c>
      <c r="M355" s="14" t="s">
        <v>24</v>
      </c>
      <c r="N355" s="20"/>
      <c r="O355" s="20"/>
      <c r="P355" s="15" t="s">
        <v>446</v>
      </c>
      <c r="Q355" s="16"/>
      <c r="R355" s="16"/>
      <c r="S355" s="16"/>
      <c r="T355" s="16"/>
      <c r="U355" s="16"/>
      <c r="V355" s="16"/>
      <c r="W355" s="16"/>
      <c r="X355" s="16"/>
      <c r="Y355" s="16"/>
      <c r="Z355" s="16"/>
    </row>
    <row r="356">
      <c r="A356" s="10">
        <v>41267.0</v>
      </c>
      <c r="B356" s="23">
        <v>1.61401412E8</v>
      </c>
      <c r="C356" s="12" t="s">
        <v>447</v>
      </c>
      <c r="D356" s="13" t="s">
        <v>18</v>
      </c>
      <c r="E356" s="13" t="s">
        <v>29</v>
      </c>
      <c r="F356" s="13">
        <v>42.0</v>
      </c>
      <c r="G356" s="13" t="s">
        <v>23</v>
      </c>
      <c r="H356" s="13" t="s">
        <v>28</v>
      </c>
      <c r="I356" s="14" t="s">
        <v>18</v>
      </c>
      <c r="J356" s="14" t="s">
        <v>19</v>
      </c>
      <c r="K356" s="14">
        <v>40.0</v>
      </c>
      <c r="L356" s="14" t="s">
        <v>23</v>
      </c>
      <c r="M356" s="14" t="s">
        <v>60</v>
      </c>
      <c r="N356" s="20"/>
      <c r="O356" s="20"/>
      <c r="P356" s="15" t="s">
        <v>448</v>
      </c>
      <c r="Q356" s="16"/>
      <c r="R356" s="16"/>
      <c r="S356" s="16"/>
      <c r="T356" s="16"/>
      <c r="U356" s="16"/>
      <c r="V356" s="16"/>
      <c r="W356" s="16"/>
      <c r="X356" s="16"/>
      <c r="Y356" s="16"/>
      <c r="Z356" s="16"/>
    </row>
    <row r="357">
      <c r="D357" s="13" t="s">
        <v>18</v>
      </c>
      <c r="E357" s="13" t="s">
        <v>29</v>
      </c>
      <c r="F357" s="13">
        <v>32.0</v>
      </c>
      <c r="G357" s="13" t="s">
        <v>23</v>
      </c>
      <c r="H357" s="13" t="s">
        <v>28</v>
      </c>
      <c r="N357" s="20"/>
      <c r="O357" s="20"/>
      <c r="Q357" s="16"/>
      <c r="R357" s="16"/>
      <c r="S357" s="16"/>
      <c r="T357" s="16"/>
      <c r="U357" s="16"/>
      <c r="V357" s="16"/>
      <c r="W357" s="16"/>
      <c r="X357" s="16"/>
      <c r="Y357" s="16"/>
      <c r="Z357" s="16"/>
    </row>
    <row r="358">
      <c r="A358" s="10">
        <v>41266.0</v>
      </c>
      <c r="B358" s="23">
        <v>1.60908412E8</v>
      </c>
      <c r="C358" s="12" t="s">
        <v>449</v>
      </c>
      <c r="D358" s="13" t="s">
        <v>18</v>
      </c>
      <c r="E358" s="13" t="s">
        <v>29</v>
      </c>
      <c r="F358" s="13">
        <v>43.0</v>
      </c>
      <c r="G358" s="13" t="s">
        <v>20</v>
      </c>
      <c r="H358" s="13" t="s">
        <v>28</v>
      </c>
      <c r="I358" s="14" t="s">
        <v>18</v>
      </c>
      <c r="J358" s="14" t="s">
        <v>22</v>
      </c>
      <c r="K358" s="14">
        <v>28.0</v>
      </c>
      <c r="L358" s="14" t="s">
        <v>23</v>
      </c>
      <c r="M358" s="14" t="s">
        <v>24</v>
      </c>
      <c r="N358" s="20"/>
      <c r="O358" s="20"/>
      <c r="P358" s="15" t="s">
        <v>450</v>
      </c>
      <c r="Q358" s="16"/>
      <c r="R358" s="16"/>
      <c r="S358" s="16"/>
      <c r="T358" s="16"/>
      <c r="U358" s="16"/>
      <c r="V358" s="16"/>
      <c r="W358" s="16"/>
      <c r="X358" s="16"/>
      <c r="Y358" s="16"/>
      <c r="Z358" s="16"/>
    </row>
    <row r="359">
      <c r="A359" s="10">
        <v>41232.0</v>
      </c>
      <c r="B359" s="23">
        <v>1.46038912E8</v>
      </c>
      <c r="C359" s="12" t="s">
        <v>451</v>
      </c>
      <c r="D359" s="13" t="s">
        <v>18</v>
      </c>
      <c r="E359" s="13" t="s">
        <v>29</v>
      </c>
      <c r="F359" s="13">
        <v>37.0</v>
      </c>
      <c r="G359" s="13" t="s">
        <v>23</v>
      </c>
      <c r="H359" s="13" t="s">
        <v>28</v>
      </c>
      <c r="I359" s="14" t="s">
        <v>18</v>
      </c>
      <c r="J359" s="14" t="s">
        <v>19</v>
      </c>
      <c r="K359" s="14">
        <v>23.0</v>
      </c>
      <c r="L359" s="14" t="s">
        <v>23</v>
      </c>
      <c r="M359" s="14" t="s">
        <v>24</v>
      </c>
      <c r="N359" s="20"/>
      <c r="O359" s="20"/>
      <c r="P359" s="15" t="s">
        <v>452</v>
      </c>
      <c r="Q359" s="16"/>
      <c r="R359" s="16"/>
      <c r="S359" s="16"/>
      <c r="T359" s="16"/>
      <c r="U359" s="16"/>
      <c r="V359" s="16"/>
      <c r="W359" s="16"/>
      <c r="X359" s="16"/>
      <c r="Y359" s="16"/>
      <c r="Z359" s="16"/>
    </row>
    <row r="360">
      <c r="A360" s="10">
        <v>41229.0</v>
      </c>
      <c r="B360" s="23">
        <v>1.45242812E8</v>
      </c>
      <c r="C360" s="12" t="s">
        <v>453</v>
      </c>
      <c r="D360" s="13" t="s">
        <v>18</v>
      </c>
      <c r="E360" s="13" t="s">
        <v>29</v>
      </c>
      <c r="F360" s="13">
        <v>21.0</v>
      </c>
      <c r="G360" s="13" t="s">
        <v>23</v>
      </c>
      <c r="H360" s="13" t="s">
        <v>23</v>
      </c>
      <c r="I360" s="14" t="s">
        <v>18</v>
      </c>
      <c r="J360" s="14" t="s">
        <v>22</v>
      </c>
      <c r="K360" s="14">
        <v>40.0</v>
      </c>
      <c r="L360" s="14" t="s">
        <v>23</v>
      </c>
      <c r="M360" s="14" t="s">
        <v>24</v>
      </c>
      <c r="N360" s="20"/>
      <c r="O360" s="20"/>
      <c r="P360" s="15" t="s">
        <v>454</v>
      </c>
      <c r="Q360" s="16"/>
      <c r="R360" s="16"/>
      <c r="S360" s="16"/>
      <c r="T360" s="16"/>
      <c r="U360" s="16"/>
      <c r="V360" s="16"/>
      <c r="W360" s="16"/>
      <c r="X360" s="16"/>
      <c r="Y360" s="16"/>
      <c r="Z360" s="16"/>
    </row>
    <row r="361">
      <c r="A361" s="10">
        <v>41217.0</v>
      </c>
      <c r="B361" s="23">
        <v>1.39910512E8</v>
      </c>
      <c r="C361" s="12" t="s">
        <v>455</v>
      </c>
      <c r="D361" s="13" t="s">
        <v>18</v>
      </c>
      <c r="E361" s="13" t="s">
        <v>22</v>
      </c>
      <c r="F361" s="13">
        <v>46.0</v>
      </c>
      <c r="G361" s="13" t="s">
        <v>34</v>
      </c>
      <c r="H361" s="13" t="s">
        <v>28</v>
      </c>
      <c r="I361" s="14" t="s">
        <v>18</v>
      </c>
      <c r="J361" s="14" t="s">
        <v>22</v>
      </c>
      <c r="K361" s="14">
        <v>51.0</v>
      </c>
      <c r="L361" s="14" t="s">
        <v>23</v>
      </c>
      <c r="M361" s="14" t="s">
        <v>24</v>
      </c>
      <c r="N361" s="20"/>
      <c r="O361" s="20"/>
      <c r="P361" s="15" t="s">
        <v>456</v>
      </c>
      <c r="Q361" s="16"/>
      <c r="R361" s="16"/>
      <c r="S361" s="16"/>
      <c r="T361" s="16"/>
      <c r="U361" s="16"/>
      <c r="V361" s="16"/>
      <c r="W361" s="16"/>
      <c r="X361" s="16"/>
      <c r="Y361" s="16"/>
      <c r="Z361" s="16"/>
    </row>
    <row r="362">
      <c r="G362" s="19"/>
      <c r="H362" s="19"/>
      <c r="I362" s="14" t="s">
        <v>18</v>
      </c>
      <c r="J362" s="14" t="s">
        <v>22</v>
      </c>
      <c r="K362" s="14">
        <v>49.0</v>
      </c>
      <c r="L362" s="14" t="s">
        <v>23</v>
      </c>
      <c r="M362" s="14" t="s">
        <v>24</v>
      </c>
      <c r="N362" s="20"/>
      <c r="O362" s="20"/>
      <c r="Q362" s="16"/>
      <c r="R362" s="16"/>
      <c r="S362" s="16"/>
      <c r="T362" s="16"/>
      <c r="U362" s="16"/>
      <c r="V362" s="16"/>
      <c r="W362" s="16"/>
      <c r="X362" s="16"/>
      <c r="Y362" s="16"/>
      <c r="Z362" s="16"/>
    </row>
    <row r="363">
      <c r="A363" s="10">
        <v>41193.0</v>
      </c>
      <c r="B363" s="23">
        <v>1.28938512E8</v>
      </c>
      <c r="C363" s="12" t="s">
        <v>457</v>
      </c>
      <c r="D363" s="13" t="s">
        <v>18</v>
      </c>
      <c r="E363" s="13" t="s">
        <v>29</v>
      </c>
      <c r="F363" s="13">
        <v>38.0</v>
      </c>
      <c r="G363" s="13" t="s">
        <v>34</v>
      </c>
      <c r="H363" s="13" t="s">
        <v>23</v>
      </c>
      <c r="I363" s="14" t="s">
        <v>18</v>
      </c>
      <c r="J363" s="14" t="s">
        <v>29</v>
      </c>
      <c r="K363" s="14">
        <v>27.0</v>
      </c>
      <c r="L363" s="14" t="s">
        <v>23</v>
      </c>
      <c r="M363" s="14" t="s">
        <v>24</v>
      </c>
      <c r="N363" s="20"/>
      <c r="O363" s="20"/>
      <c r="P363" s="15" t="s">
        <v>458</v>
      </c>
      <c r="Q363" s="16"/>
      <c r="R363" s="16"/>
      <c r="S363" s="16"/>
      <c r="T363" s="16"/>
      <c r="U363" s="16"/>
      <c r="V363" s="16"/>
      <c r="W363" s="16"/>
      <c r="X363" s="16"/>
      <c r="Y363" s="16"/>
      <c r="Z363" s="16"/>
    </row>
    <row r="364">
      <c r="A364" s="10">
        <v>41176.0</v>
      </c>
      <c r="B364" s="23">
        <v>1.21514812E8</v>
      </c>
      <c r="C364" s="12" t="s">
        <v>459</v>
      </c>
      <c r="D364" s="13" t="s">
        <v>18</v>
      </c>
      <c r="E364" s="13" t="s">
        <v>19</v>
      </c>
      <c r="F364" s="13">
        <v>25.0</v>
      </c>
      <c r="G364" s="13" t="s">
        <v>23</v>
      </c>
      <c r="H364" s="13" t="s">
        <v>23</v>
      </c>
      <c r="I364" s="14" t="s">
        <v>18</v>
      </c>
      <c r="J364" s="14" t="s">
        <v>19</v>
      </c>
      <c r="K364" s="14">
        <v>30.0</v>
      </c>
      <c r="L364" s="14" t="s">
        <v>23</v>
      </c>
      <c r="M364" s="14" t="s">
        <v>24</v>
      </c>
      <c r="N364" s="20"/>
      <c r="O364" s="20"/>
      <c r="P364" s="15" t="s">
        <v>460</v>
      </c>
      <c r="Q364" s="16"/>
      <c r="R364" s="16"/>
      <c r="S364" s="16"/>
      <c r="T364" s="16"/>
      <c r="U364" s="16"/>
      <c r="V364" s="16"/>
      <c r="W364" s="16"/>
      <c r="X364" s="16"/>
      <c r="Y364" s="16"/>
      <c r="Z364" s="16"/>
    </row>
    <row r="365">
      <c r="A365" s="10">
        <v>41174.0</v>
      </c>
      <c r="B365" s="23">
        <v>1.20646512E8</v>
      </c>
      <c r="C365" s="12" t="s">
        <v>461</v>
      </c>
      <c r="D365" s="13" t="s">
        <v>18</v>
      </c>
      <c r="E365" s="13" t="s">
        <v>22</v>
      </c>
      <c r="F365" s="13">
        <v>45.0</v>
      </c>
      <c r="G365" s="13" t="s">
        <v>34</v>
      </c>
      <c r="H365" s="13" t="s">
        <v>462</v>
      </c>
      <c r="I365" s="14" t="s">
        <v>18</v>
      </c>
      <c r="J365" s="14" t="s">
        <v>19</v>
      </c>
      <c r="K365" s="14">
        <v>29.0</v>
      </c>
      <c r="L365" s="14" t="s">
        <v>23</v>
      </c>
      <c r="M365" s="14" t="s">
        <v>24</v>
      </c>
      <c r="N365" s="20"/>
      <c r="O365" s="20"/>
      <c r="P365" s="15" t="s">
        <v>463</v>
      </c>
      <c r="Q365" s="16"/>
      <c r="R365" s="16"/>
      <c r="S365" s="16"/>
      <c r="T365" s="16"/>
      <c r="U365" s="16"/>
      <c r="V365" s="16"/>
      <c r="W365" s="16"/>
      <c r="X365" s="16"/>
      <c r="Y365" s="16"/>
      <c r="Z365" s="16"/>
    </row>
    <row r="366">
      <c r="A366" s="10">
        <v>41174.0</v>
      </c>
      <c r="B366" s="23">
        <v>1.21020212E8</v>
      </c>
      <c r="C366" s="12" t="s">
        <v>464</v>
      </c>
      <c r="D366" s="13" t="s">
        <v>18</v>
      </c>
      <c r="E366" s="13" t="s">
        <v>29</v>
      </c>
      <c r="F366" s="13" t="s">
        <v>157</v>
      </c>
      <c r="G366" s="13" t="s">
        <v>23</v>
      </c>
      <c r="H366" s="13" t="s">
        <v>23</v>
      </c>
      <c r="I366" s="14" t="s">
        <v>84</v>
      </c>
      <c r="J366" s="14" t="s">
        <v>29</v>
      </c>
      <c r="K366" s="14">
        <v>45.0</v>
      </c>
      <c r="L366" s="14" t="s">
        <v>23</v>
      </c>
      <c r="M366" s="14" t="s">
        <v>24</v>
      </c>
      <c r="N366" s="20"/>
      <c r="O366" s="20"/>
      <c r="P366" s="15" t="s">
        <v>465</v>
      </c>
      <c r="Q366" s="16"/>
      <c r="R366" s="16"/>
      <c r="S366" s="16"/>
      <c r="T366" s="16"/>
      <c r="U366" s="16"/>
      <c r="V366" s="16"/>
      <c r="W366" s="16"/>
      <c r="X366" s="16"/>
      <c r="Y366" s="16"/>
      <c r="Z366" s="16"/>
    </row>
    <row r="367">
      <c r="A367" s="10">
        <v>41172.0</v>
      </c>
      <c r="B367" s="23">
        <v>1.20020212E8</v>
      </c>
      <c r="C367" s="12" t="s">
        <v>466</v>
      </c>
      <c r="D367" s="13" t="s">
        <v>18</v>
      </c>
      <c r="E367" s="13" t="s">
        <v>29</v>
      </c>
      <c r="F367" s="13">
        <v>31.0</v>
      </c>
      <c r="G367" s="13" t="s">
        <v>20</v>
      </c>
      <c r="H367" s="13" t="s">
        <v>28</v>
      </c>
      <c r="I367" s="14" t="s">
        <v>18</v>
      </c>
      <c r="J367" s="14" t="s">
        <v>29</v>
      </c>
      <c r="K367" s="14">
        <v>26.0</v>
      </c>
      <c r="L367" s="14" t="s">
        <v>23</v>
      </c>
      <c r="M367" s="14" t="s">
        <v>24</v>
      </c>
      <c r="N367" s="20"/>
      <c r="O367" s="20"/>
      <c r="P367" s="15" t="s">
        <v>467</v>
      </c>
      <c r="Q367" s="16"/>
      <c r="R367" s="16"/>
      <c r="S367" s="16"/>
      <c r="T367" s="16"/>
      <c r="U367" s="16"/>
      <c r="V367" s="16"/>
      <c r="W367" s="16"/>
      <c r="X367" s="16"/>
      <c r="Y367" s="16"/>
      <c r="Z367" s="16"/>
    </row>
    <row r="368">
      <c r="A368" s="10">
        <v>41168.0</v>
      </c>
      <c r="B368" s="23">
        <v>1.18301912E8</v>
      </c>
      <c r="C368" s="12" t="s">
        <v>468</v>
      </c>
      <c r="D368" s="13" t="s">
        <v>18</v>
      </c>
      <c r="E368" s="13" t="s">
        <v>19</v>
      </c>
      <c r="F368" s="13">
        <v>26.0</v>
      </c>
      <c r="G368" s="13" t="s">
        <v>20</v>
      </c>
      <c r="H368" s="13" t="s">
        <v>23</v>
      </c>
      <c r="I368" s="14" t="s">
        <v>18</v>
      </c>
      <c r="J368" s="14" t="s">
        <v>22</v>
      </c>
      <c r="K368" s="14">
        <v>29.0</v>
      </c>
      <c r="L368" s="14" t="s">
        <v>23</v>
      </c>
      <c r="M368" s="14" t="s">
        <v>24</v>
      </c>
      <c r="N368" s="20"/>
      <c r="O368" s="20"/>
      <c r="P368" s="15" t="s">
        <v>469</v>
      </c>
      <c r="Q368" s="16"/>
      <c r="R368" s="16"/>
      <c r="S368" s="16"/>
      <c r="T368" s="16"/>
      <c r="U368" s="16"/>
      <c r="V368" s="16"/>
      <c r="W368" s="16"/>
      <c r="X368" s="16"/>
      <c r="Y368" s="16"/>
      <c r="Z368" s="16"/>
    </row>
    <row r="369">
      <c r="H369" s="13" t="s">
        <v>23</v>
      </c>
      <c r="I369" s="14" t="s">
        <v>18</v>
      </c>
      <c r="J369" s="14" t="s">
        <v>22</v>
      </c>
      <c r="K369" s="14">
        <v>26.0</v>
      </c>
      <c r="L369" s="14" t="s">
        <v>23</v>
      </c>
      <c r="M369" s="14" t="s">
        <v>24</v>
      </c>
      <c r="N369" s="20"/>
      <c r="O369" s="20"/>
      <c r="Q369" s="16"/>
      <c r="R369" s="16"/>
      <c r="S369" s="16"/>
      <c r="T369" s="16"/>
      <c r="U369" s="16"/>
      <c r="V369" s="16"/>
      <c r="W369" s="16"/>
      <c r="X369" s="16"/>
      <c r="Y369" s="16"/>
      <c r="Z369" s="16"/>
    </row>
    <row r="370">
      <c r="H370" s="13" t="s">
        <v>23</v>
      </c>
      <c r="I370" s="14" t="s">
        <v>18</v>
      </c>
      <c r="J370" s="14" t="s">
        <v>22</v>
      </c>
      <c r="K370" s="14">
        <v>29.0</v>
      </c>
      <c r="L370" s="14" t="s">
        <v>23</v>
      </c>
      <c r="M370" s="14" t="s">
        <v>24</v>
      </c>
      <c r="N370" s="20"/>
      <c r="O370" s="20"/>
      <c r="Q370" s="16"/>
      <c r="R370" s="16"/>
      <c r="S370" s="16"/>
      <c r="T370" s="16"/>
      <c r="U370" s="16"/>
      <c r="V370" s="16"/>
      <c r="W370" s="16"/>
      <c r="X370" s="16"/>
      <c r="Y370" s="16"/>
      <c r="Z370" s="16"/>
    </row>
    <row r="371">
      <c r="A371" s="10">
        <v>41167.0</v>
      </c>
      <c r="B371" s="23">
        <v>1.17468112E8</v>
      </c>
      <c r="C371" s="12" t="s">
        <v>470</v>
      </c>
      <c r="D371" s="13" t="s">
        <v>18</v>
      </c>
      <c r="E371" s="13" t="s">
        <v>19</v>
      </c>
      <c r="F371" s="13">
        <v>21.0</v>
      </c>
      <c r="G371" s="13" t="s">
        <v>20</v>
      </c>
      <c r="H371" s="13" t="s">
        <v>23</v>
      </c>
      <c r="I371" s="14" t="s">
        <v>18</v>
      </c>
      <c r="J371" s="14" t="s">
        <v>22</v>
      </c>
      <c r="K371" s="14">
        <v>29.0</v>
      </c>
      <c r="L371" s="14" t="s">
        <v>23</v>
      </c>
      <c r="M371" s="14" t="s">
        <v>60</v>
      </c>
      <c r="N371" s="20"/>
      <c r="O371" s="20"/>
      <c r="P371" s="15" t="s">
        <v>471</v>
      </c>
      <c r="Q371" s="16"/>
      <c r="R371" s="16"/>
      <c r="S371" s="16"/>
      <c r="T371" s="16"/>
      <c r="U371" s="16"/>
      <c r="V371" s="16"/>
      <c r="W371" s="16"/>
      <c r="X371" s="16"/>
      <c r="Y371" s="16"/>
      <c r="Z371" s="16"/>
    </row>
    <row r="372">
      <c r="D372" s="13" t="s">
        <v>18</v>
      </c>
      <c r="E372" s="13" t="s">
        <v>22</v>
      </c>
      <c r="F372" s="13">
        <v>21.0</v>
      </c>
      <c r="G372" s="13" t="s">
        <v>20</v>
      </c>
      <c r="H372" s="13" t="s">
        <v>152</v>
      </c>
      <c r="N372" s="20"/>
      <c r="O372" s="20"/>
      <c r="Q372" s="16"/>
      <c r="R372" s="16"/>
      <c r="S372" s="16"/>
      <c r="T372" s="16"/>
      <c r="U372" s="16"/>
      <c r="V372" s="16"/>
      <c r="W372" s="16"/>
      <c r="X372" s="16"/>
      <c r="Y372" s="16"/>
      <c r="Z372" s="16"/>
    </row>
    <row r="373">
      <c r="A373" s="10">
        <v>41165.0</v>
      </c>
      <c r="B373" s="23">
        <v>1.16946712E8</v>
      </c>
      <c r="C373" s="12" t="s">
        <v>472</v>
      </c>
      <c r="D373" s="13" t="s">
        <v>18</v>
      </c>
      <c r="E373" s="13" t="s">
        <v>29</v>
      </c>
      <c r="F373" s="13">
        <v>26.0</v>
      </c>
      <c r="G373" s="13" t="s">
        <v>34</v>
      </c>
      <c r="H373" s="13" t="s">
        <v>38</v>
      </c>
      <c r="I373" s="14" t="s">
        <v>18</v>
      </c>
      <c r="J373" s="14" t="s">
        <v>19</v>
      </c>
      <c r="K373" s="14">
        <v>33.0</v>
      </c>
      <c r="L373" s="14" t="s">
        <v>23</v>
      </c>
      <c r="M373" s="14" t="s">
        <v>24</v>
      </c>
      <c r="N373" s="20"/>
      <c r="O373" s="20"/>
      <c r="P373" s="15" t="s">
        <v>473</v>
      </c>
      <c r="Q373" s="16"/>
      <c r="R373" s="16"/>
      <c r="S373" s="16"/>
      <c r="T373" s="16"/>
      <c r="U373" s="16"/>
      <c r="V373" s="16"/>
      <c r="W373" s="16"/>
      <c r="X373" s="16"/>
      <c r="Y373" s="16"/>
      <c r="Z373" s="16"/>
    </row>
    <row r="374">
      <c r="I374" s="14" t="s">
        <v>18</v>
      </c>
      <c r="J374" s="14" t="s">
        <v>22</v>
      </c>
      <c r="K374" s="14">
        <v>28.0</v>
      </c>
      <c r="L374" s="14" t="s">
        <v>23</v>
      </c>
      <c r="M374" s="14" t="s">
        <v>24</v>
      </c>
      <c r="N374" s="20"/>
      <c r="O374" s="20"/>
      <c r="Q374" s="16"/>
      <c r="R374" s="16"/>
      <c r="S374" s="16"/>
      <c r="T374" s="16"/>
      <c r="U374" s="16"/>
      <c r="V374" s="16"/>
      <c r="W374" s="16"/>
      <c r="X374" s="16"/>
      <c r="Y374" s="16"/>
      <c r="Z374" s="16"/>
    </row>
    <row r="375">
      <c r="A375" s="10">
        <v>41142.0</v>
      </c>
      <c r="B375" s="23">
        <v>1.06545312E8</v>
      </c>
      <c r="C375" s="12" t="s">
        <v>474</v>
      </c>
      <c r="D375" s="13" t="s">
        <v>18</v>
      </c>
      <c r="E375" s="13" t="s">
        <v>29</v>
      </c>
      <c r="F375" s="13">
        <v>23.0</v>
      </c>
      <c r="G375" s="13" t="s">
        <v>20</v>
      </c>
      <c r="H375" s="13" t="s">
        <v>28</v>
      </c>
      <c r="I375" s="14" t="s">
        <v>18</v>
      </c>
      <c r="J375" s="14" t="s">
        <v>19</v>
      </c>
      <c r="K375" s="14">
        <v>28.0</v>
      </c>
      <c r="L375" s="14" t="s">
        <v>23</v>
      </c>
      <c r="M375" s="14" t="s">
        <v>24</v>
      </c>
      <c r="N375" s="20"/>
      <c r="O375" s="20"/>
      <c r="P375" s="15" t="s">
        <v>475</v>
      </c>
      <c r="Q375" s="16"/>
      <c r="R375" s="16"/>
      <c r="S375" s="16"/>
      <c r="T375" s="16"/>
      <c r="U375" s="16"/>
      <c r="V375" s="16"/>
      <c r="W375" s="16"/>
      <c r="X375" s="16"/>
      <c r="Y375" s="16"/>
      <c r="Z375" s="16"/>
    </row>
    <row r="376">
      <c r="A376" s="10">
        <v>41139.0</v>
      </c>
      <c r="B376" s="23">
        <v>1.05011912E8</v>
      </c>
      <c r="C376" s="12" t="s">
        <v>476</v>
      </c>
      <c r="D376" s="13" t="s">
        <v>33</v>
      </c>
      <c r="E376" s="13" t="s">
        <v>33</v>
      </c>
      <c r="F376" s="13" t="s">
        <v>157</v>
      </c>
      <c r="G376" s="13" t="s">
        <v>140</v>
      </c>
      <c r="H376" s="13" t="s">
        <v>28</v>
      </c>
      <c r="I376" s="14" t="s">
        <v>18</v>
      </c>
      <c r="J376" s="14" t="s">
        <v>29</v>
      </c>
      <c r="K376" s="14">
        <v>23.0</v>
      </c>
      <c r="L376" s="14" t="s">
        <v>23</v>
      </c>
      <c r="M376" s="14" t="s">
        <v>60</v>
      </c>
      <c r="N376" s="20"/>
      <c r="O376" s="20"/>
      <c r="P376" s="15" t="s">
        <v>477</v>
      </c>
      <c r="Q376" s="16"/>
      <c r="R376" s="16"/>
      <c r="S376" s="16"/>
      <c r="T376" s="16"/>
      <c r="U376" s="16"/>
      <c r="V376" s="16"/>
      <c r="W376" s="16"/>
      <c r="X376" s="16"/>
      <c r="Y376" s="16"/>
      <c r="Z376" s="16"/>
    </row>
    <row r="377">
      <c r="A377" s="10">
        <v>41128.0</v>
      </c>
      <c r="B377" s="23">
        <v>9.9971512E7</v>
      </c>
      <c r="C377" s="12" t="s">
        <v>478</v>
      </c>
      <c r="D377" s="13" t="s">
        <v>18</v>
      </c>
      <c r="E377" s="13" t="s">
        <v>29</v>
      </c>
      <c r="F377" s="13">
        <v>33.0</v>
      </c>
      <c r="G377" s="13" t="s">
        <v>34</v>
      </c>
      <c r="H377" s="13" t="s">
        <v>28</v>
      </c>
      <c r="I377" s="14" t="s">
        <v>18</v>
      </c>
      <c r="J377" s="14" t="s">
        <v>22</v>
      </c>
      <c r="K377" s="14">
        <v>51.0</v>
      </c>
      <c r="L377" s="14" t="s">
        <v>23</v>
      </c>
      <c r="M377" s="14" t="s">
        <v>24</v>
      </c>
      <c r="N377" s="20"/>
      <c r="O377" s="20"/>
      <c r="P377" s="15" t="s">
        <v>479</v>
      </c>
      <c r="Q377" s="16"/>
      <c r="R377" s="16"/>
      <c r="S377" s="16"/>
      <c r="T377" s="16"/>
      <c r="U377" s="16"/>
      <c r="V377" s="16"/>
      <c r="W377" s="16"/>
      <c r="X377" s="16"/>
      <c r="Y377" s="16"/>
      <c r="Z377" s="16"/>
    </row>
    <row r="378">
      <c r="A378" s="10">
        <v>41124.0</v>
      </c>
      <c r="B378" s="23">
        <v>9.8051312E7</v>
      </c>
      <c r="C378" s="12" t="s">
        <v>480</v>
      </c>
      <c r="D378" s="13" t="s">
        <v>18</v>
      </c>
      <c r="E378" s="13" t="s">
        <v>29</v>
      </c>
      <c r="F378" s="13">
        <v>17.0</v>
      </c>
      <c r="G378" s="13" t="s">
        <v>23</v>
      </c>
      <c r="H378" s="13" t="s">
        <v>152</v>
      </c>
      <c r="I378" s="14" t="s">
        <v>18</v>
      </c>
      <c r="J378" s="14" t="s">
        <v>29</v>
      </c>
      <c r="K378" s="14">
        <v>27.0</v>
      </c>
      <c r="L378" s="14" t="s">
        <v>23</v>
      </c>
      <c r="M378" s="14" t="s">
        <v>24</v>
      </c>
      <c r="N378" s="20"/>
      <c r="O378" s="20"/>
      <c r="P378" s="15" t="s">
        <v>481</v>
      </c>
      <c r="Q378" s="16"/>
      <c r="R378" s="16"/>
      <c r="S378" s="16"/>
      <c r="T378" s="16"/>
      <c r="U378" s="16"/>
      <c r="V378" s="16"/>
      <c r="W378" s="16"/>
      <c r="X378" s="16"/>
      <c r="Y378" s="16"/>
      <c r="Z378" s="16"/>
    </row>
    <row r="379">
      <c r="D379" s="13" t="s">
        <v>18</v>
      </c>
      <c r="E379" s="13" t="s">
        <v>29</v>
      </c>
      <c r="F379" s="13">
        <v>17.0</v>
      </c>
      <c r="G379" s="13" t="s">
        <v>23</v>
      </c>
      <c r="H379" s="13" t="s">
        <v>23</v>
      </c>
      <c r="N379" s="20"/>
      <c r="O379" s="20"/>
      <c r="Q379" s="16"/>
      <c r="R379" s="16"/>
      <c r="S379" s="16"/>
      <c r="T379" s="16"/>
      <c r="U379" s="16"/>
      <c r="V379" s="16"/>
      <c r="W379" s="16"/>
      <c r="X379" s="16"/>
      <c r="Y379" s="16"/>
      <c r="Z379" s="16"/>
    </row>
    <row r="380">
      <c r="A380" s="10">
        <v>41112.0</v>
      </c>
      <c r="B380" s="23">
        <v>9.2642112E7</v>
      </c>
      <c r="C380" s="12" t="s">
        <v>482</v>
      </c>
      <c r="D380" s="13" t="s">
        <v>18</v>
      </c>
      <c r="E380" s="13" t="s">
        <v>19</v>
      </c>
      <c r="F380" s="13" t="s">
        <v>157</v>
      </c>
      <c r="G380" s="13" t="s">
        <v>23</v>
      </c>
      <c r="H380" s="13" t="s">
        <v>28</v>
      </c>
      <c r="I380" s="14" t="s">
        <v>18</v>
      </c>
      <c r="J380" s="14" t="s">
        <v>19</v>
      </c>
      <c r="K380" s="14">
        <v>32.0</v>
      </c>
      <c r="L380" s="14" t="s">
        <v>23</v>
      </c>
      <c r="M380" s="14" t="s">
        <v>60</v>
      </c>
      <c r="N380" s="20"/>
      <c r="O380" s="20"/>
      <c r="P380" s="15" t="s">
        <v>483</v>
      </c>
      <c r="Q380" s="16"/>
      <c r="R380" s="16"/>
      <c r="S380" s="16"/>
      <c r="T380" s="16"/>
      <c r="U380" s="16"/>
      <c r="V380" s="16"/>
      <c r="W380" s="16"/>
      <c r="X380" s="16"/>
      <c r="Y380" s="16"/>
      <c r="Z380" s="16"/>
    </row>
    <row r="381">
      <c r="D381" s="13" t="s">
        <v>18</v>
      </c>
      <c r="E381" s="13" t="s">
        <v>19</v>
      </c>
      <c r="F381" s="13" t="s">
        <v>157</v>
      </c>
      <c r="G381" s="13" t="s">
        <v>23</v>
      </c>
      <c r="H381" s="13" t="s">
        <v>28</v>
      </c>
      <c r="N381" s="20"/>
      <c r="O381" s="20"/>
      <c r="Q381" s="16"/>
      <c r="R381" s="16"/>
      <c r="S381" s="16"/>
      <c r="T381" s="16"/>
      <c r="U381" s="16"/>
      <c r="V381" s="16"/>
      <c r="W381" s="16"/>
      <c r="X381" s="16"/>
      <c r="Y381" s="16"/>
      <c r="Z381" s="16"/>
    </row>
    <row r="382">
      <c r="A382" s="10">
        <v>41112.0</v>
      </c>
      <c r="B382" s="23">
        <v>9.2756412E7</v>
      </c>
      <c r="C382" s="12" t="s">
        <v>484</v>
      </c>
      <c r="D382" s="13" t="s">
        <v>18</v>
      </c>
      <c r="E382" s="13" t="s">
        <v>19</v>
      </c>
      <c r="F382" s="13">
        <v>37.0</v>
      </c>
      <c r="G382" s="13" t="s">
        <v>23</v>
      </c>
      <c r="H382" s="13" t="s">
        <v>23</v>
      </c>
      <c r="I382" s="14" t="s">
        <v>18</v>
      </c>
      <c r="J382" s="14" t="s">
        <v>19</v>
      </c>
      <c r="K382" s="14">
        <v>27.0</v>
      </c>
      <c r="L382" s="14" t="s">
        <v>23</v>
      </c>
      <c r="M382" s="14" t="s">
        <v>24</v>
      </c>
      <c r="N382" s="20"/>
      <c r="O382" s="20"/>
      <c r="P382" s="15" t="s">
        <v>485</v>
      </c>
      <c r="Q382" s="16"/>
      <c r="R382" s="16"/>
      <c r="S382" s="16"/>
      <c r="T382" s="16"/>
      <c r="U382" s="16"/>
      <c r="V382" s="16"/>
      <c r="W382" s="16"/>
      <c r="X382" s="16"/>
      <c r="Y382" s="16"/>
      <c r="Z382" s="16"/>
    </row>
    <row r="383">
      <c r="A383" s="10">
        <v>41099.0</v>
      </c>
      <c r="B383" s="23">
        <v>8.6965012E7</v>
      </c>
      <c r="C383" s="12" t="s">
        <v>486</v>
      </c>
      <c r="D383" s="13" t="s">
        <v>18</v>
      </c>
      <c r="E383" s="13" t="s">
        <v>19</v>
      </c>
      <c r="F383" s="13">
        <v>54.0</v>
      </c>
      <c r="G383" s="13" t="s">
        <v>34</v>
      </c>
      <c r="H383" s="13" t="s">
        <v>23</v>
      </c>
      <c r="I383" s="14" t="s">
        <v>84</v>
      </c>
      <c r="J383" s="14" t="s">
        <v>22</v>
      </c>
      <c r="K383" s="14">
        <v>28.0</v>
      </c>
      <c r="L383" s="14" t="s">
        <v>23</v>
      </c>
      <c r="M383" s="14" t="s">
        <v>24</v>
      </c>
      <c r="N383" s="20"/>
      <c r="O383" s="20"/>
      <c r="P383" s="15" t="s">
        <v>487</v>
      </c>
      <c r="Q383" s="16"/>
      <c r="R383" s="16"/>
      <c r="S383" s="16"/>
      <c r="T383" s="16"/>
      <c r="U383" s="16"/>
      <c r="V383" s="16"/>
      <c r="W383" s="16"/>
      <c r="X383" s="16"/>
      <c r="Y383" s="16"/>
      <c r="Z383" s="16"/>
    </row>
    <row r="384">
      <c r="A384" s="10">
        <v>41087.0</v>
      </c>
      <c r="B384" s="23">
        <v>8.1382112E7</v>
      </c>
      <c r="C384" s="12" t="s">
        <v>488</v>
      </c>
      <c r="D384" s="13" t="s">
        <v>18</v>
      </c>
      <c r="E384" s="13" t="s">
        <v>29</v>
      </c>
      <c r="F384" s="13">
        <v>39.0</v>
      </c>
      <c r="G384" s="13" t="s">
        <v>34</v>
      </c>
      <c r="H384" s="13" t="s">
        <v>28</v>
      </c>
      <c r="I384" s="14" t="s">
        <v>18</v>
      </c>
      <c r="J384" s="14" t="s">
        <v>22</v>
      </c>
      <c r="K384" s="14">
        <v>52.0</v>
      </c>
      <c r="L384" s="14" t="s">
        <v>23</v>
      </c>
      <c r="M384" s="14" t="s">
        <v>24</v>
      </c>
      <c r="N384" s="20"/>
      <c r="O384" s="20"/>
      <c r="P384" s="15" t="s">
        <v>489</v>
      </c>
      <c r="Q384" s="16"/>
      <c r="R384" s="16"/>
      <c r="S384" s="16"/>
      <c r="T384" s="16"/>
      <c r="U384" s="16"/>
      <c r="V384" s="16"/>
      <c r="W384" s="16"/>
      <c r="X384" s="16"/>
      <c r="Y384" s="16"/>
      <c r="Z384" s="16"/>
    </row>
    <row r="385">
      <c r="I385" s="14" t="s">
        <v>18</v>
      </c>
      <c r="J385" s="14" t="s">
        <v>22</v>
      </c>
      <c r="K385" s="14">
        <v>46.0</v>
      </c>
      <c r="L385" s="14" t="s">
        <v>23</v>
      </c>
      <c r="M385" s="14" t="s">
        <v>24</v>
      </c>
      <c r="N385" s="20"/>
      <c r="O385" s="20"/>
      <c r="Q385" s="16"/>
      <c r="R385" s="16"/>
      <c r="S385" s="16"/>
      <c r="T385" s="16"/>
      <c r="U385" s="16"/>
      <c r="V385" s="16"/>
      <c r="W385" s="16"/>
      <c r="X385" s="16"/>
      <c r="Y385" s="16"/>
      <c r="Z385" s="16"/>
    </row>
    <row r="386">
      <c r="I386" s="14" t="s">
        <v>18</v>
      </c>
      <c r="J386" s="14" t="s">
        <v>22</v>
      </c>
      <c r="K386" s="14">
        <v>49.0</v>
      </c>
      <c r="L386" s="14" t="s">
        <v>23</v>
      </c>
      <c r="M386" s="14" t="s">
        <v>24</v>
      </c>
      <c r="N386" s="20"/>
      <c r="O386" s="20"/>
      <c r="Q386" s="16"/>
      <c r="R386" s="16"/>
      <c r="S386" s="16"/>
      <c r="T386" s="16"/>
      <c r="U386" s="16"/>
      <c r="V386" s="16"/>
      <c r="W386" s="16"/>
      <c r="X386" s="16"/>
      <c r="Y386" s="16"/>
      <c r="Z386" s="16"/>
    </row>
    <row r="387">
      <c r="I387" s="14" t="s">
        <v>18</v>
      </c>
      <c r="J387" s="14" t="s">
        <v>22</v>
      </c>
      <c r="K387" s="14">
        <v>26.0</v>
      </c>
      <c r="L387" s="14" t="s">
        <v>23</v>
      </c>
      <c r="M387" s="14" t="s">
        <v>24</v>
      </c>
      <c r="N387" s="20"/>
      <c r="O387" s="20"/>
      <c r="Q387" s="16"/>
      <c r="R387" s="16"/>
      <c r="S387" s="16"/>
      <c r="T387" s="16"/>
      <c r="U387" s="16"/>
      <c r="V387" s="16"/>
      <c r="W387" s="16"/>
      <c r="X387" s="16"/>
      <c r="Y387" s="16"/>
      <c r="Z387" s="16"/>
    </row>
    <row r="388">
      <c r="A388" s="10">
        <v>41081.0</v>
      </c>
      <c r="B388" s="23">
        <v>7.8840412E7</v>
      </c>
      <c r="C388" s="12" t="s">
        <v>490</v>
      </c>
      <c r="D388" s="13" t="s">
        <v>18</v>
      </c>
      <c r="E388" s="13" t="s">
        <v>29</v>
      </c>
      <c r="F388" s="13">
        <v>26.0</v>
      </c>
      <c r="G388" s="13" t="s">
        <v>23</v>
      </c>
      <c r="H388" s="13" t="s">
        <v>28</v>
      </c>
      <c r="I388" s="14" t="s">
        <v>18</v>
      </c>
      <c r="J388" s="14" t="s">
        <v>22</v>
      </c>
      <c r="K388" s="14">
        <v>28.0</v>
      </c>
      <c r="L388" s="14" t="s">
        <v>23</v>
      </c>
      <c r="M388" s="14" t="s">
        <v>24</v>
      </c>
      <c r="N388" s="20"/>
      <c r="O388" s="20"/>
      <c r="P388" s="15" t="s">
        <v>491</v>
      </c>
      <c r="Q388" s="16"/>
      <c r="R388" s="16"/>
      <c r="S388" s="16"/>
      <c r="T388" s="16"/>
      <c r="U388" s="16"/>
      <c r="V388" s="16"/>
      <c r="W388" s="16"/>
      <c r="X388" s="16"/>
      <c r="Y388" s="16"/>
      <c r="Z388" s="16"/>
    </row>
    <row r="389">
      <c r="A389" s="10">
        <v>41079.0</v>
      </c>
      <c r="B389" s="23">
        <v>7.7976812E7</v>
      </c>
      <c r="C389" s="12" t="s">
        <v>492</v>
      </c>
      <c r="D389" s="13" t="s">
        <v>18</v>
      </c>
      <c r="E389" s="13" t="s">
        <v>29</v>
      </c>
      <c r="F389" s="13">
        <v>32.0</v>
      </c>
      <c r="G389" s="13" t="s">
        <v>20</v>
      </c>
      <c r="H389" s="13" t="s">
        <v>28</v>
      </c>
      <c r="I389" s="14" t="s">
        <v>18</v>
      </c>
      <c r="J389" s="14" t="s">
        <v>29</v>
      </c>
      <c r="K389" s="14">
        <v>38.0</v>
      </c>
      <c r="L389" s="14" t="s">
        <v>23</v>
      </c>
      <c r="M389" s="14" t="s">
        <v>24</v>
      </c>
      <c r="N389" s="20"/>
      <c r="O389" s="20"/>
      <c r="P389" s="15" t="s">
        <v>493</v>
      </c>
      <c r="Q389" s="16"/>
      <c r="R389" s="16"/>
      <c r="S389" s="16"/>
      <c r="T389" s="16"/>
      <c r="U389" s="16"/>
      <c r="V389" s="16"/>
      <c r="W389" s="16"/>
      <c r="X389" s="16"/>
      <c r="Y389" s="16"/>
      <c r="Z389" s="16"/>
    </row>
    <row r="390">
      <c r="A390" s="10">
        <v>41072.0</v>
      </c>
      <c r="B390" s="23">
        <v>7.4484712E7</v>
      </c>
      <c r="C390" s="12" t="s">
        <v>494</v>
      </c>
      <c r="D390" s="13" t="s">
        <v>18</v>
      </c>
      <c r="E390" s="13" t="s">
        <v>19</v>
      </c>
      <c r="F390" s="13">
        <v>44.0</v>
      </c>
      <c r="G390" s="13" t="s">
        <v>23</v>
      </c>
      <c r="H390" s="13" t="s">
        <v>28</v>
      </c>
      <c r="I390" s="14" t="s">
        <v>18</v>
      </c>
      <c r="J390" s="14" t="s">
        <v>29</v>
      </c>
      <c r="K390" s="14">
        <v>42.0</v>
      </c>
      <c r="L390" s="14" t="s">
        <v>23</v>
      </c>
      <c r="M390" s="14" t="s">
        <v>60</v>
      </c>
      <c r="N390" s="20"/>
      <c r="O390" s="20"/>
      <c r="P390" s="15" t="s">
        <v>495</v>
      </c>
      <c r="Q390" s="16"/>
      <c r="R390" s="16"/>
      <c r="S390" s="16"/>
      <c r="T390" s="16"/>
      <c r="U390" s="16"/>
      <c r="V390" s="16"/>
      <c r="W390" s="16"/>
      <c r="X390" s="16"/>
      <c r="Y390" s="16"/>
      <c r="Z390" s="16"/>
    </row>
    <row r="391">
      <c r="A391" s="10">
        <v>41053.0</v>
      </c>
      <c r="B391" s="23">
        <v>6.6165412E7</v>
      </c>
      <c r="C391" s="12" t="s">
        <v>496</v>
      </c>
      <c r="D391" s="13" t="s">
        <v>18</v>
      </c>
      <c r="E391" s="13" t="s">
        <v>29</v>
      </c>
      <c r="F391" s="13">
        <v>51.0</v>
      </c>
      <c r="G391" s="13" t="s">
        <v>34</v>
      </c>
      <c r="H391" s="13" t="s">
        <v>38</v>
      </c>
      <c r="I391" s="14" t="s">
        <v>18</v>
      </c>
      <c r="J391" s="14" t="s">
        <v>19</v>
      </c>
      <c r="K391" s="14">
        <v>45.0</v>
      </c>
      <c r="L391" s="14" t="s">
        <v>20</v>
      </c>
      <c r="M391" s="14" t="s">
        <v>24</v>
      </c>
      <c r="N391" s="20"/>
      <c r="O391" s="20"/>
      <c r="P391" s="15" t="s">
        <v>497</v>
      </c>
      <c r="Q391" s="16"/>
      <c r="R391" s="16"/>
      <c r="S391" s="16"/>
      <c r="T391" s="16"/>
      <c r="U391" s="16"/>
      <c r="V391" s="16"/>
      <c r="W391" s="16"/>
      <c r="X391" s="16"/>
      <c r="Y391" s="16"/>
      <c r="Z391" s="16"/>
    </row>
    <row r="392">
      <c r="I392" s="14" t="s">
        <v>18</v>
      </c>
      <c r="J392" s="14" t="s">
        <v>22</v>
      </c>
      <c r="K392" s="14">
        <v>27.0</v>
      </c>
      <c r="L392" s="14" t="s">
        <v>23</v>
      </c>
      <c r="M392" s="14" t="s">
        <v>24</v>
      </c>
      <c r="N392" s="20"/>
      <c r="O392" s="20"/>
      <c r="Q392" s="16"/>
      <c r="R392" s="16"/>
      <c r="S392" s="16"/>
      <c r="T392" s="16"/>
      <c r="U392" s="16"/>
      <c r="V392" s="16"/>
      <c r="W392" s="16"/>
      <c r="X392" s="16"/>
      <c r="Y392" s="16"/>
      <c r="Z392" s="16"/>
    </row>
    <row r="393">
      <c r="A393" s="10">
        <v>41047.0</v>
      </c>
      <c r="B393" s="23">
        <v>6.3111212E7</v>
      </c>
      <c r="C393" s="12" t="s">
        <v>498</v>
      </c>
      <c r="D393" s="13" t="s">
        <v>18</v>
      </c>
      <c r="E393" s="13" t="s">
        <v>29</v>
      </c>
      <c r="F393" s="13">
        <v>24.0</v>
      </c>
      <c r="G393" s="13" t="s">
        <v>34</v>
      </c>
      <c r="H393" s="13" t="s">
        <v>38</v>
      </c>
      <c r="I393" s="14" t="s">
        <v>18</v>
      </c>
      <c r="J393" s="14" t="s">
        <v>29</v>
      </c>
      <c r="K393" s="14">
        <v>51.0</v>
      </c>
      <c r="L393" s="14" t="s">
        <v>23</v>
      </c>
      <c r="M393" s="14" t="s">
        <v>24</v>
      </c>
      <c r="N393" s="20"/>
      <c r="O393" s="20"/>
      <c r="P393" s="15" t="s">
        <v>499</v>
      </c>
      <c r="Q393" s="16"/>
      <c r="R393" s="16"/>
      <c r="S393" s="16"/>
      <c r="T393" s="16"/>
      <c r="U393" s="16"/>
      <c r="V393" s="16"/>
      <c r="W393" s="16"/>
      <c r="X393" s="16"/>
      <c r="Y393" s="16"/>
      <c r="Z393" s="16"/>
    </row>
    <row r="394">
      <c r="A394" s="10">
        <v>41046.0</v>
      </c>
      <c r="B394" s="23">
        <v>6.2768512E7</v>
      </c>
      <c r="C394" s="12" t="s">
        <v>500</v>
      </c>
      <c r="D394" s="13" t="s">
        <v>18</v>
      </c>
      <c r="E394" s="13" t="s">
        <v>29</v>
      </c>
      <c r="F394" s="13">
        <v>36.0</v>
      </c>
      <c r="G394" s="13" t="s">
        <v>23</v>
      </c>
      <c r="H394" s="13" t="s">
        <v>23</v>
      </c>
      <c r="I394" s="14" t="s">
        <v>18</v>
      </c>
      <c r="J394" s="14" t="s">
        <v>29</v>
      </c>
      <c r="K394" s="14">
        <v>40.0</v>
      </c>
      <c r="L394" s="14" t="s">
        <v>23</v>
      </c>
      <c r="M394" s="14" t="s">
        <v>24</v>
      </c>
      <c r="N394" s="20"/>
      <c r="O394" s="20"/>
      <c r="P394" s="15" t="s">
        <v>501</v>
      </c>
      <c r="Q394" s="16"/>
      <c r="R394" s="16"/>
      <c r="S394" s="16"/>
      <c r="T394" s="16"/>
      <c r="U394" s="16"/>
      <c r="V394" s="16"/>
      <c r="W394" s="16"/>
      <c r="X394" s="16"/>
      <c r="Y394" s="16"/>
      <c r="Z394" s="16"/>
    </row>
    <row r="395">
      <c r="A395" s="10">
        <v>41045.0</v>
      </c>
      <c r="B395" s="23">
        <v>6.2466412E7</v>
      </c>
      <c r="C395" s="12" t="s">
        <v>502</v>
      </c>
      <c r="D395" s="13" t="s">
        <v>18</v>
      </c>
      <c r="E395" s="13" t="s">
        <v>29</v>
      </c>
      <c r="F395" s="13">
        <v>49.0</v>
      </c>
      <c r="G395" s="13" t="s">
        <v>20</v>
      </c>
      <c r="H395" s="13" t="s">
        <v>28</v>
      </c>
      <c r="I395" s="14" t="s">
        <v>18</v>
      </c>
      <c r="J395" s="14" t="s">
        <v>22</v>
      </c>
      <c r="K395" s="14">
        <v>29.0</v>
      </c>
      <c r="L395" s="14" t="s">
        <v>23</v>
      </c>
      <c r="M395" s="14" t="s">
        <v>24</v>
      </c>
      <c r="N395" s="20"/>
      <c r="O395" s="20"/>
      <c r="P395" s="15" t="s">
        <v>503</v>
      </c>
      <c r="Q395" s="16"/>
      <c r="R395" s="16"/>
      <c r="S395" s="16"/>
      <c r="T395" s="16"/>
      <c r="U395" s="16"/>
      <c r="V395" s="16"/>
      <c r="W395" s="16"/>
      <c r="X395" s="16"/>
      <c r="Y395" s="16"/>
      <c r="Z395" s="16"/>
    </row>
    <row r="396">
      <c r="A396" s="10">
        <v>41036.0</v>
      </c>
      <c r="B396" s="23">
        <v>5.7985912E7</v>
      </c>
      <c r="C396" s="12" t="s">
        <v>504</v>
      </c>
      <c r="D396" s="13" t="s">
        <v>18</v>
      </c>
      <c r="E396" s="13" t="s">
        <v>29</v>
      </c>
      <c r="F396" s="13">
        <v>26.0</v>
      </c>
      <c r="G396" s="13" t="s">
        <v>34</v>
      </c>
      <c r="H396" s="13" t="s">
        <v>28</v>
      </c>
      <c r="I396" s="14" t="s">
        <v>18</v>
      </c>
      <c r="J396" s="14" t="s">
        <v>22</v>
      </c>
      <c r="K396" s="14">
        <v>28.0</v>
      </c>
      <c r="L396" s="14" t="s">
        <v>23</v>
      </c>
      <c r="M396" s="14" t="s">
        <v>24</v>
      </c>
      <c r="N396" s="20"/>
      <c r="O396" s="20"/>
      <c r="P396" s="15" t="s">
        <v>505</v>
      </c>
      <c r="Q396" s="16"/>
      <c r="R396" s="16"/>
      <c r="S396" s="16"/>
      <c r="T396" s="16"/>
      <c r="U396" s="16"/>
      <c r="V396" s="16"/>
      <c r="W396" s="16"/>
      <c r="X396" s="16"/>
      <c r="Y396" s="16"/>
      <c r="Z396" s="16"/>
    </row>
    <row r="397">
      <c r="I397" s="14" t="s">
        <v>18</v>
      </c>
      <c r="J397" s="14" t="s">
        <v>45</v>
      </c>
      <c r="K397" s="14">
        <v>28.0</v>
      </c>
      <c r="L397" s="14" t="s">
        <v>23</v>
      </c>
      <c r="M397" s="14" t="s">
        <v>24</v>
      </c>
      <c r="N397" s="20"/>
      <c r="O397" s="20"/>
      <c r="Q397" s="16"/>
      <c r="R397" s="16"/>
      <c r="S397" s="16"/>
      <c r="T397" s="16"/>
      <c r="U397" s="16"/>
      <c r="V397" s="16"/>
      <c r="W397" s="16"/>
      <c r="X397" s="16"/>
      <c r="Y397" s="16"/>
      <c r="Z397" s="16"/>
    </row>
    <row r="398">
      <c r="A398" s="10">
        <v>41031.0</v>
      </c>
      <c r="B398" s="23">
        <v>5.5358512E7</v>
      </c>
      <c r="C398" s="12" t="s">
        <v>506</v>
      </c>
      <c r="D398" s="13" t="s">
        <v>18</v>
      </c>
      <c r="E398" s="13" t="s">
        <v>29</v>
      </c>
      <c r="F398" s="13">
        <v>17.0</v>
      </c>
      <c r="G398" s="13" t="s">
        <v>20</v>
      </c>
      <c r="H398" s="13" t="s">
        <v>28</v>
      </c>
      <c r="I398" s="14" t="s">
        <v>18</v>
      </c>
      <c r="J398" s="14" t="s">
        <v>19</v>
      </c>
      <c r="K398" s="14">
        <v>31.0</v>
      </c>
      <c r="L398" s="14" t="s">
        <v>23</v>
      </c>
      <c r="M398" s="14" t="s">
        <v>24</v>
      </c>
      <c r="N398" s="20"/>
      <c r="O398" s="20"/>
      <c r="P398" s="15" t="s">
        <v>507</v>
      </c>
      <c r="Q398" s="16"/>
      <c r="R398" s="16"/>
      <c r="S398" s="16"/>
      <c r="T398" s="16"/>
      <c r="U398" s="16"/>
      <c r="V398" s="16"/>
      <c r="W398" s="16"/>
      <c r="X398" s="16"/>
      <c r="Y398" s="16"/>
      <c r="Z398" s="16"/>
    </row>
    <row r="399">
      <c r="H399" s="13" t="s">
        <v>28</v>
      </c>
      <c r="I399" s="14" t="s">
        <v>18</v>
      </c>
      <c r="J399" s="14" t="s">
        <v>19</v>
      </c>
      <c r="K399" s="14">
        <v>30.0</v>
      </c>
      <c r="L399" s="14" t="s">
        <v>23</v>
      </c>
      <c r="M399" s="14" t="s">
        <v>24</v>
      </c>
      <c r="N399" s="20"/>
      <c r="O399" s="20"/>
      <c r="Q399" s="16"/>
      <c r="R399" s="16"/>
      <c r="S399" s="16"/>
      <c r="T399" s="16"/>
      <c r="U399" s="16"/>
      <c r="V399" s="16"/>
      <c r="W399" s="16"/>
      <c r="X399" s="16"/>
      <c r="Y399" s="16"/>
      <c r="Z399" s="16"/>
    </row>
    <row r="400">
      <c r="A400" s="10">
        <v>41017.0</v>
      </c>
      <c r="B400" s="23">
        <v>4.9104412E7</v>
      </c>
      <c r="C400" s="12" t="s">
        <v>508</v>
      </c>
      <c r="D400" s="13" t="s">
        <v>18</v>
      </c>
      <c r="E400" s="13" t="s">
        <v>29</v>
      </c>
      <c r="F400" s="13">
        <v>28.0</v>
      </c>
      <c r="G400" s="13" t="s">
        <v>34</v>
      </c>
      <c r="H400" s="13" t="s">
        <v>28</v>
      </c>
      <c r="I400" s="14" t="s">
        <v>18</v>
      </c>
      <c r="J400" s="14" t="s">
        <v>22</v>
      </c>
      <c r="K400" s="14">
        <v>56.0</v>
      </c>
      <c r="L400" s="14" t="s">
        <v>23</v>
      </c>
      <c r="M400" s="14" t="s">
        <v>24</v>
      </c>
      <c r="N400" s="20"/>
      <c r="O400" s="20"/>
      <c r="P400" s="15" t="s">
        <v>509</v>
      </c>
      <c r="Q400" s="16"/>
      <c r="R400" s="16"/>
      <c r="S400" s="16"/>
      <c r="T400" s="16"/>
      <c r="U400" s="16"/>
      <c r="V400" s="16"/>
      <c r="W400" s="16"/>
      <c r="X400" s="16"/>
      <c r="Y400" s="16"/>
      <c r="Z400" s="16"/>
    </row>
    <row r="401">
      <c r="I401" s="14" t="s">
        <v>18</v>
      </c>
      <c r="J401" s="14" t="s">
        <v>22</v>
      </c>
      <c r="K401" s="14">
        <v>40.0</v>
      </c>
      <c r="L401" s="14" t="s">
        <v>23</v>
      </c>
      <c r="M401" s="14" t="s">
        <v>24</v>
      </c>
      <c r="N401" s="20"/>
      <c r="O401" s="20"/>
      <c r="Q401" s="16"/>
      <c r="R401" s="16"/>
      <c r="S401" s="16"/>
      <c r="T401" s="16"/>
      <c r="U401" s="16"/>
      <c r="V401" s="16"/>
      <c r="W401" s="16"/>
      <c r="X401" s="16"/>
      <c r="Y401" s="16"/>
      <c r="Z401" s="16"/>
    </row>
    <row r="402">
      <c r="A402" s="10">
        <v>41003.0</v>
      </c>
      <c r="B402" s="23">
        <v>4.2291412E7</v>
      </c>
      <c r="C402" s="12" t="s">
        <v>510</v>
      </c>
      <c r="D402" s="13" t="s">
        <v>18</v>
      </c>
      <c r="E402" s="13" t="s">
        <v>29</v>
      </c>
      <c r="F402" s="13">
        <v>23.0</v>
      </c>
      <c r="G402" s="13" t="s">
        <v>20</v>
      </c>
      <c r="H402" s="13" t="s">
        <v>23</v>
      </c>
      <c r="I402" s="14" t="s">
        <v>18</v>
      </c>
      <c r="J402" s="14" t="s">
        <v>22</v>
      </c>
      <c r="K402" s="14">
        <v>33.0</v>
      </c>
      <c r="L402" s="14" t="s">
        <v>23</v>
      </c>
      <c r="M402" s="14" t="s">
        <v>24</v>
      </c>
      <c r="N402" s="20"/>
      <c r="O402" s="20"/>
      <c r="P402" s="15" t="s">
        <v>511</v>
      </c>
      <c r="Q402" s="16"/>
      <c r="R402" s="16"/>
      <c r="S402" s="16"/>
      <c r="T402" s="16"/>
      <c r="U402" s="16"/>
      <c r="V402" s="16"/>
      <c r="W402" s="16"/>
      <c r="X402" s="16"/>
      <c r="Y402" s="16"/>
      <c r="Z402" s="16"/>
    </row>
    <row r="403">
      <c r="A403" s="10">
        <v>41001.0</v>
      </c>
      <c r="B403" s="23">
        <v>4.1005512E7</v>
      </c>
      <c r="C403" s="12" t="s">
        <v>512</v>
      </c>
      <c r="D403" s="13" t="s">
        <v>18</v>
      </c>
      <c r="E403" s="13" t="s">
        <v>29</v>
      </c>
      <c r="F403" s="13">
        <v>28.0</v>
      </c>
      <c r="G403" s="13" t="s">
        <v>23</v>
      </c>
      <c r="H403" s="13" t="s">
        <v>23</v>
      </c>
      <c r="I403" s="14" t="s">
        <v>18</v>
      </c>
      <c r="J403" s="14" t="s">
        <v>19</v>
      </c>
      <c r="K403" s="14">
        <v>28.0</v>
      </c>
      <c r="L403" s="14" t="s">
        <v>23</v>
      </c>
      <c r="M403" s="14" t="s">
        <v>24</v>
      </c>
      <c r="N403" s="20"/>
      <c r="O403" s="20"/>
      <c r="P403" s="15" t="s">
        <v>513</v>
      </c>
      <c r="Q403" s="16"/>
      <c r="R403" s="16"/>
      <c r="S403" s="16"/>
      <c r="T403" s="16"/>
      <c r="U403" s="16"/>
      <c r="V403" s="16"/>
      <c r="W403" s="16"/>
      <c r="X403" s="16"/>
      <c r="Y403" s="16"/>
      <c r="Z403" s="16"/>
    </row>
    <row r="404">
      <c r="A404" s="10">
        <v>40999.0</v>
      </c>
      <c r="B404" s="23">
        <v>4.0154412E7</v>
      </c>
      <c r="C404" s="12" t="s">
        <v>174</v>
      </c>
      <c r="D404" s="13" t="s">
        <v>18</v>
      </c>
      <c r="E404" s="13" t="s">
        <v>29</v>
      </c>
      <c r="F404" s="13" t="s">
        <v>157</v>
      </c>
      <c r="G404" s="13" t="s">
        <v>23</v>
      </c>
      <c r="H404" s="13" t="s">
        <v>23</v>
      </c>
      <c r="I404" s="14" t="s">
        <v>18</v>
      </c>
      <c r="J404" s="14" t="s">
        <v>29</v>
      </c>
      <c r="K404" s="14">
        <v>45.0</v>
      </c>
      <c r="L404" s="14" t="s">
        <v>23</v>
      </c>
      <c r="M404" s="14" t="s">
        <v>60</v>
      </c>
      <c r="N404" s="20"/>
      <c r="O404" s="20"/>
      <c r="P404" s="15" t="s">
        <v>514</v>
      </c>
      <c r="Q404" s="16"/>
      <c r="R404" s="16"/>
      <c r="S404" s="16"/>
      <c r="T404" s="16"/>
      <c r="U404" s="16"/>
      <c r="V404" s="16"/>
      <c r="W404" s="16"/>
      <c r="X404" s="16"/>
      <c r="Y404" s="16"/>
      <c r="Z404" s="16"/>
    </row>
    <row r="405">
      <c r="A405" s="10">
        <v>40965.0</v>
      </c>
      <c r="B405" s="23">
        <v>2.4401812E7</v>
      </c>
      <c r="C405" s="12" t="s">
        <v>515</v>
      </c>
      <c r="D405" s="13" t="s">
        <v>18</v>
      </c>
      <c r="E405" s="13" t="s">
        <v>19</v>
      </c>
      <c r="F405" s="13">
        <v>19.0</v>
      </c>
      <c r="G405" s="13" t="s">
        <v>20</v>
      </c>
      <c r="H405" s="13" t="s">
        <v>152</v>
      </c>
      <c r="I405" s="14" t="s">
        <v>18</v>
      </c>
      <c r="J405" s="14" t="s">
        <v>22</v>
      </c>
      <c r="K405" s="14">
        <v>46.0</v>
      </c>
      <c r="L405" s="14" t="s">
        <v>20</v>
      </c>
      <c r="M405" s="14" t="s">
        <v>60</v>
      </c>
      <c r="N405" s="20"/>
      <c r="O405" s="20"/>
      <c r="P405" s="15" t="s">
        <v>516</v>
      </c>
      <c r="Q405" s="16"/>
      <c r="R405" s="16"/>
      <c r="S405" s="16"/>
      <c r="T405" s="16"/>
      <c r="U405" s="16"/>
      <c r="V405" s="16"/>
      <c r="W405" s="16"/>
      <c r="X405" s="16"/>
      <c r="Y405" s="16"/>
      <c r="Z405" s="16"/>
    </row>
    <row r="406">
      <c r="D406" s="13" t="s">
        <v>18</v>
      </c>
      <c r="E406" s="13" t="s">
        <v>19</v>
      </c>
      <c r="F406" s="13">
        <v>32.0</v>
      </c>
      <c r="G406" s="13" t="s">
        <v>23</v>
      </c>
      <c r="H406" s="13" t="s">
        <v>23</v>
      </c>
      <c r="I406" s="14" t="s">
        <v>18</v>
      </c>
      <c r="J406" s="14" t="s">
        <v>22</v>
      </c>
      <c r="K406" s="14">
        <v>27.0</v>
      </c>
      <c r="L406" s="14" t="s">
        <v>20</v>
      </c>
      <c r="M406" s="14" t="s">
        <v>60</v>
      </c>
      <c r="N406" s="20"/>
      <c r="O406" s="20"/>
      <c r="Q406" s="16"/>
      <c r="R406" s="16"/>
      <c r="S406" s="16"/>
      <c r="T406" s="16"/>
      <c r="U406" s="16"/>
      <c r="V406" s="16"/>
      <c r="W406" s="16"/>
      <c r="X406" s="16"/>
      <c r="Y406" s="16"/>
      <c r="Z406" s="16"/>
    </row>
    <row r="407">
      <c r="A407" s="10">
        <v>40965.0</v>
      </c>
      <c r="B407" s="23">
        <v>2.4405412E7</v>
      </c>
      <c r="C407" s="12" t="s">
        <v>517</v>
      </c>
      <c r="D407" s="13" t="s">
        <v>18</v>
      </c>
      <c r="E407" s="13" t="s">
        <v>19</v>
      </c>
      <c r="F407" s="13" t="s">
        <v>157</v>
      </c>
      <c r="G407" s="13" t="s">
        <v>23</v>
      </c>
      <c r="H407" s="13" t="s">
        <v>140</v>
      </c>
      <c r="I407" s="14" t="s">
        <v>18</v>
      </c>
      <c r="J407" s="14" t="s">
        <v>19</v>
      </c>
      <c r="K407" s="14">
        <v>35.0</v>
      </c>
      <c r="L407" s="14" t="s">
        <v>23</v>
      </c>
      <c r="M407" s="14" t="s">
        <v>24</v>
      </c>
      <c r="N407" s="20"/>
      <c r="O407" s="20"/>
      <c r="P407" s="15" t="s">
        <v>518</v>
      </c>
      <c r="Q407" s="16"/>
      <c r="R407" s="16"/>
      <c r="S407" s="16"/>
      <c r="T407" s="16"/>
      <c r="U407" s="16"/>
      <c r="V407" s="16"/>
      <c r="W407" s="16"/>
      <c r="X407" s="16"/>
      <c r="Y407" s="16"/>
      <c r="Z407" s="16"/>
    </row>
    <row r="408">
      <c r="A408" s="10">
        <v>40955.0</v>
      </c>
      <c r="B408" s="23">
        <v>2.0191212E7</v>
      </c>
      <c r="C408" s="12" t="s">
        <v>519</v>
      </c>
      <c r="D408" s="13" t="s">
        <v>18</v>
      </c>
      <c r="E408" s="13" t="s">
        <v>29</v>
      </c>
      <c r="F408" s="13">
        <v>69.0</v>
      </c>
      <c r="G408" s="13" t="s">
        <v>20</v>
      </c>
      <c r="H408" s="13" t="s">
        <v>28</v>
      </c>
      <c r="I408" s="14" t="s">
        <v>18</v>
      </c>
      <c r="J408" s="14" t="s">
        <v>29</v>
      </c>
      <c r="K408" s="14">
        <v>37.0</v>
      </c>
      <c r="L408" s="14" t="s">
        <v>23</v>
      </c>
      <c r="M408" s="14" t="s">
        <v>24</v>
      </c>
      <c r="N408" s="20"/>
      <c r="O408" s="20"/>
      <c r="P408" s="15" t="s">
        <v>520</v>
      </c>
      <c r="Q408" s="16"/>
      <c r="R408" s="16"/>
      <c r="S408" s="16"/>
      <c r="T408" s="16"/>
      <c r="U408" s="16"/>
      <c r="V408" s="16"/>
      <c r="W408" s="16"/>
      <c r="X408" s="16"/>
      <c r="Y408" s="16"/>
      <c r="Z408" s="16"/>
    </row>
    <row r="409">
      <c r="A409" s="10">
        <v>40921.0</v>
      </c>
      <c r="B409" s="23">
        <v>5577512.0</v>
      </c>
      <c r="C409" s="12" t="s">
        <v>521</v>
      </c>
      <c r="D409" s="13" t="s">
        <v>18</v>
      </c>
      <c r="E409" s="13" t="s">
        <v>19</v>
      </c>
      <c r="F409" s="13">
        <v>21.0</v>
      </c>
      <c r="G409" s="13" t="s">
        <v>20</v>
      </c>
      <c r="H409" s="13" t="s">
        <v>186</v>
      </c>
      <c r="I409" s="14" t="s">
        <v>18</v>
      </c>
      <c r="J409" s="14" t="s">
        <v>29</v>
      </c>
      <c r="K409" s="14">
        <v>31.0</v>
      </c>
      <c r="L409" s="14" t="s">
        <v>20</v>
      </c>
      <c r="M409" s="14" t="s">
        <v>24</v>
      </c>
      <c r="N409" s="20"/>
      <c r="O409" s="20"/>
      <c r="P409" s="15" t="s">
        <v>522</v>
      </c>
      <c r="Q409" s="16"/>
      <c r="R409" s="16"/>
      <c r="S409" s="16"/>
      <c r="T409" s="16"/>
      <c r="U409" s="16"/>
      <c r="V409" s="16"/>
      <c r="W409" s="16"/>
      <c r="X409" s="16"/>
      <c r="Y409" s="16"/>
      <c r="Z409" s="16"/>
    </row>
    <row r="410">
      <c r="A410" s="10">
        <v>40915.0</v>
      </c>
      <c r="B410" s="23">
        <v>3088712.0</v>
      </c>
      <c r="C410" s="12" t="s">
        <v>523</v>
      </c>
      <c r="D410" s="13" t="s">
        <v>18</v>
      </c>
      <c r="E410" s="13" t="s">
        <v>29</v>
      </c>
      <c r="F410" s="13">
        <v>29.0</v>
      </c>
      <c r="G410" s="13" t="s">
        <v>20</v>
      </c>
      <c r="H410" s="13" t="s">
        <v>186</v>
      </c>
      <c r="I410" s="14" t="s">
        <v>18</v>
      </c>
      <c r="J410" s="14" t="s">
        <v>22</v>
      </c>
      <c r="K410" s="14">
        <v>27.0</v>
      </c>
      <c r="L410" s="14" t="s">
        <v>20</v>
      </c>
      <c r="M410" s="14" t="s">
        <v>24</v>
      </c>
      <c r="N410" s="20"/>
      <c r="O410" s="20"/>
      <c r="P410" s="15" t="s">
        <v>524</v>
      </c>
      <c r="Q410" s="16"/>
      <c r="R410" s="16"/>
      <c r="S410" s="16"/>
      <c r="T410" s="16"/>
      <c r="U410" s="16"/>
      <c r="V410" s="16"/>
      <c r="W410" s="16"/>
      <c r="X410" s="16"/>
      <c r="Y410" s="16"/>
      <c r="Z410" s="16"/>
    </row>
    <row r="411">
      <c r="A411" s="10">
        <v>40912.0</v>
      </c>
      <c r="B411" s="23">
        <v>1338712.0</v>
      </c>
      <c r="C411" s="12" t="s">
        <v>525</v>
      </c>
      <c r="D411" s="13" t="s">
        <v>18</v>
      </c>
      <c r="E411" s="13" t="s">
        <v>19</v>
      </c>
      <c r="F411" s="13">
        <v>23.0</v>
      </c>
      <c r="G411" s="13" t="s">
        <v>23</v>
      </c>
      <c r="H411" s="13" t="s">
        <v>28</v>
      </c>
      <c r="I411" s="14" t="s">
        <v>18</v>
      </c>
      <c r="J411" s="14" t="s">
        <v>19</v>
      </c>
      <c r="K411" s="14">
        <v>35.0</v>
      </c>
      <c r="L411" s="14" t="s">
        <v>23</v>
      </c>
      <c r="M411" s="14" t="s">
        <v>60</v>
      </c>
      <c r="N411" s="20"/>
      <c r="O411" s="20"/>
      <c r="P411" s="15" t="s">
        <v>526</v>
      </c>
      <c r="Q411" s="16"/>
      <c r="R411" s="16"/>
      <c r="S411" s="16"/>
      <c r="T411" s="16"/>
      <c r="U411" s="16"/>
      <c r="V411" s="16"/>
      <c r="W411" s="16"/>
      <c r="X411" s="16"/>
      <c r="Y411" s="16"/>
      <c r="Z411" s="16"/>
    </row>
    <row r="412">
      <c r="A412" s="10">
        <v>40906.0</v>
      </c>
      <c r="B412" s="23">
        <v>1.66958111E8</v>
      </c>
      <c r="C412" s="12" t="s">
        <v>527</v>
      </c>
      <c r="D412" s="13" t="s">
        <v>18</v>
      </c>
      <c r="E412" s="13" t="s">
        <v>19</v>
      </c>
      <c r="F412" s="13">
        <v>32.0</v>
      </c>
      <c r="G412" s="13" t="s">
        <v>20</v>
      </c>
      <c r="H412" s="13" t="s">
        <v>38</v>
      </c>
      <c r="I412" s="14" t="s">
        <v>18</v>
      </c>
      <c r="J412" s="14" t="s">
        <v>19</v>
      </c>
      <c r="K412" s="14">
        <v>29.0</v>
      </c>
      <c r="L412" s="14" t="s">
        <v>23</v>
      </c>
      <c r="M412" s="14" t="s">
        <v>60</v>
      </c>
      <c r="N412" s="20"/>
      <c r="O412" s="14">
        <v>1.0</v>
      </c>
      <c r="P412" s="15" t="s">
        <v>528</v>
      </c>
      <c r="Q412" s="16"/>
      <c r="R412" s="16"/>
      <c r="S412" s="16"/>
      <c r="T412" s="16"/>
      <c r="U412" s="16"/>
      <c r="V412" s="16"/>
      <c r="W412" s="16"/>
      <c r="X412" s="16"/>
      <c r="Y412" s="16"/>
      <c r="Z412" s="16"/>
    </row>
    <row r="413">
      <c r="A413" s="10">
        <v>40906.0</v>
      </c>
      <c r="B413" s="23">
        <v>1.67166111E8</v>
      </c>
      <c r="C413" s="12" t="s">
        <v>529</v>
      </c>
      <c r="D413" s="13" t="s">
        <v>18</v>
      </c>
      <c r="E413" s="13" t="s">
        <v>29</v>
      </c>
      <c r="F413" s="13">
        <v>23.0</v>
      </c>
      <c r="G413" s="13" t="s">
        <v>20</v>
      </c>
      <c r="H413" s="13" t="s">
        <v>152</v>
      </c>
      <c r="I413" s="14" t="s">
        <v>18</v>
      </c>
      <c r="J413" s="14" t="s">
        <v>29</v>
      </c>
      <c r="K413" s="14">
        <v>44.0</v>
      </c>
      <c r="L413" s="14" t="s">
        <v>23</v>
      </c>
      <c r="M413" s="14" t="s">
        <v>60</v>
      </c>
      <c r="N413" s="20"/>
      <c r="O413" s="14">
        <v>1.0</v>
      </c>
      <c r="P413" s="15" t="s">
        <v>530</v>
      </c>
      <c r="Q413" s="16"/>
      <c r="R413" s="16"/>
      <c r="S413" s="16"/>
      <c r="T413" s="16"/>
      <c r="U413" s="16"/>
      <c r="V413" s="16"/>
      <c r="W413" s="16"/>
      <c r="X413" s="16"/>
      <c r="Y413" s="16"/>
      <c r="Z413" s="16"/>
    </row>
    <row r="414">
      <c r="A414" s="10">
        <v>40902.0</v>
      </c>
      <c r="B414" s="23">
        <v>1.65748011E8</v>
      </c>
      <c r="C414" s="12" t="s">
        <v>531</v>
      </c>
      <c r="D414" s="13" t="s">
        <v>18</v>
      </c>
      <c r="E414" s="13" t="s">
        <v>22</v>
      </c>
      <c r="F414" s="13">
        <v>24.0</v>
      </c>
      <c r="G414" s="13" t="s">
        <v>34</v>
      </c>
      <c r="H414" s="13" t="s">
        <v>186</v>
      </c>
      <c r="I414" s="14" t="s">
        <v>18</v>
      </c>
      <c r="J414" s="14" t="s">
        <v>29</v>
      </c>
      <c r="K414" s="14">
        <v>48.0</v>
      </c>
      <c r="L414" s="14" t="s">
        <v>23</v>
      </c>
      <c r="M414" s="14" t="s">
        <v>24</v>
      </c>
      <c r="N414" s="20"/>
      <c r="O414" s="14">
        <v>1.0</v>
      </c>
      <c r="P414" s="15" t="s">
        <v>532</v>
      </c>
      <c r="Q414" s="16"/>
      <c r="R414" s="16"/>
      <c r="S414" s="16"/>
      <c r="T414" s="16"/>
      <c r="U414" s="16"/>
      <c r="V414" s="16"/>
      <c r="W414" s="16"/>
      <c r="X414" s="16"/>
      <c r="Y414" s="16"/>
      <c r="Z414" s="16"/>
    </row>
    <row r="415">
      <c r="A415" s="10">
        <v>40877.0</v>
      </c>
      <c r="B415" s="23">
        <v>1.54742111E8</v>
      </c>
      <c r="C415" s="12" t="s">
        <v>533</v>
      </c>
      <c r="D415" s="13" t="s">
        <v>18</v>
      </c>
      <c r="E415" s="13" t="s">
        <v>19</v>
      </c>
      <c r="F415" s="13">
        <v>19.0</v>
      </c>
      <c r="G415" s="13" t="s">
        <v>34</v>
      </c>
      <c r="H415" s="13" t="s">
        <v>28</v>
      </c>
      <c r="I415" s="14" t="s">
        <v>18</v>
      </c>
      <c r="J415" s="14" t="s">
        <v>19</v>
      </c>
      <c r="K415" s="14">
        <v>44.0</v>
      </c>
      <c r="L415" s="14" t="s">
        <v>23</v>
      </c>
      <c r="M415" s="14" t="s">
        <v>24</v>
      </c>
      <c r="N415" s="20"/>
      <c r="O415" s="14">
        <v>1.0</v>
      </c>
      <c r="P415" s="15" t="s">
        <v>534</v>
      </c>
      <c r="Q415" s="16"/>
      <c r="R415" s="16"/>
      <c r="S415" s="16"/>
      <c r="T415" s="16"/>
      <c r="U415" s="16"/>
      <c r="V415" s="16"/>
      <c r="W415" s="16"/>
      <c r="X415" s="16"/>
      <c r="Y415" s="16"/>
      <c r="Z415" s="16"/>
    </row>
    <row r="416">
      <c r="A416" s="10">
        <v>40870.0</v>
      </c>
      <c r="B416" s="23">
        <v>1.52066411E8</v>
      </c>
      <c r="C416" s="12" t="s">
        <v>535</v>
      </c>
      <c r="D416" s="13" t="s">
        <v>18</v>
      </c>
      <c r="E416" s="13" t="s">
        <v>29</v>
      </c>
      <c r="F416" s="13" t="s">
        <v>157</v>
      </c>
      <c r="G416" s="13" t="s">
        <v>140</v>
      </c>
      <c r="H416" s="13" t="s">
        <v>28</v>
      </c>
      <c r="I416" s="14" t="s">
        <v>18</v>
      </c>
      <c r="J416" s="14" t="s">
        <v>29</v>
      </c>
      <c r="K416" s="14">
        <v>39.0</v>
      </c>
      <c r="L416" s="14" t="s">
        <v>23</v>
      </c>
      <c r="M416" s="14" t="s">
        <v>60</v>
      </c>
      <c r="N416" s="20"/>
      <c r="O416" s="14">
        <v>1.0</v>
      </c>
      <c r="P416" s="15" t="s">
        <v>536</v>
      </c>
      <c r="Q416" s="16"/>
      <c r="R416" s="16"/>
      <c r="S416" s="16"/>
      <c r="T416" s="16"/>
      <c r="U416" s="16"/>
      <c r="V416" s="16"/>
      <c r="W416" s="16"/>
      <c r="X416" s="16"/>
      <c r="Y416" s="16"/>
      <c r="Z416" s="16"/>
    </row>
    <row r="417">
      <c r="A417" s="10">
        <v>40868.0</v>
      </c>
      <c r="B417" s="23">
        <v>1.51095111E8</v>
      </c>
      <c r="C417" s="12" t="s">
        <v>537</v>
      </c>
      <c r="D417" s="13" t="s">
        <v>18</v>
      </c>
      <c r="E417" s="13" t="s">
        <v>22</v>
      </c>
      <c r="F417" s="13">
        <v>21.0</v>
      </c>
      <c r="G417" s="13" t="s">
        <v>20</v>
      </c>
      <c r="H417" s="13" t="s">
        <v>28</v>
      </c>
      <c r="I417" s="14" t="s">
        <v>18</v>
      </c>
      <c r="J417" s="14" t="s">
        <v>45</v>
      </c>
      <c r="K417" s="14">
        <v>39.0</v>
      </c>
      <c r="L417" s="14" t="s">
        <v>23</v>
      </c>
      <c r="M417" s="14" t="s">
        <v>24</v>
      </c>
      <c r="N417" s="20"/>
      <c r="O417" s="14">
        <v>1.0</v>
      </c>
      <c r="P417" s="15" t="s">
        <v>538</v>
      </c>
      <c r="Q417" s="16"/>
      <c r="R417" s="16"/>
      <c r="S417" s="16"/>
      <c r="T417" s="16"/>
      <c r="U417" s="16"/>
      <c r="V417" s="16"/>
      <c r="W417" s="16"/>
      <c r="X417" s="16"/>
      <c r="Y417" s="16"/>
      <c r="Z417" s="16"/>
    </row>
    <row r="418">
      <c r="I418" s="14" t="s">
        <v>18</v>
      </c>
      <c r="J418" s="14" t="s">
        <v>45</v>
      </c>
      <c r="K418" s="14">
        <v>39.0</v>
      </c>
      <c r="L418" s="14" t="s">
        <v>23</v>
      </c>
      <c r="M418" s="14" t="s">
        <v>24</v>
      </c>
      <c r="N418" s="20"/>
      <c r="O418" s="14">
        <v>1.0</v>
      </c>
      <c r="Q418" s="16"/>
      <c r="R418" s="16"/>
      <c r="S418" s="16"/>
      <c r="T418" s="16"/>
      <c r="U418" s="16"/>
      <c r="V418" s="16"/>
      <c r="W418" s="16"/>
      <c r="X418" s="16"/>
      <c r="Y418" s="16"/>
      <c r="Z418" s="16"/>
    </row>
    <row r="419">
      <c r="A419" s="10">
        <v>40792.0</v>
      </c>
      <c r="B419" s="23">
        <v>1.15579311E8</v>
      </c>
      <c r="C419" s="12" t="s">
        <v>539</v>
      </c>
      <c r="D419" s="13" t="s">
        <v>18</v>
      </c>
      <c r="E419" s="13" t="s">
        <v>29</v>
      </c>
      <c r="F419" s="13">
        <v>23.0</v>
      </c>
      <c r="G419" s="13" t="s">
        <v>20</v>
      </c>
      <c r="H419" s="13" t="s">
        <v>28</v>
      </c>
      <c r="I419" s="14" t="s">
        <v>18</v>
      </c>
      <c r="J419" s="14" t="s">
        <v>22</v>
      </c>
      <c r="K419" s="14">
        <v>29.0</v>
      </c>
      <c r="L419" s="14" t="s">
        <v>23</v>
      </c>
      <c r="M419" s="14" t="s">
        <v>24</v>
      </c>
      <c r="N419" s="20"/>
      <c r="O419" s="14">
        <v>1.0</v>
      </c>
      <c r="P419" s="15" t="s">
        <v>540</v>
      </c>
      <c r="Q419" s="16"/>
      <c r="R419" s="16"/>
      <c r="S419" s="16"/>
      <c r="T419" s="16"/>
      <c r="U419" s="16"/>
      <c r="V419" s="16"/>
      <c r="W419" s="16"/>
      <c r="X419" s="16"/>
      <c r="Y419" s="16"/>
      <c r="Z419" s="16"/>
    </row>
    <row r="420">
      <c r="A420" s="10">
        <v>40789.0</v>
      </c>
      <c r="B420" s="23">
        <v>1.14240711E8</v>
      </c>
      <c r="C420" s="12" t="s">
        <v>541</v>
      </c>
      <c r="D420" s="13" t="s">
        <v>18</v>
      </c>
      <c r="E420" s="13" t="s">
        <v>19</v>
      </c>
      <c r="F420" s="13">
        <v>54.0</v>
      </c>
      <c r="G420" s="13" t="s">
        <v>20</v>
      </c>
      <c r="H420" s="13" t="s">
        <v>23</v>
      </c>
      <c r="I420" s="14" t="s">
        <v>18</v>
      </c>
      <c r="J420" s="14" t="s">
        <v>22</v>
      </c>
      <c r="K420" s="14">
        <v>33.0</v>
      </c>
      <c r="L420" s="14" t="s">
        <v>23</v>
      </c>
      <c r="M420" s="14" t="s">
        <v>24</v>
      </c>
      <c r="N420" s="20"/>
      <c r="O420" s="14">
        <v>1.0</v>
      </c>
      <c r="P420" s="15" t="s">
        <v>542</v>
      </c>
      <c r="Q420" s="16"/>
      <c r="R420" s="16"/>
      <c r="S420" s="16"/>
      <c r="T420" s="16"/>
      <c r="U420" s="16"/>
      <c r="V420" s="16"/>
      <c r="W420" s="16"/>
      <c r="X420" s="16"/>
      <c r="Y420" s="16"/>
      <c r="Z420" s="16"/>
    </row>
    <row r="421">
      <c r="D421" s="13" t="s">
        <v>18</v>
      </c>
      <c r="E421" s="13" t="s">
        <v>19</v>
      </c>
      <c r="F421" s="13">
        <v>24.0</v>
      </c>
      <c r="G421" s="13" t="s">
        <v>23</v>
      </c>
      <c r="H421" s="13" t="s">
        <v>28</v>
      </c>
      <c r="N421" s="20"/>
      <c r="Q421" s="16"/>
      <c r="R421" s="16"/>
      <c r="S421" s="16"/>
      <c r="T421" s="16"/>
      <c r="U421" s="16"/>
      <c r="V421" s="16"/>
      <c r="W421" s="16"/>
      <c r="X421" s="16"/>
      <c r="Y421" s="16"/>
      <c r="Z421" s="16"/>
    </row>
    <row r="422">
      <c r="A422" s="10">
        <v>40765.0</v>
      </c>
      <c r="B422" s="23">
        <v>1.03663811E8</v>
      </c>
      <c r="C422" s="12" t="s">
        <v>543</v>
      </c>
      <c r="D422" s="13" t="s">
        <v>18</v>
      </c>
      <c r="E422" s="13" t="s">
        <v>29</v>
      </c>
      <c r="F422" s="13">
        <v>47.0</v>
      </c>
      <c r="G422" s="13" t="s">
        <v>23</v>
      </c>
      <c r="H422" s="13" t="s">
        <v>38</v>
      </c>
      <c r="I422" s="14" t="s">
        <v>84</v>
      </c>
      <c r="J422" s="14" t="s">
        <v>29</v>
      </c>
      <c r="K422" s="14">
        <v>49.0</v>
      </c>
      <c r="L422" s="14" t="s">
        <v>23</v>
      </c>
      <c r="M422" s="14" t="s">
        <v>24</v>
      </c>
      <c r="N422" s="20"/>
      <c r="O422" s="14">
        <v>1.0</v>
      </c>
      <c r="P422" s="15" t="s">
        <v>544</v>
      </c>
      <c r="Q422" s="16"/>
      <c r="R422" s="16"/>
      <c r="S422" s="16"/>
      <c r="T422" s="16"/>
      <c r="U422" s="16"/>
      <c r="V422" s="16"/>
      <c r="W422" s="16"/>
      <c r="X422" s="16"/>
      <c r="Y422" s="16"/>
      <c r="Z422" s="16"/>
    </row>
    <row r="423">
      <c r="A423" s="10">
        <v>40763.0</v>
      </c>
      <c r="B423" s="23">
        <v>1.02768011E8</v>
      </c>
      <c r="C423" s="12" t="s">
        <v>174</v>
      </c>
      <c r="D423" s="13" t="s">
        <v>18</v>
      </c>
      <c r="E423" s="13" t="s">
        <v>22</v>
      </c>
      <c r="F423" s="13">
        <v>47.0</v>
      </c>
      <c r="G423" s="13" t="s">
        <v>34</v>
      </c>
      <c r="H423" s="13" t="s">
        <v>23</v>
      </c>
      <c r="I423" s="14" t="s">
        <v>84</v>
      </c>
      <c r="J423" s="14" t="s">
        <v>22</v>
      </c>
      <c r="K423" s="14">
        <v>26.0</v>
      </c>
      <c r="L423" s="14" t="s">
        <v>23</v>
      </c>
      <c r="M423" s="14" t="s">
        <v>60</v>
      </c>
      <c r="N423" s="20"/>
      <c r="O423" s="14">
        <v>1.0</v>
      </c>
      <c r="P423" s="15" t="s">
        <v>545</v>
      </c>
      <c r="Q423" s="16"/>
      <c r="R423" s="16"/>
      <c r="S423" s="16"/>
      <c r="T423" s="16"/>
      <c r="U423" s="16"/>
      <c r="V423" s="16"/>
      <c r="W423" s="16"/>
      <c r="X423" s="16"/>
      <c r="Y423" s="16"/>
      <c r="Z423" s="16"/>
    </row>
    <row r="424">
      <c r="A424" s="10">
        <v>40752.0</v>
      </c>
      <c r="B424" s="23">
        <v>9.7780511E7</v>
      </c>
      <c r="C424" s="12" t="s">
        <v>546</v>
      </c>
      <c r="D424" s="13" t="s">
        <v>18</v>
      </c>
      <c r="E424" s="13" t="s">
        <v>29</v>
      </c>
      <c r="F424" s="13">
        <v>57.0</v>
      </c>
      <c r="G424" s="13" t="s">
        <v>20</v>
      </c>
      <c r="H424" s="13" t="s">
        <v>23</v>
      </c>
      <c r="I424" s="14" t="s">
        <v>18</v>
      </c>
      <c r="J424" s="14" t="s">
        <v>22</v>
      </c>
      <c r="K424" s="14">
        <v>40.0</v>
      </c>
      <c r="L424" s="14" t="s">
        <v>23</v>
      </c>
      <c r="M424" s="14" t="s">
        <v>24</v>
      </c>
      <c r="N424" s="20"/>
      <c r="O424" s="14" t="s">
        <v>35</v>
      </c>
      <c r="P424" s="15" t="s">
        <v>547</v>
      </c>
      <c r="Q424" s="16"/>
      <c r="R424" s="16"/>
      <c r="S424" s="16"/>
      <c r="T424" s="16"/>
      <c r="U424" s="16"/>
      <c r="V424" s="16"/>
      <c r="W424" s="16"/>
      <c r="X424" s="16"/>
      <c r="Y424" s="16"/>
      <c r="Z424" s="16"/>
    </row>
    <row r="425">
      <c r="A425" s="10">
        <v>40748.0</v>
      </c>
      <c r="B425" s="23">
        <v>9.5913311E7</v>
      </c>
      <c r="C425" s="12" t="s">
        <v>548</v>
      </c>
      <c r="D425" s="13" t="s">
        <v>18</v>
      </c>
      <c r="E425" s="13" t="s">
        <v>19</v>
      </c>
      <c r="F425" s="13">
        <v>36.0</v>
      </c>
      <c r="G425" s="13" t="s">
        <v>140</v>
      </c>
      <c r="H425" s="13" t="s">
        <v>28</v>
      </c>
      <c r="I425" s="14" t="s">
        <v>18</v>
      </c>
      <c r="J425" s="14" t="s">
        <v>19</v>
      </c>
      <c r="K425" s="14">
        <v>33.0</v>
      </c>
      <c r="L425" s="14" t="s">
        <v>23</v>
      </c>
      <c r="M425" s="14" t="s">
        <v>60</v>
      </c>
      <c r="N425" s="20"/>
      <c r="O425" s="14">
        <v>1.0</v>
      </c>
      <c r="P425" s="15" t="s">
        <v>549</v>
      </c>
      <c r="Q425" s="16"/>
      <c r="R425" s="16"/>
      <c r="S425" s="16"/>
      <c r="T425" s="16"/>
      <c r="U425" s="16"/>
      <c r="V425" s="16"/>
      <c r="W425" s="16"/>
      <c r="X425" s="16"/>
      <c r="Y425" s="16"/>
      <c r="Z425" s="16"/>
    </row>
    <row r="426">
      <c r="A426" s="10">
        <v>40747.0</v>
      </c>
      <c r="B426" s="23">
        <v>9.5583811E7</v>
      </c>
      <c r="C426" s="12" t="s">
        <v>550</v>
      </c>
      <c r="D426" s="13" t="s">
        <v>18</v>
      </c>
      <c r="E426" s="13" t="s">
        <v>19</v>
      </c>
      <c r="F426" s="13">
        <v>23.0</v>
      </c>
      <c r="G426" s="13" t="s">
        <v>23</v>
      </c>
      <c r="H426" s="13" t="s">
        <v>28</v>
      </c>
      <c r="I426" s="14" t="s">
        <v>18</v>
      </c>
      <c r="J426" s="14" t="s">
        <v>22</v>
      </c>
      <c r="K426" s="14">
        <v>33.0</v>
      </c>
      <c r="L426" s="14" t="s">
        <v>23</v>
      </c>
      <c r="M426" s="14" t="s">
        <v>24</v>
      </c>
      <c r="N426" s="20"/>
      <c r="O426" s="14">
        <v>1.0</v>
      </c>
      <c r="P426" s="15" t="s">
        <v>551</v>
      </c>
      <c r="Q426" s="16"/>
      <c r="R426" s="16"/>
      <c r="S426" s="16"/>
      <c r="T426" s="16"/>
      <c r="U426" s="16"/>
      <c r="V426" s="16"/>
      <c r="W426" s="16"/>
      <c r="X426" s="16"/>
      <c r="Y426" s="16"/>
      <c r="Z426" s="16"/>
    </row>
    <row r="427">
      <c r="A427" s="10">
        <v>40744.0</v>
      </c>
      <c r="B427" s="23">
        <v>9.4364111E7</v>
      </c>
      <c r="C427" s="12" t="s">
        <v>552</v>
      </c>
      <c r="D427" s="13" t="s">
        <v>18</v>
      </c>
      <c r="E427" s="13" t="s">
        <v>29</v>
      </c>
      <c r="F427" s="13">
        <v>29.0</v>
      </c>
      <c r="G427" s="13" t="s">
        <v>23</v>
      </c>
      <c r="H427" s="13" t="s">
        <v>28</v>
      </c>
      <c r="I427" s="14" t="s">
        <v>18</v>
      </c>
      <c r="J427" s="14" t="s">
        <v>22</v>
      </c>
      <c r="K427" s="14">
        <v>26.0</v>
      </c>
      <c r="L427" s="14" t="s">
        <v>23</v>
      </c>
      <c r="M427" s="14" t="s">
        <v>24</v>
      </c>
      <c r="N427" s="20"/>
      <c r="O427" s="14">
        <v>1.0</v>
      </c>
      <c r="P427" s="15" t="s">
        <v>553</v>
      </c>
      <c r="Q427" s="16"/>
      <c r="R427" s="16"/>
      <c r="S427" s="16"/>
      <c r="T427" s="16"/>
      <c r="U427" s="16"/>
      <c r="V427" s="16"/>
      <c r="W427" s="16"/>
      <c r="X427" s="16"/>
      <c r="Y427" s="16"/>
      <c r="Z427" s="16"/>
    </row>
    <row r="428">
      <c r="A428" s="10">
        <v>40735.0</v>
      </c>
      <c r="B428" s="23">
        <v>9.0010111E7</v>
      </c>
      <c r="C428" s="12" t="s">
        <v>554</v>
      </c>
      <c r="D428" s="13" t="s">
        <v>18</v>
      </c>
      <c r="E428" s="13" t="s">
        <v>19</v>
      </c>
      <c r="F428" s="13">
        <v>21.0</v>
      </c>
      <c r="G428" s="13" t="s">
        <v>34</v>
      </c>
      <c r="H428" s="13" t="s">
        <v>38</v>
      </c>
      <c r="I428" s="14" t="s">
        <v>18</v>
      </c>
      <c r="J428" s="14" t="s">
        <v>22</v>
      </c>
      <c r="K428" s="14">
        <v>28.0</v>
      </c>
      <c r="L428" s="14" t="s">
        <v>23</v>
      </c>
      <c r="M428" s="14" t="s">
        <v>24</v>
      </c>
      <c r="N428" s="20"/>
      <c r="O428" s="14">
        <v>1.0</v>
      </c>
      <c r="P428" s="15" t="s">
        <v>555</v>
      </c>
      <c r="Q428" s="16"/>
      <c r="R428" s="16"/>
      <c r="S428" s="16"/>
      <c r="T428" s="16"/>
      <c r="U428" s="16"/>
      <c r="V428" s="16"/>
      <c r="W428" s="16"/>
      <c r="X428" s="16"/>
      <c r="Y428" s="16"/>
      <c r="Z428" s="16"/>
    </row>
    <row r="429">
      <c r="A429" s="10">
        <v>40714.0</v>
      </c>
      <c r="B429" s="23">
        <v>8.0221311E7</v>
      </c>
      <c r="C429" s="12" t="s">
        <v>556</v>
      </c>
      <c r="D429" s="13" t="s">
        <v>18</v>
      </c>
      <c r="E429" s="13" t="s">
        <v>29</v>
      </c>
      <c r="F429" s="13">
        <v>30.0</v>
      </c>
      <c r="G429" s="13" t="s">
        <v>23</v>
      </c>
      <c r="H429" s="13" t="s">
        <v>28</v>
      </c>
      <c r="I429" s="14" t="s">
        <v>18</v>
      </c>
      <c r="J429" s="14" t="s">
        <v>22</v>
      </c>
      <c r="K429" s="14">
        <v>42.0</v>
      </c>
      <c r="L429" s="14" t="s">
        <v>23</v>
      </c>
      <c r="M429" s="14" t="s">
        <v>24</v>
      </c>
      <c r="N429" s="20"/>
      <c r="O429" s="14" t="s">
        <v>35</v>
      </c>
      <c r="P429" s="15" t="s">
        <v>557</v>
      </c>
      <c r="Q429" s="16"/>
      <c r="R429" s="16"/>
      <c r="S429" s="16"/>
      <c r="T429" s="16"/>
      <c r="U429" s="16"/>
      <c r="V429" s="16"/>
      <c r="W429" s="16"/>
      <c r="X429" s="16"/>
      <c r="Y429" s="16"/>
      <c r="Z429" s="16"/>
    </row>
    <row r="430">
      <c r="A430" s="10">
        <v>40712.0</v>
      </c>
      <c r="B430" s="23">
        <v>7.9326211E7</v>
      </c>
      <c r="C430" s="12" t="s">
        <v>558</v>
      </c>
      <c r="D430" s="13" t="s">
        <v>18</v>
      </c>
      <c r="E430" s="13" t="s">
        <v>19</v>
      </c>
      <c r="F430" s="13">
        <v>60.0</v>
      </c>
      <c r="G430" s="13" t="s">
        <v>20</v>
      </c>
      <c r="H430" s="13" t="s">
        <v>28</v>
      </c>
      <c r="I430" s="14" t="s">
        <v>18</v>
      </c>
      <c r="J430" s="14" t="s">
        <v>19</v>
      </c>
      <c r="K430" s="14">
        <v>51.0</v>
      </c>
      <c r="L430" s="14" t="s">
        <v>23</v>
      </c>
      <c r="M430" s="14" t="s">
        <v>24</v>
      </c>
      <c r="N430" s="20"/>
      <c r="O430" s="14" t="s">
        <v>35</v>
      </c>
      <c r="P430" s="15" t="s">
        <v>559</v>
      </c>
      <c r="Q430" s="16"/>
      <c r="R430" s="16"/>
      <c r="S430" s="16"/>
      <c r="T430" s="16"/>
      <c r="U430" s="16"/>
      <c r="V430" s="16"/>
      <c r="W430" s="16"/>
      <c r="X430" s="16"/>
      <c r="Y430" s="16"/>
      <c r="Z430" s="16"/>
    </row>
    <row r="431">
      <c r="I431" s="14" t="s">
        <v>18</v>
      </c>
      <c r="J431" s="14" t="s">
        <v>19</v>
      </c>
      <c r="K431" s="14">
        <v>31.0</v>
      </c>
      <c r="L431" s="14" t="s">
        <v>23</v>
      </c>
      <c r="M431" s="14" t="s">
        <v>24</v>
      </c>
      <c r="N431" s="20"/>
      <c r="O431" s="14">
        <v>1.0</v>
      </c>
      <c r="Q431" s="16"/>
      <c r="R431" s="16"/>
      <c r="S431" s="16"/>
      <c r="T431" s="16"/>
      <c r="U431" s="16"/>
      <c r="V431" s="16"/>
      <c r="W431" s="16"/>
      <c r="X431" s="16"/>
      <c r="Y431" s="16"/>
      <c r="Z431" s="16"/>
    </row>
    <row r="432">
      <c r="A432" s="10">
        <v>40709.0</v>
      </c>
      <c r="B432" s="23">
        <v>7.7472411E7</v>
      </c>
      <c r="C432" s="12" t="s">
        <v>560</v>
      </c>
      <c r="D432" s="13" t="s">
        <v>164</v>
      </c>
      <c r="E432" s="13" t="s">
        <v>164</v>
      </c>
      <c r="F432" s="13" t="s">
        <v>164</v>
      </c>
      <c r="G432" s="13" t="s">
        <v>20</v>
      </c>
      <c r="H432" s="13" t="s">
        <v>152</v>
      </c>
      <c r="I432" s="14" t="s">
        <v>84</v>
      </c>
      <c r="J432" s="14" t="s">
        <v>45</v>
      </c>
      <c r="K432" s="14">
        <v>26.0</v>
      </c>
      <c r="L432" s="14" t="s">
        <v>23</v>
      </c>
      <c r="M432" s="14" t="s">
        <v>24</v>
      </c>
      <c r="N432" s="20"/>
      <c r="O432" s="14">
        <v>1.0</v>
      </c>
      <c r="P432" s="15" t="s">
        <v>561</v>
      </c>
      <c r="Q432" s="16"/>
      <c r="R432" s="16"/>
      <c r="S432" s="16"/>
      <c r="T432" s="16"/>
      <c r="U432" s="16"/>
      <c r="V432" s="16"/>
      <c r="W432" s="16"/>
      <c r="X432" s="16"/>
      <c r="Y432" s="16"/>
      <c r="Z432" s="16"/>
    </row>
    <row r="433">
      <c r="A433" s="10">
        <v>40703.0</v>
      </c>
      <c r="B433" s="23">
        <v>7.4850211E7</v>
      </c>
      <c r="C433" s="12" t="s">
        <v>174</v>
      </c>
      <c r="D433" s="13" t="s">
        <v>164</v>
      </c>
      <c r="E433" s="13" t="s">
        <v>164</v>
      </c>
      <c r="F433" s="13" t="s">
        <v>164</v>
      </c>
      <c r="G433" s="13" t="s">
        <v>20</v>
      </c>
      <c r="H433" s="13" t="s">
        <v>23</v>
      </c>
      <c r="I433" s="14" t="s">
        <v>18</v>
      </c>
      <c r="J433" s="14" t="s">
        <v>29</v>
      </c>
      <c r="K433" s="14">
        <v>53.0</v>
      </c>
      <c r="L433" s="14" t="s">
        <v>23</v>
      </c>
      <c r="M433" s="14" t="s">
        <v>60</v>
      </c>
      <c r="N433" s="20"/>
      <c r="O433" s="14">
        <v>1.0</v>
      </c>
      <c r="P433" s="15" t="s">
        <v>562</v>
      </c>
      <c r="Q433" s="16"/>
      <c r="R433" s="16"/>
      <c r="S433" s="16"/>
      <c r="T433" s="16"/>
      <c r="U433" s="16"/>
      <c r="V433" s="16"/>
      <c r="W433" s="16"/>
      <c r="X433" s="16"/>
      <c r="Y433" s="16"/>
      <c r="Z433" s="16"/>
    </row>
    <row r="434">
      <c r="D434" s="13" t="s">
        <v>164</v>
      </c>
      <c r="E434" s="13" t="s">
        <v>164</v>
      </c>
      <c r="F434" s="13" t="s">
        <v>164</v>
      </c>
      <c r="G434" s="13" t="s">
        <v>34</v>
      </c>
      <c r="H434" s="13" t="s">
        <v>23</v>
      </c>
      <c r="N434" s="20"/>
      <c r="Q434" s="16"/>
      <c r="R434" s="16"/>
      <c r="S434" s="16"/>
      <c r="T434" s="16"/>
      <c r="U434" s="16"/>
      <c r="V434" s="16"/>
      <c r="W434" s="16"/>
      <c r="X434" s="16"/>
      <c r="Y434" s="16"/>
      <c r="Z434" s="16"/>
    </row>
    <row r="435">
      <c r="A435" s="10">
        <v>40701.0</v>
      </c>
      <c r="B435" s="23">
        <v>7.3973611E7</v>
      </c>
      <c r="C435" s="12" t="s">
        <v>563</v>
      </c>
      <c r="D435" s="13" t="s">
        <v>18</v>
      </c>
      <c r="E435" s="13" t="s">
        <v>29</v>
      </c>
      <c r="F435" s="13" t="s">
        <v>157</v>
      </c>
      <c r="G435" s="13" t="s">
        <v>140</v>
      </c>
      <c r="H435" s="13" t="s">
        <v>28</v>
      </c>
      <c r="I435" s="14" t="s">
        <v>18</v>
      </c>
      <c r="J435" s="14" t="s">
        <v>22</v>
      </c>
      <c r="K435" s="14">
        <v>29.0</v>
      </c>
      <c r="L435" s="14" t="s">
        <v>23</v>
      </c>
      <c r="M435" s="14" t="s">
        <v>24</v>
      </c>
      <c r="N435" s="20"/>
      <c r="O435" s="14">
        <v>1.0</v>
      </c>
      <c r="P435" s="15" t="s">
        <v>564</v>
      </c>
      <c r="Q435" s="16"/>
      <c r="R435" s="16"/>
      <c r="S435" s="16"/>
      <c r="T435" s="16"/>
      <c r="U435" s="16"/>
      <c r="V435" s="16"/>
      <c r="W435" s="16"/>
      <c r="X435" s="16"/>
      <c r="Y435" s="16"/>
      <c r="Z435" s="16"/>
    </row>
    <row r="436">
      <c r="A436" s="10">
        <v>40697.0</v>
      </c>
      <c r="B436" s="23">
        <v>7.1917211E7</v>
      </c>
      <c r="C436" s="12">
        <v>7402.0</v>
      </c>
      <c r="D436" s="13" t="s">
        <v>18</v>
      </c>
      <c r="E436" s="13" t="s">
        <v>22</v>
      </c>
      <c r="F436" s="13">
        <v>29.0</v>
      </c>
      <c r="G436" s="13" t="s">
        <v>23</v>
      </c>
      <c r="H436" s="13" t="s">
        <v>186</v>
      </c>
      <c r="I436" s="14" t="s">
        <v>84</v>
      </c>
      <c r="J436" s="14" t="s">
        <v>29</v>
      </c>
      <c r="K436" s="14">
        <v>34.0</v>
      </c>
      <c r="L436" s="14" t="s">
        <v>23</v>
      </c>
      <c r="M436" s="14" t="s">
        <v>24</v>
      </c>
      <c r="N436" s="20"/>
      <c r="O436" s="14">
        <v>1.0</v>
      </c>
      <c r="P436" s="15" t="s">
        <v>565</v>
      </c>
      <c r="Q436" s="16"/>
      <c r="R436" s="16"/>
      <c r="S436" s="16"/>
      <c r="T436" s="16"/>
      <c r="U436" s="16"/>
      <c r="V436" s="16"/>
      <c r="W436" s="16"/>
      <c r="X436" s="16"/>
      <c r="Y436" s="16"/>
      <c r="Z436" s="16"/>
    </row>
    <row r="437">
      <c r="A437" s="10">
        <v>40681.0</v>
      </c>
      <c r="B437" s="23">
        <v>6.3475811E7</v>
      </c>
      <c r="C437" s="12" t="s">
        <v>566</v>
      </c>
      <c r="D437" s="13" t="s">
        <v>18</v>
      </c>
      <c r="E437" s="13" t="s">
        <v>49</v>
      </c>
      <c r="F437" s="13">
        <v>30.0</v>
      </c>
      <c r="G437" s="13" t="s">
        <v>23</v>
      </c>
      <c r="H437" s="13" t="s">
        <v>28</v>
      </c>
      <c r="I437" s="14" t="s">
        <v>18</v>
      </c>
      <c r="J437" s="14" t="s">
        <v>22</v>
      </c>
      <c r="K437" s="14">
        <v>44.0</v>
      </c>
      <c r="L437" s="14" t="s">
        <v>23</v>
      </c>
      <c r="M437" s="14" t="s">
        <v>60</v>
      </c>
      <c r="N437" s="20"/>
      <c r="O437" s="14" t="s">
        <v>35</v>
      </c>
      <c r="P437" s="15" t="s">
        <v>567</v>
      </c>
      <c r="Q437" s="16"/>
      <c r="R437" s="16"/>
      <c r="S437" s="16"/>
      <c r="T437" s="16"/>
      <c r="U437" s="16"/>
      <c r="V437" s="16"/>
      <c r="W437" s="16"/>
      <c r="X437" s="16"/>
      <c r="Y437" s="16"/>
      <c r="Z437" s="16"/>
    </row>
    <row r="438">
      <c r="A438" s="10">
        <v>40679.0</v>
      </c>
      <c r="B438" s="23">
        <v>6.2419311E7</v>
      </c>
      <c r="C438" s="12" t="s">
        <v>568</v>
      </c>
      <c r="D438" s="13" t="s">
        <v>18</v>
      </c>
      <c r="E438" s="13" t="s">
        <v>19</v>
      </c>
      <c r="F438" s="13">
        <v>22.0</v>
      </c>
      <c r="G438" s="13" t="s">
        <v>20</v>
      </c>
      <c r="H438" s="13" t="s">
        <v>28</v>
      </c>
      <c r="I438" s="14" t="s">
        <v>18</v>
      </c>
      <c r="J438" s="14" t="s">
        <v>19</v>
      </c>
      <c r="K438" s="14">
        <v>36.0</v>
      </c>
      <c r="L438" s="14" t="s">
        <v>23</v>
      </c>
      <c r="M438" s="14" t="s">
        <v>60</v>
      </c>
      <c r="N438" s="20"/>
      <c r="O438" s="14" t="s">
        <v>35</v>
      </c>
      <c r="P438" s="15" t="s">
        <v>569</v>
      </c>
      <c r="Q438" s="16"/>
      <c r="R438" s="16"/>
      <c r="S438" s="16"/>
      <c r="T438" s="16"/>
      <c r="U438" s="16"/>
      <c r="V438" s="16"/>
      <c r="W438" s="16"/>
      <c r="X438" s="16"/>
      <c r="Y438" s="16"/>
      <c r="Z438" s="16"/>
    </row>
    <row r="439">
      <c r="A439" s="10">
        <v>40670.0</v>
      </c>
      <c r="B439" s="23">
        <v>5.8242911E7</v>
      </c>
      <c r="C439" s="12" t="s">
        <v>570</v>
      </c>
      <c r="D439" s="13" t="s">
        <v>18</v>
      </c>
      <c r="E439" s="13" t="s">
        <v>29</v>
      </c>
      <c r="F439" s="13">
        <v>20.0</v>
      </c>
      <c r="G439" s="13" t="s">
        <v>571</v>
      </c>
      <c r="H439" s="13" t="s">
        <v>28</v>
      </c>
      <c r="I439" s="14" t="s">
        <v>18</v>
      </c>
      <c r="J439" s="14" t="s">
        <v>19</v>
      </c>
      <c r="K439" s="14">
        <v>24.0</v>
      </c>
      <c r="L439" s="14" t="s">
        <v>20</v>
      </c>
      <c r="M439" s="14" t="s">
        <v>60</v>
      </c>
      <c r="N439" s="20"/>
      <c r="O439" s="14">
        <v>1.0</v>
      </c>
      <c r="P439" s="15" t="s">
        <v>572</v>
      </c>
      <c r="Q439" s="16"/>
      <c r="R439" s="16"/>
      <c r="S439" s="16"/>
      <c r="T439" s="16"/>
      <c r="U439" s="16"/>
      <c r="V439" s="16"/>
      <c r="W439" s="16"/>
      <c r="X439" s="16"/>
      <c r="Y439" s="16"/>
      <c r="Z439" s="16"/>
    </row>
    <row r="440">
      <c r="I440" s="14" t="s">
        <v>18</v>
      </c>
      <c r="J440" s="14" t="s">
        <v>22</v>
      </c>
      <c r="K440" s="14">
        <v>36.0</v>
      </c>
      <c r="L440" s="14" t="s">
        <v>20</v>
      </c>
      <c r="M440" s="14" t="s">
        <v>24</v>
      </c>
      <c r="N440" s="20"/>
      <c r="O440" s="14">
        <v>1.0</v>
      </c>
      <c r="Q440" s="16"/>
      <c r="R440" s="16"/>
      <c r="S440" s="16"/>
      <c r="T440" s="16"/>
      <c r="U440" s="16"/>
      <c r="V440" s="16"/>
      <c r="W440" s="16"/>
      <c r="X440" s="16"/>
      <c r="Y440" s="16"/>
      <c r="Z440" s="16"/>
    </row>
    <row r="441">
      <c r="I441" s="14" t="s">
        <v>18</v>
      </c>
      <c r="J441" s="14" t="s">
        <v>29</v>
      </c>
      <c r="K441" s="14">
        <v>34.0</v>
      </c>
      <c r="L441" s="14" t="s">
        <v>23</v>
      </c>
      <c r="M441" s="14" t="s">
        <v>24</v>
      </c>
      <c r="N441" s="20"/>
      <c r="O441" s="14">
        <v>1.0</v>
      </c>
      <c r="Q441" s="16"/>
      <c r="R441" s="16"/>
      <c r="S441" s="16"/>
      <c r="T441" s="16"/>
      <c r="U441" s="16"/>
      <c r="V441" s="16"/>
      <c r="W441" s="16"/>
      <c r="X441" s="16"/>
      <c r="Y441" s="16"/>
      <c r="Z441" s="16"/>
    </row>
    <row r="442">
      <c r="I442" s="14" t="s">
        <v>18</v>
      </c>
      <c r="J442" s="14" t="s">
        <v>29</v>
      </c>
      <c r="K442" s="14">
        <v>32.0</v>
      </c>
      <c r="L442" s="14" t="s">
        <v>23</v>
      </c>
      <c r="M442" s="14" t="s">
        <v>24</v>
      </c>
      <c r="N442" s="20"/>
      <c r="O442" s="14">
        <v>1.0</v>
      </c>
      <c r="Q442" s="16"/>
      <c r="R442" s="16"/>
      <c r="S442" s="16"/>
      <c r="T442" s="16"/>
      <c r="U442" s="16"/>
      <c r="V442" s="16"/>
      <c r="W442" s="16"/>
      <c r="X442" s="16"/>
      <c r="Y442" s="16"/>
      <c r="Z442" s="16"/>
    </row>
    <row r="443">
      <c r="A443" s="10">
        <v>40644.0</v>
      </c>
      <c r="B443" s="23">
        <v>1.13007011E8</v>
      </c>
      <c r="C443" s="12" t="s">
        <v>174</v>
      </c>
      <c r="D443" s="13" t="s">
        <v>33</v>
      </c>
      <c r="E443" s="13" t="s">
        <v>33</v>
      </c>
      <c r="F443" s="13" t="s">
        <v>157</v>
      </c>
      <c r="G443" s="13" t="s">
        <v>140</v>
      </c>
      <c r="H443" s="13" t="s">
        <v>140</v>
      </c>
      <c r="I443" s="14" t="s">
        <v>18</v>
      </c>
      <c r="J443" s="14" t="s">
        <v>19</v>
      </c>
      <c r="K443" s="14">
        <v>26.0</v>
      </c>
      <c r="L443" s="14" t="s">
        <v>23</v>
      </c>
      <c r="M443" s="14" t="s">
        <v>60</v>
      </c>
      <c r="N443" s="20"/>
      <c r="O443" s="14">
        <v>1.0</v>
      </c>
      <c r="P443" s="15" t="s">
        <v>573</v>
      </c>
      <c r="Q443" s="16"/>
      <c r="R443" s="16"/>
      <c r="S443" s="16"/>
      <c r="T443" s="16"/>
      <c r="U443" s="16"/>
      <c r="V443" s="16"/>
      <c r="W443" s="16"/>
      <c r="X443" s="16"/>
      <c r="Y443" s="16"/>
      <c r="Z443" s="16"/>
    </row>
    <row r="444">
      <c r="A444" s="10">
        <v>40628.0</v>
      </c>
      <c r="B444" s="23">
        <v>3.8048911E7</v>
      </c>
      <c r="C444" s="12" t="s">
        <v>574</v>
      </c>
      <c r="D444" s="13" t="s">
        <v>164</v>
      </c>
      <c r="E444" s="13" t="s">
        <v>164</v>
      </c>
      <c r="F444" s="13" t="s">
        <v>164</v>
      </c>
      <c r="G444" s="13" t="s">
        <v>20</v>
      </c>
      <c r="H444" s="13" t="s">
        <v>23</v>
      </c>
      <c r="I444" s="14" t="s">
        <v>18</v>
      </c>
      <c r="J444" s="14" t="s">
        <v>22</v>
      </c>
      <c r="K444" s="14">
        <v>26.0</v>
      </c>
      <c r="L444" s="14" t="s">
        <v>23</v>
      </c>
      <c r="M444" s="14" t="s">
        <v>24</v>
      </c>
      <c r="N444" s="20"/>
      <c r="O444" s="14">
        <v>1.0</v>
      </c>
      <c r="P444" s="15" t="s">
        <v>575</v>
      </c>
      <c r="Q444" s="16"/>
      <c r="R444" s="16"/>
      <c r="S444" s="16"/>
      <c r="T444" s="16"/>
      <c r="U444" s="16"/>
      <c r="V444" s="16"/>
      <c r="W444" s="16"/>
      <c r="X444" s="16"/>
      <c r="Y444" s="16"/>
      <c r="Z444" s="16"/>
    </row>
    <row r="445">
      <c r="A445" s="10">
        <v>40618.0</v>
      </c>
      <c r="B445" s="23">
        <v>3.3289911E7</v>
      </c>
      <c r="C445" s="12" t="s">
        <v>576</v>
      </c>
      <c r="D445" s="13" t="s">
        <v>18</v>
      </c>
      <c r="E445" s="13" t="s">
        <v>29</v>
      </c>
      <c r="F445" s="13">
        <v>31.0</v>
      </c>
      <c r="G445" s="13" t="s">
        <v>20</v>
      </c>
      <c r="H445" s="13" t="s">
        <v>28</v>
      </c>
      <c r="I445" s="14" t="s">
        <v>18</v>
      </c>
      <c r="J445" s="14" t="s">
        <v>29</v>
      </c>
      <c r="K445" s="14">
        <v>38.0</v>
      </c>
      <c r="L445" s="14" t="s">
        <v>23</v>
      </c>
      <c r="M445" s="14" t="s">
        <v>60</v>
      </c>
      <c r="N445" s="20"/>
      <c r="O445" s="14">
        <v>1.0</v>
      </c>
      <c r="P445" s="15" t="s">
        <v>577</v>
      </c>
      <c r="Q445" s="16"/>
      <c r="R445" s="16"/>
      <c r="S445" s="16"/>
      <c r="T445" s="16"/>
      <c r="U445" s="16"/>
      <c r="V445" s="16"/>
      <c r="W445" s="16"/>
      <c r="X445" s="16"/>
      <c r="Y445" s="16"/>
      <c r="Z445" s="16"/>
    </row>
    <row r="446">
      <c r="A446" s="10">
        <v>40598.0</v>
      </c>
      <c r="B446" s="23">
        <v>2.3788311E7</v>
      </c>
      <c r="C446" s="12" t="s">
        <v>578</v>
      </c>
      <c r="D446" s="13" t="s">
        <v>18</v>
      </c>
      <c r="E446" s="13" t="s">
        <v>19</v>
      </c>
      <c r="F446" s="13">
        <v>30.0</v>
      </c>
      <c r="G446" s="13" t="s">
        <v>23</v>
      </c>
      <c r="H446" s="13" t="s">
        <v>23</v>
      </c>
      <c r="I446" s="14" t="s">
        <v>18</v>
      </c>
      <c r="J446" s="14" t="s">
        <v>45</v>
      </c>
      <c r="K446" s="14">
        <v>39.0</v>
      </c>
      <c r="L446" s="14" t="s">
        <v>20</v>
      </c>
      <c r="M446" s="14" t="s">
        <v>24</v>
      </c>
      <c r="N446" s="20"/>
      <c r="O446" s="14" t="s">
        <v>35</v>
      </c>
      <c r="P446" s="15" t="s">
        <v>579</v>
      </c>
      <c r="Q446" s="16"/>
      <c r="R446" s="16"/>
      <c r="S446" s="16"/>
      <c r="T446" s="16"/>
      <c r="U446" s="16"/>
      <c r="V446" s="16"/>
      <c r="W446" s="16"/>
      <c r="X446" s="16"/>
      <c r="Y446" s="16"/>
      <c r="Z446" s="16"/>
    </row>
    <row r="447">
      <c r="I447" s="14" t="s">
        <v>18</v>
      </c>
      <c r="J447" s="14" t="s">
        <v>19</v>
      </c>
      <c r="K447" s="14">
        <v>50.0</v>
      </c>
      <c r="L447" s="14" t="s">
        <v>23</v>
      </c>
      <c r="M447" s="14" t="s">
        <v>24</v>
      </c>
      <c r="N447" s="20"/>
      <c r="O447" s="14">
        <v>1.0</v>
      </c>
      <c r="Q447" s="16"/>
      <c r="R447" s="16"/>
      <c r="S447" s="16"/>
      <c r="T447" s="16"/>
      <c r="U447" s="16"/>
      <c r="V447" s="16"/>
      <c r="W447" s="16"/>
      <c r="X447" s="16"/>
      <c r="Y447" s="16"/>
      <c r="Z447" s="16"/>
    </row>
    <row r="448">
      <c r="D448" s="13" t="s">
        <v>18</v>
      </c>
      <c r="E448" s="13" t="s">
        <v>19</v>
      </c>
      <c r="F448" s="13">
        <v>33.0</v>
      </c>
      <c r="G448" s="13" t="s">
        <v>23</v>
      </c>
      <c r="H448" s="13" t="s">
        <v>28</v>
      </c>
      <c r="I448" s="14" t="s">
        <v>18</v>
      </c>
      <c r="J448" s="14" t="s">
        <v>29</v>
      </c>
      <c r="K448" s="14">
        <v>40.0</v>
      </c>
      <c r="L448" s="14" t="s">
        <v>23</v>
      </c>
      <c r="M448" s="14" t="s">
        <v>24</v>
      </c>
      <c r="N448" s="20"/>
      <c r="O448" s="14" t="s">
        <v>35</v>
      </c>
      <c r="Q448" s="16"/>
      <c r="R448" s="16"/>
      <c r="S448" s="16"/>
      <c r="T448" s="16"/>
      <c r="U448" s="16"/>
      <c r="V448" s="16"/>
      <c r="W448" s="16"/>
      <c r="X448" s="16"/>
      <c r="Y448" s="16"/>
      <c r="Z448" s="16"/>
    </row>
    <row r="449">
      <c r="A449" s="10">
        <v>40593.0</v>
      </c>
      <c r="B449" s="23">
        <v>2.1505611E7</v>
      </c>
      <c r="C449" s="12" t="s">
        <v>580</v>
      </c>
      <c r="D449" s="13" t="s">
        <v>18</v>
      </c>
      <c r="E449" s="13" t="s">
        <v>19</v>
      </c>
      <c r="F449" s="13">
        <v>29.0</v>
      </c>
      <c r="G449" s="13" t="s">
        <v>34</v>
      </c>
      <c r="H449" s="13" t="s">
        <v>23</v>
      </c>
      <c r="I449" s="14" t="s">
        <v>18</v>
      </c>
      <c r="J449" s="14" t="s">
        <v>22</v>
      </c>
      <c r="K449" s="14">
        <v>37.0</v>
      </c>
      <c r="L449" s="14" t="s">
        <v>20</v>
      </c>
      <c r="M449" s="14" t="s">
        <v>60</v>
      </c>
      <c r="N449" s="20"/>
      <c r="O449" s="14">
        <v>1.0</v>
      </c>
      <c r="P449" s="15" t="s">
        <v>581</v>
      </c>
      <c r="Q449" s="16"/>
      <c r="R449" s="16"/>
      <c r="S449" s="16"/>
      <c r="T449" s="16"/>
      <c r="U449" s="16"/>
      <c r="V449" s="16"/>
      <c r="W449" s="16"/>
      <c r="X449" s="16"/>
      <c r="Y449" s="16"/>
      <c r="Z449" s="16"/>
    </row>
    <row r="450">
      <c r="D450" s="13" t="s">
        <v>18</v>
      </c>
      <c r="E450" s="13" t="s">
        <v>19</v>
      </c>
      <c r="F450" s="13">
        <v>27.0</v>
      </c>
      <c r="G450" s="13" t="s">
        <v>20</v>
      </c>
      <c r="H450" s="13" t="s">
        <v>23</v>
      </c>
      <c r="N450" s="20"/>
      <c r="Q450" s="16"/>
      <c r="R450" s="16"/>
      <c r="S450" s="16"/>
      <c r="T450" s="16"/>
      <c r="U450" s="16"/>
      <c r="V450" s="16"/>
      <c r="W450" s="16"/>
      <c r="X450" s="16"/>
      <c r="Y450" s="16"/>
      <c r="Z450" s="16"/>
    </row>
    <row r="451">
      <c r="A451" s="10">
        <v>40588.0</v>
      </c>
      <c r="B451" s="23">
        <v>1.9185611E7</v>
      </c>
      <c r="C451" s="12" t="s">
        <v>582</v>
      </c>
      <c r="D451" s="13" t="s">
        <v>18</v>
      </c>
      <c r="E451" s="13" t="s">
        <v>22</v>
      </c>
      <c r="F451" s="13">
        <v>32.0</v>
      </c>
      <c r="G451" s="13" t="s">
        <v>34</v>
      </c>
      <c r="H451" s="13" t="s">
        <v>38</v>
      </c>
      <c r="I451" s="14" t="s">
        <v>18</v>
      </c>
      <c r="J451" s="14" t="s">
        <v>19</v>
      </c>
      <c r="K451" s="14">
        <v>36.0</v>
      </c>
      <c r="L451" s="14" t="s">
        <v>23</v>
      </c>
      <c r="M451" s="14" t="s">
        <v>60</v>
      </c>
      <c r="N451" s="20"/>
      <c r="O451" s="14">
        <v>1.0</v>
      </c>
      <c r="P451" s="15" t="s">
        <v>583</v>
      </c>
      <c r="Q451" s="16"/>
      <c r="R451" s="16"/>
      <c r="S451" s="16"/>
      <c r="T451" s="16"/>
      <c r="U451" s="16"/>
      <c r="V451" s="16"/>
      <c r="W451" s="16"/>
      <c r="X451" s="16"/>
      <c r="Y451" s="16"/>
      <c r="Z451" s="16"/>
    </row>
    <row r="452">
      <c r="A452" s="10">
        <v>40543.0</v>
      </c>
      <c r="B452" s="23">
        <v>1.8170921E8</v>
      </c>
      <c r="C452" s="12" t="s">
        <v>584</v>
      </c>
      <c r="D452" s="13" t="s">
        <v>18</v>
      </c>
      <c r="E452" s="13" t="s">
        <v>19</v>
      </c>
      <c r="F452" s="13" t="s">
        <v>157</v>
      </c>
      <c r="G452" s="13" t="s">
        <v>23</v>
      </c>
      <c r="H452" s="13" t="s">
        <v>28</v>
      </c>
      <c r="I452" s="14" t="s">
        <v>18</v>
      </c>
      <c r="J452" s="14" t="s">
        <v>22</v>
      </c>
      <c r="K452" s="14">
        <v>37.0</v>
      </c>
      <c r="L452" s="14" t="s">
        <v>23</v>
      </c>
      <c r="M452" s="14" t="s">
        <v>24</v>
      </c>
      <c r="N452" s="20"/>
      <c r="O452" s="14">
        <v>1.0</v>
      </c>
      <c r="P452" s="15" t="s">
        <v>585</v>
      </c>
      <c r="Q452" s="16"/>
      <c r="R452" s="16"/>
      <c r="S452" s="16"/>
      <c r="T452" s="16"/>
      <c r="U452" s="16"/>
      <c r="V452" s="16"/>
      <c r="W452" s="16"/>
      <c r="X452" s="16"/>
      <c r="Y452" s="16"/>
      <c r="Z452" s="16"/>
    </row>
    <row r="453">
      <c r="A453" s="10">
        <v>40541.0</v>
      </c>
      <c r="B453" s="23">
        <v>1.8091741E8</v>
      </c>
      <c r="C453" s="12" t="s">
        <v>586</v>
      </c>
      <c r="D453" s="13" t="s">
        <v>18</v>
      </c>
      <c r="E453" s="13" t="s">
        <v>29</v>
      </c>
      <c r="F453" s="13">
        <v>26.0</v>
      </c>
      <c r="G453" s="13" t="s">
        <v>34</v>
      </c>
      <c r="H453" s="13" t="s">
        <v>28</v>
      </c>
      <c r="I453" s="14" t="s">
        <v>18</v>
      </c>
      <c r="J453" s="14" t="s">
        <v>22</v>
      </c>
      <c r="K453" s="14">
        <v>28.0</v>
      </c>
      <c r="L453" s="14" t="s">
        <v>23</v>
      </c>
      <c r="M453" s="14" t="s">
        <v>24</v>
      </c>
      <c r="N453" s="20"/>
      <c r="O453" s="14" t="s">
        <v>35</v>
      </c>
      <c r="P453" s="15" t="s">
        <v>587</v>
      </c>
      <c r="Q453" s="16"/>
      <c r="R453" s="16"/>
      <c r="S453" s="16"/>
      <c r="T453" s="16"/>
      <c r="U453" s="16"/>
      <c r="V453" s="16"/>
      <c r="W453" s="16"/>
      <c r="X453" s="16"/>
      <c r="Y453" s="16"/>
      <c r="Z453" s="16"/>
    </row>
    <row r="454">
      <c r="A454" s="10">
        <v>40528.0</v>
      </c>
      <c r="B454" s="23">
        <v>1.7496451E8</v>
      </c>
      <c r="C454" s="12" t="s">
        <v>588</v>
      </c>
      <c r="D454" s="13" t="s">
        <v>84</v>
      </c>
      <c r="E454" s="13" t="s">
        <v>29</v>
      </c>
      <c r="F454" s="13">
        <v>20.0</v>
      </c>
      <c r="G454" s="13" t="s">
        <v>34</v>
      </c>
      <c r="H454" s="13" t="s">
        <v>28</v>
      </c>
      <c r="I454" s="14" t="s">
        <v>18</v>
      </c>
      <c r="J454" s="14" t="s">
        <v>45</v>
      </c>
      <c r="K454" s="14">
        <v>34.0</v>
      </c>
      <c r="L454" s="14" t="s">
        <v>23</v>
      </c>
      <c r="M454" s="14" t="s">
        <v>24</v>
      </c>
      <c r="N454" s="20"/>
      <c r="O454" s="14">
        <v>1.0</v>
      </c>
      <c r="P454" s="15" t="s">
        <v>589</v>
      </c>
      <c r="Q454" s="16"/>
      <c r="R454" s="16"/>
      <c r="S454" s="16"/>
      <c r="T454" s="16"/>
      <c r="U454" s="16"/>
      <c r="V454" s="16"/>
      <c r="W454" s="16"/>
      <c r="X454" s="16"/>
      <c r="Y454" s="16"/>
      <c r="Z454" s="16"/>
    </row>
    <row r="455">
      <c r="A455" s="10">
        <v>40524.0</v>
      </c>
      <c r="B455" s="23">
        <v>1.7320831E8</v>
      </c>
      <c r="C455" s="12" t="s">
        <v>590</v>
      </c>
      <c r="D455" s="13" t="s">
        <v>18</v>
      </c>
      <c r="E455" s="13" t="s">
        <v>49</v>
      </c>
      <c r="F455" s="13">
        <v>28.0</v>
      </c>
      <c r="G455" s="13" t="s">
        <v>20</v>
      </c>
      <c r="H455" s="13" t="s">
        <v>28</v>
      </c>
      <c r="I455" s="14" t="s">
        <v>18</v>
      </c>
      <c r="J455" s="14" t="s">
        <v>29</v>
      </c>
      <c r="K455" s="14">
        <v>38.0</v>
      </c>
      <c r="L455" s="14" t="s">
        <v>23</v>
      </c>
      <c r="M455" s="14" t="s">
        <v>60</v>
      </c>
      <c r="N455" s="20"/>
      <c r="O455" s="14" t="s">
        <v>35</v>
      </c>
      <c r="P455" s="15" t="s">
        <v>591</v>
      </c>
      <c r="Q455" s="16"/>
      <c r="R455" s="16"/>
      <c r="S455" s="16"/>
      <c r="T455" s="16"/>
      <c r="U455" s="16"/>
      <c r="V455" s="16"/>
      <c r="W455" s="16"/>
      <c r="X455" s="16"/>
      <c r="Y455" s="16"/>
      <c r="Z455" s="16"/>
    </row>
    <row r="456">
      <c r="D456" s="13" t="s">
        <v>18</v>
      </c>
      <c r="E456" s="13" t="s">
        <v>49</v>
      </c>
      <c r="F456" s="13">
        <v>28.0</v>
      </c>
      <c r="G456" s="13" t="s">
        <v>20</v>
      </c>
      <c r="H456" s="13" t="s">
        <v>28</v>
      </c>
      <c r="I456" s="14" t="s">
        <v>18</v>
      </c>
      <c r="J456" s="14" t="s">
        <v>29</v>
      </c>
      <c r="K456" s="14">
        <v>29.0</v>
      </c>
      <c r="L456" s="14" t="s">
        <v>23</v>
      </c>
      <c r="M456" s="14" t="s">
        <v>60</v>
      </c>
      <c r="N456" s="20"/>
      <c r="O456" s="14" t="s">
        <v>35</v>
      </c>
      <c r="Q456" s="16"/>
      <c r="R456" s="16"/>
      <c r="S456" s="16"/>
      <c r="T456" s="16"/>
      <c r="U456" s="16"/>
      <c r="V456" s="16"/>
      <c r="W456" s="16"/>
      <c r="X456" s="16"/>
      <c r="Y456" s="16"/>
      <c r="Z456" s="16"/>
    </row>
    <row r="457">
      <c r="A457" s="10">
        <v>40512.0</v>
      </c>
      <c r="B457" s="23">
        <v>1.6769761E8</v>
      </c>
      <c r="C457" s="12" t="s">
        <v>592</v>
      </c>
      <c r="D457" s="13" t="s">
        <v>18</v>
      </c>
      <c r="E457" s="13" t="s">
        <v>19</v>
      </c>
      <c r="F457" s="13">
        <v>29.0</v>
      </c>
      <c r="G457" s="13" t="s">
        <v>20</v>
      </c>
      <c r="H457" s="13" t="s">
        <v>23</v>
      </c>
      <c r="I457" s="14" t="s">
        <v>18</v>
      </c>
      <c r="J457" s="14" t="s">
        <v>22</v>
      </c>
      <c r="K457" s="14">
        <v>39.0</v>
      </c>
      <c r="L457" s="14" t="s">
        <v>23</v>
      </c>
      <c r="M457" s="14" t="s">
        <v>24</v>
      </c>
      <c r="N457" s="20"/>
      <c r="O457" s="14" t="s">
        <v>35</v>
      </c>
      <c r="P457" s="15" t="s">
        <v>593</v>
      </c>
      <c r="Q457" s="16"/>
      <c r="R457" s="16"/>
      <c r="S457" s="16"/>
      <c r="T457" s="16"/>
      <c r="U457" s="16"/>
      <c r="V457" s="16"/>
      <c r="W457" s="16"/>
      <c r="X457" s="16"/>
      <c r="Y457" s="16"/>
      <c r="Z457" s="16"/>
    </row>
    <row r="458">
      <c r="I458" s="14" t="s">
        <v>18</v>
      </c>
      <c r="J458" s="14" t="s">
        <v>22</v>
      </c>
      <c r="K458" s="14">
        <v>54.0</v>
      </c>
      <c r="L458" s="14" t="s">
        <v>23</v>
      </c>
      <c r="M458" s="14" t="s">
        <v>24</v>
      </c>
      <c r="N458" s="20"/>
      <c r="O458" s="14" t="s">
        <v>35</v>
      </c>
      <c r="Q458" s="16"/>
      <c r="R458" s="16"/>
      <c r="S458" s="16"/>
      <c r="T458" s="16"/>
      <c r="U458" s="16"/>
      <c r="V458" s="16"/>
      <c r="W458" s="16"/>
      <c r="X458" s="16"/>
      <c r="Y458" s="16"/>
      <c r="Z458" s="16"/>
    </row>
    <row r="459">
      <c r="A459" s="10">
        <v>40504.0</v>
      </c>
      <c r="B459" s="23">
        <v>1.6421601E8</v>
      </c>
      <c r="C459" s="12" t="s">
        <v>594</v>
      </c>
      <c r="D459" s="13" t="s">
        <v>18</v>
      </c>
      <c r="E459" s="13" t="s">
        <v>29</v>
      </c>
      <c r="F459" s="13">
        <v>18.0</v>
      </c>
      <c r="G459" s="13" t="s">
        <v>20</v>
      </c>
      <c r="H459" s="13" t="s">
        <v>23</v>
      </c>
      <c r="I459" s="14" t="s">
        <v>18</v>
      </c>
      <c r="J459" s="14" t="s">
        <v>22</v>
      </c>
      <c r="K459" s="14">
        <v>26.0</v>
      </c>
      <c r="L459" s="14" t="s">
        <v>23</v>
      </c>
      <c r="M459" s="14" t="s">
        <v>24</v>
      </c>
      <c r="N459" s="20"/>
      <c r="O459" s="14">
        <v>1.0</v>
      </c>
      <c r="P459" s="15" t="s">
        <v>595</v>
      </c>
      <c r="Q459" s="16"/>
      <c r="R459" s="16"/>
      <c r="S459" s="16"/>
      <c r="T459" s="16"/>
      <c r="U459" s="16"/>
      <c r="V459" s="16"/>
      <c r="W459" s="16"/>
      <c r="X459" s="16"/>
      <c r="Y459" s="16"/>
      <c r="Z459" s="16"/>
    </row>
    <row r="460">
      <c r="A460" s="10">
        <v>40499.0</v>
      </c>
      <c r="B460" s="23">
        <v>1.6186821E8</v>
      </c>
      <c r="C460" s="12" t="s">
        <v>596</v>
      </c>
      <c r="D460" s="13" t="s">
        <v>18</v>
      </c>
      <c r="E460" s="13" t="s">
        <v>29</v>
      </c>
      <c r="F460" s="13">
        <v>29.0</v>
      </c>
      <c r="G460" s="13" t="s">
        <v>20</v>
      </c>
      <c r="H460" s="13" t="s">
        <v>28</v>
      </c>
      <c r="I460" s="14" t="s">
        <v>18</v>
      </c>
      <c r="J460" s="14" t="s">
        <v>22</v>
      </c>
      <c r="K460" s="14">
        <v>42.0</v>
      </c>
      <c r="L460" s="14" t="s">
        <v>23</v>
      </c>
      <c r="M460" s="14" t="s">
        <v>24</v>
      </c>
      <c r="N460" s="20"/>
      <c r="O460" s="14">
        <v>1.0</v>
      </c>
      <c r="P460" s="15" t="s">
        <v>597</v>
      </c>
      <c r="Q460" s="16"/>
      <c r="R460" s="16"/>
      <c r="S460" s="16"/>
      <c r="T460" s="16"/>
      <c r="U460" s="16"/>
      <c r="V460" s="16"/>
      <c r="W460" s="16"/>
      <c r="X460" s="16"/>
      <c r="Y460" s="16"/>
      <c r="Z460" s="16"/>
    </row>
    <row r="461">
      <c r="A461" s="10">
        <v>40490.0</v>
      </c>
      <c r="B461" s="23">
        <v>1.5780261E8</v>
      </c>
      <c r="C461" s="12" t="s">
        <v>598</v>
      </c>
      <c r="D461" s="13" t="s">
        <v>18</v>
      </c>
      <c r="E461" s="13" t="s">
        <v>29</v>
      </c>
      <c r="F461" s="13">
        <v>26.0</v>
      </c>
      <c r="G461" s="13" t="s">
        <v>34</v>
      </c>
      <c r="H461" s="13" t="s">
        <v>28</v>
      </c>
      <c r="I461" s="14" t="s">
        <v>18</v>
      </c>
      <c r="J461" s="14" t="s">
        <v>22</v>
      </c>
      <c r="K461" s="14">
        <v>26.0</v>
      </c>
      <c r="L461" s="14" t="s">
        <v>23</v>
      </c>
      <c r="M461" s="14" t="s">
        <v>24</v>
      </c>
      <c r="N461" s="20"/>
      <c r="O461" s="14" t="s">
        <v>35</v>
      </c>
      <c r="P461" s="15" t="s">
        <v>599</v>
      </c>
      <c r="Q461" s="16"/>
      <c r="R461" s="16"/>
      <c r="S461" s="16"/>
      <c r="T461" s="16"/>
      <c r="U461" s="16"/>
      <c r="V461" s="16"/>
      <c r="W461" s="16"/>
      <c r="X461" s="16"/>
      <c r="Y461" s="16"/>
      <c r="Z461" s="16"/>
    </row>
    <row r="462">
      <c r="A462" s="10">
        <v>40487.0</v>
      </c>
      <c r="B462" s="23">
        <v>1.5638571E8</v>
      </c>
      <c r="C462" s="12" t="s">
        <v>600</v>
      </c>
      <c r="D462" s="13" t="s">
        <v>18</v>
      </c>
      <c r="E462" s="13" t="s">
        <v>19</v>
      </c>
      <c r="F462" s="13">
        <v>20.0</v>
      </c>
      <c r="G462" s="13" t="s">
        <v>23</v>
      </c>
      <c r="H462" s="13" t="s">
        <v>152</v>
      </c>
      <c r="I462" s="14" t="s">
        <v>18</v>
      </c>
      <c r="J462" s="14" t="s">
        <v>22</v>
      </c>
      <c r="K462" s="14">
        <v>32.0</v>
      </c>
      <c r="L462" s="14" t="s">
        <v>23</v>
      </c>
      <c r="M462" s="14" t="s">
        <v>24</v>
      </c>
      <c r="N462" s="20"/>
      <c r="O462" s="14" t="s">
        <v>35</v>
      </c>
      <c r="P462" s="15" t="s">
        <v>601</v>
      </c>
      <c r="Q462" s="16"/>
      <c r="R462" s="16"/>
      <c r="S462" s="16"/>
      <c r="T462" s="16"/>
      <c r="U462" s="16"/>
      <c r="V462" s="16"/>
      <c r="W462" s="16"/>
      <c r="X462" s="16"/>
      <c r="Y462" s="16"/>
      <c r="Z462" s="16"/>
    </row>
    <row r="463">
      <c r="D463" s="13" t="s">
        <v>164</v>
      </c>
      <c r="E463" s="13" t="s">
        <v>164</v>
      </c>
      <c r="F463" s="13" t="s">
        <v>164</v>
      </c>
      <c r="G463" s="13" t="s">
        <v>20</v>
      </c>
      <c r="H463" s="13" t="s">
        <v>23</v>
      </c>
      <c r="I463" s="14" t="s">
        <v>18</v>
      </c>
      <c r="J463" s="14" t="s">
        <v>19</v>
      </c>
      <c r="K463" s="14">
        <v>34.0</v>
      </c>
      <c r="L463" s="14" t="s">
        <v>23</v>
      </c>
      <c r="M463" s="14" t="s">
        <v>24</v>
      </c>
      <c r="N463" s="20"/>
      <c r="O463" s="14" t="s">
        <v>35</v>
      </c>
      <c r="Q463" s="16"/>
      <c r="R463" s="16"/>
      <c r="S463" s="16"/>
      <c r="T463" s="16"/>
      <c r="U463" s="16"/>
      <c r="V463" s="16"/>
      <c r="W463" s="16"/>
      <c r="X463" s="16"/>
      <c r="Y463" s="16"/>
      <c r="Z463" s="16"/>
    </row>
    <row r="464">
      <c r="A464" s="10">
        <v>40486.0</v>
      </c>
      <c r="B464" s="23">
        <v>1.5586311E8</v>
      </c>
      <c r="C464" s="12" t="s">
        <v>602</v>
      </c>
      <c r="D464" s="13" t="s">
        <v>18</v>
      </c>
      <c r="E464" s="13" t="s">
        <v>29</v>
      </c>
      <c r="F464" s="13">
        <v>21.0</v>
      </c>
      <c r="G464" s="13" t="s">
        <v>20</v>
      </c>
      <c r="H464" s="13" t="s">
        <v>23</v>
      </c>
      <c r="I464" s="14" t="s">
        <v>18</v>
      </c>
      <c r="J464" s="14" t="s">
        <v>19</v>
      </c>
      <c r="K464" s="14">
        <v>33.0</v>
      </c>
      <c r="L464" s="14" t="s">
        <v>23</v>
      </c>
      <c r="M464" s="14" t="s">
        <v>24</v>
      </c>
      <c r="N464" s="20"/>
      <c r="O464" s="14" t="s">
        <v>35</v>
      </c>
      <c r="P464" s="15" t="s">
        <v>603</v>
      </c>
      <c r="Q464" s="16"/>
      <c r="R464" s="16"/>
      <c r="S464" s="16"/>
      <c r="T464" s="16"/>
      <c r="U464" s="16"/>
      <c r="V464" s="16"/>
      <c r="W464" s="16"/>
      <c r="X464" s="16"/>
      <c r="Y464" s="16"/>
      <c r="Z464" s="16"/>
    </row>
    <row r="465">
      <c r="A465" s="10">
        <v>40480.0</v>
      </c>
      <c r="B465" s="23">
        <v>1.5354601E8</v>
      </c>
      <c r="C465" s="12" t="s">
        <v>604</v>
      </c>
      <c r="D465" s="13" t="s">
        <v>18</v>
      </c>
      <c r="E465" s="13" t="s">
        <v>19</v>
      </c>
      <c r="F465" s="13">
        <v>25.0</v>
      </c>
      <c r="G465" s="13" t="s">
        <v>20</v>
      </c>
      <c r="H465" s="13" t="s">
        <v>23</v>
      </c>
      <c r="I465" s="14" t="s">
        <v>18</v>
      </c>
      <c r="J465" s="14" t="s">
        <v>29</v>
      </c>
      <c r="K465" s="14">
        <v>33.0</v>
      </c>
      <c r="L465" s="14" t="s">
        <v>23</v>
      </c>
      <c r="M465" s="14" t="s">
        <v>24</v>
      </c>
      <c r="N465" s="20"/>
      <c r="O465" s="14">
        <v>1.0</v>
      </c>
      <c r="P465" s="15" t="s">
        <v>605</v>
      </c>
      <c r="Q465" s="16"/>
      <c r="R465" s="16"/>
      <c r="S465" s="16"/>
      <c r="T465" s="16"/>
      <c r="U465" s="16"/>
      <c r="V465" s="16"/>
      <c r="W465" s="16"/>
      <c r="X465" s="16"/>
      <c r="Y465" s="16"/>
      <c r="Z465" s="16"/>
    </row>
    <row r="466">
      <c r="A466" s="10">
        <v>40477.0</v>
      </c>
      <c r="B466" s="23">
        <v>1.5160931E8</v>
      </c>
      <c r="C466" s="12" t="s">
        <v>174</v>
      </c>
      <c r="D466" s="13" t="s">
        <v>18</v>
      </c>
      <c r="E466" s="13" t="s">
        <v>19</v>
      </c>
      <c r="F466" s="13">
        <v>20.0</v>
      </c>
      <c r="G466" s="13" t="s">
        <v>20</v>
      </c>
      <c r="H466" s="13" t="s">
        <v>23</v>
      </c>
      <c r="I466" s="14" t="s">
        <v>18</v>
      </c>
      <c r="J466" s="14" t="s">
        <v>19</v>
      </c>
      <c r="K466" s="14">
        <v>31.0</v>
      </c>
      <c r="L466" s="14" t="s">
        <v>23</v>
      </c>
      <c r="M466" s="14" t="s">
        <v>60</v>
      </c>
      <c r="N466" s="20"/>
      <c r="O466" s="14">
        <v>1.0</v>
      </c>
      <c r="P466" s="15" t="s">
        <v>606</v>
      </c>
      <c r="Q466" s="16"/>
      <c r="R466" s="16"/>
      <c r="S466" s="16"/>
      <c r="T466" s="16"/>
      <c r="U466" s="16"/>
      <c r="V466" s="16"/>
      <c r="W466" s="16"/>
      <c r="X466" s="16"/>
      <c r="Y466" s="16"/>
      <c r="Z466" s="16"/>
    </row>
    <row r="467">
      <c r="A467" s="10">
        <v>40461.0</v>
      </c>
      <c r="B467" s="23">
        <v>1.4393531E8</v>
      </c>
      <c r="C467" s="12" t="s">
        <v>607</v>
      </c>
      <c r="D467" s="13" t="s">
        <v>18</v>
      </c>
      <c r="E467" s="13" t="s">
        <v>19</v>
      </c>
      <c r="F467" s="13">
        <v>21.0</v>
      </c>
      <c r="G467" s="13" t="s">
        <v>20</v>
      </c>
      <c r="H467" s="13" t="s">
        <v>28</v>
      </c>
      <c r="I467" s="14" t="s">
        <v>18</v>
      </c>
      <c r="J467" s="14" t="s">
        <v>45</v>
      </c>
      <c r="K467" s="14">
        <v>37.0</v>
      </c>
      <c r="L467" s="14" t="s">
        <v>23</v>
      </c>
      <c r="M467" s="14" t="s">
        <v>24</v>
      </c>
      <c r="N467" s="20"/>
      <c r="O467" s="14">
        <v>1.0</v>
      </c>
      <c r="P467" s="15" t="s">
        <v>608</v>
      </c>
      <c r="Q467" s="16"/>
      <c r="R467" s="16"/>
      <c r="S467" s="16"/>
      <c r="T467" s="16"/>
      <c r="U467" s="16"/>
      <c r="V467" s="16"/>
      <c r="W467" s="16"/>
      <c r="X467" s="16"/>
      <c r="Y467" s="16"/>
      <c r="Z467" s="16"/>
    </row>
    <row r="468">
      <c r="A468" s="10">
        <v>40442.0</v>
      </c>
      <c r="B468" s="23">
        <v>1.3499291E8</v>
      </c>
      <c r="C468" s="12" t="s">
        <v>609</v>
      </c>
      <c r="D468" s="13" t="s">
        <v>18</v>
      </c>
      <c r="E468" s="13" t="s">
        <v>29</v>
      </c>
      <c r="F468" s="13">
        <v>35.0</v>
      </c>
      <c r="G468" s="13" t="s">
        <v>23</v>
      </c>
      <c r="H468" s="13" t="s">
        <v>28</v>
      </c>
      <c r="I468" s="14" t="s">
        <v>18</v>
      </c>
      <c r="J468" s="14" t="s">
        <v>19</v>
      </c>
      <c r="K468" s="14">
        <v>40.0</v>
      </c>
      <c r="L468" s="14" t="s">
        <v>23</v>
      </c>
      <c r="M468" s="14" t="s">
        <v>60</v>
      </c>
      <c r="N468" s="20"/>
      <c r="O468" s="14">
        <v>1.0</v>
      </c>
      <c r="P468" s="15" t="s">
        <v>610</v>
      </c>
      <c r="Q468" s="16"/>
      <c r="R468" s="16"/>
      <c r="S468" s="16"/>
      <c r="T468" s="16"/>
      <c r="U468" s="16"/>
      <c r="V468" s="16"/>
      <c r="W468" s="16"/>
      <c r="X468" s="16"/>
      <c r="Y468" s="16"/>
      <c r="Z468" s="16"/>
    </row>
    <row r="469">
      <c r="A469" s="10">
        <v>40441.0</v>
      </c>
      <c r="B469" s="23">
        <v>1.3459401E8</v>
      </c>
      <c r="C469" s="12" t="s">
        <v>611</v>
      </c>
      <c r="D469" s="13" t="s">
        <v>18</v>
      </c>
      <c r="E469" s="13" t="s">
        <v>29</v>
      </c>
      <c r="F469" s="13">
        <v>34.0</v>
      </c>
      <c r="G469" s="13" t="s">
        <v>20</v>
      </c>
      <c r="H469" s="13" t="s">
        <v>152</v>
      </c>
      <c r="I469" s="14" t="s">
        <v>18</v>
      </c>
      <c r="J469" s="14" t="s">
        <v>22</v>
      </c>
      <c r="K469" s="14">
        <v>25.0</v>
      </c>
      <c r="L469" s="14" t="s">
        <v>23</v>
      </c>
      <c r="M469" s="14" t="s">
        <v>24</v>
      </c>
      <c r="N469" s="20"/>
      <c r="O469" s="14" t="s">
        <v>35</v>
      </c>
      <c r="P469" s="15" t="s">
        <v>612</v>
      </c>
      <c r="Q469" s="16"/>
      <c r="R469" s="16"/>
      <c r="S469" s="16"/>
      <c r="T469" s="16"/>
      <c r="U469" s="16"/>
      <c r="V469" s="16"/>
      <c r="W469" s="16"/>
      <c r="X469" s="16"/>
      <c r="Y469" s="16"/>
      <c r="Z469" s="16"/>
    </row>
    <row r="470">
      <c r="A470" s="10">
        <v>40424.0</v>
      </c>
      <c r="B470" s="23">
        <v>1.2570351E8</v>
      </c>
      <c r="C470" s="12" t="s">
        <v>174</v>
      </c>
      <c r="D470" s="13" t="s">
        <v>18</v>
      </c>
      <c r="E470" s="13" t="s">
        <v>19</v>
      </c>
      <c r="F470" s="13">
        <v>32.0</v>
      </c>
      <c r="G470" s="13" t="s">
        <v>34</v>
      </c>
      <c r="H470" s="13" t="s">
        <v>28</v>
      </c>
      <c r="I470" s="14" t="s">
        <v>18</v>
      </c>
      <c r="J470" s="14" t="s">
        <v>19</v>
      </c>
      <c r="K470" s="14">
        <v>43.0</v>
      </c>
      <c r="L470" s="14" t="s">
        <v>23</v>
      </c>
      <c r="M470" s="14" t="s">
        <v>60</v>
      </c>
      <c r="N470" s="20"/>
      <c r="O470" s="14">
        <v>1.0</v>
      </c>
      <c r="P470" s="15" t="s">
        <v>613</v>
      </c>
      <c r="Q470" s="16"/>
      <c r="R470" s="16"/>
      <c r="S470" s="16"/>
      <c r="T470" s="16"/>
      <c r="U470" s="16"/>
      <c r="V470" s="16"/>
      <c r="W470" s="16"/>
      <c r="X470" s="16"/>
      <c r="Y470" s="16"/>
      <c r="Z470" s="16"/>
    </row>
    <row r="471">
      <c r="D471" s="13" t="s">
        <v>18</v>
      </c>
      <c r="E471" s="13" t="s">
        <v>29</v>
      </c>
      <c r="F471" s="13">
        <v>29.0</v>
      </c>
      <c r="G471" s="13" t="s">
        <v>20</v>
      </c>
      <c r="H471" s="13" t="s">
        <v>152</v>
      </c>
      <c r="I471" s="14" t="s">
        <v>18</v>
      </c>
      <c r="J471" s="14" t="s">
        <v>45</v>
      </c>
      <c r="K471" s="14">
        <v>25.0</v>
      </c>
      <c r="L471" s="14" t="s">
        <v>23</v>
      </c>
      <c r="M471" s="14" t="s">
        <v>60</v>
      </c>
      <c r="N471" s="20"/>
      <c r="O471" s="14">
        <v>1.0</v>
      </c>
      <c r="Q471" s="16"/>
      <c r="R471" s="16"/>
      <c r="S471" s="16"/>
      <c r="T471" s="16"/>
      <c r="U471" s="16"/>
      <c r="V471" s="16"/>
      <c r="W471" s="16"/>
      <c r="X471" s="16"/>
      <c r="Y471" s="16"/>
      <c r="Z471" s="16"/>
    </row>
    <row r="472">
      <c r="A472" s="10">
        <v>40403.0</v>
      </c>
      <c r="B472" s="23">
        <v>1.1561211E8</v>
      </c>
      <c r="C472" s="12" t="s">
        <v>614</v>
      </c>
      <c r="D472" s="13" t="s">
        <v>18</v>
      </c>
      <c r="E472" s="13" t="s">
        <v>22</v>
      </c>
      <c r="F472" s="13">
        <v>44.0</v>
      </c>
      <c r="G472" s="13" t="s">
        <v>23</v>
      </c>
      <c r="H472" s="13" t="s">
        <v>28</v>
      </c>
      <c r="I472" s="14" t="s">
        <v>18</v>
      </c>
      <c r="J472" s="14" t="s">
        <v>22</v>
      </c>
      <c r="K472" s="14">
        <v>30.0</v>
      </c>
      <c r="L472" s="14" t="s">
        <v>23</v>
      </c>
      <c r="M472" s="14" t="s">
        <v>24</v>
      </c>
      <c r="N472" s="20"/>
      <c r="O472" s="14">
        <v>1.0</v>
      </c>
      <c r="P472" s="15" t="s">
        <v>615</v>
      </c>
      <c r="Q472" s="16"/>
      <c r="R472" s="16"/>
      <c r="S472" s="16"/>
      <c r="T472" s="16"/>
      <c r="U472" s="16"/>
      <c r="V472" s="16"/>
      <c r="W472" s="16"/>
      <c r="X472" s="16"/>
      <c r="Y472" s="16"/>
      <c r="Z472" s="16"/>
    </row>
    <row r="473">
      <c r="I473" s="14" t="s">
        <v>84</v>
      </c>
      <c r="J473" s="14" t="s">
        <v>22</v>
      </c>
      <c r="K473" s="14">
        <v>37.0</v>
      </c>
      <c r="L473" s="14" t="s">
        <v>23</v>
      </c>
      <c r="M473" s="14" t="s">
        <v>24</v>
      </c>
      <c r="N473" s="20"/>
      <c r="O473" s="14">
        <v>1.0</v>
      </c>
      <c r="Q473" s="16"/>
      <c r="R473" s="16"/>
      <c r="S473" s="16"/>
      <c r="T473" s="16"/>
      <c r="U473" s="16"/>
      <c r="V473" s="16"/>
      <c r="W473" s="16"/>
      <c r="X473" s="16"/>
      <c r="Y473" s="16"/>
      <c r="Z473" s="16"/>
    </row>
    <row r="474">
      <c r="A474" s="10">
        <v>40399.0</v>
      </c>
      <c r="B474" s="23">
        <v>1.1381551E8</v>
      </c>
      <c r="C474" s="12" t="s">
        <v>616</v>
      </c>
      <c r="D474" s="13" t="s">
        <v>18</v>
      </c>
      <c r="E474" s="13" t="s">
        <v>19</v>
      </c>
      <c r="F474" s="13">
        <v>40.0</v>
      </c>
      <c r="G474" s="13" t="s">
        <v>23</v>
      </c>
      <c r="H474" s="13" t="s">
        <v>617</v>
      </c>
      <c r="I474" s="14" t="s">
        <v>18</v>
      </c>
      <c r="J474" s="14" t="s">
        <v>19</v>
      </c>
      <c r="K474" s="14">
        <v>41.0</v>
      </c>
      <c r="L474" s="14" t="s">
        <v>23</v>
      </c>
      <c r="M474" s="14" t="s">
        <v>24</v>
      </c>
      <c r="N474" s="20"/>
      <c r="O474" s="14">
        <v>1.0</v>
      </c>
      <c r="P474" s="15" t="s">
        <v>618</v>
      </c>
      <c r="Q474" s="16"/>
      <c r="R474" s="16"/>
      <c r="S474" s="16"/>
      <c r="T474" s="16"/>
      <c r="U474" s="16"/>
      <c r="V474" s="16"/>
      <c r="W474" s="16"/>
      <c r="X474" s="16"/>
      <c r="Y474" s="16"/>
      <c r="Z474" s="16"/>
    </row>
    <row r="475">
      <c r="A475" s="10">
        <v>40381.0</v>
      </c>
      <c r="B475" s="23">
        <v>1.0521431E8</v>
      </c>
      <c r="C475" s="12" t="s">
        <v>619</v>
      </c>
      <c r="D475" s="13" t="s">
        <v>18</v>
      </c>
      <c r="E475" s="13" t="s">
        <v>19</v>
      </c>
      <c r="F475" s="13" t="s">
        <v>157</v>
      </c>
      <c r="G475" s="13" t="s">
        <v>23</v>
      </c>
      <c r="H475" s="13" t="s">
        <v>140</v>
      </c>
      <c r="I475" s="14" t="s">
        <v>18</v>
      </c>
      <c r="J475" s="14" t="s">
        <v>29</v>
      </c>
      <c r="K475" s="14">
        <v>40.0</v>
      </c>
      <c r="L475" s="14" t="s">
        <v>23</v>
      </c>
      <c r="M475" s="14" t="s">
        <v>60</v>
      </c>
      <c r="N475" s="20"/>
      <c r="O475" s="14">
        <v>1.0</v>
      </c>
      <c r="P475" s="15" t="s">
        <v>620</v>
      </c>
      <c r="Q475" s="16"/>
      <c r="R475" s="16"/>
      <c r="S475" s="16"/>
      <c r="T475" s="16"/>
      <c r="U475" s="16"/>
      <c r="V475" s="16"/>
      <c r="W475" s="16"/>
      <c r="X475" s="16"/>
      <c r="Y475" s="16"/>
      <c r="Z475" s="16"/>
    </row>
    <row r="476">
      <c r="A476" s="10">
        <v>40323.0</v>
      </c>
      <c r="B476" s="23">
        <v>7.557021E7</v>
      </c>
      <c r="C476" s="12" t="s">
        <v>174</v>
      </c>
      <c r="D476" s="13" t="s">
        <v>18</v>
      </c>
      <c r="E476" s="13" t="s">
        <v>29</v>
      </c>
      <c r="F476" s="13">
        <v>21.0</v>
      </c>
      <c r="G476" s="13" t="s">
        <v>20</v>
      </c>
      <c r="H476" s="13" t="s">
        <v>23</v>
      </c>
      <c r="I476" s="14" t="s">
        <v>18</v>
      </c>
      <c r="J476" s="14" t="s">
        <v>22</v>
      </c>
      <c r="K476" s="14">
        <v>32.0</v>
      </c>
      <c r="L476" s="14" t="s">
        <v>23</v>
      </c>
      <c r="M476" s="14" t="s">
        <v>60</v>
      </c>
      <c r="N476" s="20"/>
      <c r="O476" s="14">
        <v>1.0</v>
      </c>
      <c r="P476" s="15" t="s">
        <v>621</v>
      </c>
      <c r="Q476" s="16"/>
      <c r="R476" s="16"/>
      <c r="S476" s="16"/>
      <c r="T476" s="16"/>
      <c r="U476" s="16"/>
      <c r="V476" s="16"/>
      <c r="W476" s="16"/>
      <c r="X476" s="16"/>
      <c r="Y476" s="16"/>
      <c r="Z476" s="16"/>
    </row>
    <row r="477">
      <c r="A477" s="10">
        <v>40318.0</v>
      </c>
      <c r="B477" s="23">
        <v>7.274291E7</v>
      </c>
      <c r="C477" s="12" t="s">
        <v>622</v>
      </c>
      <c r="D477" s="13" t="s">
        <v>18</v>
      </c>
      <c r="E477" s="13" t="s">
        <v>29</v>
      </c>
      <c r="F477" s="13">
        <v>37.0</v>
      </c>
      <c r="G477" s="13" t="s">
        <v>20</v>
      </c>
      <c r="H477" s="13" t="s">
        <v>28</v>
      </c>
      <c r="I477" s="14" t="s">
        <v>18</v>
      </c>
      <c r="J477" s="14" t="s">
        <v>29</v>
      </c>
      <c r="K477" s="14">
        <v>40.0</v>
      </c>
      <c r="L477" s="14" t="s">
        <v>23</v>
      </c>
      <c r="M477" s="14" t="s">
        <v>24</v>
      </c>
      <c r="N477" s="20"/>
      <c r="O477" s="14" t="s">
        <v>35</v>
      </c>
      <c r="P477" s="15" t="s">
        <v>623</v>
      </c>
      <c r="Q477" s="16"/>
      <c r="R477" s="16"/>
      <c r="S477" s="16"/>
      <c r="T477" s="16"/>
      <c r="U477" s="16"/>
      <c r="V477" s="16"/>
      <c r="W477" s="16"/>
      <c r="X477" s="16"/>
      <c r="Y477" s="16"/>
      <c r="Z477" s="16"/>
    </row>
    <row r="478">
      <c r="I478" s="14" t="s">
        <v>18</v>
      </c>
      <c r="J478" s="14" t="s">
        <v>29</v>
      </c>
      <c r="K478" s="14">
        <v>38.0</v>
      </c>
      <c r="L478" s="14" t="s">
        <v>23</v>
      </c>
      <c r="M478" s="14" t="s">
        <v>24</v>
      </c>
      <c r="N478" s="20"/>
      <c r="O478" s="14" t="s">
        <v>35</v>
      </c>
      <c r="Q478" s="16"/>
      <c r="R478" s="16"/>
      <c r="S478" s="16"/>
      <c r="T478" s="16"/>
      <c r="U478" s="16"/>
      <c r="V478" s="16"/>
      <c r="W478" s="16"/>
      <c r="X478" s="16"/>
      <c r="Y478" s="16"/>
      <c r="Z478" s="16"/>
    </row>
    <row r="479">
      <c r="A479" s="10">
        <v>40314.0</v>
      </c>
      <c r="B479" s="23">
        <v>7.046971E7</v>
      </c>
      <c r="C479" s="12" t="s">
        <v>624</v>
      </c>
      <c r="D479" s="13" t="s">
        <v>18</v>
      </c>
      <c r="E479" s="13" t="s">
        <v>29</v>
      </c>
      <c r="F479" s="13">
        <v>37.0</v>
      </c>
      <c r="G479" s="13" t="s">
        <v>20</v>
      </c>
      <c r="H479" s="13" t="s">
        <v>28</v>
      </c>
      <c r="I479" s="14" t="s">
        <v>18</v>
      </c>
      <c r="J479" s="14" t="s">
        <v>19</v>
      </c>
      <c r="K479" s="14">
        <v>28.0</v>
      </c>
      <c r="L479" s="14" t="s">
        <v>23</v>
      </c>
      <c r="M479" s="14" t="s">
        <v>24</v>
      </c>
      <c r="N479" s="20"/>
      <c r="O479" s="14">
        <v>1.0</v>
      </c>
      <c r="P479" s="15" t="s">
        <v>625</v>
      </c>
      <c r="Q479" s="16"/>
      <c r="R479" s="16"/>
      <c r="S479" s="16"/>
      <c r="T479" s="16"/>
      <c r="U479" s="16"/>
      <c r="V479" s="16"/>
      <c r="W479" s="16"/>
      <c r="X479" s="16"/>
      <c r="Y479" s="16"/>
      <c r="Z479" s="16"/>
    </row>
    <row r="480">
      <c r="A480" s="10">
        <v>40287.0</v>
      </c>
      <c r="B480" s="23">
        <v>5.605091E7</v>
      </c>
      <c r="C480" s="12" t="s">
        <v>626</v>
      </c>
      <c r="D480" s="13" t="s">
        <v>18</v>
      </c>
      <c r="E480" s="13" t="s">
        <v>29</v>
      </c>
      <c r="F480" s="13">
        <v>18.0</v>
      </c>
      <c r="G480" s="13" t="s">
        <v>34</v>
      </c>
      <c r="H480" s="13" t="s">
        <v>28</v>
      </c>
      <c r="I480" s="14" t="s">
        <v>18</v>
      </c>
      <c r="J480" s="14" t="s">
        <v>19</v>
      </c>
      <c r="K480" s="14">
        <v>40.0</v>
      </c>
      <c r="L480" s="14" t="s">
        <v>23</v>
      </c>
      <c r="M480" s="14" t="s">
        <v>60</v>
      </c>
      <c r="N480" s="20"/>
      <c r="O480" s="14">
        <v>1.0</v>
      </c>
      <c r="P480" s="15" t="s">
        <v>627</v>
      </c>
      <c r="Q480" s="16"/>
      <c r="R480" s="16"/>
      <c r="S480" s="16"/>
      <c r="T480" s="16"/>
      <c r="U480" s="16"/>
      <c r="V480" s="16"/>
      <c r="W480" s="16"/>
      <c r="X480" s="16"/>
      <c r="Y480" s="16"/>
      <c r="Z480" s="16"/>
    </row>
    <row r="481">
      <c r="A481" s="10">
        <v>40283.0</v>
      </c>
      <c r="B481" s="23">
        <v>5.346431E7</v>
      </c>
      <c r="C481" s="12" t="s">
        <v>628</v>
      </c>
      <c r="D481" s="13" t="s">
        <v>18</v>
      </c>
      <c r="E481" s="13" t="s">
        <v>29</v>
      </c>
      <c r="F481" s="13">
        <v>30.0</v>
      </c>
      <c r="G481" s="13" t="s">
        <v>20</v>
      </c>
      <c r="H481" s="13" t="s">
        <v>38</v>
      </c>
      <c r="I481" s="14" t="s">
        <v>18</v>
      </c>
      <c r="J481" s="14" t="s">
        <v>19</v>
      </c>
      <c r="K481" s="14">
        <v>46.0</v>
      </c>
      <c r="L481" s="14" t="s">
        <v>23</v>
      </c>
      <c r="M481" s="14" t="s">
        <v>24</v>
      </c>
      <c r="N481" s="20"/>
      <c r="O481" s="14">
        <v>1.0</v>
      </c>
      <c r="P481" s="15" t="s">
        <v>629</v>
      </c>
      <c r="Q481" s="16"/>
      <c r="R481" s="16"/>
      <c r="S481" s="16"/>
      <c r="T481" s="16"/>
      <c r="U481" s="16"/>
      <c r="V481" s="16"/>
      <c r="W481" s="16"/>
      <c r="X481" s="16"/>
      <c r="Y481" s="16"/>
      <c r="Z481" s="16"/>
    </row>
    <row r="482">
      <c r="A482" s="10">
        <v>40270.0</v>
      </c>
      <c r="B482" s="23">
        <v>4.698501E7</v>
      </c>
      <c r="C482" s="12" t="s">
        <v>174</v>
      </c>
      <c r="D482" s="13" t="s">
        <v>18</v>
      </c>
      <c r="E482" s="13" t="s">
        <v>19</v>
      </c>
      <c r="F482" s="13">
        <v>35.0</v>
      </c>
      <c r="G482" s="13" t="s">
        <v>20</v>
      </c>
      <c r="H482" s="13" t="s">
        <v>186</v>
      </c>
      <c r="I482" s="14" t="s">
        <v>18</v>
      </c>
      <c r="J482" s="14" t="s">
        <v>19</v>
      </c>
      <c r="K482" s="14">
        <v>25.0</v>
      </c>
      <c r="L482" s="14" t="s">
        <v>23</v>
      </c>
      <c r="M482" s="14" t="s">
        <v>60</v>
      </c>
      <c r="N482" s="20"/>
      <c r="O482" s="14">
        <v>1.0</v>
      </c>
      <c r="P482" s="15" t="s">
        <v>630</v>
      </c>
      <c r="Q482" s="16"/>
      <c r="R482" s="16"/>
      <c r="S482" s="16"/>
      <c r="T482" s="16"/>
      <c r="U482" s="16"/>
      <c r="V482" s="16"/>
      <c r="W482" s="16"/>
      <c r="X482" s="16"/>
      <c r="Y482" s="16"/>
      <c r="Z482" s="16"/>
    </row>
    <row r="483">
      <c r="A483" s="10">
        <v>40264.0</v>
      </c>
      <c r="B483" s="23">
        <v>4.328711E7</v>
      </c>
      <c r="C483" s="12" t="s">
        <v>631</v>
      </c>
      <c r="D483" s="13" t="s">
        <v>18</v>
      </c>
      <c r="E483" s="13" t="s">
        <v>19</v>
      </c>
      <c r="F483" s="13">
        <v>28.0</v>
      </c>
      <c r="G483" s="13" t="s">
        <v>34</v>
      </c>
      <c r="H483" s="13" t="s">
        <v>28</v>
      </c>
      <c r="I483" s="14" t="s">
        <v>18</v>
      </c>
      <c r="J483" s="14" t="s">
        <v>22</v>
      </c>
      <c r="K483" s="14">
        <v>45.0</v>
      </c>
      <c r="L483" s="14" t="s">
        <v>23</v>
      </c>
      <c r="M483" s="14" t="s">
        <v>24</v>
      </c>
      <c r="N483" s="20"/>
      <c r="O483" s="14" t="s">
        <v>35</v>
      </c>
      <c r="P483" s="15" t="s">
        <v>632</v>
      </c>
      <c r="Q483" s="16"/>
      <c r="R483" s="16"/>
      <c r="S483" s="16"/>
      <c r="T483" s="16"/>
      <c r="U483" s="16"/>
      <c r="V483" s="16"/>
      <c r="W483" s="16"/>
      <c r="X483" s="16"/>
      <c r="Y483" s="16"/>
      <c r="Z483" s="16"/>
    </row>
    <row r="484">
      <c r="I484" s="14" t="s">
        <v>18</v>
      </c>
      <c r="J484" s="14" t="s">
        <v>22</v>
      </c>
      <c r="K484" s="14">
        <v>47.0</v>
      </c>
      <c r="L484" s="14" t="s">
        <v>23</v>
      </c>
      <c r="M484" s="14" t="s">
        <v>24</v>
      </c>
      <c r="N484" s="20"/>
      <c r="O484" s="14" t="s">
        <v>35</v>
      </c>
      <c r="Q484" s="16"/>
      <c r="R484" s="16"/>
      <c r="S484" s="16"/>
      <c r="T484" s="16"/>
      <c r="U484" s="16"/>
      <c r="V484" s="16"/>
      <c r="W484" s="16"/>
      <c r="X484" s="16"/>
      <c r="Y484" s="16"/>
      <c r="Z484" s="16"/>
    </row>
    <row r="485">
      <c r="A485" s="10">
        <v>40256.0</v>
      </c>
      <c r="B485" s="23">
        <v>3.953671E7</v>
      </c>
      <c r="C485" s="12" t="s">
        <v>633</v>
      </c>
      <c r="D485" s="13" t="s">
        <v>18</v>
      </c>
      <c r="E485" s="13" t="s">
        <v>29</v>
      </c>
      <c r="F485" s="13">
        <v>21.0</v>
      </c>
      <c r="G485" s="13" t="s">
        <v>34</v>
      </c>
      <c r="H485" s="13" t="s">
        <v>28</v>
      </c>
      <c r="I485" s="14" t="s">
        <v>18</v>
      </c>
      <c r="J485" s="14" t="s">
        <v>22</v>
      </c>
      <c r="K485" s="14">
        <v>33.0</v>
      </c>
      <c r="L485" s="14" t="s">
        <v>23</v>
      </c>
      <c r="M485" s="14" t="s">
        <v>24</v>
      </c>
      <c r="N485" s="20"/>
      <c r="O485" s="14" t="s">
        <v>35</v>
      </c>
      <c r="P485" s="15" t="s">
        <v>634</v>
      </c>
      <c r="Q485" s="16"/>
      <c r="R485" s="16"/>
      <c r="S485" s="16"/>
      <c r="T485" s="16"/>
      <c r="U485" s="16"/>
      <c r="V485" s="16"/>
      <c r="W485" s="16"/>
      <c r="X485" s="16"/>
      <c r="Y485" s="16"/>
      <c r="Z485" s="16"/>
    </row>
    <row r="486">
      <c r="A486" s="10">
        <v>40244.0</v>
      </c>
      <c r="B486" s="23">
        <v>3.313741E7</v>
      </c>
      <c r="C486" s="12" t="s">
        <v>635</v>
      </c>
      <c r="D486" s="13" t="s">
        <v>18</v>
      </c>
      <c r="E486" s="13" t="s">
        <v>19</v>
      </c>
      <c r="F486" s="13">
        <v>28.0</v>
      </c>
      <c r="G486" s="13" t="s">
        <v>20</v>
      </c>
      <c r="H486" s="13" t="s">
        <v>28</v>
      </c>
      <c r="I486" s="14" t="s">
        <v>18</v>
      </c>
      <c r="J486" s="14" t="s">
        <v>22</v>
      </c>
      <c r="K486" s="14">
        <v>35.0</v>
      </c>
      <c r="L486" s="14" t="s">
        <v>23</v>
      </c>
      <c r="M486" s="14" t="s">
        <v>24</v>
      </c>
      <c r="N486" s="20"/>
      <c r="O486" s="14">
        <v>1.0</v>
      </c>
      <c r="P486" s="15" t="s">
        <v>636</v>
      </c>
      <c r="Q486" s="16"/>
      <c r="R486" s="16"/>
      <c r="S486" s="16"/>
      <c r="T486" s="16"/>
      <c r="U486" s="16"/>
      <c r="V486" s="16"/>
      <c r="W486" s="16"/>
      <c r="X486" s="16"/>
      <c r="Y486" s="16"/>
      <c r="Z486" s="16"/>
    </row>
    <row r="487">
      <c r="I487" s="14" t="s">
        <v>18</v>
      </c>
      <c r="J487" s="14" t="s">
        <v>22</v>
      </c>
      <c r="K487" s="14">
        <v>44.0</v>
      </c>
      <c r="L487" s="14" t="s">
        <v>23</v>
      </c>
      <c r="M487" s="14" t="s">
        <v>24</v>
      </c>
      <c r="N487" s="20"/>
      <c r="O487" s="14">
        <v>1.0</v>
      </c>
      <c r="Q487" s="16"/>
      <c r="R487" s="16"/>
      <c r="S487" s="16"/>
      <c r="T487" s="16"/>
      <c r="U487" s="16"/>
      <c r="V487" s="16"/>
      <c r="W487" s="16"/>
      <c r="X487" s="16"/>
      <c r="Y487" s="16"/>
      <c r="Z487" s="16"/>
    </row>
    <row r="488">
      <c r="I488" s="14" t="s">
        <v>18</v>
      </c>
      <c r="J488" s="14" t="s">
        <v>19</v>
      </c>
      <c r="K488" s="14">
        <v>41.0</v>
      </c>
      <c r="L488" s="14" t="s">
        <v>23</v>
      </c>
      <c r="M488" s="14" t="s">
        <v>24</v>
      </c>
      <c r="N488" s="20"/>
      <c r="O488" s="14">
        <v>1.0</v>
      </c>
      <c r="Q488" s="16"/>
      <c r="R488" s="16"/>
      <c r="S488" s="16"/>
      <c r="T488" s="16"/>
      <c r="U488" s="16"/>
      <c r="V488" s="16"/>
      <c r="W488" s="16"/>
      <c r="X488" s="16"/>
      <c r="Y488" s="16"/>
      <c r="Z488" s="16"/>
    </row>
    <row r="489">
      <c r="A489" s="10">
        <v>40233.0</v>
      </c>
      <c r="B489" s="23">
        <v>2.748111E7</v>
      </c>
      <c r="C489" s="12" t="s">
        <v>637</v>
      </c>
      <c r="D489" s="13" t="s">
        <v>18</v>
      </c>
      <c r="E489" s="13" t="s">
        <v>29</v>
      </c>
      <c r="F489" s="13">
        <v>41.0</v>
      </c>
      <c r="G489" s="13" t="s">
        <v>20</v>
      </c>
      <c r="H489" s="13" t="s">
        <v>23</v>
      </c>
      <c r="I489" s="14" t="s">
        <v>18</v>
      </c>
      <c r="J489" s="14" t="s">
        <v>29</v>
      </c>
      <c r="K489" s="14">
        <v>43.0</v>
      </c>
      <c r="L489" s="14" t="s">
        <v>23</v>
      </c>
      <c r="M489" s="14" t="s">
        <v>24</v>
      </c>
      <c r="N489" s="20"/>
      <c r="O489" s="14">
        <v>1.0</v>
      </c>
      <c r="P489" s="15" t="s">
        <v>638</v>
      </c>
      <c r="Q489" s="16"/>
      <c r="R489" s="16"/>
      <c r="S489" s="16"/>
      <c r="T489" s="16"/>
      <c r="U489" s="16"/>
      <c r="V489" s="16"/>
      <c r="W489" s="16"/>
      <c r="X489" s="16"/>
      <c r="Y489" s="16"/>
      <c r="Z489" s="16"/>
    </row>
    <row r="490">
      <c r="A490" s="10">
        <v>40217.0</v>
      </c>
      <c r="B490" s="23">
        <v>1.918651E7</v>
      </c>
      <c r="C490" s="12" t="s">
        <v>174</v>
      </c>
      <c r="D490" s="13" t="s">
        <v>18</v>
      </c>
      <c r="E490" s="13" t="s">
        <v>29</v>
      </c>
      <c r="F490" s="13">
        <v>19.0</v>
      </c>
      <c r="G490" s="13" t="s">
        <v>23</v>
      </c>
      <c r="H490" s="13" t="s">
        <v>28</v>
      </c>
      <c r="I490" s="14" t="s">
        <v>18</v>
      </c>
      <c r="J490" s="14" t="s">
        <v>49</v>
      </c>
      <c r="K490" s="14">
        <v>40.0</v>
      </c>
      <c r="L490" s="14" t="s">
        <v>20</v>
      </c>
      <c r="M490" s="14" t="s">
        <v>60</v>
      </c>
      <c r="N490" s="20"/>
      <c r="O490" s="14">
        <v>1.0</v>
      </c>
      <c r="P490" s="15" t="s">
        <v>639</v>
      </c>
      <c r="Q490" s="16"/>
      <c r="R490" s="16"/>
      <c r="S490" s="16"/>
      <c r="T490" s="16"/>
      <c r="U490" s="16"/>
      <c r="V490" s="16"/>
      <c r="W490" s="16"/>
      <c r="X490" s="16"/>
      <c r="Y490" s="16"/>
      <c r="Z490" s="16"/>
    </row>
    <row r="491">
      <c r="D491" s="13" t="s">
        <v>164</v>
      </c>
      <c r="E491" s="13" t="s">
        <v>164</v>
      </c>
      <c r="F491" s="13" t="s">
        <v>164</v>
      </c>
      <c r="G491" s="13" t="s">
        <v>23</v>
      </c>
      <c r="H491" s="13" t="s">
        <v>23</v>
      </c>
      <c r="N491" s="20"/>
      <c r="Q491" s="16"/>
      <c r="R491" s="16"/>
      <c r="S491" s="16"/>
      <c r="T491" s="16"/>
      <c r="U491" s="16"/>
      <c r="V491" s="16"/>
      <c r="W491" s="16"/>
      <c r="X491" s="16"/>
      <c r="Y491" s="16"/>
      <c r="Z491" s="16"/>
    </row>
    <row r="492">
      <c r="A492" s="10">
        <v>40213.0</v>
      </c>
      <c r="B492" s="23">
        <v>1.733351E7</v>
      </c>
      <c r="C492" s="12" t="s">
        <v>640</v>
      </c>
      <c r="D492" s="13" t="s">
        <v>18</v>
      </c>
      <c r="E492" s="13" t="s">
        <v>29</v>
      </c>
      <c r="F492" s="13">
        <v>29.0</v>
      </c>
      <c r="G492" s="13" t="s">
        <v>23</v>
      </c>
      <c r="H492" s="13" t="s">
        <v>28</v>
      </c>
      <c r="I492" s="14" t="s">
        <v>18</v>
      </c>
      <c r="J492" s="14" t="s">
        <v>19</v>
      </c>
      <c r="K492" s="14">
        <v>25.0</v>
      </c>
      <c r="L492" s="14" t="s">
        <v>23</v>
      </c>
      <c r="M492" s="14" t="s">
        <v>24</v>
      </c>
      <c r="N492" s="20"/>
      <c r="O492" s="14" t="s">
        <v>35</v>
      </c>
      <c r="P492" s="15" t="s">
        <v>641</v>
      </c>
      <c r="Q492" s="16"/>
      <c r="R492" s="16"/>
      <c r="S492" s="16"/>
      <c r="T492" s="16"/>
      <c r="U492" s="16"/>
      <c r="V492" s="16"/>
      <c r="W492" s="16"/>
      <c r="X492" s="16"/>
      <c r="Y492" s="16"/>
      <c r="Z492" s="16"/>
    </row>
    <row r="493">
      <c r="A493" s="10">
        <v>40196.0</v>
      </c>
      <c r="B493" s="23">
        <v>8120910.0</v>
      </c>
      <c r="C493" s="12" t="s">
        <v>642</v>
      </c>
      <c r="D493" s="13" t="s">
        <v>18</v>
      </c>
      <c r="E493" s="13" t="s">
        <v>19</v>
      </c>
      <c r="F493" s="13">
        <v>23.0</v>
      </c>
      <c r="G493" s="13" t="s">
        <v>20</v>
      </c>
      <c r="H493" s="13" t="s">
        <v>28</v>
      </c>
      <c r="I493" s="14" t="s">
        <v>18</v>
      </c>
      <c r="J493" s="14" t="s">
        <v>19</v>
      </c>
      <c r="K493" s="14">
        <v>35.0</v>
      </c>
      <c r="L493" s="14" t="s">
        <v>23</v>
      </c>
      <c r="M493" s="14" t="s">
        <v>60</v>
      </c>
      <c r="N493" s="20"/>
      <c r="O493" s="14" t="s">
        <v>35</v>
      </c>
      <c r="P493" s="15" t="s">
        <v>643</v>
      </c>
      <c r="Q493" s="16"/>
      <c r="R493" s="16"/>
      <c r="S493" s="16"/>
      <c r="T493" s="16"/>
      <c r="U493" s="16"/>
      <c r="V493" s="16"/>
      <c r="W493" s="16"/>
      <c r="X493" s="16"/>
      <c r="Y493" s="16"/>
      <c r="Z493" s="16"/>
    </row>
    <row r="494">
      <c r="I494" s="14" t="s">
        <v>18</v>
      </c>
      <c r="J494" s="14" t="s">
        <v>19</v>
      </c>
      <c r="K494" s="14">
        <v>37.0</v>
      </c>
      <c r="L494" s="14" t="s">
        <v>23</v>
      </c>
      <c r="M494" s="14" t="s">
        <v>60</v>
      </c>
      <c r="N494" s="20"/>
      <c r="O494" s="14" t="s">
        <v>35</v>
      </c>
      <c r="Q494" s="16"/>
      <c r="R494" s="16"/>
      <c r="S494" s="16"/>
      <c r="T494" s="16"/>
      <c r="U494" s="16"/>
      <c r="V494" s="16"/>
      <c r="W494" s="16"/>
      <c r="X494" s="16"/>
      <c r="Y494" s="16"/>
      <c r="Z494" s="16"/>
    </row>
    <row r="495">
      <c r="A495" s="10">
        <v>40193.0</v>
      </c>
      <c r="B495" s="23">
        <v>7098810.0</v>
      </c>
      <c r="C495" s="12" t="s">
        <v>644</v>
      </c>
      <c r="D495" s="13" t="s">
        <v>18</v>
      </c>
      <c r="E495" s="13" t="s">
        <v>29</v>
      </c>
      <c r="F495" s="13">
        <v>69.0</v>
      </c>
      <c r="G495" s="13" t="s">
        <v>34</v>
      </c>
      <c r="H495" s="13" t="s">
        <v>28</v>
      </c>
      <c r="I495" s="14" t="s">
        <v>18</v>
      </c>
      <c r="J495" s="14" t="s">
        <v>22</v>
      </c>
      <c r="K495" s="14">
        <v>32.0</v>
      </c>
      <c r="L495" s="14" t="s">
        <v>23</v>
      </c>
      <c r="M495" s="14" t="s">
        <v>24</v>
      </c>
      <c r="N495" s="20"/>
      <c r="O495" s="14" t="s">
        <v>35</v>
      </c>
      <c r="P495" s="15" t="s">
        <v>645</v>
      </c>
      <c r="Q495" s="16"/>
      <c r="R495" s="16"/>
      <c r="S495" s="16"/>
      <c r="T495" s="16"/>
      <c r="U495" s="16"/>
      <c r="V495" s="16"/>
      <c r="W495" s="16"/>
      <c r="X495" s="16"/>
      <c r="Y495" s="16"/>
      <c r="Z495" s="16"/>
    </row>
    <row r="496">
      <c r="A496" s="10">
        <v>40168.0</v>
      </c>
      <c r="B496" s="23">
        <v>1.86288209E8</v>
      </c>
      <c r="C496" s="12" t="s">
        <v>646</v>
      </c>
      <c r="D496" s="13" t="s">
        <v>164</v>
      </c>
      <c r="E496" s="13" t="s">
        <v>164</v>
      </c>
      <c r="F496" s="13" t="s">
        <v>164</v>
      </c>
      <c r="G496" s="13" t="s">
        <v>34</v>
      </c>
      <c r="H496" s="13" t="s">
        <v>28</v>
      </c>
      <c r="I496" s="14" t="s">
        <v>18</v>
      </c>
      <c r="J496" s="14" t="s">
        <v>22</v>
      </c>
      <c r="K496" s="14">
        <v>26.0</v>
      </c>
      <c r="L496" s="14" t="s">
        <v>23</v>
      </c>
      <c r="M496" s="14" t="s">
        <v>24</v>
      </c>
      <c r="N496" s="20"/>
      <c r="O496" s="14" t="s">
        <v>35</v>
      </c>
      <c r="P496" s="15" t="s">
        <v>647</v>
      </c>
      <c r="Q496" s="16"/>
      <c r="R496" s="16"/>
      <c r="S496" s="16"/>
      <c r="T496" s="16"/>
      <c r="U496" s="16"/>
      <c r="V496" s="16"/>
      <c r="W496" s="16"/>
      <c r="X496" s="16"/>
      <c r="Y496" s="16"/>
      <c r="Z496" s="16"/>
    </row>
    <row r="497">
      <c r="I497" s="14" t="s">
        <v>18</v>
      </c>
      <c r="J497" s="14" t="s">
        <v>22</v>
      </c>
      <c r="K497" s="14">
        <v>30.0</v>
      </c>
      <c r="L497" s="14" t="s">
        <v>23</v>
      </c>
      <c r="M497" s="14" t="s">
        <v>24</v>
      </c>
      <c r="N497" s="20"/>
      <c r="O497" s="14" t="s">
        <v>35</v>
      </c>
      <c r="Q497" s="16"/>
      <c r="R497" s="16"/>
      <c r="S497" s="16"/>
      <c r="T497" s="16"/>
      <c r="U497" s="16"/>
      <c r="V497" s="16"/>
      <c r="W497" s="16"/>
      <c r="X497" s="16"/>
      <c r="Y497" s="16"/>
      <c r="Z497" s="16"/>
    </row>
    <row r="498">
      <c r="A498" s="10">
        <v>40164.0</v>
      </c>
      <c r="B498" s="23">
        <v>1.84046609E8</v>
      </c>
      <c r="C498" s="12" t="s">
        <v>648</v>
      </c>
      <c r="D498" s="13" t="s">
        <v>18</v>
      </c>
      <c r="E498" s="13" t="s">
        <v>19</v>
      </c>
      <c r="F498" s="13">
        <v>35.0</v>
      </c>
      <c r="G498" s="13" t="s">
        <v>23</v>
      </c>
      <c r="H498" s="13" t="s">
        <v>28</v>
      </c>
      <c r="I498" s="14" t="s">
        <v>18</v>
      </c>
      <c r="J498" s="14" t="s">
        <v>19</v>
      </c>
      <c r="K498" s="14">
        <v>43.0</v>
      </c>
      <c r="L498" s="14" t="s">
        <v>23</v>
      </c>
      <c r="M498" s="14" t="s">
        <v>24</v>
      </c>
      <c r="N498" s="20"/>
      <c r="O498" s="14" t="s">
        <v>35</v>
      </c>
      <c r="P498" s="15" t="s">
        <v>649</v>
      </c>
      <c r="Q498" s="16"/>
      <c r="R498" s="16"/>
      <c r="S498" s="16"/>
      <c r="T498" s="16"/>
      <c r="U498" s="16"/>
      <c r="V498" s="16"/>
      <c r="W498" s="16"/>
      <c r="X498" s="16"/>
      <c r="Y498" s="16"/>
      <c r="Z498" s="16"/>
    </row>
    <row r="499">
      <c r="A499" s="10">
        <v>40155.0</v>
      </c>
      <c r="B499" s="23">
        <v>1.79512609E8</v>
      </c>
      <c r="C499" s="12" t="s">
        <v>650</v>
      </c>
      <c r="D499" s="13" t="s">
        <v>18</v>
      </c>
      <c r="E499" s="13" t="s">
        <v>19</v>
      </c>
      <c r="F499" s="13">
        <v>21.0</v>
      </c>
      <c r="G499" s="13" t="s">
        <v>23</v>
      </c>
      <c r="H499" s="13" t="s">
        <v>28</v>
      </c>
      <c r="I499" s="14" t="s">
        <v>18</v>
      </c>
      <c r="J499" s="14" t="s">
        <v>22</v>
      </c>
      <c r="K499" s="14">
        <v>53.0</v>
      </c>
      <c r="L499" s="14" t="s">
        <v>23</v>
      </c>
      <c r="M499" s="14" t="s">
        <v>24</v>
      </c>
      <c r="N499" s="20"/>
      <c r="O499" s="14">
        <v>1.0</v>
      </c>
      <c r="P499" s="15" t="s">
        <v>651</v>
      </c>
      <c r="Q499" s="16"/>
      <c r="R499" s="16"/>
      <c r="S499" s="16"/>
      <c r="T499" s="16"/>
      <c r="U499" s="16"/>
      <c r="V499" s="16"/>
      <c r="W499" s="16"/>
      <c r="X499" s="16"/>
      <c r="Y499" s="16"/>
      <c r="Z499" s="16"/>
    </row>
    <row r="500">
      <c r="A500" s="10">
        <v>40154.0</v>
      </c>
      <c r="B500" s="23">
        <v>1.78533309E8</v>
      </c>
      <c r="C500" s="12" t="s">
        <v>652</v>
      </c>
      <c r="D500" s="13" t="s">
        <v>18</v>
      </c>
      <c r="E500" s="13" t="s">
        <v>22</v>
      </c>
      <c r="F500" s="13">
        <v>44.0</v>
      </c>
      <c r="G500" s="13" t="s">
        <v>20</v>
      </c>
      <c r="H500" s="13" t="s">
        <v>653</v>
      </c>
      <c r="I500" s="14" t="s">
        <v>18</v>
      </c>
      <c r="J500" s="14" t="s">
        <v>22</v>
      </c>
      <c r="K500" s="14">
        <v>23.0</v>
      </c>
      <c r="L500" s="14" t="s">
        <v>23</v>
      </c>
      <c r="M500" s="14" t="s">
        <v>24</v>
      </c>
      <c r="N500" s="20"/>
      <c r="O500" s="14">
        <v>1.0</v>
      </c>
      <c r="P500" s="15" t="s">
        <v>654</v>
      </c>
      <c r="Q500" s="16"/>
      <c r="R500" s="16"/>
      <c r="S500" s="16"/>
      <c r="T500" s="16"/>
      <c r="U500" s="16"/>
      <c r="V500" s="16"/>
      <c r="W500" s="16"/>
      <c r="X500" s="16"/>
      <c r="Y500" s="16"/>
      <c r="Z500" s="16"/>
    </row>
    <row r="501">
      <c r="A501" s="10">
        <v>40152.0</v>
      </c>
      <c r="B501" s="23">
        <v>1.77728609E8</v>
      </c>
      <c r="C501" s="12" t="s">
        <v>655</v>
      </c>
      <c r="D501" s="13" t="s">
        <v>18</v>
      </c>
      <c r="E501" s="13" t="s">
        <v>22</v>
      </c>
      <c r="F501" s="13">
        <v>49.0</v>
      </c>
      <c r="G501" s="13" t="s">
        <v>571</v>
      </c>
      <c r="H501" s="13" t="s">
        <v>28</v>
      </c>
      <c r="I501" s="14" t="s">
        <v>18</v>
      </c>
      <c r="J501" s="14" t="s">
        <v>22</v>
      </c>
      <c r="K501" s="14">
        <v>49.0</v>
      </c>
      <c r="L501" s="14" t="s">
        <v>23</v>
      </c>
      <c r="M501" s="14" t="s">
        <v>24</v>
      </c>
      <c r="N501" s="20"/>
      <c r="O501" s="14">
        <v>1.0</v>
      </c>
      <c r="P501" s="15" t="s">
        <v>656</v>
      </c>
      <c r="Q501" s="16"/>
      <c r="R501" s="16"/>
      <c r="S501" s="16"/>
      <c r="T501" s="16"/>
      <c r="U501" s="16"/>
      <c r="V501" s="16"/>
      <c r="W501" s="16"/>
      <c r="X501" s="16"/>
      <c r="Y501" s="16"/>
      <c r="Z501" s="16"/>
    </row>
    <row r="502">
      <c r="A502" s="10">
        <v>40138.0</v>
      </c>
      <c r="B502" s="23">
        <v>1.69729509E8</v>
      </c>
      <c r="C502" s="12" t="s">
        <v>657</v>
      </c>
      <c r="D502" s="13" t="s">
        <v>18</v>
      </c>
      <c r="E502" s="13" t="s">
        <v>29</v>
      </c>
      <c r="F502" s="13">
        <v>67.0</v>
      </c>
      <c r="G502" s="13" t="s">
        <v>23</v>
      </c>
      <c r="H502" s="13" t="s">
        <v>152</v>
      </c>
      <c r="I502" s="14" t="s">
        <v>18</v>
      </c>
      <c r="J502" s="14" t="s">
        <v>49</v>
      </c>
      <c r="K502" s="14">
        <v>50.0</v>
      </c>
      <c r="L502" s="14" t="s">
        <v>20</v>
      </c>
      <c r="M502" s="14" t="s">
        <v>60</v>
      </c>
      <c r="N502" s="20"/>
      <c r="O502" s="14">
        <v>1.0</v>
      </c>
      <c r="P502" s="15" t="s">
        <v>658</v>
      </c>
      <c r="Q502" s="16"/>
      <c r="R502" s="16"/>
      <c r="S502" s="16"/>
      <c r="T502" s="16"/>
      <c r="U502" s="16"/>
      <c r="V502" s="16"/>
      <c r="W502" s="16"/>
      <c r="X502" s="16"/>
      <c r="Y502" s="16"/>
      <c r="Z502" s="16"/>
    </row>
    <row r="503">
      <c r="A503" s="10">
        <v>40131.0</v>
      </c>
      <c r="B503" s="23">
        <v>1.66601609E8</v>
      </c>
      <c r="C503" s="12" t="s">
        <v>659</v>
      </c>
      <c r="D503" s="13" t="s">
        <v>18</v>
      </c>
      <c r="E503" s="13" t="s">
        <v>19</v>
      </c>
      <c r="F503" s="13">
        <v>28.0</v>
      </c>
      <c r="G503" s="13" t="s">
        <v>34</v>
      </c>
      <c r="H503" s="13" t="s">
        <v>28</v>
      </c>
      <c r="I503" s="14" t="s">
        <v>18</v>
      </c>
      <c r="J503" s="14" t="s">
        <v>22</v>
      </c>
      <c r="K503" s="14">
        <v>33.0</v>
      </c>
      <c r="L503" s="14" t="s">
        <v>23</v>
      </c>
      <c r="M503" s="14" t="s">
        <v>24</v>
      </c>
      <c r="N503" s="20"/>
      <c r="O503" s="14">
        <v>1.0</v>
      </c>
      <c r="P503" s="15" t="s">
        <v>660</v>
      </c>
      <c r="Q503" s="16"/>
      <c r="R503" s="16"/>
      <c r="S503" s="16"/>
      <c r="T503" s="16"/>
      <c r="U503" s="16"/>
      <c r="V503" s="16"/>
      <c r="W503" s="16"/>
      <c r="X503" s="16"/>
      <c r="Y503" s="16"/>
      <c r="Z503" s="16"/>
    </row>
    <row r="504">
      <c r="A504" s="10">
        <v>40125.0</v>
      </c>
      <c r="B504" s="23">
        <v>1.63196609E8</v>
      </c>
      <c r="C504" s="12" t="s">
        <v>661</v>
      </c>
      <c r="D504" s="13" t="s">
        <v>18</v>
      </c>
      <c r="E504" s="13" t="s">
        <v>29</v>
      </c>
      <c r="F504" s="13" t="s">
        <v>157</v>
      </c>
      <c r="G504" s="13" t="s">
        <v>23</v>
      </c>
      <c r="H504" s="13" t="s">
        <v>28</v>
      </c>
      <c r="I504" s="14" t="s">
        <v>18</v>
      </c>
      <c r="J504" s="14" t="s">
        <v>22</v>
      </c>
      <c r="K504" s="14">
        <v>29.0</v>
      </c>
      <c r="L504" s="14" t="s">
        <v>23</v>
      </c>
      <c r="M504" s="14" t="s">
        <v>24</v>
      </c>
      <c r="N504" s="20"/>
      <c r="O504" s="14">
        <v>1.0</v>
      </c>
      <c r="P504" s="15" t="s">
        <v>662</v>
      </c>
      <c r="Q504" s="16"/>
      <c r="R504" s="16"/>
      <c r="S504" s="16"/>
      <c r="T504" s="16"/>
      <c r="U504" s="16"/>
      <c r="V504" s="16"/>
      <c r="W504" s="16"/>
      <c r="X504" s="16"/>
      <c r="Y504" s="16"/>
      <c r="Z504" s="16"/>
    </row>
    <row r="505">
      <c r="A505" s="10">
        <v>40124.0</v>
      </c>
      <c r="B505" s="23">
        <v>1.62468609E8</v>
      </c>
      <c r="C505" s="12" t="s">
        <v>663</v>
      </c>
      <c r="D505" s="13" t="s">
        <v>18</v>
      </c>
      <c r="E505" s="13" t="s">
        <v>19</v>
      </c>
      <c r="F505" s="13">
        <v>26.0</v>
      </c>
      <c r="G505" s="13" t="s">
        <v>34</v>
      </c>
      <c r="H505" s="13" t="s">
        <v>28</v>
      </c>
      <c r="I505" s="14" t="s">
        <v>18</v>
      </c>
      <c r="J505" s="14" t="s">
        <v>19</v>
      </c>
      <c r="K505" s="14">
        <v>37.0</v>
      </c>
      <c r="L505" s="14" t="s">
        <v>23</v>
      </c>
      <c r="M505" s="14" t="s">
        <v>24</v>
      </c>
      <c r="N505" s="20"/>
      <c r="O505" s="14">
        <v>1.0</v>
      </c>
      <c r="P505" s="15" t="s">
        <v>664</v>
      </c>
      <c r="Q505" s="16"/>
      <c r="R505" s="16"/>
      <c r="S505" s="16"/>
      <c r="T505" s="16"/>
      <c r="U505" s="16"/>
      <c r="V505" s="16"/>
      <c r="W505" s="16"/>
      <c r="X505" s="16"/>
      <c r="Y505" s="16"/>
      <c r="Z505" s="16"/>
    </row>
    <row r="506">
      <c r="A506" s="10">
        <v>40095.0</v>
      </c>
      <c r="B506" s="23">
        <v>1.47715209E8</v>
      </c>
      <c r="C506" s="12" t="s">
        <v>665</v>
      </c>
      <c r="D506" s="13" t="s">
        <v>18</v>
      </c>
      <c r="E506" s="13" t="s">
        <v>19</v>
      </c>
      <c r="F506" s="13">
        <v>35.0</v>
      </c>
      <c r="G506" s="13" t="s">
        <v>34</v>
      </c>
      <c r="H506" s="13" t="s">
        <v>38</v>
      </c>
      <c r="I506" s="14" t="s">
        <v>18</v>
      </c>
      <c r="J506" s="14" t="s">
        <v>19</v>
      </c>
      <c r="K506" s="14">
        <v>26.0</v>
      </c>
      <c r="L506" s="14" t="s">
        <v>23</v>
      </c>
      <c r="M506" s="14" t="s">
        <v>24</v>
      </c>
      <c r="N506" s="20"/>
      <c r="O506" s="14">
        <v>1.0</v>
      </c>
      <c r="P506" s="15" t="s">
        <v>666</v>
      </c>
      <c r="Q506" s="16"/>
      <c r="R506" s="16"/>
      <c r="S506" s="16"/>
      <c r="T506" s="16"/>
      <c r="U506" s="16"/>
      <c r="V506" s="16"/>
      <c r="W506" s="16"/>
      <c r="X506" s="16"/>
      <c r="Y506" s="16"/>
      <c r="Z506" s="16"/>
    </row>
    <row r="507">
      <c r="A507" s="10">
        <v>40094.0</v>
      </c>
      <c r="B507" s="23">
        <v>1.46846409E8</v>
      </c>
      <c r="C507" s="12" t="s">
        <v>667</v>
      </c>
      <c r="D507" s="13" t="s">
        <v>18</v>
      </c>
      <c r="E507" s="13" t="s">
        <v>29</v>
      </c>
      <c r="F507" s="13">
        <v>18.0</v>
      </c>
      <c r="G507" s="13" t="s">
        <v>23</v>
      </c>
      <c r="H507" s="13" t="s">
        <v>28</v>
      </c>
      <c r="I507" s="14" t="s">
        <v>18</v>
      </c>
      <c r="J507" s="14" t="s">
        <v>22</v>
      </c>
      <c r="K507" s="14">
        <v>32.0</v>
      </c>
      <c r="L507" s="14" t="s">
        <v>23</v>
      </c>
      <c r="M507" s="14" t="s">
        <v>24</v>
      </c>
      <c r="N507" s="20"/>
      <c r="O507" s="14">
        <v>1.0</v>
      </c>
      <c r="P507" s="15" t="s">
        <v>668</v>
      </c>
      <c r="Q507" s="16"/>
      <c r="R507" s="16"/>
      <c r="S507" s="16"/>
      <c r="T507" s="16"/>
      <c r="U507" s="16"/>
      <c r="V507" s="16"/>
      <c r="W507" s="16"/>
      <c r="X507" s="16"/>
      <c r="Y507" s="16"/>
      <c r="Z507" s="16"/>
    </row>
    <row r="508">
      <c r="A508" s="10">
        <v>40084.0</v>
      </c>
      <c r="B508" s="23">
        <v>1.42027109E8</v>
      </c>
      <c r="C508" s="12" t="s">
        <v>669</v>
      </c>
      <c r="D508" s="13" t="s">
        <v>18</v>
      </c>
      <c r="E508" s="13" t="s">
        <v>19</v>
      </c>
      <c r="F508" s="13">
        <v>21.0</v>
      </c>
      <c r="G508" s="13" t="s">
        <v>20</v>
      </c>
      <c r="H508" s="13" t="s">
        <v>28</v>
      </c>
      <c r="I508" s="14" t="s">
        <v>18</v>
      </c>
      <c r="J508" s="14" t="s">
        <v>29</v>
      </c>
      <c r="K508" s="14">
        <v>42.0</v>
      </c>
      <c r="L508" s="14" t="s">
        <v>23</v>
      </c>
      <c r="M508" s="14" t="s">
        <v>24</v>
      </c>
      <c r="N508" s="20"/>
      <c r="O508" s="14">
        <v>1.0</v>
      </c>
      <c r="P508" s="15" t="s">
        <v>670</v>
      </c>
      <c r="Q508" s="16"/>
      <c r="R508" s="16"/>
      <c r="S508" s="16"/>
      <c r="T508" s="16"/>
      <c r="U508" s="16"/>
      <c r="V508" s="16"/>
      <c r="W508" s="16"/>
      <c r="X508" s="16"/>
      <c r="Y508" s="16"/>
      <c r="Z508" s="16"/>
    </row>
    <row r="509">
      <c r="A509" s="10">
        <v>40077.0</v>
      </c>
      <c r="B509" s="23">
        <v>1.38406209E8</v>
      </c>
      <c r="C509" s="12" t="s">
        <v>671</v>
      </c>
      <c r="D509" s="13" t="s">
        <v>18</v>
      </c>
      <c r="E509" s="13" t="s">
        <v>19</v>
      </c>
      <c r="F509" s="13">
        <v>38.0</v>
      </c>
      <c r="G509" s="13" t="s">
        <v>23</v>
      </c>
      <c r="H509" s="13" t="s">
        <v>617</v>
      </c>
      <c r="I509" s="14" t="s">
        <v>18</v>
      </c>
      <c r="J509" s="14" t="s">
        <v>22</v>
      </c>
      <c r="K509" s="14">
        <v>48.0</v>
      </c>
      <c r="L509" s="14" t="s">
        <v>23</v>
      </c>
      <c r="M509" s="14" t="s">
        <v>24</v>
      </c>
      <c r="N509" s="20"/>
      <c r="O509" s="14">
        <v>1.0</v>
      </c>
      <c r="P509" s="15" t="s">
        <v>672</v>
      </c>
      <c r="Q509" s="16"/>
      <c r="R509" s="16"/>
      <c r="S509" s="16"/>
      <c r="T509" s="16"/>
      <c r="U509" s="16"/>
      <c r="V509" s="16"/>
      <c r="W509" s="16"/>
      <c r="X509" s="16"/>
      <c r="Y509" s="16"/>
      <c r="Z509" s="16"/>
    </row>
    <row r="510">
      <c r="A510" s="10">
        <v>40075.0</v>
      </c>
      <c r="B510" s="23">
        <v>1.37565509E8</v>
      </c>
      <c r="C510" s="12" t="s">
        <v>673</v>
      </c>
      <c r="D510" s="13" t="s">
        <v>18</v>
      </c>
      <c r="E510" s="13" t="s">
        <v>22</v>
      </c>
      <c r="F510" s="13">
        <v>49.0</v>
      </c>
      <c r="G510" s="13" t="s">
        <v>34</v>
      </c>
      <c r="H510" s="13" t="s">
        <v>28</v>
      </c>
      <c r="I510" s="14" t="s">
        <v>18</v>
      </c>
      <c r="J510" s="14" t="s">
        <v>22</v>
      </c>
      <c r="K510" s="14">
        <v>40.0</v>
      </c>
      <c r="L510" s="14" t="s">
        <v>23</v>
      </c>
      <c r="M510" s="14" t="s">
        <v>24</v>
      </c>
      <c r="N510" s="20"/>
      <c r="O510" s="14" t="s">
        <v>35</v>
      </c>
      <c r="P510" s="15" t="s">
        <v>674</v>
      </c>
      <c r="Q510" s="16"/>
      <c r="R510" s="16"/>
      <c r="S510" s="16"/>
      <c r="T510" s="16"/>
      <c r="U510" s="16"/>
      <c r="V510" s="16"/>
      <c r="W510" s="16"/>
      <c r="X510" s="16"/>
      <c r="Y510" s="16"/>
      <c r="Z510" s="16"/>
    </row>
    <row r="511">
      <c r="A511" s="10">
        <v>40073.0</v>
      </c>
      <c r="B511" s="23">
        <v>1.36512809E8</v>
      </c>
      <c r="C511" s="12" t="s">
        <v>675</v>
      </c>
      <c r="D511" s="13" t="s">
        <v>18</v>
      </c>
      <c r="E511" s="13" t="s">
        <v>19</v>
      </c>
      <c r="F511" s="13">
        <v>31.0</v>
      </c>
      <c r="G511" s="13" t="s">
        <v>20</v>
      </c>
      <c r="H511" s="13" t="s">
        <v>186</v>
      </c>
      <c r="I511" s="14" t="s">
        <v>18</v>
      </c>
      <c r="J511" s="14" t="s">
        <v>22</v>
      </c>
      <c r="K511" s="14">
        <v>38.0</v>
      </c>
      <c r="L511" s="14" t="s">
        <v>23</v>
      </c>
      <c r="M511" s="14" t="s">
        <v>24</v>
      </c>
      <c r="N511" s="20"/>
      <c r="O511" s="14">
        <v>1.0</v>
      </c>
      <c r="P511" s="15" t="s">
        <v>676</v>
      </c>
      <c r="Q511" s="16"/>
      <c r="R511" s="16"/>
      <c r="S511" s="16"/>
      <c r="T511" s="16"/>
      <c r="U511" s="16"/>
      <c r="V511" s="16"/>
      <c r="W511" s="16"/>
      <c r="X511" s="16"/>
      <c r="Y511" s="16"/>
      <c r="Z511" s="16"/>
    </row>
    <row r="512">
      <c r="A512" s="10">
        <v>40067.0</v>
      </c>
      <c r="B512" s="23">
        <v>1.33143109E8</v>
      </c>
      <c r="C512" s="12" t="s">
        <v>677</v>
      </c>
      <c r="D512" s="13" t="s">
        <v>18</v>
      </c>
      <c r="E512" s="13" t="s">
        <v>29</v>
      </c>
      <c r="F512" s="13">
        <v>25.0</v>
      </c>
      <c r="G512" s="13" t="s">
        <v>20</v>
      </c>
      <c r="H512" s="13" t="s">
        <v>23</v>
      </c>
      <c r="I512" s="14" t="s">
        <v>18</v>
      </c>
      <c r="J512" s="14" t="s">
        <v>29</v>
      </c>
      <c r="K512" s="14">
        <v>27.0</v>
      </c>
      <c r="L512" s="14" t="s">
        <v>23</v>
      </c>
      <c r="M512" s="14" t="s">
        <v>24</v>
      </c>
      <c r="N512" s="20"/>
      <c r="O512" s="14">
        <v>1.0</v>
      </c>
      <c r="P512" s="15" t="s">
        <v>678</v>
      </c>
      <c r="Q512" s="16"/>
      <c r="R512" s="16"/>
      <c r="S512" s="16"/>
      <c r="T512" s="16"/>
      <c r="U512" s="16"/>
      <c r="V512" s="16"/>
      <c r="W512" s="16"/>
      <c r="X512" s="16"/>
      <c r="Y512" s="16"/>
      <c r="Z512" s="16"/>
    </row>
    <row r="513">
      <c r="A513" s="10">
        <v>40064.0</v>
      </c>
      <c r="B513" s="23">
        <v>1.31629809E8</v>
      </c>
      <c r="C513" s="12" t="s">
        <v>679</v>
      </c>
      <c r="D513" s="13" t="s">
        <v>164</v>
      </c>
      <c r="E513" s="13" t="s">
        <v>164</v>
      </c>
      <c r="F513" s="13" t="s">
        <v>164</v>
      </c>
      <c r="G513" s="13" t="s">
        <v>20</v>
      </c>
      <c r="H513" s="13" t="s">
        <v>28</v>
      </c>
      <c r="I513" s="14" t="s">
        <v>18</v>
      </c>
      <c r="J513" s="14" t="s">
        <v>22</v>
      </c>
      <c r="K513" s="14">
        <v>58.0</v>
      </c>
      <c r="L513" s="14" t="s">
        <v>23</v>
      </c>
      <c r="M513" s="14" t="s">
        <v>60</v>
      </c>
      <c r="N513" s="20"/>
      <c r="O513" s="14">
        <v>1.0</v>
      </c>
      <c r="P513" s="15" t="s">
        <v>680</v>
      </c>
      <c r="Q513" s="16"/>
      <c r="R513" s="16"/>
      <c r="S513" s="16"/>
      <c r="T513" s="16"/>
      <c r="U513" s="16"/>
      <c r="V513" s="16"/>
      <c r="W513" s="16"/>
      <c r="X513" s="16"/>
      <c r="Y513" s="16"/>
      <c r="Z513" s="16"/>
    </row>
    <row r="514">
      <c r="D514" s="13" t="s">
        <v>164</v>
      </c>
      <c r="E514" s="13" t="s">
        <v>164</v>
      </c>
      <c r="F514" s="13" t="s">
        <v>164</v>
      </c>
      <c r="G514" s="13" t="s">
        <v>20</v>
      </c>
      <c r="H514" s="13" t="s">
        <v>28</v>
      </c>
      <c r="N514" s="20"/>
      <c r="Q514" s="16"/>
      <c r="R514" s="16"/>
      <c r="S514" s="16"/>
      <c r="T514" s="16"/>
      <c r="U514" s="16"/>
      <c r="V514" s="16"/>
      <c r="W514" s="16"/>
      <c r="X514" s="16"/>
      <c r="Y514" s="16"/>
      <c r="Z514" s="16"/>
    </row>
    <row r="515">
      <c r="A515" s="10">
        <v>40060.0</v>
      </c>
      <c r="B515" s="23">
        <v>1.29983309E8</v>
      </c>
      <c r="C515" s="12" t="s">
        <v>681</v>
      </c>
      <c r="D515" s="13" t="s">
        <v>18</v>
      </c>
      <c r="E515" s="13" t="s">
        <v>19</v>
      </c>
      <c r="F515" s="13">
        <v>27.0</v>
      </c>
      <c r="G515" s="13" t="s">
        <v>23</v>
      </c>
      <c r="H515" s="13" t="s">
        <v>28</v>
      </c>
      <c r="I515" s="14" t="s">
        <v>18</v>
      </c>
      <c r="J515" s="14" t="s">
        <v>19</v>
      </c>
      <c r="K515" s="14">
        <v>49.0</v>
      </c>
      <c r="L515" s="14" t="s">
        <v>23</v>
      </c>
      <c r="M515" s="14" t="s">
        <v>24</v>
      </c>
      <c r="N515" s="20"/>
      <c r="O515" s="14">
        <v>1.0</v>
      </c>
      <c r="P515" s="15" t="s">
        <v>682</v>
      </c>
      <c r="Q515" s="16"/>
      <c r="R515" s="16"/>
      <c r="S515" s="16"/>
      <c r="T515" s="16"/>
      <c r="U515" s="16"/>
      <c r="V515" s="16"/>
      <c r="W515" s="16"/>
      <c r="X515" s="16"/>
      <c r="Y515" s="16"/>
      <c r="Z515" s="16"/>
    </row>
    <row r="516">
      <c r="A516" s="10">
        <v>40051.0</v>
      </c>
      <c r="B516" s="23">
        <v>1.25342709E8</v>
      </c>
      <c r="C516" s="12" t="s">
        <v>683</v>
      </c>
      <c r="D516" s="13" t="s">
        <v>18</v>
      </c>
      <c r="E516" s="13" t="s">
        <v>29</v>
      </c>
      <c r="F516" s="13" t="s">
        <v>157</v>
      </c>
      <c r="G516" s="13" t="s">
        <v>23</v>
      </c>
      <c r="H516" s="13" t="s">
        <v>28</v>
      </c>
      <c r="I516" s="14" t="s">
        <v>18</v>
      </c>
      <c r="J516" s="14" t="s">
        <v>22</v>
      </c>
      <c r="K516" s="14">
        <v>25.0</v>
      </c>
      <c r="L516" s="14" t="s">
        <v>23</v>
      </c>
      <c r="M516" s="14" t="s">
        <v>60</v>
      </c>
      <c r="N516" s="20"/>
      <c r="O516" s="14">
        <v>1.0</v>
      </c>
      <c r="P516" s="15" t="s">
        <v>684</v>
      </c>
      <c r="Q516" s="16"/>
      <c r="R516" s="16"/>
      <c r="S516" s="16"/>
      <c r="T516" s="16"/>
      <c r="U516" s="16"/>
      <c r="V516" s="16"/>
      <c r="W516" s="16"/>
      <c r="X516" s="16"/>
      <c r="Y516" s="16"/>
      <c r="Z516" s="16"/>
    </row>
    <row r="517">
      <c r="D517" s="13" t="s">
        <v>18</v>
      </c>
      <c r="E517" s="13" t="s">
        <v>29</v>
      </c>
      <c r="F517" s="13" t="s">
        <v>157</v>
      </c>
      <c r="G517" s="13" t="s">
        <v>23</v>
      </c>
      <c r="H517" s="13" t="s">
        <v>28</v>
      </c>
      <c r="N517" s="20"/>
      <c r="Q517" s="16"/>
      <c r="R517" s="16"/>
      <c r="S517" s="16"/>
      <c r="T517" s="16"/>
      <c r="U517" s="16"/>
      <c r="V517" s="16"/>
      <c r="W517" s="16"/>
      <c r="X517" s="16"/>
      <c r="Y517" s="16"/>
      <c r="Z517" s="16"/>
    </row>
    <row r="518">
      <c r="A518" s="10">
        <v>40045.0</v>
      </c>
      <c r="B518" s="23">
        <v>1.22735709E8</v>
      </c>
      <c r="C518" s="12" t="s">
        <v>685</v>
      </c>
      <c r="D518" s="13" t="s">
        <v>18</v>
      </c>
      <c r="E518" s="13" t="s">
        <v>22</v>
      </c>
      <c r="F518" s="13" t="s">
        <v>157</v>
      </c>
      <c r="G518" s="13" t="s">
        <v>23</v>
      </c>
      <c r="H518" s="13" t="s">
        <v>152</v>
      </c>
      <c r="I518" s="14" t="s">
        <v>18</v>
      </c>
      <c r="J518" s="14" t="s">
        <v>19</v>
      </c>
      <c r="K518" s="14">
        <v>38.0</v>
      </c>
      <c r="L518" s="14" t="s">
        <v>23</v>
      </c>
      <c r="M518" s="14" t="s">
        <v>60</v>
      </c>
      <c r="N518" s="20"/>
      <c r="O518" s="14">
        <v>1.0</v>
      </c>
      <c r="P518" s="15" t="s">
        <v>686</v>
      </c>
      <c r="Q518" s="16"/>
      <c r="R518" s="16"/>
      <c r="S518" s="16"/>
      <c r="T518" s="16"/>
      <c r="U518" s="16"/>
      <c r="V518" s="16"/>
      <c r="W518" s="16"/>
      <c r="X518" s="16"/>
      <c r="Y518" s="16"/>
      <c r="Z518" s="16"/>
    </row>
    <row r="519">
      <c r="A519" s="10">
        <v>40032.0</v>
      </c>
      <c r="B519" s="23">
        <v>1.15531209E8</v>
      </c>
      <c r="C519" s="12" t="s">
        <v>687</v>
      </c>
      <c r="D519" s="13" t="s">
        <v>18</v>
      </c>
      <c r="E519" s="13" t="s">
        <v>29</v>
      </c>
      <c r="F519" s="13">
        <v>21.0</v>
      </c>
      <c r="G519" s="13" t="s">
        <v>20</v>
      </c>
      <c r="H519" s="13" t="s">
        <v>23</v>
      </c>
      <c r="I519" s="14" t="s">
        <v>18</v>
      </c>
      <c r="J519" s="14" t="s">
        <v>22</v>
      </c>
      <c r="K519" s="14">
        <v>38.0</v>
      </c>
      <c r="L519" s="14" t="s">
        <v>23</v>
      </c>
      <c r="M519" s="14" t="s">
        <v>24</v>
      </c>
      <c r="N519" s="20"/>
      <c r="O519" s="14" t="s">
        <v>35</v>
      </c>
      <c r="P519" s="15" t="s">
        <v>688</v>
      </c>
      <c r="Q519" s="16"/>
      <c r="R519" s="16"/>
      <c r="S519" s="16"/>
      <c r="T519" s="16"/>
      <c r="U519" s="16"/>
      <c r="V519" s="16"/>
      <c r="W519" s="16"/>
      <c r="X519" s="16"/>
      <c r="Y519" s="16"/>
      <c r="Z519" s="16"/>
    </row>
    <row r="520">
      <c r="A520" s="10">
        <v>40032.0</v>
      </c>
      <c r="B520" s="23">
        <v>1.15591909E8</v>
      </c>
      <c r="C520" s="12" t="s">
        <v>689</v>
      </c>
      <c r="D520" s="13" t="s">
        <v>18</v>
      </c>
      <c r="E520" s="13" t="s">
        <v>29</v>
      </c>
      <c r="F520" s="13">
        <v>26.0</v>
      </c>
      <c r="G520" s="13" t="s">
        <v>23</v>
      </c>
      <c r="H520" s="13" t="s">
        <v>23</v>
      </c>
      <c r="I520" s="14" t="s">
        <v>18</v>
      </c>
      <c r="J520" s="14" t="s">
        <v>22</v>
      </c>
      <c r="K520" s="14">
        <v>33.0</v>
      </c>
      <c r="L520" s="14" t="s">
        <v>23</v>
      </c>
      <c r="M520" s="14" t="s">
        <v>24</v>
      </c>
      <c r="N520" s="20"/>
      <c r="O520" s="14">
        <v>1.0</v>
      </c>
      <c r="P520" s="15" t="s">
        <v>690</v>
      </c>
      <c r="Q520" s="16"/>
      <c r="R520" s="16"/>
      <c r="S520" s="16"/>
      <c r="T520" s="16"/>
      <c r="U520" s="16"/>
      <c r="V520" s="16"/>
      <c r="W520" s="16"/>
      <c r="X520" s="16"/>
      <c r="Y520" s="16"/>
      <c r="Z520" s="16"/>
    </row>
    <row r="521">
      <c r="A521" s="10">
        <v>40028.0</v>
      </c>
      <c r="B521" s="23">
        <v>1.12714009E8</v>
      </c>
      <c r="C521" s="12" t="s">
        <v>691</v>
      </c>
      <c r="D521" s="13" t="s">
        <v>18</v>
      </c>
      <c r="E521" s="13" t="s">
        <v>29</v>
      </c>
      <c r="F521" s="13">
        <v>25.0</v>
      </c>
      <c r="G521" s="13" t="s">
        <v>23</v>
      </c>
      <c r="H521" s="13" t="s">
        <v>152</v>
      </c>
      <c r="I521" s="14" t="s">
        <v>18</v>
      </c>
      <c r="J521" s="14" t="s">
        <v>19</v>
      </c>
      <c r="K521" s="14">
        <v>31.0</v>
      </c>
      <c r="L521" s="14" t="s">
        <v>23</v>
      </c>
      <c r="M521" s="14" t="s">
        <v>24</v>
      </c>
      <c r="N521" s="20"/>
      <c r="O521" s="14" t="s">
        <v>35</v>
      </c>
      <c r="P521" s="15" t="s">
        <v>692</v>
      </c>
      <c r="Q521" s="16"/>
      <c r="R521" s="16"/>
      <c r="S521" s="16"/>
      <c r="T521" s="16"/>
      <c r="U521" s="16"/>
      <c r="V521" s="16"/>
      <c r="W521" s="16"/>
      <c r="X521" s="16"/>
      <c r="Y521" s="16"/>
      <c r="Z521" s="16"/>
    </row>
    <row r="522">
      <c r="A522" s="10">
        <v>40026.0</v>
      </c>
      <c r="B522" s="23">
        <v>1.11697509E8</v>
      </c>
      <c r="C522" s="12" t="s">
        <v>693</v>
      </c>
      <c r="D522" s="13" t="s">
        <v>18</v>
      </c>
      <c r="E522" s="13" t="s">
        <v>22</v>
      </c>
      <c r="F522" s="13">
        <v>39.0</v>
      </c>
      <c r="G522" s="13" t="s">
        <v>34</v>
      </c>
      <c r="H522" s="13" t="s">
        <v>694</v>
      </c>
      <c r="I522" s="14" t="s">
        <v>18</v>
      </c>
      <c r="J522" s="14" t="s">
        <v>22</v>
      </c>
      <c r="K522" s="14">
        <v>32.0</v>
      </c>
      <c r="L522" s="14" t="s">
        <v>23</v>
      </c>
      <c r="M522" s="14" t="s">
        <v>60</v>
      </c>
      <c r="N522" s="20"/>
      <c r="O522" s="14">
        <v>1.0</v>
      </c>
      <c r="P522" s="15" t="s">
        <v>695</v>
      </c>
      <c r="Q522" s="16"/>
      <c r="R522" s="16"/>
      <c r="S522" s="16"/>
      <c r="T522" s="16"/>
      <c r="U522" s="16"/>
      <c r="V522" s="16"/>
      <c r="W522" s="16"/>
      <c r="X522" s="16"/>
      <c r="Y522" s="16"/>
      <c r="Z522" s="16"/>
    </row>
    <row r="523">
      <c r="A523" s="10">
        <v>40019.0</v>
      </c>
      <c r="B523" s="23">
        <v>1.08043709E8</v>
      </c>
      <c r="C523" s="12" t="s">
        <v>696</v>
      </c>
      <c r="D523" s="13" t="s">
        <v>18</v>
      </c>
      <c r="E523" s="13" t="s">
        <v>19</v>
      </c>
      <c r="F523" s="13" t="s">
        <v>157</v>
      </c>
      <c r="G523" s="13" t="s">
        <v>23</v>
      </c>
      <c r="H523" s="13" t="s">
        <v>28</v>
      </c>
      <c r="I523" s="14" t="s">
        <v>18</v>
      </c>
      <c r="J523" s="14" t="s">
        <v>22</v>
      </c>
      <c r="K523" s="14">
        <v>36.0</v>
      </c>
      <c r="L523" s="14" t="s">
        <v>23</v>
      </c>
      <c r="M523" s="14" t="s">
        <v>24</v>
      </c>
      <c r="N523" s="20"/>
      <c r="O523" s="14">
        <v>1.0</v>
      </c>
      <c r="P523" s="15" t="s">
        <v>697</v>
      </c>
      <c r="Q523" s="16"/>
      <c r="R523" s="16"/>
      <c r="S523" s="16"/>
      <c r="T523" s="16"/>
      <c r="U523" s="16"/>
      <c r="V523" s="16"/>
      <c r="W523" s="16"/>
      <c r="X523" s="16"/>
      <c r="Y523" s="16"/>
      <c r="Z523" s="16"/>
    </row>
    <row r="524">
      <c r="A524" s="10">
        <v>40018.0</v>
      </c>
      <c r="B524" s="23">
        <v>1.07327809E8</v>
      </c>
      <c r="C524" s="12" t="s">
        <v>174</v>
      </c>
      <c r="D524" s="13" t="s">
        <v>18</v>
      </c>
      <c r="E524" s="13" t="s">
        <v>33</v>
      </c>
      <c r="F524" s="13" t="s">
        <v>157</v>
      </c>
      <c r="G524" s="13" t="s">
        <v>23</v>
      </c>
      <c r="H524" s="13" t="s">
        <v>140</v>
      </c>
      <c r="I524" s="14" t="s">
        <v>18</v>
      </c>
      <c r="J524" s="14" t="s">
        <v>29</v>
      </c>
      <c r="K524" s="14">
        <v>34.0</v>
      </c>
      <c r="L524" s="14" t="s">
        <v>23</v>
      </c>
      <c r="M524" s="14" t="s">
        <v>60</v>
      </c>
      <c r="N524" s="20"/>
      <c r="O524" s="14">
        <v>1.0</v>
      </c>
      <c r="P524" s="15" t="s">
        <v>698</v>
      </c>
      <c r="Q524" s="16"/>
      <c r="R524" s="16"/>
      <c r="S524" s="16"/>
      <c r="T524" s="16"/>
      <c r="U524" s="16"/>
      <c r="V524" s="16"/>
      <c r="W524" s="16"/>
      <c r="X524" s="16"/>
      <c r="Y524" s="16"/>
      <c r="Z524" s="16"/>
    </row>
    <row r="525">
      <c r="A525" s="10">
        <v>40018.0</v>
      </c>
      <c r="B525" s="23">
        <v>1.07581809E8</v>
      </c>
      <c r="C525" s="12" t="s">
        <v>699</v>
      </c>
      <c r="D525" s="13" t="s">
        <v>18</v>
      </c>
      <c r="E525" s="13" t="s">
        <v>19</v>
      </c>
      <c r="F525" s="13">
        <v>54.0</v>
      </c>
      <c r="G525" s="13" t="s">
        <v>34</v>
      </c>
      <c r="H525" s="13" t="s">
        <v>700</v>
      </c>
      <c r="I525" s="14" t="s">
        <v>18</v>
      </c>
      <c r="J525" s="14" t="s">
        <v>22</v>
      </c>
      <c r="K525" s="14">
        <v>38.0</v>
      </c>
      <c r="L525" s="14" t="s">
        <v>23</v>
      </c>
      <c r="M525" s="14" t="s">
        <v>24</v>
      </c>
      <c r="N525" s="20"/>
      <c r="O525" s="14">
        <v>1.0</v>
      </c>
      <c r="P525" s="15" t="s">
        <v>701</v>
      </c>
      <c r="Q525" s="16"/>
      <c r="R525" s="16"/>
      <c r="S525" s="16"/>
      <c r="T525" s="16"/>
      <c r="U525" s="16"/>
      <c r="V525" s="16"/>
      <c r="W525" s="16"/>
      <c r="X525" s="16"/>
      <c r="Y525" s="16"/>
      <c r="Z525" s="16"/>
    </row>
    <row r="526">
      <c r="A526" s="10">
        <v>40008.0</v>
      </c>
      <c r="B526" s="23">
        <v>1.02282609E8</v>
      </c>
      <c r="C526" s="12" t="s">
        <v>702</v>
      </c>
      <c r="D526" s="13" t="s">
        <v>18</v>
      </c>
      <c r="E526" s="13" t="s">
        <v>29</v>
      </c>
      <c r="F526" s="13">
        <v>29.0</v>
      </c>
      <c r="G526" s="13" t="s">
        <v>34</v>
      </c>
      <c r="H526" s="13" t="s">
        <v>28</v>
      </c>
      <c r="I526" s="14" t="s">
        <v>18</v>
      </c>
      <c r="J526" s="14" t="s">
        <v>22</v>
      </c>
      <c r="K526" s="14">
        <v>32.0</v>
      </c>
      <c r="L526" s="14" t="s">
        <v>23</v>
      </c>
      <c r="M526" s="14" t="s">
        <v>24</v>
      </c>
      <c r="N526" s="20"/>
      <c r="O526" s="14">
        <v>1.0</v>
      </c>
      <c r="P526" s="15" t="s">
        <v>703</v>
      </c>
      <c r="Q526" s="16"/>
      <c r="R526" s="16"/>
      <c r="S526" s="16"/>
      <c r="T526" s="16"/>
      <c r="U526" s="16"/>
      <c r="V526" s="16"/>
      <c r="W526" s="16"/>
      <c r="X526" s="16"/>
      <c r="Y526" s="16"/>
      <c r="Z526" s="16"/>
    </row>
    <row r="527">
      <c r="I527" s="14" t="s">
        <v>18</v>
      </c>
      <c r="J527" s="14" t="s">
        <v>22</v>
      </c>
      <c r="K527" s="14">
        <v>35.0</v>
      </c>
      <c r="L527" s="14" t="s">
        <v>23</v>
      </c>
      <c r="M527" s="14" t="s">
        <v>24</v>
      </c>
      <c r="N527" s="20"/>
      <c r="O527" s="14">
        <v>1.0</v>
      </c>
      <c r="Q527" s="16"/>
      <c r="R527" s="16"/>
      <c r="S527" s="16"/>
      <c r="T527" s="16"/>
      <c r="U527" s="16"/>
      <c r="V527" s="16"/>
      <c r="W527" s="16"/>
      <c r="X527" s="16"/>
      <c r="Y527" s="16"/>
      <c r="Z527" s="16"/>
    </row>
    <row r="528">
      <c r="I528" s="14" t="s">
        <v>18</v>
      </c>
      <c r="J528" s="14" t="s">
        <v>19</v>
      </c>
      <c r="K528" s="14">
        <v>41.0</v>
      </c>
      <c r="L528" s="14" t="s">
        <v>23</v>
      </c>
      <c r="M528" s="14" t="s">
        <v>24</v>
      </c>
      <c r="N528" s="20"/>
      <c r="O528" s="14">
        <v>1.0</v>
      </c>
      <c r="Q528" s="16"/>
      <c r="R528" s="16"/>
      <c r="S528" s="16"/>
      <c r="T528" s="16"/>
      <c r="U528" s="16"/>
      <c r="V528" s="16"/>
      <c r="W528" s="16"/>
      <c r="X528" s="16"/>
      <c r="Y528" s="16"/>
      <c r="Z528" s="16"/>
    </row>
    <row r="529">
      <c r="I529" s="14" t="s">
        <v>18</v>
      </c>
      <c r="J529" s="14" t="s">
        <v>22</v>
      </c>
      <c r="K529" s="14">
        <v>46.0</v>
      </c>
      <c r="L529" s="14" t="s">
        <v>23</v>
      </c>
      <c r="M529" s="14" t="s">
        <v>24</v>
      </c>
      <c r="N529" s="20"/>
      <c r="O529" s="14">
        <v>1.0</v>
      </c>
      <c r="Q529" s="16"/>
      <c r="R529" s="16"/>
      <c r="S529" s="16"/>
      <c r="T529" s="16"/>
      <c r="U529" s="16"/>
      <c r="V529" s="16"/>
      <c r="W529" s="16"/>
      <c r="X529" s="16"/>
      <c r="Y529" s="16"/>
      <c r="Z529" s="16"/>
    </row>
    <row r="530">
      <c r="I530" s="14" t="s">
        <v>18</v>
      </c>
      <c r="J530" s="14" t="s">
        <v>29</v>
      </c>
      <c r="K530" s="14">
        <v>47.0</v>
      </c>
      <c r="L530" s="14" t="s">
        <v>23</v>
      </c>
      <c r="M530" s="14" t="s">
        <v>24</v>
      </c>
      <c r="N530" s="20"/>
      <c r="O530" s="14">
        <v>1.0</v>
      </c>
      <c r="Q530" s="16"/>
      <c r="R530" s="16"/>
      <c r="S530" s="16"/>
      <c r="T530" s="16"/>
      <c r="U530" s="16"/>
      <c r="V530" s="16"/>
      <c r="W530" s="16"/>
      <c r="X530" s="16"/>
      <c r="Y530" s="16"/>
      <c r="Z530" s="16"/>
    </row>
    <row r="531">
      <c r="I531" s="14" t="s">
        <v>18</v>
      </c>
      <c r="J531" s="14" t="s">
        <v>19</v>
      </c>
      <c r="K531" s="14">
        <v>24.0</v>
      </c>
      <c r="L531" s="14" t="s">
        <v>23</v>
      </c>
      <c r="M531" s="14" t="s">
        <v>24</v>
      </c>
      <c r="N531" s="20"/>
      <c r="O531" s="14">
        <v>1.0</v>
      </c>
      <c r="Q531" s="16"/>
      <c r="R531" s="16"/>
      <c r="S531" s="16"/>
      <c r="T531" s="16"/>
      <c r="U531" s="16"/>
      <c r="V531" s="16"/>
      <c r="W531" s="16"/>
      <c r="X531" s="16"/>
      <c r="Y531" s="16"/>
      <c r="Z531" s="16"/>
    </row>
    <row r="532">
      <c r="A532" s="10">
        <v>39994.0</v>
      </c>
      <c r="B532" s="23">
        <v>9.5423209E7</v>
      </c>
      <c r="C532" s="12" t="s">
        <v>174</v>
      </c>
      <c r="D532" s="13" t="s">
        <v>18</v>
      </c>
      <c r="E532" s="13" t="s">
        <v>19</v>
      </c>
      <c r="F532" s="13">
        <v>26.0</v>
      </c>
      <c r="G532" s="13" t="s">
        <v>23</v>
      </c>
      <c r="H532" s="13" t="s">
        <v>28</v>
      </c>
      <c r="I532" s="14" t="s">
        <v>84</v>
      </c>
      <c r="J532" s="14" t="s">
        <v>29</v>
      </c>
      <c r="K532" s="14">
        <v>38.0</v>
      </c>
      <c r="L532" s="14" t="s">
        <v>23</v>
      </c>
      <c r="M532" s="14" t="s">
        <v>24</v>
      </c>
      <c r="N532" s="20"/>
      <c r="O532" s="14">
        <v>1.0</v>
      </c>
      <c r="P532" s="15" t="s">
        <v>704</v>
      </c>
      <c r="Q532" s="16"/>
      <c r="R532" s="16"/>
      <c r="S532" s="16"/>
      <c r="T532" s="16"/>
      <c r="U532" s="16"/>
      <c r="V532" s="16"/>
      <c r="W532" s="16"/>
      <c r="X532" s="16"/>
      <c r="Y532" s="16"/>
      <c r="Z532" s="16"/>
    </row>
    <row r="533">
      <c r="A533" s="10">
        <v>39987.0</v>
      </c>
      <c r="B533" s="23">
        <v>9.1819709E7</v>
      </c>
      <c r="C533" s="12" t="s">
        <v>705</v>
      </c>
      <c r="D533" s="13" t="s">
        <v>18</v>
      </c>
      <c r="E533" s="13" t="s">
        <v>19</v>
      </c>
      <c r="F533" s="13">
        <v>27.0</v>
      </c>
      <c r="G533" s="13" t="s">
        <v>34</v>
      </c>
      <c r="H533" s="13" t="s">
        <v>28</v>
      </c>
      <c r="I533" s="14" t="s">
        <v>18</v>
      </c>
      <c r="J533" s="14" t="s">
        <v>19</v>
      </c>
      <c r="K533" s="14">
        <v>43.0</v>
      </c>
      <c r="L533" s="14" t="s">
        <v>34</v>
      </c>
      <c r="M533" s="14" t="s">
        <v>24</v>
      </c>
      <c r="N533" s="20"/>
      <c r="O533" s="14" t="s">
        <v>35</v>
      </c>
      <c r="P533" s="15" t="s">
        <v>706</v>
      </c>
      <c r="Q533" s="16"/>
      <c r="R533" s="16"/>
      <c r="S533" s="16"/>
      <c r="T533" s="16"/>
      <c r="U533" s="16"/>
      <c r="V533" s="16"/>
      <c r="W533" s="16"/>
      <c r="X533" s="16"/>
      <c r="Y533" s="16"/>
      <c r="Z533" s="16"/>
    </row>
    <row r="534">
      <c r="I534" s="14" t="s">
        <v>18</v>
      </c>
      <c r="J534" s="14" t="s">
        <v>19</v>
      </c>
      <c r="K534" s="14">
        <v>49.0</v>
      </c>
      <c r="L534" s="14" t="s">
        <v>23</v>
      </c>
      <c r="M534" s="14" t="s">
        <v>24</v>
      </c>
      <c r="N534" s="20"/>
      <c r="O534" s="14">
        <v>1.0</v>
      </c>
      <c r="Q534" s="16"/>
      <c r="R534" s="16"/>
      <c r="S534" s="16"/>
      <c r="T534" s="16"/>
      <c r="U534" s="16"/>
      <c r="V534" s="16"/>
      <c r="W534" s="16"/>
      <c r="X534" s="16"/>
      <c r="Y534" s="16"/>
      <c r="Z534" s="16"/>
    </row>
    <row r="535">
      <c r="A535" s="10">
        <v>39970.0</v>
      </c>
      <c r="B535" s="23">
        <v>8.2236309E7</v>
      </c>
      <c r="C535" s="12" t="s">
        <v>707</v>
      </c>
      <c r="D535" s="13" t="s">
        <v>18</v>
      </c>
      <c r="E535" s="13" t="s">
        <v>29</v>
      </c>
      <c r="F535" s="13">
        <v>22.0</v>
      </c>
      <c r="G535" s="13" t="s">
        <v>23</v>
      </c>
      <c r="H535" s="13" t="s">
        <v>28</v>
      </c>
      <c r="I535" s="14" t="s">
        <v>18</v>
      </c>
      <c r="J535" s="14" t="s">
        <v>19</v>
      </c>
      <c r="K535" s="14">
        <v>35.0</v>
      </c>
      <c r="L535" s="14" t="s">
        <v>23</v>
      </c>
      <c r="M535" s="14" t="s">
        <v>24</v>
      </c>
      <c r="N535" s="20"/>
      <c r="O535" s="14">
        <v>1.0</v>
      </c>
      <c r="P535" s="15" t="s">
        <v>708</v>
      </c>
      <c r="Q535" s="16"/>
      <c r="R535" s="16"/>
      <c r="S535" s="16"/>
      <c r="T535" s="16"/>
      <c r="U535" s="16"/>
      <c r="V535" s="16"/>
      <c r="W535" s="16"/>
      <c r="X535" s="16"/>
      <c r="Y535" s="16"/>
      <c r="Z535" s="16"/>
    </row>
    <row r="536">
      <c r="A536" s="10">
        <v>39968.0</v>
      </c>
      <c r="B536" s="23">
        <v>8.0998609E7</v>
      </c>
      <c r="C536" s="12" t="s">
        <v>709</v>
      </c>
      <c r="D536" s="13" t="s">
        <v>164</v>
      </c>
      <c r="E536" s="13" t="s">
        <v>164</v>
      </c>
      <c r="F536" s="13" t="s">
        <v>164</v>
      </c>
      <c r="G536" s="13" t="s">
        <v>23</v>
      </c>
      <c r="H536" s="13" t="s">
        <v>28</v>
      </c>
      <c r="I536" s="14" t="s">
        <v>18</v>
      </c>
      <c r="J536" s="14" t="s">
        <v>22</v>
      </c>
      <c r="K536" s="14">
        <v>54.0</v>
      </c>
      <c r="L536" s="14" t="s">
        <v>23</v>
      </c>
      <c r="M536" s="14" t="s">
        <v>24</v>
      </c>
      <c r="N536" s="20"/>
      <c r="O536" s="14">
        <v>1.0</v>
      </c>
      <c r="P536" s="15" t="s">
        <v>710</v>
      </c>
      <c r="Q536" s="16"/>
      <c r="R536" s="16"/>
      <c r="S536" s="16"/>
      <c r="T536" s="16"/>
      <c r="U536" s="16"/>
      <c r="V536" s="16"/>
      <c r="W536" s="16"/>
      <c r="X536" s="16"/>
      <c r="Y536" s="16"/>
      <c r="Z536" s="16"/>
    </row>
    <row r="537">
      <c r="A537" s="10">
        <v>39948.0</v>
      </c>
      <c r="B537" s="23">
        <v>7.0423809E7</v>
      </c>
      <c r="C537" s="12" t="s">
        <v>711</v>
      </c>
      <c r="D537" s="13" t="s">
        <v>18</v>
      </c>
      <c r="E537" s="13" t="s">
        <v>29</v>
      </c>
      <c r="F537" s="13">
        <v>29.0</v>
      </c>
      <c r="G537" s="13" t="s">
        <v>20</v>
      </c>
      <c r="H537" s="13" t="s">
        <v>28</v>
      </c>
      <c r="I537" s="14" t="s">
        <v>18</v>
      </c>
      <c r="J537" s="14" t="s">
        <v>22</v>
      </c>
      <c r="K537" s="14">
        <v>33.0</v>
      </c>
      <c r="L537" s="14" t="s">
        <v>23</v>
      </c>
      <c r="M537" s="14" t="s">
        <v>24</v>
      </c>
      <c r="N537" s="20"/>
      <c r="O537" s="14">
        <v>1.0</v>
      </c>
      <c r="P537" s="15" t="s">
        <v>712</v>
      </c>
      <c r="Q537" s="16"/>
      <c r="R537" s="16"/>
      <c r="S537" s="16"/>
      <c r="T537" s="16"/>
      <c r="U537" s="16"/>
      <c r="V537" s="16"/>
      <c r="W537" s="16"/>
      <c r="X537" s="16"/>
      <c r="Y537" s="16"/>
      <c r="Z537" s="16"/>
    </row>
    <row r="538">
      <c r="A538" s="10">
        <v>39927.0</v>
      </c>
      <c r="B538" s="23">
        <v>5.8570609E7</v>
      </c>
      <c r="C538" s="12" t="s">
        <v>713</v>
      </c>
      <c r="D538" s="13" t="s">
        <v>18</v>
      </c>
      <c r="E538" s="13" t="s">
        <v>19</v>
      </c>
      <c r="F538" s="13">
        <v>25.0</v>
      </c>
      <c r="G538" s="13" t="s">
        <v>34</v>
      </c>
      <c r="H538" s="13" t="s">
        <v>28</v>
      </c>
      <c r="I538" s="14" t="s">
        <v>18</v>
      </c>
      <c r="J538" s="14" t="s">
        <v>19</v>
      </c>
      <c r="K538" s="14">
        <v>24.0</v>
      </c>
      <c r="L538" s="14" t="s">
        <v>23</v>
      </c>
      <c r="M538" s="14" t="s">
        <v>24</v>
      </c>
      <c r="N538" s="20"/>
      <c r="O538" s="14">
        <v>1.0</v>
      </c>
      <c r="P538" s="15" t="s">
        <v>714</v>
      </c>
      <c r="Q538" s="16"/>
      <c r="R538" s="16"/>
      <c r="S538" s="16"/>
      <c r="T538" s="16"/>
      <c r="U538" s="16"/>
      <c r="V538" s="16"/>
      <c r="W538" s="16"/>
      <c r="X538" s="16"/>
      <c r="Y538" s="16"/>
      <c r="Z538" s="16"/>
    </row>
    <row r="539">
      <c r="I539" s="14" t="s">
        <v>18</v>
      </c>
      <c r="J539" s="14" t="s">
        <v>22</v>
      </c>
      <c r="K539" s="14">
        <v>33.0</v>
      </c>
      <c r="L539" s="14" t="s">
        <v>23</v>
      </c>
      <c r="M539" s="14" t="s">
        <v>24</v>
      </c>
      <c r="N539" s="20"/>
      <c r="O539" s="14">
        <v>1.0</v>
      </c>
      <c r="Q539" s="16"/>
      <c r="R539" s="16"/>
      <c r="S539" s="16"/>
      <c r="T539" s="16"/>
      <c r="U539" s="16"/>
      <c r="V539" s="16"/>
      <c r="W539" s="16"/>
      <c r="X539" s="16"/>
      <c r="Y539" s="16"/>
      <c r="Z539" s="16"/>
    </row>
    <row r="540">
      <c r="I540" s="14" t="s">
        <v>18</v>
      </c>
      <c r="J540" s="14" t="s">
        <v>29</v>
      </c>
      <c r="K540" s="14">
        <v>37.0</v>
      </c>
      <c r="L540" s="14" t="s">
        <v>23</v>
      </c>
      <c r="M540" s="14" t="s">
        <v>24</v>
      </c>
      <c r="N540" s="20"/>
      <c r="O540" s="14">
        <v>1.0</v>
      </c>
      <c r="Q540" s="16"/>
      <c r="R540" s="16"/>
      <c r="S540" s="16"/>
      <c r="T540" s="16"/>
      <c r="U540" s="16"/>
      <c r="V540" s="16"/>
      <c r="W540" s="16"/>
      <c r="X540" s="16"/>
      <c r="Y540" s="16"/>
      <c r="Z540" s="16"/>
    </row>
    <row r="541">
      <c r="A541" s="10">
        <v>39923.0</v>
      </c>
      <c r="B541" s="23">
        <v>5.6603609E7</v>
      </c>
      <c r="C541" s="12" t="s">
        <v>715</v>
      </c>
      <c r="D541" s="13" t="s">
        <v>18</v>
      </c>
      <c r="E541" s="13" t="s">
        <v>19</v>
      </c>
      <c r="F541" s="13">
        <v>29.0</v>
      </c>
      <c r="G541" s="13" t="s">
        <v>34</v>
      </c>
      <c r="H541" s="13" t="s">
        <v>38</v>
      </c>
      <c r="I541" s="14" t="s">
        <v>18</v>
      </c>
      <c r="J541" s="14" t="s">
        <v>19</v>
      </c>
      <c r="K541" s="14">
        <v>26.0</v>
      </c>
      <c r="L541" s="14" t="s">
        <v>23</v>
      </c>
      <c r="M541" s="14" t="s">
        <v>24</v>
      </c>
      <c r="N541" s="20"/>
      <c r="O541" s="14">
        <v>1.0</v>
      </c>
      <c r="P541" s="15" t="s">
        <v>716</v>
      </c>
      <c r="Q541" s="16"/>
      <c r="R541" s="16"/>
      <c r="S541" s="16"/>
      <c r="T541" s="16"/>
      <c r="U541" s="16"/>
      <c r="V541" s="16"/>
      <c r="W541" s="16"/>
      <c r="X541" s="16"/>
      <c r="Y541" s="16"/>
      <c r="Z541" s="16"/>
    </row>
    <row r="542">
      <c r="A542" s="10">
        <v>39920.0</v>
      </c>
      <c r="B542" s="23">
        <v>5.4787109E7</v>
      </c>
      <c r="C542" s="12" t="s">
        <v>717</v>
      </c>
      <c r="D542" s="13" t="s">
        <v>18</v>
      </c>
      <c r="E542" s="13" t="s">
        <v>29</v>
      </c>
      <c r="F542" s="13">
        <v>28.0</v>
      </c>
      <c r="G542" s="13" t="s">
        <v>20</v>
      </c>
      <c r="H542" s="13" t="s">
        <v>28</v>
      </c>
      <c r="I542" s="14" t="s">
        <v>18</v>
      </c>
      <c r="J542" s="14" t="s">
        <v>29</v>
      </c>
      <c r="K542" s="14">
        <v>47.0</v>
      </c>
      <c r="L542" s="14" t="s">
        <v>23</v>
      </c>
      <c r="M542" s="14" t="s">
        <v>60</v>
      </c>
      <c r="N542" s="20"/>
      <c r="O542" s="14">
        <v>1.0</v>
      </c>
      <c r="P542" s="15" t="s">
        <v>718</v>
      </c>
      <c r="Q542" s="16"/>
      <c r="R542" s="16"/>
      <c r="S542" s="16"/>
      <c r="T542" s="16"/>
      <c r="U542" s="16"/>
      <c r="V542" s="16"/>
      <c r="W542" s="16"/>
      <c r="X542" s="16"/>
      <c r="Y542" s="16"/>
      <c r="Z542" s="16"/>
    </row>
    <row r="543">
      <c r="A543" s="10">
        <v>39909.0</v>
      </c>
      <c r="B543" s="23">
        <v>4.8859509E7</v>
      </c>
      <c r="C543" s="12" t="s">
        <v>719</v>
      </c>
      <c r="D543" s="13" t="s">
        <v>18</v>
      </c>
      <c r="E543" s="13" t="s">
        <v>29</v>
      </c>
      <c r="F543" s="13">
        <v>19.0</v>
      </c>
      <c r="G543" s="13" t="s">
        <v>20</v>
      </c>
      <c r="H543" s="13" t="s">
        <v>28</v>
      </c>
      <c r="I543" s="14" t="s">
        <v>18</v>
      </c>
      <c r="J543" s="14" t="s">
        <v>22</v>
      </c>
      <c r="K543" s="14">
        <v>57.0</v>
      </c>
      <c r="L543" s="14" t="s">
        <v>23</v>
      </c>
      <c r="M543" s="14" t="s">
        <v>24</v>
      </c>
      <c r="N543" s="20"/>
      <c r="O543" s="14">
        <v>1.0</v>
      </c>
      <c r="P543" s="15" t="s">
        <v>720</v>
      </c>
      <c r="Q543" s="16"/>
      <c r="R543" s="16"/>
      <c r="S543" s="16"/>
      <c r="T543" s="16"/>
      <c r="U543" s="16"/>
      <c r="V543" s="16"/>
      <c r="W543" s="16"/>
      <c r="X543" s="16"/>
      <c r="Y543" s="16"/>
      <c r="Z543" s="16"/>
    </row>
    <row r="544">
      <c r="A544" s="10">
        <v>39893.0</v>
      </c>
      <c r="B544" s="23">
        <v>4.0670409E7</v>
      </c>
      <c r="C544" s="12" t="s">
        <v>721</v>
      </c>
      <c r="D544" s="13" t="s">
        <v>18</v>
      </c>
      <c r="E544" s="13" t="s">
        <v>29</v>
      </c>
      <c r="F544" s="13">
        <v>23.0</v>
      </c>
      <c r="G544" s="13" t="s">
        <v>23</v>
      </c>
      <c r="H544" s="13" t="s">
        <v>38</v>
      </c>
      <c r="I544" s="14" t="s">
        <v>18</v>
      </c>
      <c r="J544" s="14" t="s">
        <v>29</v>
      </c>
      <c r="K544" s="14">
        <v>47.0</v>
      </c>
      <c r="L544" s="14" t="s">
        <v>23</v>
      </c>
      <c r="M544" s="14" t="s">
        <v>24</v>
      </c>
      <c r="N544" s="20"/>
      <c r="O544" s="14">
        <v>1.0</v>
      </c>
      <c r="P544" s="15" t="s">
        <v>722</v>
      </c>
      <c r="Q544" s="16"/>
      <c r="R544" s="16"/>
      <c r="S544" s="16"/>
      <c r="T544" s="16"/>
      <c r="U544" s="16"/>
      <c r="V544" s="16"/>
      <c r="W544" s="16"/>
      <c r="X544" s="16"/>
      <c r="Y544" s="16"/>
      <c r="Z544" s="16"/>
    </row>
    <row r="545">
      <c r="A545" s="10">
        <v>39891.0</v>
      </c>
      <c r="B545" s="23">
        <v>3.9879809E7</v>
      </c>
      <c r="C545" s="12" t="s">
        <v>723</v>
      </c>
      <c r="D545" s="13" t="s">
        <v>18</v>
      </c>
      <c r="E545" s="13" t="s">
        <v>22</v>
      </c>
      <c r="F545" s="13">
        <v>37.0</v>
      </c>
      <c r="G545" s="13" t="s">
        <v>23</v>
      </c>
      <c r="H545" s="13" t="s">
        <v>152</v>
      </c>
      <c r="I545" s="14" t="s">
        <v>18</v>
      </c>
      <c r="J545" s="14" t="s">
        <v>22</v>
      </c>
      <c r="K545" s="14">
        <v>35.0</v>
      </c>
      <c r="L545" s="14" t="s">
        <v>23</v>
      </c>
      <c r="M545" s="14" t="s">
        <v>24</v>
      </c>
      <c r="N545" s="20"/>
      <c r="O545" s="14">
        <v>1.0</v>
      </c>
      <c r="P545" s="15" t="s">
        <v>724</v>
      </c>
      <c r="Q545" s="16"/>
      <c r="R545" s="16"/>
      <c r="S545" s="16"/>
      <c r="T545" s="16"/>
      <c r="U545" s="16"/>
      <c r="V545" s="16"/>
      <c r="W545" s="16"/>
      <c r="X545" s="16"/>
      <c r="Y545" s="16"/>
      <c r="Z545" s="16"/>
    </row>
    <row r="546">
      <c r="D546" s="13" t="s">
        <v>84</v>
      </c>
      <c r="E546" s="13" t="s">
        <v>22</v>
      </c>
      <c r="F546" s="13">
        <v>36.0</v>
      </c>
      <c r="G546" s="13" t="s">
        <v>20</v>
      </c>
      <c r="H546" s="13" t="s">
        <v>23</v>
      </c>
      <c r="N546" s="20"/>
      <c r="Q546" s="16"/>
      <c r="R546" s="16"/>
      <c r="S546" s="16"/>
      <c r="T546" s="16"/>
      <c r="U546" s="16"/>
      <c r="V546" s="16"/>
      <c r="W546" s="16"/>
      <c r="X546" s="16"/>
      <c r="Y546" s="16"/>
      <c r="Z546" s="16"/>
    </row>
    <row r="547">
      <c r="A547" s="10">
        <v>39879.0</v>
      </c>
      <c r="B547" s="23">
        <v>3.3424709E7</v>
      </c>
      <c r="C547" s="12" t="s">
        <v>725</v>
      </c>
      <c r="D547" s="13" t="s">
        <v>18</v>
      </c>
      <c r="E547" s="13" t="s">
        <v>29</v>
      </c>
      <c r="F547" s="13">
        <v>47.0</v>
      </c>
      <c r="G547" s="13" t="s">
        <v>34</v>
      </c>
      <c r="H547" s="13" t="s">
        <v>28</v>
      </c>
      <c r="I547" s="14" t="s">
        <v>18</v>
      </c>
      <c r="J547" s="14" t="s">
        <v>19</v>
      </c>
      <c r="K547" s="14">
        <v>50.0</v>
      </c>
      <c r="L547" s="14" t="s">
        <v>23</v>
      </c>
      <c r="M547" s="14" t="s">
        <v>24</v>
      </c>
      <c r="N547" s="20"/>
      <c r="O547" s="14">
        <v>1.0</v>
      </c>
      <c r="P547" s="15" t="s">
        <v>726</v>
      </c>
      <c r="Q547" s="16"/>
      <c r="R547" s="16"/>
      <c r="S547" s="16"/>
      <c r="T547" s="16"/>
      <c r="U547" s="16"/>
      <c r="V547" s="16"/>
      <c r="W547" s="16"/>
      <c r="X547" s="16"/>
      <c r="Y547" s="16"/>
      <c r="Z547" s="16"/>
    </row>
    <row r="548">
      <c r="I548" s="14" t="s">
        <v>18</v>
      </c>
      <c r="J548" s="14" t="s">
        <v>22</v>
      </c>
      <c r="K548" s="14">
        <v>38.0</v>
      </c>
      <c r="L548" s="14" t="s">
        <v>23</v>
      </c>
      <c r="M548" s="14" t="s">
        <v>24</v>
      </c>
      <c r="N548" s="20"/>
      <c r="O548" s="14">
        <v>1.0</v>
      </c>
      <c r="Q548" s="16"/>
      <c r="R548" s="16"/>
      <c r="S548" s="16"/>
      <c r="T548" s="16"/>
      <c r="U548" s="16"/>
      <c r="V548" s="16"/>
      <c r="W548" s="16"/>
      <c r="X548" s="16"/>
      <c r="Y548" s="16"/>
      <c r="Z548" s="16"/>
    </row>
    <row r="549">
      <c r="I549" s="14" t="s">
        <v>18</v>
      </c>
      <c r="J549" s="14" t="s">
        <v>19</v>
      </c>
      <c r="K549" s="14">
        <v>34.0</v>
      </c>
      <c r="L549" s="14" t="s">
        <v>23</v>
      </c>
      <c r="M549" s="14" t="s">
        <v>24</v>
      </c>
      <c r="N549" s="20"/>
      <c r="O549" s="14">
        <v>1.0</v>
      </c>
      <c r="Q549" s="16"/>
      <c r="R549" s="16"/>
      <c r="S549" s="16"/>
      <c r="T549" s="16"/>
      <c r="U549" s="16"/>
      <c r="V549" s="16"/>
      <c r="W549" s="16"/>
      <c r="X549" s="16"/>
      <c r="Y549" s="16"/>
      <c r="Z549" s="16"/>
    </row>
    <row r="550">
      <c r="I550" s="14" t="s">
        <v>18</v>
      </c>
      <c r="J550" s="14" t="s">
        <v>29</v>
      </c>
      <c r="K550" s="14">
        <v>43.0</v>
      </c>
      <c r="L550" s="14" t="s">
        <v>23</v>
      </c>
      <c r="M550" s="14" t="s">
        <v>24</v>
      </c>
      <c r="N550" s="20"/>
      <c r="O550" s="14">
        <v>1.0</v>
      </c>
      <c r="Q550" s="16"/>
      <c r="R550" s="16"/>
      <c r="S550" s="16"/>
      <c r="T550" s="16"/>
      <c r="U550" s="16"/>
      <c r="V550" s="16"/>
      <c r="W550" s="16"/>
      <c r="X550" s="16"/>
      <c r="Y550" s="16"/>
      <c r="Z550" s="16"/>
    </row>
    <row r="551">
      <c r="A551" s="10">
        <v>39877.0</v>
      </c>
      <c r="B551" s="23">
        <v>3.2644409E7</v>
      </c>
      <c r="C551" s="12" t="s">
        <v>727</v>
      </c>
      <c r="D551" s="13" t="s">
        <v>18</v>
      </c>
      <c r="E551" s="13" t="s">
        <v>19</v>
      </c>
      <c r="F551" s="13">
        <v>28.0</v>
      </c>
      <c r="G551" s="13" t="s">
        <v>34</v>
      </c>
      <c r="H551" s="13" t="s">
        <v>28</v>
      </c>
      <c r="I551" s="14" t="s">
        <v>84</v>
      </c>
      <c r="J551" s="14" t="s">
        <v>22</v>
      </c>
      <c r="K551" s="14">
        <v>39.0</v>
      </c>
      <c r="L551" s="14" t="s">
        <v>23</v>
      </c>
      <c r="M551" s="14" t="s">
        <v>24</v>
      </c>
      <c r="N551" s="20"/>
      <c r="O551" s="14" t="s">
        <v>35</v>
      </c>
      <c r="P551" s="15" t="s">
        <v>728</v>
      </c>
      <c r="Q551" s="16"/>
      <c r="R551" s="16"/>
      <c r="S551" s="16"/>
      <c r="T551" s="16"/>
      <c r="U551" s="16"/>
      <c r="V551" s="16"/>
      <c r="W551" s="16"/>
      <c r="X551" s="16"/>
      <c r="Y551" s="16"/>
      <c r="Z551" s="16"/>
    </row>
    <row r="552">
      <c r="I552" s="14" t="s">
        <v>18</v>
      </c>
      <c r="J552" s="14" t="s">
        <v>19</v>
      </c>
      <c r="K552" s="14">
        <v>40.0</v>
      </c>
      <c r="L552" s="14" t="s">
        <v>23</v>
      </c>
      <c r="M552" s="14" t="s">
        <v>24</v>
      </c>
      <c r="N552" s="20"/>
      <c r="O552" s="14" t="s">
        <v>35</v>
      </c>
      <c r="Q552" s="16"/>
      <c r="R552" s="16"/>
      <c r="S552" s="16"/>
      <c r="T552" s="16"/>
      <c r="U552" s="16"/>
      <c r="V552" s="16"/>
      <c r="W552" s="16"/>
      <c r="X552" s="16"/>
      <c r="Y552" s="16"/>
      <c r="Z552" s="16"/>
    </row>
    <row r="553">
      <c r="I553" s="14" t="s">
        <v>18</v>
      </c>
      <c r="J553" s="14" t="s">
        <v>29</v>
      </c>
      <c r="K553" s="14">
        <v>38.0</v>
      </c>
      <c r="L553" s="14" t="s">
        <v>23</v>
      </c>
      <c r="M553" s="14" t="s">
        <v>24</v>
      </c>
      <c r="N553" s="20"/>
      <c r="O553" s="14" t="s">
        <v>35</v>
      </c>
      <c r="Q553" s="16"/>
      <c r="R553" s="16"/>
      <c r="S553" s="16"/>
      <c r="T553" s="16"/>
      <c r="U553" s="16"/>
      <c r="V553" s="16"/>
      <c r="W553" s="16"/>
      <c r="X553" s="16"/>
      <c r="Y553" s="16"/>
      <c r="Z553" s="16"/>
    </row>
    <row r="554">
      <c r="A554" s="10">
        <v>39869.0</v>
      </c>
      <c r="B554" s="23">
        <v>2.8090909E7</v>
      </c>
      <c r="C554" s="12" t="s">
        <v>729</v>
      </c>
      <c r="D554" s="13" t="s">
        <v>84</v>
      </c>
      <c r="E554" s="13" t="s">
        <v>29</v>
      </c>
      <c r="F554" s="13" t="s">
        <v>157</v>
      </c>
      <c r="G554" s="13" t="s">
        <v>23</v>
      </c>
      <c r="H554" s="13" t="s">
        <v>28</v>
      </c>
      <c r="I554" s="14" t="s">
        <v>18</v>
      </c>
      <c r="J554" s="14" t="s">
        <v>19</v>
      </c>
      <c r="K554" s="14">
        <v>38.0</v>
      </c>
      <c r="L554" s="14" t="s">
        <v>23</v>
      </c>
      <c r="M554" s="14" t="s">
        <v>60</v>
      </c>
      <c r="N554" s="20"/>
      <c r="O554" s="14" t="s">
        <v>35</v>
      </c>
      <c r="P554" s="15" t="s">
        <v>730</v>
      </c>
      <c r="Q554" s="16"/>
      <c r="R554" s="16"/>
      <c r="S554" s="16"/>
      <c r="T554" s="16"/>
      <c r="U554" s="16"/>
      <c r="V554" s="16"/>
      <c r="W554" s="16"/>
      <c r="X554" s="16"/>
      <c r="Y554" s="16"/>
      <c r="Z554" s="16"/>
    </row>
    <row r="555">
      <c r="A555" s="10">
        <v>39853.0</v>
      </c>
      <c r="B555" s="23">
        <v>2.0116209E7</v>
      </c>
      <c r="C555" s="12" t="s">
        <v>731</v>
      </c>
      <c r="D555" s="13" t="s">
        <v>18</v>
      </c>
      <c r="E555" s="13" t="s">
        <v>29</v>
      </c>
      <c r="F555" s="13">
        <v>28.0</v>
      </c>
      <c r="G555" s="13" t="s">
        <v>20</v>
      </c>
      <c r="H555" s="13" t="s">
        <v>28</v>
      </c>
      <c r="I555" s="14" t="s">
        <v>18</v>
      </c>
      <c r="J555" s="14" t="s">
        <v>22</v>
      </c>
      <c r="K555" s="14">
        <v>48.0</v>
      </c>
      <c r="L555" s="14" t="s">
        <v>23</v>
      </c>
      <c r="M555" s="14" t="s">
        <v>24</v>
      </c>
      <c r="N555" s="20"/>
      <c r="O555" s="14">
        <v>1.0</v>
      </c>
      <c r="P555" s="15" t="s">
        <v>732</v>
      </c>
      <c r="Q555" s="16"/>
      <c r="R555" s="16"/>
      <c r="S555" s="16"/>
      <c r="T555" s="16"/>
      <c r="U555" s="16"/>
      <c r="V555" s="16"/>
      <c r="W555" s="16"/>
      <c r="X555" s="16"/>
      <c r="Y555" s="16"/>
      <c r="Z555" s="16"/>
    </row>
    <row r="556">
      <c r="I556" s="14" t="s">
        <v>18</v>
      </c>
      <c r="J556" s="14" t="s">
        <v>19</v>
      </c>
      <c r="K556" s="14">
        <v>34.0</v>
      </c>
      <c r="L556" s="14" t="s">
        <v>23</v>
      </c>
      <c r="M556" s="14" t="s">
        <v>24</v>
      </c>
      <c r="N556" s="20"/>
      <c r="O556" s="14">
        <v>1.0</v>
      </c>
      <c r="Q556" s="16"/>
      <c r="R556" s="16"/>
      <c r="S556" s="16"/>
      <c r="T556" s="16"/>
      <c r="U556" s="16"/>
      <c r="V556" s="16"/>
      <c r="W556" s="16"/>
      <c r="X556" s="16"/>
      <c r="Y556" s="16"/>
      <c r="Z556" s="16"/>
    </row>
    <row r="557">
      <c r="A557" s="10">
        <v>39853.0</v>
      </c>
      <c r="B557" s="23">
        <v>2.0348309E7</v>
      </c>
      <c r="C557" s="12" t="s">
        <v>733</v>
      </c>
      <c r="D557" s="13" t="s">
        <v>18</v>
      </c>
      <c r="E557" s="13" t="s">
        <v>22</v>
      </c>
      <c r="F557" s="13">
        <v>28.0</v>
      </c>
      <c r="G557" s="13" t="s">
        <v>34</v>
      </c>
      <c r="H557" s="13" t="s">
        <v>28</v>
      </c>
      <c r="I557" s="14" t="s">
        <v>18</v>
      </c>
      <c r="J557" s="14" t="s">
        <v>22</v>
      </c>
      <c r="K557" s="14">
        <v>28.0</v>
      </c>
      <c r="L557" s="14" t="s">
        <v>23</v>
      </c>
      <c r="M557" s="14" t="s">
        <v>24</v>
      </c>
      <c r="N557" s="20"/>
      <c r="O557" s="14">
        <v>1.0</v>
      </c>
      <c r="P557" s="15" t="s">
        <v>734</v>
      </c>
      <c r="Q557" s="16"/>
      <c r="R557" s="16"/>
      <c r="S557" s="16"/>
      <c r="T557" s="16"/>
      <c r="U557" s="16"/>
      <c r="V557" s="16"/>
      <c r="W557" s="16"/>
      <c r="X557" s="16"/>
      <c r="Y557" s="16"/>
      <c r="Z557" s="16"/>
    </row>
    <row r="558">
      <c r="I558" s="14" t="s">
        <v>18</v>
      </c>
      <c r="J558" s="14" t="s">
        <v>19</v>
      </c>
      <c r="K558" s="14">
        <v>25.0</v>
      </c>
      <c r="L558" s="14" t="s">
        <v>23</v>
      </c>
      <c r="M558" s="14" t="s">
        <v>24</v>
      </c>
      <c r="N558" s="20"/>
      <c r="O558" s="14">
        <v>1.0</v>
      </c>
      <c r="Q558" s="16"/>
      <c r="R558" s="16"/>
      <c r="S558" s="16"/>
      <c r="T558" s="16"/>
      <c r="U558" s="16"/>
      <c r="V558" s="16"/>
      <c r="W558" s="16"/>
      <c r="X558" s="16"/>
      <c r="Y558" s="16"/>
      <c r="Z558" s="16"/>
    </row>
    <row r="559">
      <c r="I559" s="14" t="s">
        <v>18</v>
      </c>
      <c r="J559" s="14" t="s">
        <v>22</v>
      </c>
      <c r="K559" s="14">
        <v>47.0</v>
      </c>
      <c r="L559" s="14" t="s">
        <v>23</v>
      </c>
      <c r="M559" s="14" t="s">
        <v>24</v>
      </c>
      <c r="N559" s="20"/>
      <c r="O559" s="14">
        <v>1.0</v>
      </c>
      <c r="Q559" s="16"/>
      <c r="R559" s="16"/>
      <c r="S559" s="16"/>
      <c r="T559" s="16"/>
      <c r="U559" s="16"/>
      <c r="V559" s="16"/>
      <c r="W559" s="16"/>
      <c r="X559" s="16"/>
      <c r="Y559" s="16"/>
      <c r="Z559" s="16"/>
    </row>
    <row r="560">
      <c r="I560" s="14" t="s">
        <v>18</v>
      </c>
      <c r="J560" s="14" t="s">
        <v>49</v>
      </c>
      <c r="K560" s="14">
        <v>44.0</v>
      </c>
      <c r="L560" s="14" t="s">
        <v>23</v>
      </c>
      <c r="M560" s="14" t="s">
        <v>24</v>
      </c>
      <c r="N560" s="20"/>
      <c r="O560" s="14">
        <v>1.0</v>
      </c>
      <c r="Q560" s="16"/>
      <c r="R560" s="16"/>
      <c r="S560" s="16"/>
      <c r="T560" s="16"/>
      <c r="U560" s="16"/>
      <c r="V560" s="16"/>
      <c r="W560" s="16"/>
      <c r="X560" s="16"/>
      <c r="Y560" s="16"/>
      <c r="Z560" s="16"/>
    </row>
    <row r="561">
      <c r="A561" s="10">
        <v>39846.0</v>
      </c>
      <c r="B561" s="23">
        <v>1.6502609E7</v>
      </c>
      <c r="C561" s="12" t="s">
        <v>735</v>
      </c>
      <c r="D561" s="13" t="s">
        <v>18</v>
      </c>
      <c r="E561" s="13" t="s">
        <v>29</v>
      </c>
      <c r="F561" s="13">
        <v>18.0</v>
      </c>
      <c r="G561" s="13" t="s">
        <v>20</v>
      </c>
      <c r="H561" s="13" t="s">
        <v>28</v>
      </c>
      <c r="I561" s="14" t="s">
        <v>18</v>
      </c>
      <c r="J561" s="14" t="s">
        <v>29</v>
      </c>
      <c r="K561" s="14">
        <v>41.0</v>
      </c>
      <c r="L561" s="14" t="s">
        <v>23</v>
      </c>
      <c r="M561" s="14" t="s">
        <v>60</v>
      </c>
      <c r="N561" s="20"/>
      <c r="O561" s="14" t="s">
        <v>35</v>
      </c>
      <c r="P561" s="15" t="s">
        <v>736</v>
      </c>
      <c r="Q561" s="16"/>
      <c r="R561" s="16"/>
      <c r="S561" s="16"/>
      <c r="T561" s="16"/>
      <c r="U561" s="16"/>
      <c r="V561" s="16"/>
      <c r="W561" s="16"/>
      <c r="X561" s="16"/>
      <c r="Y561" s="16"/>
      <c r="Z561" s="16"/>
    </row>
    <row r="562">
      <c r="A562" s="10">
        <v>39837.0</v>
      </c>
      <c r="B562" s="23">
        <v>1.1777609E7</v>
      </c>
      <c r="C562" s="12" t="s">
        <v>737</v>
      </c>
      <c r="D562" s="13" t="s">
        <v>164</v>
      </c>
      <c r="E562" s="13" t="s">
        <v>164</v>
      </c>
      <c r="F562" s="13" t="s">
        <v>164</v>
      </c>
      <c r="G562" s="13" t="s">
        <v>23</v>
      </c>
      <c r="H562" s="13" t="s">
        <v>23</v>
      </c>
      <c r="I562" s="14" t="s">
        <v>18</v>
      </c>
      <c r="J562" s="14" t="s">
        <v>29</v>
      </c>
      <c r="K562" s="14">
        <v>54.0</v>
      </c>
      <c r="L562" s="14" t="s">
        <v>23</v>
      </c>
      <c r="M562" s="14" t="s">
        <v>24</v>
      </c>
      <c r="N562" s="20"/>
      <c r="O562" s="14">
        <v>1.0</v>
      </c>
      <c r="P562" s="15" t="s">
        <v>738</v>
      </c>
      <c r="Q562" s="16"/>
      <c r="R562" s="16"/>
      <c r="S562" s="16"/>
      <c r="T562" s="16"/>
      <c r="U562" s="16"/>
      <c r="V562" s="16"/>
      <c r="W562" s="16"/>
      <c r="X562" s="16"/>
      <c r="Y562" s="16"/>
      <c r="Z562" s="16"/>
    </row>
    <row r="563">
      <c r="A563" s="10">
        <v>39832.0</v>
      </c>
      <c r="B563" s="23">
        <v>9269409.0</v>
      </c>
      <c r="C563" s="12" t="s">
        <v>568</v>
      </c>
      <c r="D563" s="13" t="s">
        <v>18</v>
      </c>
      <c r="E563" s="13" t="s">
        <v>19</v>
      </c>
      <c r="F563" s="13" t="s">
        <v>157</v>
      </c>
      <c r="G563" s="13" t="s">
        <v>23</v>
      </c>
      <c r="H563" s="13" t="s">
        <v>28</v>
      </c>
      <c r="I563" s="14" t="s">
        <v>18</v>
      </c>
      <c r="J563" s="14" t="s">
        <v>45</v>
      </c>
      <c r="K563" s="14">
        <v>31.0</v>
      </c>
      <c r="L563" s="14" t="s">
        <v>23</v>
      </c>
      <c r="M563" s="14" t="s">
        <v>60</v>
      </c>
      <c r="N563" s="20"/>
      <c r="O563" s="14" t="s">
        <v>35</v>
      </c>
      <c r="P563" s="15" t="s">
        <v>739</v>
      </c>
      <c r="Q563" s="16"/>
      <c r="R563" s="16"/>
      <c r="S563" s="16"/>
      <c r="T563" s="16"/>
      <c r="U563" s="16"/>
      <c r="V563" s="16"/>
      <c r="W563" s="16"/>
      <c r="X563" s="16"/>
      <c r="Y563" s="16"/>
      <c r="Z563" s="16"/>
    </row>
    <row r="564">
      <c r="D564" s="13" t="s">
        <v>18</v>
      </c>
      <c r="E564" s="13" t="s">
        <v>19</v>
      </c>
      <c r="F564" s="13" t="s">
        <v>157</v>
      </c>
      <c r="G564" s="13" t="s">
        <v>23</v>
      </c>
      <c r="H564" s="13" t="s">
        <v>28</v>
      </c>
      <c r="I564" s="14" t="s">
        <v>18</v>
      </c>
      <c r="J564" s="14" t="s">
        <v>19</v>
      </c>
      <c r="K564" s="14">
        <v>40.0</v>
      </c>
      <c r="L564" s="14" t="s">
        <v>23</v>
      </c>
      <c r="M564" s="14" t="s">
        <v>60</v>
      </c>
      <c r="N564" s="20"/>
      <c r="O564" s="14" t="s">
        <v>35</v>
      </c>
      <c r="Q564" s="16"/>
      <c r="R564" s="16"/>
      <c r="S564" s="16"/>
      <c r="T564" s="16"/>
      <c r="U564" s="16"/>
      <c r="V564" s="16"/>
      <c r="W564" s="16"/>
      <c r="X564" s="16"/>
      <c r="Y564" s="16"/>
      <c r="Z564" s="16"/>
    </row>
    <row r="565">
      <c r="A565" s="10">
        <v>39832.0</v>
      </c>
      <c r="B565" s="23">
        <v>9518409.0</v>
      </c>
      <c r="C565" s="12" t="s">
        <v>740</v>
      </c>
      <c r="D565" s="13" t="s">
        <v>84</v>
      </c>
      <c r="E565" s="13" t="s">
        <v>22</v>
      </c>
      <c r="F565" s="13">
        <v>33.0</v>
      </c>
      <c r="G565" s="13" t="s">
        <v>20</v>
      </c>
      <c r="H565" s="13" t="s">
        <v>741</v>
      </c>
      <c r="I565" s="14" t="s">
        <v>18</v>
      </c>
      <c r="J565" s="14" t="s">
        <v>22</v>
      </c>
      <c r="K565" s="14">
        <v>47.0</v>
      </c>
      <c r="L565" s="14" t="s">
        <v>23</v>
      </c>
      <c r="M565" s="14" t="s">
        <v>24</v>
      </c>
      <c r="N565" s="20"/>
      <c r="O565" s="14" t="s">
        <v>35</v>
      </c>
      <c r="P565" s="15" t="s">
        <v>742</v>
      </c>
      <c r="Q565" s="16"/>
      <c r="R565" s="16"/>
      <c r="S565" s="16"/>
      <c r="T565" s="16"/>
      <c r="U565" s="16"/>
      <c r="V565" s="16"/>
      <c r="W565" s="16"/>
      <c r="X565" s="16"/>
      <c r="Y565" s="16"/>
      <c r="Z565" s="16"/>
    </row>
    <row r="566">
      <c r="A566" s="10">
        <v>39824.0</v>
      </c>
      <c r="B566" s="23">
        <v>5625709.0</v>
      </c>
      <c r="C566" s="12" t="s">
        <v>743</v>
      </c>
      <c r="D566" s="13" t="s">
        <v>18</v>
      </c>
      <c r="E566" s="13" t="s">
        <v>22</v>
      </c>
      <c r="F566" s="13">
        <v>54.0</v>
      </c>
      <c r="G566" s="13" t="s">
        <v>34</v>
      </c>
      <c r="H566" s="13" t="s">
        <v>28</v>
      </c>
      <c r="I566" s="14" t="s">
        <v>18</v>
      </c>
      <c r="J566" s="14" t="s">
        <v>22</v>
      </c>
      <c r="K566" s="14">
        <v>53.0</v>
      </c>
      <c r="L566" s="14" t="s">
        <v>23</v>
      </c>
      <c r="M566" s="14" t="s">
        <v>24</v>
      </c>
      <c r="N566" s="20"/>
      <c r="O566" s="14">
        <v>1.0</v>
      </c>
      <c r="P566" s="15" t="s">
        <v>744</v>
      </c>
      <c r="Q566" s="16"/>
      <c r="R566" s="16"/>
      <c r="S566" s="16"/>
      <c r="T566" s="16"/>
      <c r="U566" s="16"/>
      <c r="V566" s="16"/>
      <c r="W566" s="16"/>
      <c r="X566" s="16"/>
      <c r="Y566" s="16"/>
      <c r="Z566" s="16"/>
    </row>
    <row r="567">
      <c r="I567" s="14" t="s">
        <v>18</v>
      </c>
      <c r="J567" s="14" t="s">
        <v>29</v>
      </c>
      <c r="K567" s="14">
        <v>51.0</v>
      </c>
      <c r="L567" s="14" t="s">
        <v>23</v>
      </c>
      <c r="M567" s="14" t="s">
        <v>24</v>
      </c>
      <c r="N567" s="20"/>
      <c r="O567" s="14">
        <v>1.0</v>
      </c>
      <c r="Q567" s="16"/>
      <c r="R567" s="16"/>
      <c r="S567" s="16"/>
      <c r="T567" s="16"/>
      <c r="U567" s="16"/>
      <c r="V567" s="16"/>
      <c r="W567" s="16"/>
      <c r="X567" s="16"/>
      <c r="Y567" s="16"/>
      <c r="Z567" s="16"/>
    </row>
    <row r="568">
      <c r="I568" s="14" t="s">
        <v>18</v>
      </c>
      <c r="J568" s="14" t="s">
        <v>22</v>
      </c>
      <c r="K568" s="14">
        <v>40.0</v>
      </c>
      <c r="L568" s="14" t="s">
        <v>23</v>
      </c>
      <c r="M568" s="14" t="s">
        <v>24</v>
      </c>
      <c r="N568" s="20"/>
      <c r="O568" s="14">
        <v>1.0</v>
      </c>
      <c r="Q568" s="16"/>
      <c r="R568" s="16"/>
      <c r="S568" s="16"/>
      <c r="T568" s="16"/>
      <c r="U568" s="16"/>
      <c r="V568" s="16"/>
      <c r="W568" s="16"/>
      <c r="X568" s="16"/>
      <c r="Y568" s="16"/>
      <c r="Z568" s="16"/>
    </row>
    <row r="569">
      <c r="A569" s="10">
        <v>39802.0</v>
      </c>
      <c r="B569" s="23">
        <v>1.86639008E8</v>
      </c>
      <c r="C569" s="12" t="s">
        <v>745</v>
      </c>
      <c r="D569" s="13" t="s">
        <v>18</v>
      </c>
      <c r="E569" s="13" t="s">
        <v>29</v>
      </c>
      <c r="F569" s="13">
        <v>24.0</v>
      </c>
      <c r="G569" s="13" t="s">
        <v>20</v>
      </c>
      <c r="H569" s="13" t="s">
        <v>23</v>
      </c>
      <c r="I569" s="14" t="s">
        <v>18</v>
      </c>
      <c r="J569" s="14" t="s">
        <v>22</v>
      </c>
      <c r="K569" s="14">
        <v>29.0</v>
      </c>
      <c r="L569" s="14" t="s">
        <v>23</v>
      </c>
      <c r="M569" s="14" t="s">
        <v>24</v>
      </c>
      <c r="N569" s="20"/>
      <c r="O569" s="14">
        <v>1.0</v>
      </c>
      <c r="P569" s="15" t="s">
        <v>746</v>
      </c>
      <c r="Q569" s="16"/>
      <c r="R569" s="16"/>
      <c r="S569" s="16"/>
      <c r="T569" s="16"/>
      <c r="U569" s="16"/>
      <c r="V569" s="16"/>
      <c r="W569" s="16"/>
      <c r="X569" s="16"/>
      <c r="Y569" s="16"/>
      <c r="Z569" s="16"/>
    </row>
    <row r="570">
      <c r="A570" s="10">
        <v>39794.0</v>
      </c>
      <c r="B570" s="23">
        <v>1.82749508E8</v>
      </c>
      <c r="C570" s="12" t="s">
        <v>747</v>
      </c>
      <c r="D570" s="13" t="s">
        <v>18</v>
      </c>
      <c r="E570" s="13" t="s">
        <v>29</v>
      </c>
      <c r="F570" s="13">
        <v>18.0</v>
      </c>
      <c r="G570" s="13" t="s">
        <v>20</v>
      </c>
      <c r="H570" s="13" t="s">
        <v>28</v>
      </c>
      <c r="I570" s="14" t="s">
        <v>18</v>
      </c>
      <c r="J570" s="14" t="s">
        <v>19</v>
      </c>
      <c r="K570" s="14">
        <v>47.0</v>
      </c>
      <c r="L570" s="14" t="s">
        <v>23</v>
      </c>
      <c r="M570" s="14" t="s">
        <v>24</v>
      </c>
      <c r="N570" s="20"/>
      <c r="O570" s="14">
        <v>1.0</v>
      </c>
      <c r="P570" s="15" t="s">
        <v>748</v>
      </c>
      <c r="Q570" s="16"/>
      <c r="R570" s="16"/>
      <c r="S570" s="16"/>
      <c r="T570" s="16"/>
      <c r="U570" s="16"/>
      <c r="V570" s="16"/>
      <c r="W570" s="16"/>
      <c r="X570" s="16"/>
      <c r="Y570" s="16"/>
      <c r="Z570" s="16"/>
    </row>
    <row r="571">
      <c r="A571" s="10">
        <v>39754.0</v>
      </c>
      <c r="B571" s="23">
        <v>1.62114608E8</v>
      </c>
      <c r="C571" s="12" t="s">
        <v>749</v>
      </c>
      <c r="D571" s="13" t="s">
        <v>18</v>
      </c>
      <c r="E571" s="13" t="s">
        <v>19</v>
      </c>
      <c r="F571" s="13">
        <v>24.0</v>
      </c>
      <c r="G571" s="13" t="s">
        <v>34</v>
      </c>
      <c r="H571" s="13" t="s">
        <v>28</v>
      </c>
      <c r="I571" s="14" t="s">
        <v>18</v>
      </c>
      <c r="J571" s="14" t="s">
        <v>22</v>
      </c>
      <c r="K571" s="14">
        <v>30.0</v>
      </c>
      <c r="L571" s="14" t="s">
        <v>23</v>
      </c>
      <c r="M571" s="14" t="s">
        <v>24</v>
      </c>
      <c r="N571" s="20"/>
      <c r="O571" s="14">
        <v>1.0</v>
      </c>
      <c r="P571" s="15" t="s">
        <v>750</v>
      </c>
      <c r="Q571" s="16"/>
      <c r="R571" s="16"/>
      <c r="S571" s="16"/>
      <c r="T571" s="16"/>
      <c r="U571" s="16"/>
      <c r="V571" s="16"/>
      <c r="W571" s="16"/>
      <c r="X571" s="16"/>
      <c r="Y571" s="16"/>
      <c r="Z571" s="16"/>
    </row>
    <row r="572">
      <c r="A572" s="10">
        <v>39750.0</v>
      </c>
      <c r="B572" s="23">
        <v>1.60051508E8</v>
      </c>
      <c r="C572" s="12" t="s">
        <v>751</v>
      </c>
      <c r="D572" s="13" t="s">
        <v>18</v>
      </c>
      <c r="E572" s="13" t="s">
        <v>29</v>
      </c>
      <c r="F572" s="13">
        <v>29.0</v>
      </c>
      <c r="G572" s="13" t="s">
        <v>23</v>
      </c>
      <c r="H572" s="13" t="s">
        <v>152</v>
      </c>
      <c r="I572" s="14" t="s">
        <v>18</v>
      </c>
      <c r="J572" s="14" t="s">
        <v>22</v>
      </c>
      <c r="K572" s="14">
        <v>39.0</v>
      </c>
      <c r="L572" s="14" t="s">
        <v>23</v>
      </c>
      <c r="M572" s="14" t="s">
        <v>24</v>
      </c>
      <c r="N572" s="20"/>
      <c r="O572" s="14">
        <v>1.0</v>
      </c>
      <c r="P572" s="15" t="s">
        <v>752</v>
      </c>
      <c r="Q572" s="16"/>
      <c r="R572" s="16"/>
      <c r="S572" s="16"/>
      <c r="T572" s="16"/>
      <c r="U572" s="16"/>
      <c r="V572" s="16"/>
      <c r="W572" s="16"/>
      <c r="X572" s="16"/>
      <c r="Y572" s="16"/>
      <c r="Z572" s="16"/>
    </row>
    <row r="573">
      <c r="A573" s="10">
        <v>39749.0</v>
      </c>
      <c r="B573" s="23">
        <v>1.59479208E8</v>
      </c>
      <c r="C573" s="12" t="s">
        <v>753</v>
      </c>
      <c r="D573" s="13" t="s">
        <v>18</v>
      </c>
      <c r="E573" s="13" t="s">
        <v>29</v>
      </c>
      <c r="F573" s="13">
        <v>45.0</v>
      </c>
      <c r="G573" s="13" t="s">
        <v>34</v>
      </c>
      <c r="H573" s="13" t="s">
        <v>28</v>
      </c>
      <c r="I573" s="14" t="s">
        <v>18</v>
      </c>
      <c r="J573" s="14" t="s">
        <v>45</v>
      </c>
      <c r="K573" s="14">
        <v>46.0</v>
      </c>
      <c r="L573" s="14" t="s">
        <v>23</v>
      </c>
      <c r="M573" s="14" t="s">
        <v>24</v>
      </c>
      <c r="N573" s="20"/>
      <c r="O573" s="14" t="s">
        <v>35</v>
      </c>
      <c r="P573" s="15" t="s">
        <v>754</v>
      </c>
      <c r="Q573" s="16"/>
      <c r="R573" s="16"/>
      <c r="S573" s="16"/>
      <c r="T573" s="16"/>
      <c r="U573" s="16"/>
      <c r="V573" s="16"/>
      <c r="W573" s="16"/>
      <c r="X573" s="16"/>
      <c r="Y573" s="16"/>
      <c r="Z573" s="16"/>
    </row>
    <row r="574">
      <c r="A574" s="10">
        <v>39736.0</v>
      </c>
      <c r="B574" s="23">
        <v>1.52494608E8</v>
      </c>
      <c r="C574" s="12" t="s">
        <v>755</v>
      </c>
      <c r="D574" s="13" t="s">
        <v>18</v>
      </c>
      <c r="E574" s="13" t="s">
        <v>29</v>
      </c>
      <c r="F574" s="13" t="s">
        <v>157</v>
      </c>
      <c r="G574" s="13" t="s">
        <v>23</v>
      </c>
      <c r="H574" s="13" t="s">
        <v>28</v>
      </c>
      <c r="I574" s="14" t="s">
        <v>18</v>
      </c>
      <c r="J574" s="14" t="s">
        <v>22</v>
      </c>
      <c r="K574" s="14">
        <v>24.0</v>
      </c>
      <c r="L574" s="14" t="s">
        <v>23</v>
      </c>
      <c r="M574" s="14" t="s">
        <v>24</v>
      </c>
      <c r="N574" s="20"/>
      <c r="O574" s="14">
        <v>1.0</v>
      </c>
      <c r="P574" s="15" t="s">
        <v>756</v>
      </c>
      <c r="Q574" s="16"/>
      <c r="R574" s="16"/>
      <c r="S574" s="16"/>
      <c r="T574" s="16"/>
      <c r="U574" s="16"/>
      <c r="V574" s="16"/>
      <c r="W574" s="16"/>
      <c r="X574" s="16"/>
      <c r="Y574" s="16"/>
      <c r="Z574" s="16"/>
    </row>
    <row r="575">
      <c r="A575" s="10">
        <v>39735.0</v>
      </c>
      <c r="B575" s="23">
        <v>1.52368308E8</v>
      </c>
      <c r="C575" s="12" t="s">
        <v>757</v>
      </c>
      <c r="D575" s="13" t="s">
        <v>18</v>
      </c>
      <c r="E575" s="13" t="s">
        <v>19</v>
      </c>
      <c r="F575" s="13">
        <v>21.0</v>
      </c>
      <c r="G575" s="13" t="s">
        <v>23</v>
      </c>
      <c r="H575" s="13" t="s">
        <v>28</v>
      </c>
      <c r="I575" s="14" t="s">
        <v>84</v>
      </c>
      <c r="J575" s="14" t="s">
        <v>22</v>
      </c>
      <c r="K575" s="14">
        <v>37.0</v>
      </c>
      <c r="L575" s="14" t="s">
        <v>23</v>
      </c>
      <c r="M575" s="14" t="s">
        <v>24</v>
      </c>
      <c r="N575" s="20"/>
      <c r="O575" s="14">
        <v>1.0</v>
      </c>
      <c r="P575" s="15" t="s">
        <v>758</v>
      </c>
      <c r="Q575" s="16"/>
      <c r="R575" s="16"/>
      <c r="S575" s="16"/>
      <c r="T575" s="16"/>
      <c r="U575" s="16"/>
      <c r="V575" s="16"/>
      <c r="W575" s="16"/>
      <c r="X575" s="16"/>
      <c r="Y575" s="16"/>
      <c r="Z575" s="16"/>
    </row>
    <row r="576">
      <c r="A576" s="10">
        <v>39735.0</v>
      </c>
      <c r="B576" s="23">
        <v>1.52464708E8</v>
      </c>
      <c r="C576" s="12" t="s">
        <v>759</v>
      </c>
      <c r="D576" s="13" t="s">
        <v>18</v>
      </c>
      <c r="E576" s="13" t="s">
        <v>29</v>
      </c>
      <c r="F576" s="13" t="s">
        <v>157</v>
      </c>
      <c r="G576" s="13" t="s">
        <v>23</v>
      </c>
      <c r="H576" s="13" t="s">
        <v>28</v>
      </c>
      <c r="I576" s="14" t="s">
        <v>18</v>
      </c>
      <c r="J576" s="14" t="s">
        <v>29</v>
      </c>
      <c r="K576" s="14">
        <v>32.0</v>
      </c>
      <c r="L576" s="14" t="s">
        <v>23</v>
      </c>
      <c r="M576" s="14" t="s">
        <v>60</v>
      </c>
      <c r="N576" s="20"/>
      <c r="O576" s="14">
        <v>1.0</v>
      </c>
      <c r="P576" s="15" t="s">
        <v>760</v>
      </c>
      <c r="Q576" s="16"/>
      <c r="R576" s="16"/>
      <c r="S576" s="16"/>
      <c r="T576" s="16"/>
      <c r="U576" s="16"/>
      <c r="V576" s="16"/>
      <c r="W576" s="16"/>
      <c r="X576" s="16"/>
      <c r="Y576" s="16"/>
      <c r="Z576" s="16"/>
    </row>
    <row r="577">
      <c r="A577" s="10">
        <v>39709.0</v>
      </c>
      <c r="B577" s="23">
        <v>1.37113208E8</v>
      </c>
      <c r="C577" s="12" t="s">
        <v>761</v>
      </c>
      <c r="D577" s="13" t="s">
        <v>18</v>
      </c>
      <c r="E577" s="13" t="s">
        <v>29</v>
      </c>
      <c r="F577" s="13" t="s">
        <v>157</v>
      </c>
      <c r="G577" s="13" t="s">
        <v>23</v>
      </c>
      <c r="H577" s="13" t="s">
        <v>28</v>
      </c>
      <c r="I577" s="14" t="s">
        <v>18</v>
      </c>
      <c r="J577" s="14" t="s">
        <v>19</v>
      </c>
      <c r="K577" s="14">
        <v>35.0</v>
      </c>
      <c r="L577" s="14" t="s">
        <v>23</v>
      </c>
      <c r="M577" s="14" t="s">
        <v>24</v>
      </c>
      <c r="N577" s="20"/>
      <c r="O577" s="14" t="s">
        <v>35</v>
      </c>
      <c r="P577" s="15" t="s">
        <v>762</v>
      </c>
      <c r="Q577" s="16"/>
      <c r="R577" s="16"/>
      <c r="S577" s="16"/>
      <c r="T577" s="16"/>
      <c r="U577" s="16"/>
      <c r="V577" s="16"/>
      <c r="W577" s="16"/>
      <c r="X577" s="16"/>
      <c r="Y577" s="16"/>
      <c r="Z577" s="16"/>
    </row>
    <row r="578">
      <c r="A578" s="10">
        <v>39708.0</v>
      </c>
      <c r="B578" s="23">
        <v>1.36611408E8</v>
      </c>
      <c r="C578" s="12" t="s">
        <v>763</v>
      </c>
      <c r="D578" s="13" t="s">
        <v>18</v>
      </c>
      <c r="E578" s="13" t="s">
        <v>29</v>
      </c>
      <c r="F578" s="13">
        <v>29.0</v>
      </c>
      <c r="G578" s="13" t="s">
        <v>34</v>
      </c>
      <c r="H578" s="13" t="s">
        <v>28</v>
      </c>
      <c r="I578" s="14" t="s">
        <v>18</v>
      </c>
      <c r="J578" s="14" t="s">
        <v>22</v>
      </c>
      <c r="K578" s="14">
        <v>39.0</v>
      </c>
      <c r="L578" s="14" t="s">
        <v>23</v>
      </c>
      <c r="M578" s="14" t="s">
        <v>24</v>
      </c>
      <c r="N578" s="20"/>
      <c r="O578" s="14">
        <v>1.0</v>
      </c>
      <c r="P578" s="15" t="s">
        <v>764</v>
      </c>
      <c r="Q578" s="16"/>
      <c r="R578" s="16"/>
      <c r="S578" s="16"/>
      <c r="T578" s="16"/>
      <c r="U578" s="16"/>
      <c r="V578" s="16"/>
      <c r="W578" s="16"/>
      <c r="X578" s="16"/>
      <c r="Y578" s="16"/>
      <c r="Z578" s="16"/>
    </row>
    <row r="579">
      <c r="A579" s="10">
        <v>39694.0</v>
      </c>
      <c r="B579" s="23">
        <v>1.28334208E8</v>
      </c>
      <c r="C579" s="12" t="s">
        <v>174</v>
      </c>
      <c r="D579" s="13" t="s">
        <v>18</v>
      </c>
      <c r="E579" s="13" t="s">
        <v>29</v>
      </c>
      <c r="F579" s="13">
        <v>25.0</v>
      </c>
      <c r="G579" s="13" t="s">
        <v>34</v>
      </c>
      <c r="H579" s="13" t="s">
        <v>23</v>
      </c>
      <c r="I579" s="14" t="s">
        <v>18</v>
      </c>
      <c r="J579" s="14" t="s">
        <v>29</v>
      </c>
      <c r="K579" s="14">
        <v>38.0</v>
      </c>
      <c r="L579" s="14" t="s">
        <v>23</v>
      </c>
      <c r="M579" s="14" t="s">
        <v>60</v>
      </c>
      <c r="N579" s="20"/>
      <c r="O579" s="14">
        <v>1.0</v>
      </c>
      <c r="P579" s="15" t="s">
        <v>765</v>
      </c>
      <c r="Q579" s="16"/>
      <c r="R579" s="16"/>
      <c r="S579" s="16"/>
      <c r="T579" s="16"/>
      <c r="U579" s="16"/>
      <c r="V579" s="16"/>
      <c r="W579" s="16"/>
      <c r="X579" s="16"/>
      <c r="Y579" s="16"/>
      <c r="Z579" s="16"/>
    </row>
    <row r="580">
      <c r="A580" s="10">
        <v>39682.0</v>
      </c>
      <c r="B580" s="23">
        <v>1.22355008E8</v>
      </c>
      <c r="C580" s="12" t="s">
        <v>766</v>
      </c>
      <c r="D580" s="13" t="s">
        <v>18</v>
      </c>
      <c r="E580" s="13" t="s">
        <v>19</v>
      </c>
      <c r="F580" s="13">
        <v>20.0</v>
      </c>
      <c r="G580" s="13" t="s">
        <v>20</v>
      </c>
      <c r="H580" s="13" t="s">
        <v>23</v>
      </c>
      <c r="I580" s="14" t="s">
        <v>18</v>
      </c>
      <c r="J580" s="14" t="s">
        <v>22</v>
      </c>
      <c r="K580" s="14">
        <v>38.0</v>
      </c>
      <c r="L580" s="14" t="s">
        <v>23</v>
      </c>
      <c r="M580" s="14" t="s">
        <v>24</v>
      </c>
      <c r="N580" s="20"/>
      <c r="O580" s="14" t="s">
        <v>35</v>
      </c>
      <c r="P580" s="15" t="s">
        <v>767</v>
      </c>
      <c r="Q580" s="16"/>
      <c r="R580" s="16"/>
      <c r="S580" s="16"/>
      <c r="T580" s="16"/>
      <c r="U580" s="16"/>
      <c r="V580" s="16"/>
      <c r="W580" s="16"/>
      <c r="X580" s="16"/>
      <c r="Y580" s="16"/>
      <c r="Z580" s="16"/>
    </row>
    <row r="581">
      <c r="A581" s="10">
        <v>39676.0</v>
      </c>
      <c r="B581" s="23">
        <v>1.19425508E8</v>
      </c>
      <c r="C581" s="12" t="s">
        <v>768</v>
      </c>
      <c r="D581" s="13" t="s">
        <v>18</v>
      </c>
      <c r="E581" s="13" t="s">
        <v>19</v>
      </c>
      <c r="F581" s="13">
        <v>28.0</v>
      </c>
      <c r="G581" s="13" t="s">
        <v>20</v>
      </c>
      <c r="H581" s="13" t="s">
        <v>769</v>
      </c>
      <c r="I581" s="14" t="s">
        <v>18</v>
      </c>
      <c r="J581" s="14" t="s">
        <v>19</v>
      </c>
      <c r="K581" s="14">
        <v>24.0</v>
      </c>
      <c r="L581" s="14" t="s">
        <v>23</v>
      </c>
      <c r="M581" s="14" t="s">
        <v>24</v>
      </c>
      <c r="N581" s="20"/>
      <c r="O581" s="14">
        <v>1.0</v>
      </c>
      <c r="P581" s="15" t="s">
        <v>770</v>
      </c>
      <c r="Q581" s="16"/>
      <c r="R581" s="16"/>
      <c r="S581" s="16"/>
      <c r="T581" s="16"/>
      <c r="U581" s="16"/>
      <c r="V581" s="16"/>
      <c r="W581" s="16"/>
      <c r="X581" s="16"/>
      <c r="Y581" s="16"/>
      <c r="Z581" s="16"/>
    </row>
    <row r="582">
      <c r="A582" s="10">
        <v>39671.0</v>
      </c>
      <c r="B582" s="23">
        <v>1.16404708E8</v>
      </c>
      <c r="C582" s="12" t="s">
        <v>771</v>
      </c>
      <c r="D582" s="13" t="s">
        <v>18</v>
      </c>
      <c r="E582" s="13" t="s">
        <v>29</v>
      </c>
      <c r="F582" s="13">
        <v>19.0</v>
      </c>
      <c r="G582" s="13" t="s">
        <v>23</v>
      </c>
      <c r="H582" s="13" t="s">
        <v>28</v>
      </c>
      <c r="I582" s="14" t="s">
        <v>18</v>
      </c>
      <c r="J582" s="14" t="s">
        <v>29</v>
      </c>
      <c r="K582" s="14">
        <v>33.0</v>
      </c>
      <c r="L582" s="14" t="s">
        <v>23</v>
      </c>
      <c r="M582" s="14" t="s">
        <v>60</v>
      </c>
      <c r="N582" s="20"/>
      <c r="O582" s="14" t="s">
        <v>35</v>
      </c>
      <c r="P582" s="15" t="s">
        <v>772</v>
      </c>
      <c r="Q582" s="16"/>
      <c r="R582" s="16"/>
      <c r="S582" s="16"/>
      <c r="T582" s="16"/>
      <c r="U582" s="16"/>
      <c r="V582" s="16"/>
      <c r="W582" s="16"/>
      <c r="X582" s="16"/>
      <c r="Y582" s="16"/>
      <c r="Z582" s="16"/>
    </row>
    <row r="583">
      <c r="A583" s="10">
        <v>39627.0</v>
      </c>
      <c r="B583" s="23">
        <v>9.4306208E7</v>
      </c>
      <c r="C583" s="12" t="s">
        <v>773</v>
      </c>
      <c r="D583" s="13" t="s">
        <v>18</v>
      </c>
      <c r="E583" s="13" t="s">
        <v>29</v>
      </c>
      <c r="F583" s="13">
        <v>33.0</v>
      </c>
      <c r="G583" s="13" t="s">
        <v>34</v>
      </c>
      <c r="H583" s="13" t="s">
        <v>28</v>
      </c>
      <c r="I583" s="14" t="s">
        <v>18</v>
      </c>
      <c r="J583" s="14" t="s">
        <v>29</v>
      </c>
      <c r="K583" s="14">
        <v>30.0</v>
      </c>
      <c r="L583" s="14" t="s">
        <v>23</v>
      </c>
      <c r="M583" s="14" t="s">
        <v>24</v>
      </c>
      <c r="N583" s="20"/>
      <c r="O583" s="14" t="s">
        <v>35</v>
      </c>
      <c r="P583" s="15" t="s">
        <v>774</v>
      </c>
      <c r="Q583" s="16"/>
      <c r="R583" s="16"/>
      <c r="S583" s="16"/>
      <c r="T583" s="16"/>
      <c r="U583" s="16"/>
      <c r="V583" s="16"/>
      <c r="W583" s="16"/>
      <c r="X583" s="16"/>
      <c r="Y583" s="16"/>
      <c r="Z583" s="16"/>
    </row>
    <row r="584">
      <c r="A584" s="10">
        <v>39614.0</v>
      </c>
      <c r="B584" s="23">
        <v>8.81874308E8</v>
      </c>
      <c r="C584" s="12" t="s">
        <v>775</v>
      </c>
      <c r="D584" s="13" t="s">
        <v>18</v>
      </c>
      <c r="E584" s="13" t="s">
        <v>19</v>
      </c>
      <c r="F584" s="13">
        <v>28.0</v>
      </c>
      <c r="G584" s="13" t="s">
        <v>20</v>
      </c>
      <c r="H584" s="13" t="s">
        <v>23</v>
      </c>
      <c r="I584" s="14" t="s">
        <v>84</v>
      </c>
      <c r="J584" s="14" t="s">
        <v>45</v>
      </c>
      <c r="K584" s="14">
        <v>30.0</v>
      </c>
      <c r="L584" s="14" t="s">
        <v>23</v>
      </c>
      <c r="M584" s="14" t="s">
        <v>24</v>
      </c>
      <c r="N584" s="20"/>
      <c r="O584" s="14">
        <v>1.0</v>
      </c>
      <c r="P584" s="15" t="s">
        <v>776</v>
      </c>
      <c r="Q584" s="16"/>
      <c r="R584" s="16"/>
      <c r="S584" s="16"/>
      <c r="T584" s="16"/>
      <c r="U584" s="16"/>
      <c r="V584" s="16"/>
      <c r="W584" s="16"/>
      <c r="X584" s="16"/>
      <c r="Y584" s="16"/>
      <c r="Z584" s="16"/>
    </row>
    <row r="585">
      <c r="A585" s="10">
        <v>39603.0</v>
      </c>
      <c r="B585" s="23">
        <v>8.1947208E7</v>
      </c>
      <c r="C585" s="12" t="s">
        <v>777</v>
      </c>
      <c r="D585" s="13" t="s">
        <v>18</v>
      </c>
      <c r="E585" s="13" t="s">
        <v>29</v>
      </c>
      <c r="F585" s="13">
        <v>30.0</v>
      </c>
      <c r="G585" s="13" t="s">
        <v>34</v>
      </c>
      <c r="H585" s="13" t="s">
        <v>23</v>
      </c>
      <c r="I585" s="14" t="s">
        <v>18</v>
      </c>
      <c r="J585" s="14" t="s">
        <v>29</v>
      </c>
      <c r="K585" s="14">
        <v>23.0</v>
      </c>
      <c r="L585" s="14" t="s">
        <v>23</v>
      </c>
      <c r="M585" s="14" t="s">
        <v>24</v>
      </c>
      <c r="N585" s="20"/>
      <c r="O585" s="14">
        <v>1.0</v>
      </c>
      <c r="P585" s="15" t="s">
        <v>778</v>
      </c>
      <c r="Q585" s="16"/>
      <c r="R585" s="16"/>
      <c r="S585" s="16"/>
      <c r="T585" s="16"/>
      <c r="U585" s="16"/>
      <c r="V585" s="16"/>
      <c r="W585" s="16"/>
      <c r="X585" s="16"/>
      <c r="Y585" s="16"/>
      <c r="Z585" s="16"/>
    </row>
    <row r="586">
      <c r="A586" s="10">
        <v>39592.0</v>
      </c>
      <c r="B586" s="23">
        <v>7.6302208E7</v>
      </c>
      <c r="C586" s="12" t="s">
        <v>779</v>
      </c>
      <c r="D586" s="13" t="s">
        <v>84</v>
      </c>
      <c r="E586" s="13" t="s">
        <v>29</v>
      </c>
      <c r="F586" s="13">
        <v>30.0</v>
      </c>
      <c r="G586" s="13" t="s">
        <v>20</v>
      </c>
      <c r="H586" s="13" t="s">
        <v>28</v>
      </c>
      <c r="I586" s="14" t="s">
        <v>18</v>
      </c>
      <c r="J586" s="14" t="s">
        <v>22</v>
      </c>
      <c r="K586" s="14">
        <v>45.0</v>
      </c>
      <c r="L586" s="14" t="s">
        <v>23</v>
      </c>
      <c r="M586" s="14" t="s">
        <v>24</v>
      </c>
      <c r="N586" s="20"/>
      <c r="O586" s="14" t="s">
        <v>35</v>
      </c>
      <c r="P586" s="15" t="s">
        <v>780</v>
      </c>
      <c r="Q586" s="16"/>
      <c r="R586" s="16"/>
      <c r="S586" s="16"/>
      <c r="T586" s="16"/>
      <c r="U586" s="16"/>
      <c r="V586" s="16"/>
      <c r="W586" s="16"/>
      <c r="X586" s="16"/>
      <c r="Y586" s="16"/>
      <c r="Z586" s="16"/>
    </row>
    <row r="587">
      <c r="A587" s="10">
        <v>39567.0</v>
      </c>
      <c r="B587" s="23">
        <v>6.2576608E7</v>
      </c>
      <c r="C587" s="12" t="s">
        <v>781</v>
      </c>
      <c r="D587" s="13" t="s">
        <v>18</v>
      </c>
      <c r="E587" s="13" t="s">
        <v>22</v>
      </c>
      <c r="F587" s="13">
        <v>53.0</v>
      </c>
      <c r="G587" s="13" t="s">
        <v>34</v>
      </c>
      <c r="H587" s="13" t="s">
        <v>23</v>
      </c>
      <c r="I587" s="14" t="s">
        <v>18</v>
      </c>
      <c r="J587" s="14" t="s">
        <v>22</v>
      </c>
      <c r="K587" s="14">
        <v>42.0</v>
      </c>
      <c r="L587" s="14" t="s">
        <v>23</v>
      </c>
      <c r="M587" s="14" t="s">
        <v>24</v>
      </c>
      <c r="N587" s="20"/>
      <c r="O587" s="14">
        <v>1.0</v>
      </c>
      <c r="P587" s="15" t="s">
        <v>782</v>
      </c>
      <c r="Q587" s="16"/>
      <c r="R587" s="16"/>
      <c r="S587" s="16"/>
      <c r="T587" s="16"/>
      <c r="U587" s="16"/>
      <c r="V587" s="16"/>
      <c r="W587" s="16"/>
      <c r="X587" s="16"/>
      <c r="Y587" s="16"/>
      <c r="Z587" s="16"/>
    </row>
    <row r="588">
      <c r="I588" s="14" t="s">
        <v>18</v>
      </c>
      <c r="J588" s="14" t="s">
        <v>29</v>
      </c>
      <c r="K588" s="14">
        <v>44.0</v>
      </c>
      <c r="L588" s="14" t="s">
        <v>23</v>
      </c>
      <c r="M588" s="14" t="s">
        <v>24</v>
      </c>
      <c r="N588" s="20"/>
      <c r="O588" s="14">
        <v>1.0</v>
      </c>
      <c r="Q588" s="16"/>
      <c r="R588" s="16"/>
      <c r="S588" s="16"/>
      <c r="T588" s="16"/>
      <c r="U588" s="16"/>
      <c r="V588" s="16"/>
      <c r="W588" s="16"/>
      <c r="X588" s="16"/>
      <c r="Y588" s="16"/>
      <c r="Z588" s="16"/>
    </row>
    <row r="589">
      <c r="A589" s="10">
        <v>39549.0</v>
      </c>
      <c r="B589" s="23">
        <v>5.2498908E7</v>
      </c>
      <c r="C589" s="12" t="s">
        <v>783</v>
      </c>
      <c r="D589" s="13" t="s">
        <v>18</v>
      </c>
      <c r="E589" s="13" t="s">
        <v>29</v>
      </c>
      <c r="F589" s="13">
        <v>28.0</v>
      </c>
      <c r="G589" s="13" t="s">
        <v>34</v>
      </c>
      <c r="H589" s="13" t="s">
        <v>784</v>
      </c>
      <c r="I589" s="14" t="s">
        <v>18</v>
      </c>
      <c r="J589" s="14" t="s">
        <v>29</v>
      </c>
      <c r="K589" s="14">
        <v>52.0</v>
      </c>
      <c r="L589" s="14" t="s">
        <v>23</v>
      </c>
      <c r="M589" s="14" t="s">
        <v>60</v>
      </c>
      <c r="N589" s="20"/>
      <c r="O589" s="14">
        <v>1.0</v>
      </c>
      <c r="P589" s="15" t="s">
        <v>785</v>
      </c>
      <c r="Q589" s="16"/>
      <c r="R589" s="16"/>
      <c r="S589" s="16"/>
      <c r="T589" s="16"/>
      <c r="U589" s="16"/>
      <c r="V589" s="16"/>
      <c r="W589" s="16"/>
      <c r="X589" s="16"/>
      <c r="Y589" s="16"/>
      <c r="Z589" s="16"/>
    </row>
    <row r="590">
      <c r="A590" s="10">
        <v>39547.0</v>
      </c>
      <c r="B590" s="23">
        <v>5.1417008E7</v>
      </c>
      <c r="C590" s="12" t="s">
        <v>786</v>
      </c>
      <c r="D590" s="13" t="s">
        <v>18</v>
      </c>
      <c r="E590" s="13" t="s">
        <v>19</v>
      </c>
      <c r="F590" s="13">
        <v>33.0</v>
      </c>
      <c r="G590" s="13" t="s">
        <v>20</v>
      </c>
      <c r="H590" s="13" t="s">
        <v>23</v>
      </c>
      <c r="I590" s="14" t="s">
        <v>18</v>
      </c>
      <c r="J590" s="14" t="s">
        <v>22</v>
      </c>
      <c r="K590" s="14">
        <v>46.0</v>
      </c>
      <c r="L590" s="14" t="s">
        <v>23</v>
      </c>
      <c r="M590" s="14" t="s">
        <v>24</v>
      </c>
      <c r="N590" s="20"/>
      <c r="O590" s="14" t="s">
        <v>35</v>
      </c>
      <c r="P590" s="15" t="s">
        <v>787</v>
      </c>
      <c r="Q590" s="16"/>
      <c r="R590" s="16"/>
      <c r="S590" s="16"/>
      <c r="T590" s="16"/>
      <c r="U590" s="16"/>
      <c r="V590" s="16"/>
      <c r="W590" s="16"/>
      <c r="X590" s="16"/>
      <c r="Y590" s="16"/>
      <c r="Z590" s="16"/>
    </row>
    <row r="591">
      <c r="A591" s="10">
        <v>39511.0</v>
      </c>
      <c r="B591" s="23">
        <v>3.2223108E7</v>
      </c>
      <c r="C591" s="12" t="s">
        <v>788</v>
      </c>
      <c r="D591" s="13" t="s">
        <v>18</v>
      </c>
      <c r="E591" s="13" t="s">
        <v>22</v>
      </c>
      <c r="F591" s="13">
        <v>42.0</v>
      </c>
      <c r="G591" s="13" t="s">
        <v>34</v>
      </c>
      <c r="H591" s="13" t="s">
        <v>152</v>
      </c>
      <c r="I591" s="14" t="s">
        <v>18</v>
      </c>
      <c r="J591" s="14" t="s">
        <v>22</v>
      </c>
      <c r="K591" s="14">
        <v>59.0</v>
      </c>
      <c r="L591" s="14" t="s">
        <v>23</v>
      </c>
      <c r="M591" s="14" t="s">
        <v>24</v>
      </c>
      <c r="N591" s="20"/>
      <c r="O591" s="14">
        <v>1.0</v>
      </c>
      <c r="P591" s="15" t="s">
        <v>789</v>
      </c>
      <c r="Q591" s="16"/>
      <c r="R591" s="16"/>
      <c r="S591" s="16"/>
      <c r="T591" s="16"/>
      <c r="U591" s="16"/>
      <c r="V591" s="16"/>
      <c r="W591" s="16"/>
      <c r="X591" s="16"/>
      <c r="Y591" s="16"/>
      <c r="Z591" s="16"/>
    </row>
    <row r="592">
      <c r="I592" s="14" t="s">
        <v>18</v>
      </c>
      <c r="J592" s="14" t="s">
        <v>19</v>
      </c>
      <c r="K592" s="14">
        <v>45.0</v>
      </c>
      <c r="L592" s="14" t="s">
        <v>23</v>
      </c>
      <c r="M592" s="14" t="s">
        <v>24</v>
      </c>
      <c r="N592" s="20"/>
      <c r="O592" s="14">
        <v>1.0</v>
      </c>
      <c r="Q592" s="16"/>
      <c r="R592" s="16"/>
      <c r="S592" s="16"/>
      <c r="T592" s="16"/>
      <c r="U592" s="16"/>
      <c r="V592" s="16"/>
      <c r="W592" s="16"/>
      <c r="X592" s="16"/>
      <c r="Y592" s="16"/>
      <c r="Z592" s="16"/>
    </row>
    <row r="593">
      <c r="I593" s="14" t="s">
        <v>18</v>
      </c>
      <c r="J593" s="14" t="s">
        <v>22</v>
      </c>
      <c r="K593" s="14">
        <v>48.0</v>
      </c>
      <c r="L593" s="14" t="s">
        <v>23</v>
      </c>
      <c r="M593" s="14" t="s">
        <v>24</v>
      </c>
      <c r="N593" s="20"/>
      <c r="O593" s="14">
        <v>1.0</v>
      </c>
      <c r="Q593" s="16"/>
      <c r="R593" s="16"/>
      <c r="S593" s="16"/>
      <c r="T593" s="16"/>
      <c r="U593" s="16"/>
      <c r="V593" s="16"/>
      <c r="W593" s="16"/>
      <c r="X593" s="16"/>
      <c r="Y593" s="16"/>
      <c r="Z593" s="16"/>
    </row>
    <row r="594">
      <c r="I594" s="14" t="s">
        <v>18</v>
      </c>
      <c r="J594" s="14" t="s">
        <v>19</v>
      </c>
      <c r="K594" s="14">
        <v>58.0</v>
      </c>
      <c r="L594" s="14" t="s">
        <v>23</v>
      </c>
      <c r="M594" s="14" t="s">
        <v>24</v>
      </c>
      <c r="N594" s="20"/>
      <c r="O594" s="14">
        <v>1.0</v>
      </c>
      <c r="Q594" s="16"/>
      <c r="R594" s="16"/>
      <c r="S594" s="16"/>
      <c r="T594" s="16"/>
      <c r="U594" s="16"/>
      <c r="V594" s="16"/>
      <c r="W594" s="16"/>
      <c r="X594" s="16"/>
      <c r="Y594" s="16"/>
      <c r="Z594" s="16"/>
    </row>
    <row r="595">
      <c r="A595" s="10">
        <v>39500.0</v>
      </c>
      <c r="B595" s="23">
        <v>2.6740208E7</v>
      </c>
      <c r="C595" s="12" t="s">
        <v>568</v>
      </c>
      <c r="D595" s="13" t="s">
        <v>18</v>
      </c>
      <c r="E595" s="13" t="s">
        <v>19</v>
      </c>
      <c r="F595" s="13">
        <v>21.0</v>
      </c>
      <c r="G595" s="13" t="s">
        <v>34</v>
      </c>
      <c r="H595" s="13" t="s">
        <v>28</v>
      </c>
      <c r="I595" s="14" t="s">
        <v>18</v>
      </c>
      <c r="J595" s="14" t="s">
        <v>19</v>
      </c>
      <c r="K595" s="14">
        <v>39.0</v>
      </c>
      <c r="L595" s="14" t="s">
        <v>23</v>
      </c>
      <c r="M595" s="14" t="s">
        <v>60</v>
      </c>
      <c r="N595" s="20"/>
      <c r="O595" s="14" t="s">
        <v>35</v>
      </c>
      <c r="P595" s="15" t="s">
        <v>790</v>
      </c>
      <c r="Q595" s="16"/>
      <c r="R595" s="16"/>
      <c r="S595" s="16"/>
      <c r="T595" s="16"/>
      <c r="U595" s="16"/>
      <c r="V595" s="16"/>
      <c r="W595" s="16"/>
      <c r="X595" s="16"/>
      <c r="Y595" s="16"/>
      <c r="Z595" s="16"/>
    </row>
    <row r="596">
      <c r="I596" s="14" t="s">
        <v>18</v>
      </c>
      <c r="J596" s="14" t="s">
        <v>19</v>
      </c>
      <c r="K596" s="14">
        <v>30.0</v>
      </c>
      <c r="L596" s="14" t="s">
        <v>20</v>
      </c>
      <c r="M596" s="14" t="s">
        <v>60</v>
      </c>
      <c r="N596" s="20"/>
      <c r="O596" s="14" t="s">
        <v>35</v>
      </c>
      <c r="Q596" s="16"/>
      <c r="R596" s="16"/>
      <c r="S596" s="16"/>
      <c r="T596" s="16"/>
      <c r="U596" s="16"/>
      <c r="V596" s="16"/>
      <c r="W596" s="16"/>
      <c r="X596" s="16"/>
      <c r="Y596" s="16"/>
      <c r="Z596" s="16"/>
    </row>
    <row r="597">
      <c r="I597" s="14" t="s">
        <v>18</v>
      </c>
      <c r="J597" s="14" t="s">
        <v>19</v>
      </c>
      <c r="K597" s="14">
        <v>43.0</v>
      </c>
      <c r="L597" s="14" t="s">
        <v>23</v>
      </c>
      <c r="M597" s="14" t="s">
        <v>60</v>
      </c>
      <c r="N597" s="20"/>
      <c r="O597" s="14" t="s">
        <v>35</v>
      </c>
      <c r="Q597" s="16"/>
      <c r="R597" s="16"/>
      <c r="S597" s="16"/>
      <c r="T597" s="16"/>
      <c r="U597" s="16"/>
      <c r="V597" s="16"/>
      <c r="W597" s="16"/>
      <c r="X597" s="16"/>
      <c r="Y597" s="16"/>
      <c r="Z597" s="16"/>
    </row>
    <row r="598">
      <c r="A598" s="10">
        <v>39498.0</v>
      </c>
      <c r="B598" s="23">
        <v>2.5524808E7</v>
      </c>
      <c r="C598" s="12" t="s">
        <v>791</v>
      </c>
      <c r="D598" s="13" t="s">
        <v>18</v>
      </c>
      <c r="E598" s="13" t="s">
        <v>29</v>
      </c>
      <c r="F598" s="13">
        <v>31.0</v>
      </c>
      <c r="G598" s="13" t="s">
        <v>20</v>
      </c>
      <c r="H598" s="13" t="s">
        <v>23</v>
      </c>
      <c r="I598" s="14" t="s">
        <v>18</v>
      </c>
      <c r="J598" s="14" t="s">
        <v>22</v>
      </c>
      <c r="K598" s="14">
        <v>46.0</v>
      </c>
      <c r="L598" s="14" t="s">
        <v>23</v>
      </c>
      <c r="M598" s="14" t="s">
        <v>24</v>
      </c>
      <c r="N598" s="20"/>
      <c r="O598" s="14">
        <v>1.0</v>
      </c>
      <c r="P598" s="15" t="s">
        <v>792</v>
      </c>
      <c r="Q598" s="16"/>
      <c r="R598" s="16"/>
      <c r="S598" s="16"/>
      <c r="T598" s="16"/>
      <c r="U598" s="16"/>
      <c r="V598" s="16"/>
      <c r="W598" s="16"/>
      <c r="X598" s="16"/>
      <c r="Y598" s="16"/>
      <c r="Z598" s="16"/>
    </row>
    <row r="599">
      <c r="A599" s="10">
        <v>39491.0</v>
      </c>
      <c r="B599" s="23">
        <v>2.19790008E8</v>
      </c>
      <c r="C599" s="12" t="s">
        <v>793</v>
      </c>
      <c r="D599" s="13" t="s">
        <v>84</v>
      </c>
      <c r="E599" s="13" t="s">
        <v>19</v>
      </c>
      <c r="F599" s="13">
        <v>29.0</v>
      </c>
      <c r="G599" s="13" t="s">
        <v>20</v>
      </c>
      <c r="H599" s="13" t="s">
        <v>152</v>
      </c>
      <c r="I599" s="14" t="s">
        <v>18</v>
      </c>
      <c r="J599" s="14" t="s">
        <v>19</v>
      </c>
      <c r="K599" s="14">
        <v>29.0</v>
      </c>
      <c r="L599" s="14" t="s">
        <v>23</v>
      </c>
      <c r="M599" s="14" t="s">
        <v>24</v>
      </c>
      <c r="N599" s="20"/>
      <c r="O599" s="14">
        <v>1.0</v>
      </c>
      <c r="P599" s="15" t="s">
        <v>794</v>
      </c>
      <c r="Q599" s="16"/>
      <c r="R599" s="16"/>
      <c r="S599" s="16"/>
      <c r="T599" s="16"/>
      <c r="U599" s="16"/>
      <c r="V599" s="16"/>
      <c r="W599" s="16"/>
      <c r="X599" s="16"/>
      <c r="Y599" s="16"/>
      <c r="Z599" s="16"/>
    </row>
    <row r="600">
      <c r="G600" s="13" t="s">
        <v>20</v>
      </c>
      <c r="H600" s="13" t="s">
        <v>152</v>
      </c>
      <c r="I600" s="14" t="s">
        <v>18</v>
      </c>
      <c r="J600" s="14" t="s">
        <v>19</v>
      </c>
      <c r="K600" s="14">
        <v>27.0</v>
      </c>
      <c r="L600" s="14" t="s">
        <v>23</v>
      </c>
      <c r="M600" s="14" t="s">
        <v>24</v>
      </c>
      <c r="N600" s="20"/>
      <c r="O600" s="14">
        <v>1.0</v>
      </c>
      <c r="Q600" s="16"/>
      <c r="R600" s="16"/>
      <c r="S600" s="16"/>
      <c r="T600" s="16"/>
      <c r="U600" s="16"/>
      <c r="V600" s="16"/>
      <c r="W600" s="16"/>
      <c r="X600" s="16"/>
      <c r="Y600" s="16"/>
      <c r="Z600" s="16"/>
    </row>
    <row r="601">
      <c r="G601" s="13" t="s">
        <v>20</v>
      </c>
      <c r="H601" s="13" t="s">
        <v>152</v>
      </c>
      <c r="I601" s="14" t="s">
        <v>18</v>
      </c>
      <c r="J601" s="14" t="s">
        <v>19</v>
      </c>
      <c r="K601" s="14">
        <v>28.0</v>
      </c>
      <c r="L601" s="14" t="s">
        <v>23</v>
      </c>
      <c r="M601" s="14" t="s">
        <v>24</v>
      </c>
      <c r="N601" s="20"/>
      <c r="O601" s="14">
        <v>1.0</v>
      </c>
      <c r="Q601" s="16"/>
      <c r="R601" s="16"/>
      <c r="S601" s="16"/>
      <c r="T601" s="16"/>
      <c r="U601" s="16"/>
      <c r="V601" s="16"/>
      <c r="W601" s="16"/>
      <c r="X601" s="16"/>
      <c r="Y601" s="16"/>
      <c r="Z601" s="16"/>
    </row>
    <row r="602">
      <c r="A602" s="10">
        <v>39465.0</v>
      </c>
      <c r="B602" s="23">
        <v>839028.0</v>
      </c>
      <c r="C602" s="12" t="s">
        <v>795</v>
      </c>
      <c r="D602" s="13" t="s">
        <v>18</v>
      </c>
      <c r="E602" s="13" t="s">
        <v>29</v>
      </c>
      <c r="F602" s="13">
        <v>51.0</v>
      </c>
      <c r="G602" s="13" t="s">
        <v>23</v>
      </c>
      <c r="H602" s="13" t="s">
        <v>23</v>
      </c>
      <c r="I602" s="14" t="s">
        <v>18</v>
      </c>
      <c r="J602" s="14" t="s">
        <v>29</v>
      </c>
      <c r="K602" s="14">
        <v>39.0</v>
      </c>
      <c r="L602" s="14" t="s">
        <v>23</v>
      </c>
      <c r="M602" s="14" t="s">
        <v>24</v>
      </c>
      <c r="N602" s="20"/>
      <c r="O602" s="14">
        <v>1.0</v>
      </c>
      <c r="P602" s="15" t="s">
        <v>796</v>
      </c>
      <c r="Q602" s="16"/>
      <c r="R602" s="16"/>
      <c r="S602" s="16"/>
      <c r="T602" s="16"/>
      <c r="U602" s="16"/>
      <c r="V602" s="16"/>
      <c r="W602" s="16"/>
      <c r="X602" s="16"/>
      <c r="Y602" s="16"/>
      <c r="Z602" s="16"/>
    </row>
    <row r="603">
      <c r="D603" s="13" t="s">
        <v>18</v>
      </c>
      <c r="E603" s="13" t="s">
        <v>29</v>
      </c>
      <c r="F603" s="13">
        <v>48.0</v>
      </c>
      <c r="G603" s="13" t="s">
        <v>23</v>
      </c>
      <c r="H603" s="13" t="s">
        <v>23</v>
      </c>
      <c r="N603" s="20"/>
      <c r="Q603" s="16"/>
      <c r="R603" s="16"/>
      <c r="S603" s="16"/>
      <c r="T603" s="16"/>
      <c r="U603" s="16"/>
      <c r="V603" s="16"/>
      <c r="W603" s="16"/>
      <c r="X603" s="16"/>
      <c r="Y603" s="16"/>
      <c r="Z603" s="16"/>
    </row>
    <row r="604">
      <c r="A604" s="10">
        <v>39462.0</v>
      </c>
      <c r="B604" s="23">
        <v>7143608.0</v>
      </c>
      <c r="C604" s="12" t="s">
        <v>797</v>
      </c>
      <c r="D604" s="13" t="s">
        <v>18</v>
      </c>
      <c r="E604" s="13" t="s">
        <v>19</v>
      </c>
      <c r="F604" s="13">
        <v>21.0</v>
      </c>
      <c r="G604" s="13" t="s">
        <v>20</v>
      </c>
      <c r="H604" s="13" t="s">
        <v>349</v>
      </c>
      <c r="I604" s="14" t="s">
        <v>18</v>
      </c>
      <c r="J604" s="14" t="s">
        <v>22</v>
      </c>
      <c r="K604" s="14">
        <v>46.0</v>
      </c>
      <c r="L604" s="14" t="s">
        <v>23</v>
      </c>
      <c r="M604" s="14" t="s">
        <v>24</v>
      </c>
      <c r="N604" s="20"/>
      <c r="O604" s="14">
        <v>1.0</v>
      </c>
      <c r="P604" s="15" t="s">
        <v>798</v>
      </c>
      <c r="Q604" s="16"/>
      <c r="R604" s="16"/>
      <c r="S604" s="16"/>
      <c r="T604" s="16"/>
      <c r="U604" s="16"/>
      <c r="V604" s="16"/>
      <c r="W604" s="16"/>
      <c r="X604" s="16"/>
      <c r="Y604" s="16"/>
      <c r="Z604" s="16"/>
    </row>
    <row r="605">
      <c r="I605" s="14" t="s">
        <v>18</v>
      </c>
      <c r="J605" s="14" t="s">
        <v>19</v>
      </c>
      <c r="K605" s="14">
        <v>49.0</v>
      </c>
      <c r="L605" s="14" t="s">
        <v>23</v>
      </c>
      <c r="M605" s="14" t="s">
        <v>24</v>
      </c>
      <c r="N605" s="20"/>
      <c r="O605" s="14">
        <v>1.0</v>
      </c>
      <c r="Q605" s="16"/>
      <c r="R605" s="16"/>
      <c r="S605" s="16"/>
      <c r="T605" s="16"/>
      <c r="U605" s="16"/>
      <c r="V605" s="16"/>
      <c r="W605" s="16"/>
      <c r="X605" s="16"/>
      <c r="Y605" s="16"/>
      <c r="Z605" s="16"/>
    </row>
    <row r="606">
      <c r="I606" s="14" t="s">
        <v>18</v>
      </c>
      <c r="J606" s="14" t="s">
        <v>22</v>
      </c>
      <c r="K606" s="14">
        <v>51.0</v>
      </c>
      <c r="L606" s="14" t="s">
        <v>23</v>
      </c>
      <c r="M606" s="14" t="s">
        <v>24</v>
      </c>
      <c r="N606" s="20"/>
      <c r="O606" s="14">
        <v>1.0</v>
      </c>
      <c r="Q606" s="16"/>
      <c r="R606" s="16"/>
      <c r="S606" s="16"/>
      <c r="T606" s="16"/>
      <c r="U606" s="16"/>
      <c r="V606" s="16"/>
      <c r="W606" s="16"/>
      <c r="X606" s="16"/>
      <c r="Y606" s="16"/>
      <c r="Z606" s="16"/>
    </row>
    <row r="607">
      <c r="I607" s="14" t="s">
        <v>18</v>
      </c>
      <c r="J607" s="14" t="s">
        <v>19</v>
      </c>
      <c r="K607" s="14">
        <v>41.0</v>
      </c>
      <c r="L607" s="14" t="s">
        <v>23</v>
      </c>
      <c r="M607" s="14" t="s">
        <v>24</v>
      </c>
      <c r="N607" s="20"/>
      <c r="O607" s="14">
        <v>1.0</v>
      </c>
      <c r="Q607" s="16"/>
      <c r="R607" s="16"/>
      <c r="S607" s="16"/>
      <c r="T607" s="16"/>
      <c r="U607" s="16"/>
      <c r="V607" s="16"/>
      <c r="W607" s="16"/>
      <c r="X607" s="16"/>
      <c r="Y607" s="16"/>
      <c r="Z607" s="16"/>
    </row>
    <row r="608">
      <c r="I608" s="14" t="s">
        <v>18</v>
      </c>
      <c r="J608" s="14" t="s">
        <v>19</v>
      </c>
      <c r="K608" s="14">
        <v>52.0</v>
      </c>
      <c r="L608" s="14" t="s">
        <v>23</v>
      </c>
      <c r="M608" s="14" t="s">
        <v>24</v>
      </c>
      <c r="N608" s="20"/>
      <c r="O608" s="14">
        <v>1.0</v>
      </c>
      <c r="Q608" s="16"/>
      <c r="R608" s="16"/>
      <c r="S608" s="16"/>
      <c r="T608" s="16"/>
      <c r="U608" s="16"/>
      <c r="V608" s="16"/>
      <c r="W608" s="16"/>
      <c r="X608" s="16"/>
      <c r="Y608" s="16"/>
      <c r="Z608" s="16"/>
    </row>
    <row r="609">
      <c r="I609" s="14" t="s">
        <v>18</v>
      </c>
      <c r="J609" s="14" t="s">
        <v>19</v>
      </c>
      <c r="K609" s="14">
        <v>46.0</v>
      </c>
      <c r="L609" s="14" t="s">
        <v>23</v>
      </c>
      <c r="M609" s="14" t="s">
        <v>24</v>
      </c>
      <c r="N609" s="20"/>
      <c r="O609" s="14">
        <v>1.0</v>
      </c>
      <c r="Q609" s="16"/>
      <c r="R609" s="16"/>
      <c r="S609" s="16"/>
      <c r="T609" s="16"/>
      <c r="U609" s="16"/>
      <c r="V609" s="16"/>
      <c r="W609" s="16"/>
      <c r="X609" s="16"/>
      <c r="Y609" s="16"/>
      <c r="Z609" s="16"/>
    </row>
    <row r="610">
      <c r="I610" s="14" t="s">
        <v>18</v>
      </c>
      <c r="J610" s="14" t="s">
        <v>19</v>
      </c>
      <c r="K610" s="14">
        <v>43.0</v>
      </c>
      <c r="L610" s="14" t="s">
        <v>23</v>
      </c>
      <c r="M610" s="14" t="s">
        <v>24</v>
      </c>
      <c r="N610" s="20"/>
      <c r="O610" s="14">
        <v>1.0</v>
      </c>
      <c r="Q610" s="16"/>
      <c r="R610" s="16"/>
      <c r="S610" s="16"/>
      <c r="T610" s="16"/>
      <c r="U610" s="16"/>
      <c r="V610" s="16"/>
      <c r="W610" s="16"/>
      <c r="X610" s="16"/>
      <c r="Y610" s="16"/>
      <c r="Z610" s="16"/>
    </row>
    <row r="611">
      <c r="I611" s="14" t="s">
        <v>18</v>
      </c>
      <c r="J611" s="14" t="s">
        <v>19</v>
      </c>
      <c r="K611" s="14">
        <v>53.0</v>
      </c>
      <c r="L611" s="14" t="s">
        <v>23</v>
      </c>
      <c r="M611" s="14" t="s">
        <v>24</v>
      </c>
      <c r="N611" s="20"/>
      <c r="O611" s="14">
        <v>1.0</v>
      </c>
      <c r="Q611" s="16"/>
      <c r="R611" s="16"/>
      <c r="S611" s="16"/>
      <c r="T611" s="16"/>
      <c r="U611" s="16"/>
      <c r="V611" s="16"/>
      <c r="W611" s="16"/>
      <c r="X611" s="16"/>
      <c r="Y611" s="16"/>
      <c r="Z611" s="16"/>
    </row>
    <row r="612">
      <c r="A612" s="10">
        <v>39447.0</v>
      </c>
      <c r="B612" s="23">
        <v>1.90773207E8</v>
      </c>
      <c r="C612" s="12" t="s">
        <v>799</v>
      </c>
      <c r="D612" s="13" t="s">
        <v>18</v>
      </c>
      <c r="E612" s="13" t="s">
        <v>19</v>
      </c>
      <c r="F612" s="13">
        <v>23.0</v>
      </c>
      <c r="G612" s="13" t="s">
        <v>20</v>
      </c>
      <c r="H612" s="13" t="s">
        <v>800</v>
      </c>
      <c r="I612" s="14" t="s">
        <v>18</v>
      </c>
      <c r="J612" s="14" t="s">
        <v>19</v>
      </c>
      <c r="K612" s="14">
        <v>27.0</v>
      </c>
      <c r="L612" s="14" t="s">
        <v>20</v>
      </c>
      <c r="M612" s="14" t="s">
        <v>60</v>
      </c>
      <c r="N612" s="20"/>
      <c r="O612" s="14">
        <v>1.0</v>
      </c>
      <c r="P612" s="15" t="s">
        <v>801</v>
      </c>
      <c r="Q612" s="16"/>
      <c r="R612" s="16"/>
      <c r="S612" s="16"/>
      <c r="T612" s="16"/>
      <c r="U612" s="16"/>
      <c r="V612" s="16"/>
      <c r="W612" s="16"/>
      <c r="X612" s="16"/>
      <c r="Y612" s="16"/>
      <c r="Z612" s="16"/>
    </row>
    <row r="613">
      <c r="A613" s="10">
        <v>39373.0</v>
      </c>
      <c r="B613" s="23">
        <v>1.53198907E8</v>
      </c>
      <c r="C613" s="12" t="s">
        <v>802</v>
      </c>
      <c r="D613" s="13" t="s">
        <v>18</v>
      </c>
      <c r="E613" s="13" t="s">
        <v>29</v>
      </c>
      <c r="F613" s="13">
        <v>30.0</v>
      </c>
      <c r="G613" s="13" t="s">
        <v>34</v>
      </c>
      <c r="H613" s="13" t="s">
        <v>186</v>
      </c>
      <c r="I613" s="14" t="s">
        <v>18</v>
      </c>
      <c r="J613" s="14" t="s">
        <v>19</v>
      </c>
      <c r="K613" s="14">
        <v>29.0</v>
      </c>
      <c r="L613" s="14" t="s">
        <v>23</v>
      </c>
      <c r="M613" s="14" t="s">
        <v>24</v>
      </c>
      <c r="N613" s="20"/>
      <c r="O613" s="14">
        <v>1.0</v>
      </c>
      <c r="P613" s="15" t="s">
        <v>803</v>
      </c>
      <c r="Q613" s="16"/>
      <c r="R613" s="16"/>
      <c r="S613" s="16"/>
      <c r="T613" s="16"/>
      <c r="U613" s="16"/>
      <c r="V613" s="16"/>
      <c r="W613" s="16"/>
      <c r="X613" s="16"/>
      <c r="Y613" s="16"/>
      <c r="Z613" s="16"/>
    </row>
    <row r="614">
      <c r="A614" s="10">
        <v>39345.0</v>
      </c>
      <c r="B614" s="23">
        <v>1.38627007E8</v>
      </c>
      <c r="C614" s="12" t="s">
        <v>804</v>
      </c>
      <c r="D614" s="13" t="s">
        <v>18</v>
      </c>
      <c r="E614" s="13" t="s">
        <v>29</v>
      </c>
      <c r="F614" s="13">
        <v>26.0</v>
      </c>
      <c r="G614" s="13" t="s">
        <v>23</v>
      </c>
      <c r="H614" s="13" t="s">
        <v>152</v>
      </c>
      <c r="I614" s="14" t="s">
        <v>18</v>
      </c>
      <c r="J614" s="14" t="s">
        <v>22</v>
      </c>
      <c r="K614" s="14">
        <v>30.0</v>
      </c>
      <c r="L614" s="14" t="s">
        <v>23</v>
      </c>
      <c r="M614" s="14" t="s">
        <v>24</v>
      </c>
      <c r="N614" s="20"/>
      <c r="O614" s="14" t="s">
        <v>35</v>
      </c>
      <c r="P614" s="15" t="s">
        <v>805</v>
      </c>
      <c r="Q614" s="16"/>
      <c r="R614" s="16"/>
      <c r="S614" s="16"/>
      <c r="T614" s="16"/>
      <c r="U614" s="16"/>
      <c r="V614" s="16"/>
      <c r="W614" s="16"/>
      <c r="X614" s="16"/>
      <c r="Y614" s="16"/>
      <c r="Z614" s="16"/>
    </row>
    <row r="615">
      <c r="A615" s="10">
        <v>39339.0</v>
      </c>
      <c r="B615" s="23">
        <v>1.36079707E8</v>
      </c>
      <c r="C615" s="12" t="s">
        <v>806</v>
      </c>
      <c r="D615" s="13" t="s">
        <v>84</v>
      </c>
      <c r="E615" s="13" t="s">
        <v>22</v>
      </c>
      <c r="F615" s="13">
        <v>23.0</v>
      </c>
      <c r="G615" s="13" t="s">
        <v>23</v>
      </c>
      <c r="H615" s="13" t="s">
        <v>152</v>
      </c>
      <c r="I615" s="14" t="s">
        <v>18</v>
      </c>
      <c r="J615" s="14" t="s">
        <v>19</v>
      </c>
      <c r="K615" s="14">
        <v>27.0</v>
      </c>
      <c r="L615" s="14" t="s">
        <v>23</v>
      </c>
      <c r="M615" s="14" t="s">
        <v>24</v>
      </c>
      <c r="N615" s="20"/>
      <c r="O615" s="14" t="s">
        <v>35</v>
      </c>
      <c r="P615" s="15" t="s">
        <v>807</v>
      </c>
      <c r="Q615" s="16"/>
      <c r="R615" s="16"/>
      <c r="S615" s="16"/>
      <c r="T615" s="16"/>
      <c r="U615" s="16"/>
      <c r="V615" s="16"/>
      <c r="W615" s="16"/>
      <c r="X615" s="16"/>
      <c r="Y615" s="16"/>
      <c r="Z615" s="16"/>
    </row>
    <row r="616">
      <c r="A616" s="10">
        <v>39307.0</v>
      </c>
      <c r="B616" s="23">
        <v>1.19818907E8</v>
      </c>
      <c r="C616" s="12" t="s">
        <v>808</v>
      </c>
      <c r="D616" s="13" t="s">
        <v>84</v>
      </c>
      <c r="E616" s="13" t="s">
        <v>29</v>
      </c>
      <c r="F616" s="13">
        <v>18.0</v>
      </c>
      <c r="G616" s="13" t="s">
        <v>20</v>
      </c>
      <c r="H616" s="13" t="s">
        <v>23</v>
      </c>
      <c r="I616" s="14" t="s">
        <v>18</v>
      </c>
      <c r="J616" s="14" t="s">
        <v>29</v>
      </c>
      <c r="K616" s="14">
        <v>39.0</v>
      </c>
      <c r="L616" s="14" t="s">
        <v>23</v>
      </c>
      <c r="M616" s="14" t="s">
        <v>24</v>
      </c>
      <c r="N616" s="20"/>
      <c r="O616" s="14" t="s">
        <v>35</v>
      </c>
      <c r="P616" s="15" t="s">
        <v>809</v>
      </c>
      <c r="Q616" s="16"/>
      <c r="R616" s="16"/>
      <c r="S616" s="16"/>
      <c r="T616" s="16"/>
      <c r="U616" s="16"/>
      <c r="V616" s="16"/>
      <c r="W616" s="16"/>
      <c r="X616" s="16"/>
      <c r="Y616" s="16"/>
      <c r="Z616" s="16"/>
    </row>
    <row r="617">
      <c r="A617" s="10">
        <v>39306.0</v>
      </c>
      <c r="B617" s="23">
        <v>1.18920907E8</v>
      </c>
      <c r="C617" s="12" t="s">
        <v>174</v>
      </c>
      <c r="D617" s="13" t="s">
        <v>18</v>
      </c>
      <c r="E617" s="13" t="s">
        <v>22</v>
      </c>
      <c r="F617" s="13">
        <v>24.0</v>
      </c>
      <c r="G617" s="13" t="s">
        <v>23</v>
      </c>
      <c r="H617" s="13" t="s">
        <v>28</v>
      </c>
      <c r="I617" s="14" t="s">
        <v>18</v>
      </c>
      <c r="J617" s="14" t="s">
        <v>29</v>
      </c>
      <c r="K617" s="14">
        <v>26.0</v>
      </c>
      <c r="L617" s="14" t="s">
        <v>20</v>
      </c>
      <c r="M617" s="14" t="s">
        <v>60</v>
      </c>
      <c r="N617" s="20"/>
      <c r="O617" s="14">
        <v>1.0</v>
      </c>
      <c r="P617" s="15" t="s">
        <v>810</v>
      </c>
      <c r="Q617" s="16"/>
      <c r="R617" s="16"/>
      <c r="S617" s="16"/>
      <c r="T617" s="16"/>
      <c r="U617" s="16"/>
      <c r="V617" s="16"/>
      <c r="W617" s="16"/>
      <c r="X617" s="16"/>
      <c r="Y617" s="16"/>
      <c r="Z617" s="16"/>
    </row>
    <row r="618">
      <c r="A618" s="10">
        <v>39294.0</v>
      </c>
      <c r="B618" s="23">
        <v>1.12773907E8</v>
      </c>
      <c r="C618" s="12" t="s">
        <v>811</v>
      </c>
      <c r="D618" s="13" t="s">
        <v>18</v>
      </c>
      <c r="E618" s="13" t="s">
        <v>29</v>
      </c>
      <c r="F618" s="13">
        <v>21.0</v>
      </c>
      <c r="G618" s="13" t="s">
        <v>34</v>
      </c>
      <c r="H618" s="13" t="s">
        <v>28</v>
      </c>
      <c r="I618" s="14" t="s">
        <v>18</v>
      </c>
      <c r="J618" s="14" t="s">
        <v>19</v>
      </c>
      <c r="K618" s="14">
        <v>49.0</v>
      </c>
      <c r="L618" s="14" t="s">
        <v>23</v>
      </c>
      <c r="M618" s="14" t="s">
        <v>24</v>
      </c>
      <c r="N618" s="20"/>
      <c r="O618" s="14" t="s">
        <v>35</v>
      </c>
      <c r="P618" s="15" t="s">
        <v>812</v>
      </c>
      <c r="Q618" s="16"/>
      <c r="R618" s="16"/>
      <c r="S618" s="16"/>
      <c r="T618" s="16"/>
      <c r="U618" s="16"/>
      <c r="V618" s="16"/>
      <c r="W618" s="16"/>
      <c r="X618" s="16"/>
      <c r="Y618" s="16"/>
      <c r="Z618" s="16"/>
    </row>
    <row r="619">
      <c r="I619" s="14" t="s">
        <v>18</v>
      </c>
      <c r="J619" s="14" t="s">
        <v>22</v>
      </c>
      <c r="K619" s="14">
        <v>30.0</v>
      </c>
      <c r="L619" s="14" t="s">
        <v>23</v>
      </c>
      <c r="M619" s="14" t="s">
        <v>24</v>
      </c>
      <c r="N619" s="20"/>
      <c r="O619" s="14" t="s">
        <v>35</v>
      </c>
      <c r="Q619" s="16"/>
      <c r="R619" s="16"/>
      <c r="S619" s="16"/>
      <c r="T619" s="16"/>
      <c r="U619" s="16"/>
      <c r="V619" s="16"/>
      <c r="W619" s="16"/>
      <c r="X619" s="16"/>
      <c r="Y619" s="16"/>
      <c r="Z619" s="16"/>
    </row>
    <row r="620">
      <c r="I620" s="14" t="s">
        <v>18</v>
      </c>
      <c r="J620" s="14" t="s">
        <v>22</v>
      </c>
      <c r="K620" s="14">
        <v>38.0</v>
      </c>
      <c r="L620" s="14" t="s">
        <v>23</v>
      </c>
      <c r="M620" s="14" t="s">
        <v>24</v>
      </c>
      <c r="N620" s="20"/>
      <c r="O620" s="14" t="s">
        <v>35</v>
      </c>
      <c r="Q620" s="16"/>
      <c r="R620" s="16"/>
      <c r="S620" s="16"/>
      <c r="T620" s="16"/>
      <c r="U620" s="16"/>
      <c r="V620" s="16"/>
      <c r="W620" s="16"/>
      <c r="X620" s="16"/>
      <c r="Y620" s="16"/>
      <c r="Z620" s="16"/>
    </row>
    <row r="621">
      <c r="I621" s="14" t="s">
        <v>18</v>
      </c>
      <c r="J621" s="14" t="s">
        <v>22</v>
      </c>
      <c r="K621" s="14">
        <v>42.0</v>
      </c>
      <c r="L621" s="14" t="s">
        <v>23</v>
      </c>
      <c r="M621" s="14" t="s">
        <v>24</v>
      </c>
      <c r="N621" s="20"/>
      <c r="O621" s="14" t="s">
        <v>35</v>
      </c>
      <c r="Q621" s="16"/>
      <c r="R621" s="16"/>
      <c r="S621" s="16"/>
      <c r="T621" s="16"/>
      <c r="U621" s="16"/>
      <c r="V621" s="16"/>
      <c r="W621" s="16"/>
      <c r="X621" s="16"/>
      <c r="Y621" s="16"/>
      <c r="Z621" s="16"/>
    </row>
    <row r="622">
      <c r="I622" s="14" t="s">
        <v>18</v>
      </c>
      <c r="J622" s="14" t="s">
        <v>22</v>
      </c>
      <c r="K622" s="14">
        <v>55.0</v>
      </c>
      <c r="L622" s="14" t="s">
        <v>23</v>
      </c>
      <c r="M622" s="14" t="s">
        <v>24</v>
      </c>
      <c r="N622" s="20"/>
      <c r="O622" s="14">
        <v>1.0</v>
      </c>
      <c r="Q622" s="16"/>
      <c r="R622" s="16"/>
      <c r="S622" s="16"/>
      <c r="T622" s="16"/>
      <c r="U622" s="16"/>
      <c r="V622" s="16"/>
      <c r="W622" s="16"/>
      <c r="X622" s="16"/>
      <c r="Y622" s="16"/>
      <c r="Z622" s="16"/>
    </row>
    <row r="623">
      <c r="I623" s="14" t="s">
        <v>18</v>
      </c>
      <c r="J623" s="14" t="s">
        <v>22</v>
      </c>
      <c r="K623" s="14">
        <v>37.0</v>
      </c>
      <c r="L623" s="14" t="s">
        <v>23</v>
      </c>
      <c r="M623" s="14" t="s">
        <v>24</v>
      </c>
      <c r="N623" s="20"/>
      <c r="O623" s="14" t="s">
        <v>35</v>
      </c>
      <c r="Q623" s="16"/>
      <c r="R623" s="16"/>
      <c r="S623" s="16"/>
      <c r="T623" s="16"/>
      <c r="U623" s="16"/>
      <c r="V623" s="16"/>
      <c r="W623" s="16"/>
      <c r="X623" s="16"/>
      <c r="Y623" s="16"/>
      <c r="Z623" s="16"/>
    </row>
    <row r="624">
      <c r="A624" s="10">
        <v>39284.0</v>
      </c>
      <c r="B624" s="23">
        <v>1.07981607E8</v>
      </c>
      <c r="C624" s="12" t="s">
        <v>813</v>
      </c>
      <c r="D624" s="13" t="s">
        <v>18</v>
      </c>
      <c r="E624" s="13" t="s">
        <v>29</v>
      </c>
      <c r="F624" s="13">
        <v>39.0</v>
      </c>
      <c r="G624" s="13" t="s">
        <v>34</v>
      </c>
      <c r="H624" s="13" t="s">
        <v>814</v>
      </c>
      <c r="I624" s="14" t="s">
        <v>18</v>
      </c>
      <c r="J624" s="14" t="s">
        <v>29</v>
      </c>
      <c r="K624" s="14">
        <v>40.0</v>
      </c>
      <c r="L624" s="14" t="s">
        <v>23</v>
      </c>
      <c r="M624" s="14" t="s">
        <v>24</v>
      </c>
      <c r="N624" s="20"/>
      <c r="O624" s="14" t="s">
        <v>35</v>
      </c>
      <c r="P624" s="15" t="s">
        <v>815</v>
      </c>
      <c r="Q624" s="16"/>
      <c r="R624" s="16"/>
      <c r="S624" s="16"/>
      <c r="T624" s="16"/>
      <c r="U624" s="16"/>
      <c r="V624" s="16"/>
      <c r="W624" s="16"/>
      <c r="X624" s="16"/>
      <c r="Y624" s="16"/>
      <c r="Z624" s="16"/>
    </row>
    <row r="625">
      <c r="I625" s="14" t="s">
        <v>18</v>
      </c>
      <c r="J625" s="14" t="s">
        <v>22</v>
      </c>
      <c r="K625" s="14">
        <v>24.0</v>
      </c>
      <c r="L625" s="14" t="s">
        <v>23</v>
      </c>
      <c r="M625" s="14" t="s">
        <v>24</v>
      </c>
      <c r="N625" s="20"/>
      <c r="O625" s="14">
        <v>1.0</v>
      </c>
      <c r="Q625" s="16"/>
      <c r="R625" s="16"/>
      <c r="S625" s="16"/>
      <c r="T625" s="16"/>
      <c r="U625" s="16"/>
      <c r="V625" s="16"/>
      <c r="W625" s="16"/>
      <c r="X625" s="16"/>
      <c r="Y625" s="16"/>
      <c r="Z625" s="16"/>
    </row>
    <row r="626">
      <c r="A626" s="10">
        <v>39283.0</v>
      </c>
      <c r="B626" s="23">
        <v>1.07479507E8</v>
      </c>
      <c r="C626" s="12" t="s">
        <v>816</v>
      </c>
      <c r="D626" s="13" t="s">
        <v>18</v>
      </c>
      <c r="E626" s="13" t="s">
        <v>29</v>
      </c>
      <c r="F626" s="13">
        <v>43.0</v>
      </c>
      <c r="G626" s="13" t="s">
        <v>20</v>
      </c>
      <c r="H626" s="13" t="s">
        <v>186</v>
      </c>
      <c r="I626" s="14" t="s">
        <v>18</v>
      </c>
      <c r="J626" s="14" t="s">
        <v>29</v>
      </c>
      <c r="K626" s="14">
        <v>38.0</v>
      </c>
      <c r="L626" s="14" t="s">
        <v>20</v>
      </c>
      <c r="M626" s="14" t="s">
        <v>24</v>
      </c>
      <c r="N626" s="20"/>
      <c r="O626" s="14">
        <v>1.0</v>
      </c>
      <c r="P626" s="15" t="s">
        <v>817</v>
      </c>
      <c r="Q626" s="16"/>
      <c r="R626" s="16"/>
      <c r="S626" s="16"/>
      <c r="T626" s="16"/>
      <c r="U626" s="16"/>
      <c r="V626" s="16"/>
      <c r="W626" s="16"/>
      <c r="X626" s="16"/>
      <c r="Y626" s="16"/>
      <c r="Z626" s="16"/>
    </row>
    <row r="627">
      <c r="A627" s="10">
        <v>39266.0</v>
      </c>
      <c r="B627" s="23">
        <v>9.8260207E7</v>
      </c>
      <c r="C627" s="12" t="s">
        <v>818</v>
      </c>
      <c r="D627" s="13" t="s">
        <v>164</v>
      </c>
      <c r="E627" s="13" t="s">
        <v>164</v>
      </c>
      <c r="F627" s="13" t="s">
        <v>164</v>
      </c>
      <c r="G627" s="13" t="s">
        <v>20</v>
      </c>
      <c r="H627" s="13" t="s">
        <v>152</v>
      </c>
      <c r="I627" s="14" t="s">
        <v>18</v>
      </c>
      <c r="J627" s="14" t="s">
        <v>22</v>
      </c>
      <c r="K627" s="14">
        <v>28.0</v>
      </c>
      <c r="L627" s="14" t="s">
        <v>23</v>
      </c>
      <c r="M627" s="14" t="s">
        <v>24</v>
      </c>
      <c r="N627" s="20"/>
      <c r="O627" s="14">
        <v>1.0</v>
      </c>
      <c r="P627" s="15" t="s">
        <v>819</v>
      </c>
      <c r="Q627" s="16"/>
      <c r="R627" s="16"/>
      <c r="S627" s="16"/>
      <c r="T627" s="16"/>
      <c r="U627" s="16"/>
      <c r="V627" s="16"/>
      <c r="W627" s="16"/>
      <c r="X627" s="16"/>
      <c r="Y627" s="16"/>
      <c r="Z627" s="16"/>
    </row>
    <row r="628">
      <c r="A628" s="10">
        <v>39264.0</v>
      </c>
      <c r="B628" s="23">
        <v>9.6935007E7</v>
      </c>
      <c r="C628" s="12" t="s">
        <v>820</v>
      </c>
      <c r="D628" s="13" t="s">
        <v>18</v>
      </c>
      <c r="E628" s="13" t="s">
        <v>19</v>
      </c>
      <c r="F628" s="13">
        <v>26.0</v>
      </c>
      <c r="G628" s="13" t="s">
        <v>23</v>
      </c>
      <c r="H628" s="13" t="s">
        <v>23</v>
      </c>
      <c r="I628" s="14" t="s">
        <v>84</v>
      </c>
      <c r="J628" s="14" t="s">
        <v>29</v>
      </c>
      <c r="K628" s="14">
        <v>40.0</v>
      </c>
      <c r="L628" s="14" t="s">
        <v>23</v>
      </c>
      <c r="M628" s="14" t="s">
        <v>60</v>
      </c>
      <c r="N628" s="20"/>
      <c r="O628" s="14">
        <v>1.0</v>
      </c>
      <c r="P628" s="15" t="s">
        <v>821</v>
      </c>
      <c r="Q628" s="16"/>
      <c r="R628" s="16"/>
      <c r="S628" s="16"/>
      <c r="T628" s="16"/>
      <c r="U628" s="16"/>
      <c r="V628" s="16"/>
      <c r="W628" s="16"/>
      <c r="X628" s="16"/>
      <c r="Y628" s="16"/>
      <c r="Z628" s="16"/>
    </row>
    <row r="629">
      <c r="A629" s="10">
        <v>39241.0</v>
      </c>
      <c r="B629" s="23">
        <v>8.4230307E7</v>
      </c>
      <c r="C629" s="12" t="s">
        <v>822</v>
      </c>
      <c r="D629" s="13" t="s">
        <v>18</v>
      </c>
      <c r="E629" s="13" t="s">
        <v>29</v>
      </c>
      <c r="F629" s="13">
        <v>23.0</v>
      </c>
      <c r="G629" s="13" t="s">
        <v>20</v>
      </c>
      <c r="H629" s="13" t="s">
        <v>28</v>
      </c>
      <c r="I629" s="14" t="s">
        <v>18</v>
      </c>
      <c r="J629" s="14" t="s">
        <v>19</v>
      </c>
      <c r="K629" s="14">
        <v>38.0</v>
      </c>
      <c r="L629" s="14" t="s">
        <v>23</v>
      </c>
      <c r="M629" s="14" t="s">
        <v>24</v>
      </c>
      <c r="N629" s="20"/>
      <c r="O629" s="14">
        <v>1.0</v>
      </c>
      <c r="P629" s="15" t="s">
        <v>823</v>
      </c>
      <c r="Q629" s="16"/>
      <c r="R629" s="16"/>
      <c r="S629" s="16"/>
      <c r="T629" s="16"/>
      <c r="U629" s="16"/>
      <c r="V629" s="16"/>
      <c r="W629" s="16"/>
      <c r="X629" s="16"/>
      <c r="Y629" s="16"/>
      <c r="Z629" s="16"/>
    </row>
    <row r="630">
      <c r="A630" s="10">
        <v>39236.0</v>
      </c>
      <c r="B630" s="23">
        <v>8.1607707E7</v>
      </c>
      <c r="C630" s="12" t="s">
        <v>824</v>
      </c>
      <c r="D630" s="13" t="s">
        <v>18</v>
      </c>
      <c r="E630" s="13" t="s">
        <v>29</v>
      </c>
      <c r="F630" s="13">
        <v>42.0</v>
      </c>
      <c r="G630" s="13" t="s">
        <v>20</v>
      </c>
      <c r="H630" s="13" t="s">
        <v>23</v>
      </c>
      <c r="I630" s="14" t="s">
        <v>18</v>
      </c>
      <c r="J630" s="14" t="s">
        <v>19</v>
      </c>
      <c r="K630" s="14">
        <v>40.0</v>
      </c>
      <c r="L630" s="14" t="s">
        <v>23</v>
      </c>
      <c r="M630" s="14" t="s">
        <v>24</v>
      </c>
      <c r="N630" s="20"/>
      <c r="O630" s="14">
        <v>1.0</v>
      </c>
      <c r="P630" s="15" t="s">
        <v>825</v>
      </c>
      <c r="Q630" s="16"/>
      <c r="R630" s="16"/>
      <c r="S630" s="16"/>
      <c r="T630" s="16"/>
      <c r="U630" s="16"/>
      <c r="V630" s="16"/>
      <c r="W630" s="16"/>
      <c r="X630" s="16"/>
      <c r="Y630" s="16"/>
      <c r="Z630" s="16"/>
    </row>
    <row r="631">
      <c r="A631" s="10">
        <v>39232.0</v>
      </c>
      <c r="B631" s="23">
        <v>7.9542707E7</v>
      </c>
      <c r="C631" s="12" t="s">
        <v>826</v>
      </c>
      <c r="D631" s="13" t="s">
        <v>164</v>
      </c>
      <c r="E631" s="13" t="s">
        <v>164</v>
      </c>
      <c r="F631" s="13" t="s">
        <v>164</v>
      </c>
      <c r="G631" s="13" t="s">
        <v>20</v>
      </c>
      <c r="H631" s="13" t="s">
        <v>28</v>
      </c>
      <c r="I631" s="14" t="s">
        <v>18</v>
      </c>
      <c r="J631" s="14" t="s">
        <v>22</v>
      </c>
      <c r="K631" s="14">
        <v>28.0</v>
      </c>
      <c r="L631" s="14" t="s">
        <v>23</v>
      </c>
      <c r="M631" s="14" t="s">
        <v>24</v>
      </c>
      <c r="N631" s="20"/>
      <c r="O631" s="14" t="s">
        <v>35</v>
      </c>
      <c r="P631" s="15" t="s">
        <v>827</v>
      </c>
      <c r="Q631" s="16"/>
      <c r="R631" s="16"/>
      <c r="S631" s="16"/>
      <c r="T631" s="16"/>
      <c r="U631" s="16"/>
      <c r="V631" s="16"/>
      <c r="W631" s="16"/>
      <c r="X631" s="16"/>
      <c r="Y631" s="16"/>
      <c r="Z631" s="16"/>
    </row>
    <row r="632">
      <c r="A632" s="10">
        <v>39223.0</v>
      </c>
      <c r="B632" s="23">
        <v>7.4313707E7</v>
      </c>
      <c r="C632" s="12" t="s">
        <v>828</v>
      </c>
      <c r="D632" s="13" t="s">
        <v>18</v>
      </c>
      <c r="E632" s="13" t="s">
        <v>19</v>
      </c>
      <c r="F632" s="13" t="s">
        <v>157</v>
      </c>
      <c r="G632" s="13" t="s">
        <v>140</v>
      </c>
      <c r="H632" s="13" t="s">
        <v>617</v>
      </c>
      <c r="I632" s="14" t="s">
        <v>18</v>
      </c>
      <c r="J632" s="14" t="s">
        <v>19</v>
      </c>
      <c r="K632" s="14">
        <v>40.0</v>
      </c>
      <c r="L632" s="14" t="s">
        <v>23</v>
      </c>
      <c r="M632" s="14" t="s">
        <v>60</v>
      </c>
      <c r="N632" s="20"/>
      <c r="O632" s="14" t="s">
        <v>35</v>
      </c>
      <c r="P632" s="15" t="s">
        <v>829</v>
      </c>
      <c r="Q632" s="16"/>
      <c r="R632" s="16"/>
      <c r="S632" s="16"/>
      <c r="T632" s="16"/>
      <c r="U632" s="16"/>
      <c r="V632" s="16"/>
      <c r="W632" s="16"/>
      <c r="X632" s="16"/>
      <c r="Y632" s="16"/>
      <c r="Z632" s="16"/>
    </row>
    <row r="633">
      <c r="A633" s="10">
        <v>39214.0</v>
      </c>
      <c r="B633" s="23">
        <v>6.9483207E7</v>
      </c>
      <c r="C633" s="12" t="s">
        <v>830</v>
      </c>
      <c r="D633" s="13" t="s">
        <v>18</v>
      </c>
      <c r="E633" s="13" t="s">
        <v>19</v>
      </c>
      <c r="F633" s="13">
        <v>21.0</v>
      </c>
      <c r="G633" s="13" t="s">
        <v>34</v>
      </c>
      <c r="H633" s="13" t="s">
        <v>28</v>
      </c>
      <c r="I633" s="14" t="s">
        <v>18</v>
      </c>
      <c r="J633" s="14" t="s">
        <v>29</v>
      </c>
      <c r="K633" s="14">
        <v>40.0</v>
      </c>
      <c r="L633" s="14" t="s">
        <v>23</v>
      </c>
      <c r="M633" s="14" t="s">
        <v>24</v>
      </c>
      <c r="N633" s="20"/>
      <c r="O633" s="14">
        <v>1.0</v>
      </c>
      <c r="P633" s="15" t="s">
        <v>831</v>
      </c>
      <c r="Q633" s="16"/>
      <c r="R633" s="16"/>
      <c r="S633" s="16"/>
      <c r="T633" s="16"/>
      <c r="U633" s="16"/>
      <c r="V633" s="16"/>
      <c r="W633" s="16"/>
      <c r="X633" s="16"/>
      <c r="Y633" s="16"/>
      <c r="Z633" s="16"/>
    </row>
    <row r="634">
      <c r="A634" s="10">
        <v>39212.0</v>
      </c>
      <c r="B634" s="23">
        <v>6.8594007E7</v>
      </c>
      <c r="C634" s="12" t="s">
        <v>832</v>
      </c>
      <c r="D634" s="13" t="s">
        <v>18</v>
      </c>
      <c r="E634" s="13" t="s">
        <v>19</v>
      </c>
      <c r="F634" s="13">
        <v>77.0</v>
      </c>
      <c r="G634" s="13" t="s">
        <v>34</v>
      </c>
      <c r="H634" s="13" t="s">
        <v>28</v>
      </c>
      <c r="I634" s="14" t="s">
        <v>18</v>
      </c>
      <c r="J634" s="14" t="s">
        <v>22</v>
      </c>
      <c r="K634" s="14">
        <v>54.0</v>
      </c>
      <c r="L634" s="14" t="s">
        <v>23</v>
      </c>
      <c r="M634" s="14" t="s">
        <v>24</v>
      </c>
      <c r="N634" s="20"/>
      <c r="O634" s="14" t="s">
        <v>35</v>
      </c>
      <c r="P634" s="15" t="s">
        <v>833</v>
      </c>
      <c r="Q634" s="16"/>
      <c r="R634" s="16"/>
      <c r="S634" s="16"/>
      <c r="T634" s="16"/>
      <c r="U634" s="16"/>
      <c r="V634" s="16"/>
      <c r="W634" s="16"/>
      <c r="X634" s="16"/>
      <c r="Y634" s="16"/>
      <c r="Z634" s="16"/>
    </row>
    <row r="635">
      <c r="A635" s="10">
        <v>39208.0</v>
      </c>
      <c r="B635" s="23">
        <v>6.5913307E7</v>
      </c>
      <c r="C635" s="12" t="s">
        <v>834</v>
      </c>
      <c r="D635" s="13" t="s">
        <v>18</v>
      </c>
      <c r="E635" s="13" t="s">
        <v>29</v>
      </c>
      <c r="F635" s="13">
        <v>42.0</v>
      </c>
      <c r="G635" s="13" t="s">
        <v>34</v>
      </c>
      <c r="H635" s="13" t="s">
        <v>38</v>
      </c>
      <c r="I635" s="14" t="s">
        <v>18</v>
      </c>
      <c r="J635" s="14" t="s">
        <v>22</v>
      </c>
      <c r="K635" s="14">
        <v>35.0</v>
      </c>
      <c r="L635" s="14" t="s">
        <v>23</v>
      </c>
      <c r="M635" s="14" t="s">
        <v>24</v>
      </c>
      <c r="N635" s="20"/>
      <c r="O635" s="14" t="s">
        <v>35</v>
      </c>
      <c r="P635" s="15" t="s">
        <v>835</v>
      </c>
      <c r="Q635" s="16"/>
      <c r="R635" s="16"/>
      <c r="S635" s="16"/>
      <c r="T635" s="16"/>
      <c r="U635" s="16"/>
      <c r="V635" s="16"/>
      <c r="W635" s="16"/>
      <c r="X635" s="16"/>
      <c r="Y635" s="16"/>
      <c r="Z635" s="16"/>
    </row>
    <row r="636">
      <c r="A636" s="10">
        <v>39205.0</v>
      </c>
      <c r="B636" s="23">
        <v>6.4609707E7</v>
      </c>
      <c r="C636" s="12" t="s">
        <v>836</v>
      </c>
      <c r="D636" s="13" t="s">
        <v>18</v>
      </c>
      <c r="E636" s="13" t="s">
        <v>29</v>
      </c>
      <c r="F636" s="13">
        <v>18.0</v>
      </c>
      <c r="G636" s="13" t="s">
        <v>20</v>
      </c>
      <c r="H636" s="13" t="s">
        <v>617</v>
      </c>
      <c r="I636" s="14" t="s">
        <v>18</v>
      </c>
      <c r="J636" s="14" t="s">
        <v>19</v>
      </c>
      <c r="K636" s="14">
        <v>48.0</v>
      </c>
      <c r="L636" s="14" t="s">
        <v>23</v>
      </c>
      <c r="M636" s="14" t="s">
        <v>60</v>
      </c>
      <c r="N636" s="20"/>
      <c r="O636" s="14">
        <v>1.0</v>
      </c>
      <c r="P636" s="15" t="s">
        <v>837</v>
      </c>
      <c r="Q636" s="16"/>
      <c r="R636" s="16"/>
      <c r="S636" s="16"/>
      <c r="T636" s="16"/>
      <c r="U636" s="16"/>
      <c r="V636" s="16"/>
      <c r="W636" s="16"/>
      <c r="X636" s="16"/>
      <c r="Y636" s="16"/>
      <c r="Z636" s="16"/>
    </row>
    <row r="637">
      <c r="A637" s="10">
        <v>39197.0</v>
      </c>
      <c r="B637" s="23">
        <v>5.9821907E7</v>
      </c>
      <c r="C637" s="12" t="s">
        <v>838</v>
      </c>
      <c r="D637" s="13" t="s">
        <v>18</v>
      </c>
      <c r="E637" s="13" t="s">
        <v>19</v>
      </c>
      <c r="F637" s="13">
        <v>26.0</v>
      </c>
      <c r="G637" s="13" t="s">
        <v>20</v>
      </c>
      <c r="H637" s="13" t="s">
        <v>28</v>
      </c>
      <c r="I637" s="14" t="s">
        <v>18</v>
      </c>
      <c r="J637" s="14" t="s">
        <v>22</v>
      </c>
      <c r="K637" s="14">
        <v>49.0</v>
      </c>
      <c r="L637" s="14" t="s">
        <v>23</v>
      </c>
      <c r="M637" s="14" t="s">
        <v>24</v>
      </c>
      <c r="N637" s="20"/>
      <c r="O637" s="14" t="s">
        <v>35</v>
      </c>
      <c r="P637" s="15" t="s">
        <v>839</v>
      </c>
      <c r="Q637" s="16"/>
      <c r="R637" s="16"/>
      <c r="S637" s="16"/>
      <c r="T637" s="16"/>
      <c r="U637" s="16"/>
      <c r="V637" s="16"/>
      <c r="W637" s="16"/>
      <c r="X637" s="16"/>
      <c r="Y637" s="16"/>
      <c r="Z637" s="16"/>
    </row>
    <row r="638">
      <c r="H638" s="13" t="s">
        <v>28</v>
      </c>
      <c r="I638" s="14" t="s">
        <v>18</v>
      </c>
      <c r="J638" s="14" t="s">
        <v>19</v>
      </c>
      <c r="K638" s="14">
        <v>42.0</v>
      </c>
      <c r="L638" s="14" t="s">
        <v>23</v>
      </c>
      <c r="M638" s="14" t="s">
        <v>24</v>
      </c>
      <c r="N638" s="20"/>
      <c r="O638" s="14" t="s">
        <v>35</v>
      </c>
      <c r="Q638" s="16"/>
      <c r="R638" s="16"/>
      <c r="S638" s="16"/>
      <c r="T638" s="16"/>
      <c r="U638" s="16"/>
      <c r="V638" s="16"/>
      <c r="W638" s="16"/>
      <c r="X638" s="16"/>
      <c r="Y638" s="16"/>
      <c r="Z638" s="16"/>
    </row>
    <row r="639">
      <c r="A639" s="10">
        <v>39189.0</v>
      </c>
      <c r="B639" s="23">
        <v>5.5773407E7</v>
      </c>
      <c r="C639" s="12" t="s">
        <v>840</v>
      </c>
      <c r="D639" s="13" t="s">
        <v>18</v>
      </c>
      <c r="E639" s="13" t="s">
        <v>19</v>
      </c>
      <c r="F639" s="13">
        <v>28.0</v>
      </c>
      <c r="G639" s="13" t="s">
        <v>23</v>
      </c>
      <c r="H639" s="13" t="s">
        <v>152</v>
      </c>
      <c r="I639" s="14" t="s">
        <v>18</v>
      </c>
      <c r="J639" s="14" t="s">
        <v>19</v>
      </c>
      <c r="K639" s="14">
        <v>37.0</v>
      </c>
      <c r="L639" s="14" t="s">
        <v>23</v>
      </c>
      <c r="M639" s="14" t="s">
        <v>24</v>
      </c>
      <c r="N639" s="20"/>
      <c r="O639" s="14" t="s">
        <v>35</v>
      </c>
      <c r="P639" s="15" t="s">
        <v>841</v>
      </c>
      <c r="Q639" s="16"/>
      <c r="R639" s="16"/>
      <c r="S639" s="16"/>
      <c r="T639" s="16"/>
      <c r="U639" s="16"/>
      <c r="V639" s="16"/>
      <c r="W639" s="16"/>
      <c r="X639" s="16"/>
      <c r="Y639" s="16"/>
      <c r="Z639" s="16"/>
    </row>
    <row r="640">
      <c r="I640" s="14" t="s">
        <v>18</v>
      </c>
      <c r="J640" s="14" t="s">
        <v>22</v>
      </c>
      <c r="K640" s="14">
        <v>49.0</v>
      </c>
      <c r="L640" s="14" t="s">
        <v>23</v>
      </c>
      <c r="M640" s="14" t="s">
        <v>24</v>
      </c>
      <c r="N640" s="20"/>
      <c r="O640" s="14">
        <v>1.0</v>
      </c>
      <c r="Q640" s="16"/>
      <c r="R640" s="16"/>
      <c r="S640" s="16"/>
      <c r="T640" s="16"/>
      <c r="U640" s="16"/>
      <c r="V640" s="16"/>
      <c r="W640" s="16"/>
      <c r="X640" s="16"/>
      <c r="Y640" s="16"/>
      <c r="Z640" s="16"/>
    </row>
    <row r="641">
      <c r="A641" s="10">
        <v>39185.0</v>
      </c>
      <c r="B641" s="23">
        <v>5.3207807E7</v>
      </c>
      <c r="C641" s="12" t="s">
        <v>842</v>
      </c>
      <c r="D641" s="13" t="s">
        <v>18</v>
      </c>
      <c r="E641" s="13" t="s">
        <v>29</v>
      </c>
      <c r="F641" s="13">
        <v>24.0</v>
      </c>
      <c r="G641" s="13" t="s">
        <v>571</v>
      </c>
      <c r="H641" s="13" t="s">
        <v>28</v>
      </c>
      <c r="I641" s="14" t="s">
        <v>18</v>
      </c>
      <c r="J641" s="14" t="s">
        <v>19</v>
      </c>
      <c r="K641" s="14">
        <v>36.0</v>
      </c>
      <c r="L641" s="14" t="s">
        <v>23</v>
      </c>
      <c r="M641" s="14" t="s">
        <v>24</v>
      </c>
      <c r="N641" s="20"/>
      <c r="O641" s="14">
        <v>1.0</v>
      </c>
      <c r="P641" s="15" t="s">
        <v>843</v>
      </c>
      <c r="Q641" s="16"/>
      <c r="R641" s="16"/>
      <c r="S641" s="16"/>
      <c r="T641" s="16"/>
      <c r="U641" s="16"/>
      <c r="V641" s="16"/>
      <c r="W641" s="16"/>
      <c r="X641" s="16"/>
      <c r="Y641" s="16"/>
      <c r="Z641" s="16"/>
    </row>
    <row r="642">
      <c r="A642" s="10">
        <v>39162.0</v>
      </c>
      <c r="B642" s="23">
        <v>4.1346907E7</v>
      </c>
      <c r="C642" s="12" t="s">
        <v>844</v>
      </c>
      <c r="D642" s="13" t="s">
        <v>84</v>
      </c>
      <c r="E642" s="13" t="s">
        <v>29</v>
      </c>
      <c r="F642" s="13">
        <v>20.0</v>
      </c>
      <c r="G642" s="13" t="s">
        <v>23</v>
      </c>
      <c r="H642" s="13" t="s">
        <v>152</v>
      </c>
      <c r="I642" s="14" t="s">
        <v>18</v>
      </c>
      <c r="J642" s="14" t="s">
        <v>29</v>
      </c>
      <c r="K642" s="14">
        <v>34.0</v>
      </c>
      <c r="L642" s="14" t="s">
        <v>20</v>
      </c>
      <c r="M642" s="14" t="s">
        <v>24</v>
      </c>
      <c r="N642" s="20"/>
      <c r="O642" s="14">
        <v>1.0</v>
      </c>
      <c r="P642" s="15" t="s">
        <v>845</v>
      </c>
      <c r="Q642" s="16"/>
      <c r="R642" s="16"/>
      <c r="S642" s="16"/>
      <c r="T642" s="16"/>
      <c r="U642" s="16"/>
      <c r="V642" s="16"/>
      <c r="W642" s="16"/>
      <c r="X642" s="16"/>
      <c r="Y642" s="16"/>
      <c r="Z642" s="16"/>
    </row>
    <row r="643">
      <c r="A643" s="10">
        <v>39123.0</v>
      </c>
      <c r="B643" s="23">
        <v>2.0557707E7</v>
      </c>
      <c r="C643" s="12" t="s">
        <v>846</v>
      </c>
      <c r="D643" s="13" t="s">
        <v>18</v>
      </c>
      <c r="E643" s="13" t="s">
        <v>22</v>
      </c>
      <c r="F643" s="13">
        <v>37.0</v>
      </c>
      <c r="G643" s="13" t="s">
        <v>34</v>
      </c>
      <c r="H643" s="13" t="s">
        <v>38</v>
      </c>
      <c r="I643" s="14" t="s">
        <v>18</v>
      </c>
      <c r="J643" s="14" t="s">
        <v>22</v>
      </c>
      <c r="K643" s="14">
        <v>43.0</v>
      </c>
      <c r="L643" s="14" t="s">
        <v>23</v>
      </c>
      <c r="M643" s="14" t="s">
        <v>24</v>
      </c>
      <c r="N643" s="20"/>
      <c r="O643" s="14">
        <v>1.0</v>
      </c>
      <c r="P643" s="15" t="s">
        <v>847</v>
      </c>
      <c r="Q643" s="16"/>
      <c r="R643" s="16"/>
      <c r="S643" s="16"/>
      <c r="T643" s="16"/>
      <c r="U643" s="16"/>
      <c r="V643" s="16"/>
      <c r="W643" s="16"/>
      <c r="X643" s="16"/>
      <c r="Y643" s="16"/>
      <c r="Z643" s="16"/>
    </row>
    <row r="644">
      <c r="A644" s="10">
        <v>39108.0</v>
      </c>
      <c r="B644" s="23">
        <v>1.2751707E7</v>
      </c>
      <c r="C644" s="12" t="s">
        <v>848</v>
      </c>
      <c r="D644" s="13" t="s">
        <v>18</v>
      </c>
      <c r="E644" s="13" t="s">
        <v>29</v>
      </c>
      <c r="F644" s="13">
        <v>19.0</v>
      </c>
      <c r="G644" s="13" t="s">
        <v>20</v>
      </c>
      <c r="H644" s="13" t="s">
        <v>152</v>
      </c>
      <c r="I644" s="14" t="s">
        <v>18</v>
      </c>
      <c r="J644" s="14" t="s">
        <v>22</v>
      </c>
      <c r="K644" s="14">
        <v>34.0</v>
      </c>
      <c r="L644" s="14" t="s">
        <v>20</v>
      </c>
      <c r="M644" s="14" t="s">
        <v>24</v>
      </c>
      <c r="N644" s="20"/>
      <c r="O644" s="14" t="s">
        <v>35</v>
      </c>
      <c r="P644" s="15" t="s">
        <v>849</v>
      </c>
      <c r="Q644" s="16"/>
      <c r="R644" s="16"/>
      <c r="S644" s="16"/>
      <c r="T644" s="16"/>
      <c r="U644" s="16"/>
      <c r="V644" s="16"/>
      <c r="W644" s="16"/>
      <c r="X644" s="16"/>
      <c r="Y644" s="16"/>
      <c r="Z644" s="16"/>
    </row>
    <row r="645">
      <c r="I645" s="14" t="s">
        <v>18</v>
      </c>
      <c r="J645" s="14" t="s">
        <v>22</v>
      </c>
      <c r="K645" s="14">
        <v>48.0</v>
      </c>
      <c r="L645" s="14" t="s">
        <v>20</v>
      </c>
      <c r="M645" s="14" t="s">
        <v>24</v>
      </c>
      <c r="N645" s="20"/>
      <c r="O645" s="14" t="s">
        <v>35</v>
      </c>
      <c r="Q645" s="16"/>
      <c r="R645" s="16"/>
      <c r="S645" s="16"/>
      <c r="T645" s="16"/>
      <c r="U645" s="16"/>
      <c r="V645" s="16"/>
      <c r="W645" s="16"/>
      <c r="X645" s="16"/>
      <c r="Y645" s="16"/>
      <c r="Z645" s="16"/>
    </row>
    <row r="646">
      <c r="A646" s="10">
        <v>39090.0</v>
      </c>
      <c r="B646" s="23">
        <v>3998207.0</v>
      </c>
      <c r="C646" s="12" t="s">
        <v>850</v>
      </c>
      <c r="D646" s="13" t="s">
        <v>18</v>
      </c>
      <c r="E646" s="13" t="s">
        <v>29</v>
      </c>
      <c r="F646" s="13">
        <v>23.0</v>
      </c>
      <c r="G646" s="13" t="s">
        <v>34</v>
      </c>
      <c r="H646" s="13" t="s">
        <v>851</v>
      </c>
      <c r="I646" s="14" t="s">
        <v>18</v>
      </c>
      <c r="J646" s="14" t="s">
        <v>22</v>
      </c>
      <c r="K646" s="14">
        <v>38.0</v>
      </c>
      <c r="L646" s="14" t="s">
        <v>20</v>
      </c>
      <c r="M646" s="14" t="s">
        <v>24</v>
      </c>
      <c r="N646" s="20"/>
      <c r="O646" s="14">
        <v>1.0</v>
      </c>
      <c r="P646" s="15" t="s">
        <v>852</v>
      </c>
      <c r="Q646" s="16"/>
      <c r="R646" s="16"/>
      <c r="S646" s="16"/>
      <c r="T646" s="16"/>
      <c r="U646" s="16"/>
      <c r="V646" s="16"/>
      <c r="W646" s="16"/>
      <c r="X646" s="16"/>
      <c r="Y646" s="16"/>
      <c r="Z646" s="16"/>
    </row>
    <row r="647">
      <c r="A647" s="10">
        <v>39089.0</v>
      </c>
      <c r="B647" s="23">
        <v>3392207.0</v>
      </c>
      <c r="C647" s="12" t="s">
        <v>853</v>
      </c>
      <c r="D647" s="13" t="s">
        <v>18</v>
      </c>
      <c r="E647" s="13" t="s">
        <v>19</v>
      </c>
      <c r="F647" s="13">
        <v>21.0</v>
      </c>
      <c r="G647" s="13" t="s">
        <v>34</v>
      </c>
      <c r="H647" s="13" t="s">
        <v>192</v>
      </c>
      <c r="I647" s="14" t="s">
        <v>18</v>
      </c>
      <c r="J647" s="14" t="s">
        <v>29</v>
      </c>
      <c r="K647" s="14">
        <v>29.0</v>
      </c>
      <c r="L647" s="14" t="s">
        <v>23</v>
      </c>
      <c r="M647" s="14" t="s">
        <v>24</v>
      </c>
      <c r="N647" s="20"/>
      <c r="O647" s="14" t="s">
        <v>35</v>
      </c>
      <c r="P647" s="15" t="s">
        <v>854</v>
      </c>
      <c r="Q647" s="16"/>
      <c r="R647" s="16"/>
      <c r="S647" s="16"/>
      <c r="T647" s="16"/>
      <c r="U647" s="16"/>
      <c r="V647" s="16"/>
      <c r="W647" s="16"/>
      <c r="X647" s="16"/>
      <c r="Y647" s="16"/>
      <c r="Z647" s="16"/>
    </row>
    <row r="648">
      <c r="A648" s="10">
        <v>39075.0</v>
      </c>
      <c r="B648" s="23">
        <v>1.97202506E8</v>
      </c>
      <c r="C648" s="12" t="s">
        <v>855</v>
      </c>
      <c r="D648" s="13" t="s">
        <v>18</v>
      </c>
      <c r="E648" s="13" t="s">
        <v>29</v>
      </c>
      <c r="F648" s="13">
        <v>42.0</v>
      </c>
      <c r="G648" s="13" t="s">
        <v>23</v>
      </c>
      <c r="H648" s="13" t="s">
        <v>152</v>
      </c>
      <c r="I648" s="14" t="s">
        <v>18</v>
      </c>
      <c r="J648" s="14" t="s">
        <v>29</v>
      </c>
      <c r="K648" s="14">
        <v>38.0</v>
      </c>
      <c r="L648" s="14" t="s">
        <v>23</v>
      </c>
      <c r="M648" s="14" t="s">
        <v>24</v>
      </c>
      <c r="N648" s="20"/>
      <c r="O648" s="14">
        <v>1.0</v>
      </c>
      <c r="P648" s="15" t="s">
        <v>856</v>
      </c>
      <c r="Q648" s="16"/>
      <c r="R648" s="16"/>
      <c r="S648" s="16"/>
      <c r="T648" s="16"/>
      <c r="U648" s="16"/>
      <c r="V648" s="16"/>
      <c r="W648" s="16"/>
      <c r="X648" s="16"/>
      <c r="Y648" s="16"/>
      <c r="Z648" s="16"/>
    </row>
    <row r="649">
      <c r="A649" s="10">
        <v>39066.0</v>
      </c>
      <c r="B649" s="23">
        <v>9.2666106E7</v>
      </c>
      <c r="C649" s="12" t="s">
        <v>857</v>
      </c>
      <c r="D649" s="13" t="s">
        <v>18</v>
      </c>
      <c r="E649" s="13" t="s">
        <v>29</v>
      </c>
      <c r="F649" s="13">
        <v>51.0</v>
      </c>
      <c r="G649" s="13" t="s">
        <v>34</v>
      </c>
      <c r="H649" s="13" t="s">
        <v>38</v>
      </c>
      <c r="I649" s="14" t="s">
        <v>84</v>
      </c>
      <c r="J649" s="14" t="s">
        <v>22</v>
      </c>
      <c r="K649" s="14">
        <v>39.0</v>
      </c>
      <c r="L649" s="14" t="s">
        <v>23</v>
      </c>
      <c r="M649" s="14" t="s">
        <v>24</v>
      </c>
      <c r="N649" s="20"/>
      <c r="O649" s="14">
        <v>1.0</v>
      </c>
      <c r="P649" s="15" t="s">
        <v>858</v>
      </c>
      <c r="Q649" s="16"/>
      <c r="R649" s="16"/>
      <c r="S649" s="16"/>
      <c r="T649" s="16"/>
      <c r="U649" s="16"/>
      <c r="V649" s="16"/>
      <c r="W649" s="16"/>
      <c r="X649" s="16"/>
      <c r="Y649" s="16"/>
      <c r="Z649" s="16"/>
    </row>
    <row r="650">
      <c r="I650" s="14" t="s">
        <v>18</v>
      </c>
      <c r="J650" s="14" t="s">
        <v>22</v>
      </c>
      <c r="K650" s="14">
        <v>36.0</v>
      </c>
      <c r="L650" s="14" t="s">
        <v>23</v>
      </c>
      <c r="M650" s="14" t="s">
        <v>24</v>
      </c>
      <c r="N650" s="20"/>
      <c r="O650" s="14">
        <v>1.0</v>
      </c>
      <c r="Q650" s="16"/>
      <c r="R650" s="16"/>
      <c r="S650" s="16"/>
      <c r="T650" s="16"/>
      <c r="U650" s="16"/>
      <c r="V650" s="16"/>
      <c r="W650" s="16"/>
      <c r="X650" s="16"/>
      <c r="Y650" s="16"/>
      <c r="Z650" s="16"/>
    </row>
    <row r="651">
      <c r="A651" s="10">
        <v>39014.0</v>
      </c>
      <c r="B651" s="23">
        <v>1.64481806E8</v>
      </c>
      <c r="C651" s="12" t="s">
        <v>859</v>
      </c>
      <c r="D651" s="13" t="s">
        <v>164</v>
      </c>
      <c r="E651" s="13" t="s">
        <v>164</v>
      </c>
      <c r="F651" s="13" t="s">
        <v>164</v>
      </c>
      <c r="G651" s="13" t="s">
        <v>20</v>
      </c>
      <c r="H651" s="13" t="s">
        <v>186</v>
      </c>
      <c r="I651" s="14" t="s">
        <v>18</v>
      </c>
      <c r="J651" s="14" t="s">
        <v>19</v>
      </c>
      <c r="K651" s="14">
        <v>44.0</v>
      </c>
      <c r="L651" s="14" t="s">
        <v>20</v>
      </c>
      <c r="M651" s="14" t="s">
        <v>24</v>
      </c>
      <c r="N651" s="20"/>
      <c r="O651" s="14">
        <v>1.0</v>
      </c>
      <c r="P651" s="15" t="s">
        <v>860</v>
      </c>
      <c r="Q651" s="16"/>
      <c r="R651" s="16"/>
      <c r="S651" s="16"/>
      <c r="T651" s="16"/>
      <c r="U651" s="16"/>
      <c r="V651" s="16"/>
      <c r="W651" s="16"/>
      <c r="X651" s="16"/>
      <c r="Y651" s="16"/>
      <c r="Z651" s="16"/>
    </row>
    <row r="652">
      <c r="A652" s="10">
        <v>39013.0</v>
      </c>
      <c r="B652" s="23">
        <v>1.63662206E8</v>
      </c>
      <c r="C652" s="12" t="s">
        <v>861</v>
      </c>
      <c r="D652" s="13" t="s">
        <v>18</v>
      </c>
      <c r="E652" s="13" t="s">
        <v>29</v>
      </c>
      <c r="F652" s="13">
        <v>46.0</v>
      </c>
      <c r="G652" s="13" t="s">
        <v>34</v>
      </c>
      <c r="H652" s="13" t="s">
        <v>38</v>
      </c>
      <c r="I652" s="14" t="s">
        <v>18</v>
      </c>
      <c r="J652" s="14" t="s">
        <v>22</v>
      </c>
      <c r="K652" s="14">
        <v>39.0</v>
      </c>
      <c r="L652" s="14" t="s">
        <v>23</v>
      </c>
      <c r="M652" s="14" t="s">
        <v>60</v>
      </c>
      <c r="N652" s="20"/>
      <c r="O652" s="14">
        <v>1.0</v>
      </c>
      <c r="P652" s="15" t="s">
        <v>862</v>
      </c>
      <c r="Q652" s="16"/>
      <c r="R652" s="16"/>
      <c r="S652" s="16"/>
      <c r="T652" s="16"/>
      <c r="U652" s="16"/>
      <c r="V652" s="16"/>
      <c r="W652" s="16"/>
      <c r="X652" s="16"/>
      <c r="Y652" s="16"/>
      <c r="Z652" s="16"/>
    </row>
    <row r="653">
      <c r="A653" s="10">
        <v>39013.0</v>
      </c>
      <c r="B653" s="23">
        <v>1.64009106E8</v>
      </c>
      <c r="C653" s="12" t="s">
        <v>863</v>
      </c>
      <c r="D653" s="13" t="s">
        <v>18</v>
      </c>
      <c r="E653" s="13" t="s">
        <v>49</v>
      </c>
      <c r="F653" s="13">
        <v>27.0</v>
      </c>
      <c r="G653" s="13" t="s">
        <v>34</v>
      </c>
      <c r="H653" s="13" t="s">
        <v>165</v>
      </c>
      <c r="I653" s="14" t="s">
        <v>18</v>
      </c>
      <c r="J653" s="14" t="s">
        <v>22</v>
      </c>
      <c r="K653" s="14">
        <v>41.0</v>
      </c>
      <c r="L653" s="14" t="s">
        <v>23</v>
      </c>
      <c r="M653" s="14" t="s">
        <v>24</v>
      </c>
      <c r="N653" s="20"/>
      <c r="O653" s="14" t="s">
        <v>35</v>
      </c>
      <c r="P653" s="15" t="s">
        <v>864</v>
      </c>
      <c r="Q653" s="16"/>
      <c r="R653" s="16"/>
      <c r="S653" s="16"/>
      <c r="T653" s="16"/>
      <c r="U653" s="16"/>
      <c r="V653" s="16"/>
      <c r="W653" s="16"/>
      <c r="X653" s="16"/>
      <c r="Y653" s="16"/>
      <c r="Z653" s="16"/>
    </row>
    <row r="654">
      <c r="I654" s="14" t="s">
        <v>18</v>
      </c>
      <c r="J654" s="14" t="s">
        <v>22</v>
      </c>
      <c r="K654" s="14">
        <v>50.0</v>
      </c>
      <c r="L654" s="14" t="s">
        <v>23</v>
      </c>
      <c r="M654" s="14" t="s">
        <v>24</v>
      </c>
      <c r="N654" s="20"/>
      <c r="O654" s="14">
        <v>1.0</v>
      </c>
      <c r="Q654" s="16"/>
      <c r="R654" s="16"/>
      <c r="S654" s="16"/>
      <c r="T654" s="16"/>
      <c r="U654" s="16"/>
      <c r="V654" s="16"/>
      <c r="W654" s="16"/>
      <c r="X654" s="16"/>
      <c r="Y654" s="16"/>
      <c r="Z654" s="16"/>
    </row>
    <row r="655">
      <c r="A655" s="10">
        <v>39007.0</v>
      </c>
      <c r="B655" s="23">
        <v>1.60660406E8</v>
      </c>
      <c r="C655" s="12" t="s">
        <v>865</v>
      </c>
      <c r="D655" s="13" t="s">
        <v>18</v>
      </c>
      <c r="E655" s="13" t="s">
        <v>29</v>
      </c>
      <c r="F655" s="13" t="s">
        <v>157</v>
      </c>
      <c r="G655" s="13" t="s">
        <v>23</v>
      </c>
      <c r="H655" s="13" t="s">
        <v>28</v>
      </c>
      <c r="I655" s="14" t="s">
        <v>18</v>
      </c>
      <c r="J655" s="14" t="s">
        <v>22</v>
      </c>
      <c r="K655" s="14">
        <v>33.0</v>
      </c>
      <c r="L655" s="14" t="s">
        <v>23</v>
      </c>
      <c r="M655" s="14" t="s">
        <v>24</v>
      </c>
      <c r="N655" s="20"/>
      <c r="O655" s="14">
        <v>1.0</v>
      </c>
      <c r="P655" s="15" t="s">
        <v>866</v>
      </c>
      <c r="Q655" s="16"/>
      <c r="R655" s="16"/>
      <c r="S655" s="16"/>
      <c r="T655" s="16"/>
      <c r="U655" s="16"/>
      <c r="V655" s="16"/>
      <c r="W655" s="16"/>
      <c r="X655" s="16"/>
      <c r="Y655" s="16"/>
      <c r="Z655" s="16"/>
    </row>
    <row r="656">
      <c r="I656" s="14" t="s">
        <v>84</v>
      </c>
      <c r="J656" s="14" t="s">
        <v>29</v>
      </c>
      <c r="K656" s="14">
        <v>23.0</v>
      </c>
      <c r="L656" s="14" t="s">
        <v>23</v>
      </c>
      <c r="M656" s="14" t="s">
        <v>24</v>
      </c>
      <c r="N656" s="20"/>
      <c r="O656" s="14">
        <v>1.0</v>
      </c>
      <c r="Q656" s="16"/>
      <c r="R656" s="16"/>
      <c r="S656" s="16"/>
      <c r="T656" s="16"/>
      <c r="U656" s="16"/>
      <c r="V656" s="16"/>
      <c r="W656" s="16"/>
      <c r="X656" s="16"/>
      <c r="Y656" s="16"/>
      <c r="Z656" s="16"/>
    </row>
    <row r="657">
      <c r="A657" s="10">
        <v>38985.0</v>
      </c>
      <c r="B657" s="23">
        <v>1.48156706E8</v>
      </c>
      <c r="C657" s="12" t="s">
        <v>867</v>
      </c>
      <c r="D657" s="13" t="s">
        <v>18</v>
      </c>
      <c r="E657" s="13" t="s">
        <v>29</v>
      </c>
      <c r="F657" s="13">
        <v>28.0</v>
      </c>
      <c r="G657" s="13" t="s">
        <v>23</v>
      </c>
      <c r="H657" s="13" t="s">
        <v>152</v>
      </c>
      <c r="I657" s="14" t="s">
        <v>18</v>
      </c>
      <c r="J657" s="14" t="s">
        <v>19</v>
      </c>
      <c r="K657" s="14">
        <v>53.0</v>
      </c>
      <c r="L657" s="14" t="s">
        <v>23</v>
      </c>
      <c r="M657" s="14" t="s">
        <v>24</v>
      </c>
      <c r="N657" s="20"/>
      <c r="O657" s="14">
        <v>1.0</v>
      </c>
      <c r="P657" s="15" t="s">
        <v>868</v>
      </c>
      <c r="Q657" s="16"/>
      <c r="R657" s="16"/>
      <c r="S657" s="16"/>
      <c r="T657" s="16"/>
      <c r="U657" s="16"/>
      <c r="V657" s="16"/>
      <c r="W657" s="16"/>
      <c r="X657" s="16"/>
      <c r="Y657" s="16"/>
      <c r="Z657" s="16"/>
    </row>
    <row r="658">
      <c r="A658" s="10">
        <v>38977.0</v>
      </c>
      <c r="B658" s="23">
        <v>1.43962206E8</v>
      </c>
      <c r="C658" s="12" t="s">
        <v>869</v>
      </c>
      <c r="D658" s="13" t="s">
        <v>18</v>
      </c>
      <c r="E658" s="13" t="s">
        <v>29</v>
      </c>
      <c r="F658" s="13">
        <v>28.0</v>
      </c>
      <c r="G658" s="13" t="s">
        <v>23</v>
      </c>
      <c r="H658" s="13" t="s">
        <v>28</v>
      </c>
      <c r="I658" s="14" t="s">
        <v>18</v>
      </c>
      <c r="J658" s="14" t="s">
        <v>29</v>
      </c>
      <c r="K658" s="14">
        <v>41.0</v>
      </c>
      <c r="L658" s="14" t="s">
        <v>23</v>
      </c>
      <c r="M658" s="14" t="s">
        <v>24</v>
      </c>
      <c r="N658" s="20"/>
      <c r="O658" s="14" t="s">
        <v>35</v>
      </c>
      <c r="P658" s="15" t="s">
        <v>870</v>
      </c>
      <c r="Q658" s="16"/>
      <c r="R658" s="16"/>
      <c r="S658" s="16"/>
      <c r="T658" s="16"/>
      <c r="U658" s="16"/>
      <c r="V658" s="16"/>
      <c r="W658" s="16"/>
      <c r="X658" s="16"/>
      <c r="Y658" s="16"/>
      <c r="Z658" s="16"/>
    </row>
    <row r="659">
      <c r="I659" s="14" t="s">
        <v>18</v>
      </c>
      <c r="J659" s="14" t="s">
        <v>19</v>
      </c>
      <c r="K659" s="14">
        <v>47.0</v>
      </c>
      <c r="L659" s="14" t="s">
        <v>23</v>
      </c>
      <c r="M659" s="14" t="s">
        <v>24</v>
      </c>
      <c r="N659" s="20"/>
      <c r="O659" s="14" t="s">
        <v>35</v>
      </c>
      <c r="Q659" s="16"/>
      <c r="R659" s="16"/>
      <c r="S659" s="16"/>
      <c r="T659" s="16"/>
      <c r="U659" s="16"/>
      <c r="V659" s="16"/>
      <c r="W659" s="16"/>
      <c r="X659" s="16"/>
      <c r="Y659" s="16"/>
      <c r="Z659" s="16"/>
    </row>
    <row r="660">
      <c r="A660" s="10">
        <v>38965.0</v>
      </c>
      <c r="B660" s="23">
        <v>1.37251106E8</v>
      </c>
      <c r="C660" s="12" t="s">
        <v>871</v>
      </c>
      <c r="D660" s="13" t="s">
        <v>18</v>
      </c>
      <c r="E660" s="13" t="s">
        <v>29</v>
      </c>
      <c r="F660" s="13">
        <v>27.0</v>
      </c>
      <c r="G660" s="13" t="s">
        <v>140</v>
      </c>
      <c r="H660" s="13" t="s">
        <v>28</v>
      </c>
      <c r="I660" s="14" t="s">
        <v>18</v>
      </c>
      <c r="J660" s="14" t="s">
        <v>22</v>
      </c>
      <c r="K660" s="14">
        <v>23.0</v>
      </c>
      <c r="L660" s="14" t="s">
        <v>23</v>
      </c>
      <c r="M660" s="14" t="s">
        <v>24</v>
      </c>
      <c r="N660" s="20"/>
      <c r="O660" s="14" t="s">
        <v>35</v>
      </c>
      <c r="P660" s="15" t="s">
        <v>872</v>
      </c>
      <c r="Q660" s="16"/>
      <c r="R660" s="16"/>
      <c r="S660" s="16"/>
      <c r="T660" s="16"/>
      <c r="U660" s="16"/>
      <c r="V660" s="16"/>
      <c r="W660" s="16"/>
      <c r="X660" s="16"/>
      <c r="Y660" s="16"/>
      <c r="Z660" s="16"/>
    </row>
    <row r="661">
      <c r="A661" s="10">
        <v>38952.0</v>
      </c>
      <c r="B661" s="23">
        <v>1.30868306E8</v>
      </c>
      <c r="C661" s="12" t="s">
        <v>873</v>
      </c>
      <c r="D661" s="13" t="s">
        <v>164</v>
      </c>
      <c r="E661" s="13" t="s">
        <v>164</v>
      </c>
      <c r="F661" s="13" t="s">
        <v>164</v>
      </c>
      <c r="G661" s="13" t="s">
        <v>20</v>
      </c>
      <c r="H661" s="13" t="s">
        <v>28</v>
      </c>
      <c r="I661" s="14" t="s">
        <v>18</v>
      </c>
      <c r="J661" s="14" t="s">
        <v>22</v>
      </c>
      <c r="K661" s="14">
        <v>51.0</v>
      </c>
      <c r="L661" s="14" t="s">
        <v>20</v>
      </c>
      <c r="M661" s="14" t="s">
        <v>24</v>
      </c>
      <c r="N661" s="20"/>
      <c r="O661" s="14">
        <v>1.0</v>
      </c>
      <c r="P661" s="15" t="s">
        <v>874</v>
      </c>
      <c r="Q661" s="16"/>
      <c r="R661" s="16"/>
      <c r="S661" s="16"/>
      <c r="T661" s="16"/>
      <c r="U661" s="16"/>
      <c r="V661" s="16"/>
      <c r="W661" s="16"/>
      <c r="X661" s="16"/>
      <c r="Y661" s="16"/>
      <c r="Z661" s="16"/>
    </row>
    <row r="662">
      <c r="A662" s="10">
        <v>38937.0</v>
      </c>
      <c r="B662" s="23">
        <v>1.22777506E8</v>
      </c>
      <c r="C662" s="12" t="s">
        <v>875</v>
      </c>
      <c r="D662" s="13" t="s">
        <v>164</v>
      </c>
      <c r="E662" s="13" t="s">
        <v>164</v>
      </c>
      <c r="F662" s="13" t="s">
        <v>164</v>
      </c>
      <c r="G662" s="13" t="s">
        <v>20</v>
      </c>
      <c r="H662" s="13" t="s">
        <v>28</v>
      </c>
      <c r="I662" s="14" t="s">
        <v>18</v>
      </c>
      <c r="J662" s="14" t="s">
        <v>22</v>
      </c>
      <c r="K662" s="14">
        <v>43.0</v>
      </c>
      <c r="L662" s="14" t="s">
        <v>23</v>
      </c>
      <c r="M662" s="14" t="s">
        <v>24</v>
      </c>
      <c r="N662" s="20"/>
      <c r="O662" s="14" t="s">
        <v>35</v>
      </c>
      <c r="P662" s="15" t="s">
        <v>876</v>
      </c>
      <c r="Q662" s="16"/>
      <c r="R662" s="16"/>
      <c r="S662" s="16"/>
      <c r="T662" s="16"/>
      <c r="U662" s="16"/>
      <c r="V662" s="16"/>
      <c r="W662" s="16"/>
      <c r="X662" s="16"/>
      <c r="Y662" s="16"/>
      <c r="Z662" s="16"/>
    </row>
    <row r="663">
      <c r="A663" s="10">
        <v>38933.0</v>
      </c>
      <c r="B663" s="23">
        <v>1.20294106E8</v>
      </c>
      <c r="C663" s="12" t="s">
        <v>877</v>
      </c>
      <c r="D663" s="13" t="s">
        <v>18</v>
      </c>
      <c r="E663" s="13" t="s">
        <v>19</v>
      </c>
      <c r="F663" s="13">
        <v>24.0</v>
      </c>
      <c r="G663" s="13" t="s">
        <v>20</v>
      </c>
      <c r="H663" s="13" t="s">
        <v>23</v>
      </c>
      <c r="I663" s="14" t="s">
        <v>18</v>
      </c>
      <c r="J663" s="14" t="s">
        <v>19</v>
      </c>
      <c r="K663" s="14">
        <v>43.0</v>
      </c>
      <c r="L663" s="14" t="s">
        <v>23</v>
      </c>
      <c r="M663" s="14" t="s">
        <v>24</v>
      </c>
      <c r="N663" s="20"/>
      <c r="O663" s="14">
        <v>1.0</v>
      </c>
      <c r="P663" s="15" t="s">
        <v>878</v>
      </c>
      <c r="Q663" s="16"/>
      <c r="R663" s="16"/>
      <c r="S663" s="16"/>
      <c r="T663" s="16"/>
      <c r="U663" s="16"/>
      <c r="V663" s="16"/>
      <c r="W663" s="16"/>
      <c r="X663" s="16"/>
      <c r="Y663" s="16"/>
      <c r="Z663" s="16"/>
    </row>
    <row r="664">
      <c r="A664" s="10">
        <v>38931.0</v>
      </c>
      <c r="B664" s="23">
        <v>1.19329906E8</v>
      </c>
      <c r="C664" s="12" t="s">
        <v>879</v>
      </c>
      <c r="D664" s="13" t="s">
        <v>18</v>
      </c>
      <c r="E664" s="13" t="s">
        <v>29</v>
      </c>
      <c r="F664" s="13">
        <v>52.0</v>
      </c>
      <c r="G664" s="13" t="s">
        <v>23</v>
      </c>
      <c r="H664" s="13" t="s">
        <v>28</v>
      </c>
      <c r="I664" s="14" t="s">
        <v>18</v>
      </c>
      <c r="J664" s="14" t="s">
        <v>22</v>
      </c>
      <c r="K664" s="14">
        <v>36.0</v>
      </c>
      <c r="L664" s="14" t="s">
        <v>23</v>
      </c>
      <c r="M664" s="14" t="s">
        <v>24</v>
      </c>
      <c r="N664" s="20"/>
      <c r="O664" s="14" t="s">
        <v>35</v>
      </c>
      <c r="P664" s="15" t="s">
        <v>880</v>
      </c>
      <c r="Q664" s="16"/>
      <c r="R664" s="16"/>
      <c r="S664" s="16"/>
      <c r="T664" s="16"/>
      <c r="U664" s="16"/>
      <c r="V664" s="16"/>
      <c r="W664" s="16"/>
      <c r="X664" s="16"/>
      <c r="Y664" s="16"/>
      <c r="Z664" s="16"/>
    </row>
    <row r="665">
      <c r="A665" s="10">
        <v>38929.0</v>
      </c>
      <c r="B665" s="23">
        <v>1.18005606E8</v>
      </c>
      <c r="C665" s="12" t="s">
        <v>881</v>
      </c>
      <c r="D665" s="13" t="s">
        <v>18</v>
      </c>
      <c r="E665" s="13" t="s">
        <v>29</v>
      </c>
      <c r="F665" s="13">
        <v>49.0</v>
      </c>
      <c r="G665" s="13" t="s">
        <v>23</v>
      </c>
      <c r="H665" s="13" t="s">
        <v>28</v>
      </c>
      <c r="I665" s="14" t="s">
        <v>18</v>
      </c>
      <c r="J665" s="14" t="s">
        <v>29</v>
      </c>
      <c r="K665" s="14">
        <v>37.0</v>
      </c>
      <c r="L665" s="14" t="s">
        <v>23</v>
      </c>
      <c r="M665" s="14" t="s">
        <v>60</v>
      </c>
      <c r="N665" s="20"/>
      <c r="O665" s="14">
        <v>1.0</v>
      </c>
      <c r="P665" s="15" t="s">
        <v>882</v>
      </c>
      <c r="Q665" s="16"/>
      <c r="R665" s="16"/>
      <c r="S665" s="16"/>
      <c r="T665" s="16"/>
      <c r="U665" s="16"/>
      <c r="V665" s="16"/>
      <c r="W665" s="16"/>
      <c r="X665" s="16"/>
      <c r="Y665" s="16"/>
      <c r="Z665" s="16"/>
    </row>
    <row r="666">
      <c r="A666" s="10">
        <v>38929.0</v>
      </c>
      <c r="B666" s="23">
        <v>1.18327206E8</v>
      </c>
      <c r="C666" s="12" t="s">
        <v>883</v>
      </c>
      <c r="D666" s="13" t="s">
        <v>18</v>
      </c>
      <c r="E666" s="13" t="s">
        <v>22</v>
      </c>
      <c r="F666" s="13">
        <v>37.0</v>
      </c>
      <c r="G666" s="13" t="s">
        <v>20</v>
      </c>
      <c r="H666" s="13" t="s">
        <v>28</v>
      </c>
      <c r="I666" s="14" t="s">
        <v>18</v>
      </c>
      <c r="J666" s="14" t="s">
        <v>22</v>
      </c>
      <c r="K666" s="14">
        <v>41.0</v>
      </c>
      <c r="L666" s="14" t="s">
        <v>23</v>
      </c>
      <c r="M666" s="14" t="s">
        <v>24</v>
      </c>
      <c r="N666" s="20"/>
      <c r="O666" s="14" t="s">
        <v>35</v>
      </c>
      <c r="P666" s="15" t="s">
        <v>884</v>
      </c>
      <c r="Q666" s="16"/>
      <c r="R666" s="16"/>
      <c r="S666" s="16"/>
      <c r="T666" s="16"/>
      <c r="U666" s="16"/>
      <c r="V666" s="16"/>
      <c r="W666" s="16"/>
      <c r="X666" s="16"/>
      <c r="Y666" s="16"/>
      <c r="Z666" s="16"/>
    </row>
    <row r="667">
      <c r="I667" s="14" t="s">
        <v>18</v>
      </c>
      <c r="J667" s="14" t="s">
        <v>19</v>
      </c>
      <c r="K667" s="14">
        <v>34.0</v>
      </c>
      <c r="L667" s="14" t="s">
        <v>23</v>
      </c>
      <c r="M667" s="14" t="s">
        <v>24</v>
      </c>
      <c r="N667" s="20"/>
      <c r="O667" s="14" t="s">
        <v>35</v>
      </c>
      <c r="Q667" s="16"/>
      <c r="R667" s="16"/>
      <c r="S667" s="16"/>
      <c r="T667" s="16"/>
      <c r="U667" s="16"/>
      <c r="V667" s="16"/>
      <c r="W667" s="16"/>
      <c r="X667" s="16"/>
      <c r="Y667" s="16"/>
      <c r="Z667" s="16"/>
    </row>
    <row r="668">
      <c r="I668" s="14" t="s">
        <v>18</v>
      </c>
      <c r="J668" s="14" t="s">
        <v>22</v>
      </c>
      <c r="K668" s="14">
        <v>43.0</v>
      </c>
      <c r="L668" s="14" t="s">
        <v>23</v>
      </c>
      <c r="M668" s="14" t="s">
        <v>24</v>
      </c>
      <c r="N668" s="20"/>
      <c r="O668" s="14" t="s">
        <v>35</v>
      </c>
      <c r="Q668" s="16"/>
      <c r="R668" s="16"/>
      <c r="S668" s="16"/>
      <c r="T668" s="16"/>
      <c r="U668" s="16"/>
      <c r="V668" s="16"/>
      <c r="W668" s="16"/>
      <c r="X668" s="16"/>
      <c r="Y668" s="16"/>
      <c r="Z668" s="16"/>
    </row>
    <row r="669">
      <c r="A669" s="10">
        <v>38925.0</v>
      </c>
      <c r="B669" s="23">
        <v>1.15755806E8</v>
      </c>
      <c r="C669" s="12" t="s">
        <v>885</v>
      </c>
      <c r="D669" s="13" t="s">
        <v>18</v>
      </c>
      <c r="E669" s="13" t="s">
        <v>29</v>
      </c>
      <c r="F669" s="13">
        <v>26.0</v>
      </c>
      <c r="G669" s="13" t="s">
        <v>23</v>
      </c>
      <c r="H669" s="13" t="s">
        <v>28</v>
      </c>
      <c r="I669" s="14" t="s">
        <v>18</v>
      </c>
      <c r="J669" s="14" t="s">
        <v>29</v>
      </c>
      <c r="K669" s="14">
        <v>43.0</v>
      </c>
      <c r="L669" s="14" t="s">
        <v>20</v>
      </c>
      <c r="M669" s="14" t="s">
        <v>24</v>
      </c>
      <c r="N669" s="20"/>
      <c r="O669" s="14">
        <v>1.0</v>
      </c>
      <c r="P669" s="15" t="s">
        <v>886</v>
      </c>
      <c r="Q669" s="16"/>
      <c r="R669" s="16"/>
      <c r="S669" s="16"/>
      <c r="T669" s="16"/>
      <c r="U669" s="16"/>
      <c r="V669" s="16"/>
      <c r="W669" s="16"/>
      <c r="X669" s="16"/>
      <c r="Y669" s="16"/>
      <c r="Z669" s="16"/>
    </row>
    <row r="670">
      <c r="A670" s="10">
        <v>38911.0</v>
      </c>
      <c r="B670" s="23">
        <v>1.07824206E8</v>
      </c>
      <c r="C670" s="12" t="s">
        <v>887</v>
      </c>
      <c r="D670" s="13" t="s">
        <v>18</v>
      </c>
      <c r="E670" s="13" t="s">
        <v>19</v>
      </c>
      <c r="F670" s="13">
        <v>35.0</v>
      </c>
      <c r="G670" s="13" t="s">
        <v>34</v>
      </c>
      <c r="H670" s="13" t="s">
        <v>28</v>
      </c>
      <c r="I670" s="14" t="s">
        <v>18</v>
      </c>
      <c r="J670" s="14" t="s">
        <v>19</v>
      </c>
      <c r="K670" s="14">
        <v>39.0</v>
      </c>
      <c r="L670" s="14" t="s">
        <v>23</v>
      </c>
      <c r="M670" s="14" t="s">
        <v>24</v>
      </c>
      <c r="N670" s="20"/>
      <c r="O670" s="14">
        <v>1.0</v>
      </c>
      <c r="P670" s="15" t="s">
        <v>888</v>
      </c>
      <c r="Q670" s="16"/>
      <c r="R670" s="16"/>
      <c r="S670" s="16"/>
      <c r="T670" s="16"/>
      <c r="U670" s="16"/>
      <c r="V670" s="16"/>
      <c r="W670" s="16"/>
      <c r="X670" s="16"/>
      <c r="Y670" s="16"/>
      <c r="Z670" s="16"/>
    </row>
    <row r="671">
      <c r="A671" s="10">
        <v>38903.0</v>
      </c>
      <c r="B671" s="23">
        <v>1.03944906E8</v>
      </c>
      <c r="C671" s="12" t="s">
        <v>889</v>
      </c>
      <c r="D671" s="13" t="s">
        <v>18</v>
      </c>
      <c r="E671" s="13" t="s">
        <v>22</v>
      </c>
      <c r="F671" s="13">
        <v>29.0</v>
      </c>
      <c r="G671" s="13" t="s">
        <v>20</v>
      </c>
      <c r="H671" s="13" t="s">
        <v>890</v>
      </c>
      <c r="I671" s="14" t="s">
        <v>18</v>
      </c>
      <c r="J671" s="14" t="s">
        <v>19</v>
      </c>
      <c r="K671" s="14">
        <v>30.0</v>
      </c>
      <c r="L671" s="14" t="s">
        <v>23</v>
      </c>
      <c r="M671" s="14" t="s">
        <v>60</v>
      </c>
      <c r="N671" s="20"/>
      <c r="O671" s="14">
        <v>1.0</v>
      </c>
      <c r="P671" s="15" t="s">
        <v>891</v>
      </c>
      <c r="Q671" s="16"/>
      <c r="R671" s="16"/>
      <c r="S671" s="16"/>
      <c r="T671" s="16"/>
      <c r="U671" s="16"/>
      <c r="V671" s="16"/>
      <c r="W671" s="16"/>
      <c r="X671" s="16"/>
      <c r="Y671" s="16"/>
      <c r="Z671" s="16"/>
    </row>
    <row r="672">
      <c r="A672" s="10">
        <v>38887.0</v>
      </c>
      <c r="B672" s="23">
        <v>9.5120206E7</v>
      </c>
      <c r="C672" s="12" t="s">
        <v>892</v>
      </c>
      <c r="D672" s="13" t="s">
        <v>84</v>
      </c>
      <c r="E672" s="13" t="s">
        <v>29</v>
      </c>
      <c r="F672" s="13">
        <v>28.0</v>
      </c>
      <c r="G672" s="13" t="s">
        <v>34</v>
      </c>
      <c r="H672" s="13" t="s">
        <v>617</v>
      </c>
      <c r="I672" s="14" t="s">
        <v>18</v>
      </c>
      <c r="J672" s="14" t="s">
        <v>22</v>
      </c>
      <c r="K672" s="14">
        <v>55.0</v>
      </c>
      <c r="L672" s="14" t="s">
        <v>23</v>
      </c>
      <c r="M672" s="14" t="s">
        <v>24</v>
      </c>
      <c r="N672" s="20"/>
      <c r="O672" s="14">
        <v>1.0</v>
      </c>
      <c r="P672" s="15" t="s">
        <v>893</v>
      </c>
      <c r="Q672" s="16"/>
      <c r="R672" s="16"/>
      <c r="S672" s="16"/>
      <c r="T672" s="16"/>
      <c r="U672" s="16"/>
      <c r="V672" s="16"/>
      <c r="W672" s="16"/>
      <c r="X672" s="16"/>
      <c r="Y672" s="16"/>
      <c r="Z672" s="16"/>
    </row>
    <row r="673">
      <c r="I673" s="14" t="s">
        <v>18</v>
      </c>
      <c r="J673" s="14" t="s">
        <v>29</v>
      </c>
      <c r="K673" s="14">
        <v>39.0</v>
      </c>
      <c r="L673" s="14" t="s">
        <v>23</v>
      </c>
      <c r="M673" s="14" t="s">
        <v>24</v>
      </c>
      <c r="N673" s="20"/>
      <c r="O673" s="14">
        <v>1.0</v>
      </c>
      <c r="Q673" s="16"/>
      <c r="R673" s="16"/>
      <c r="S673" s="16"/>
      <c r="T673" s="16"/>
      <c r="U673" s="16"/>
      <c r="V673" s="16"/>
      <c r="W673" s="16"/>
      <c r="X673" s="16"/>
      <c r="Y673" s="16"/>
      <c r="Z673" s="16"/>
    </row>
    <row r="674">
      <c r="A674" s="10">
        <v>38884.0</v>
      </c>
      <c r="B674" s="23">
        <v>9.3829706E7</v>
      </c>
      <c r="C674" s="12" t="s">
        <v>894</v>
      </c>
      <c r="D674" s="13" t="s">
        <v>18</v>
      </c>
      <c r="E674" s="13" t="s">
        <v>19</v>
      </c>
      <c r="F674" s="13">
        <v>23.0</v>
      </c>
      <c r="G674" s="13" t="s">
        <v>20</v>
      </c>
      <c r="H674" s="13" t="s">
        <v>28</v>
      </c>
      <c r="I674" s="14" t="s">
        <v>18</v>
      </c>
      <c r="J674" s="14" t="s">
        <v>22</v>
      </c>
      <c r="K674" s="14">
        <v>46.0</v>
      </c>
      <c r="L674" s="14" t="s">
        <v>23</v>
      </c>
      <c r="M674" s="14" t="s">
        <v>24</v>
      </c>
      <c r="N674" s="20"/>
      <c r="O674" s="14">
        <v>1.0</v>
      </c>
      <c r="P674" s="15" t="s">
        <v>895</v>
      </c>
      <c r="Q674" s="16"/>
      <c r="R674" s="16"/>
      <c r="S674" s="16"/>
      <c r="T674" s="16"/>
      <c r="U674" s="16"/>
      <c r="V674" s="16"/>
      <c r="W674" s="16"/>
      <c r="X674" s="16"/>
      <c r="Y674" s="16"/>
      <c r="Z674" s="16"/>
    </row>
    <row r="675">
      <c r="A675" s="10">
        <v>38876.0</v>
      </c>
      <c r="B675" s="23">
        <v>8.8933206E7</v>
      </c>
      <c r="C675" s="12" t="s">
        <v>896</v>
      </c>
      <c r="D675" s="13" t="s">
        <v>18</v>
      </c>
      <c r="E675" s="13" t="s">
        <v>29</v>
      </c>
      <c r="F675" s="13">
        <v>28.0</v>
      </c>
      <c r="G675" s="13" t="s">
        <v>23</v>
      </c>
      <c r="H675" s="13" t="s">
        <v>28</v>
      </c>
      <c r="I675" s="14" t="s">
        <v>18</v>
      </c>
      <c r="J675" s="14" t="s">
        <v>22</v>
      </c>
      <c r="K675" s="14">
        <v>46.0</v>
      </c>
      <c r="L675" s="14" t="s">
        <v>23</v>
      </c>
      <c r="M675" s="14" t="s">
        <v>24</v>
      </c>
      <c r="N675" s="20"/>
      <c r="O675" s="14">
        <v>1.0</v>
      </c>
      <c r="P675" s="15" t="s">
        <v>897</v>
      </c>
      <c r="Q675" s="16"/>
      <c r="R675" s="16"/>
      <c r="S675" s="16"/>
      <c r="T675" s="16"/>
      <c r="U675" s="16"/>
      <c r="V675" s="16"/>
      <c r="W675" s="16"/>
      <c r="X675" s="16"/>
      <c r="Y675" s="16"/>
      <c r="Z675" s="16"/>
    </row>
    <row r="676">
      <c r="A676" s="10">
        <v>38869.0</v>
      </c>
      <c r="B676" s="23">
        <v>8.5131306E7</v>
      </c>
      <c r="C676" s="12" t="s">
        <v>898</v>
      </c>
      <c r="D676" s="13" t="s">
        <v>18</v>
      </c>
      <c r="E676" s="13" t="s">
        <v>22</v>
      </c>
      <c r="F676" s="13">
        <v>46.0</v>
      </c>
      <c r="G676" s="13" t="s">
        <v>20</v>
      </c>
      <c r="H676" s="13" t="s">
        <v>28</v>
      </c>
      <c r="I676" s="14" t="s">
        <v>18</v>
      </c>
      <c r="J676" s="14" t="s">
        <v>22</v>
      </c>
      <c r="K676" s="14">
        <v>48.0</v>
      </c>
      <c r="L676" s="14" t="s">
        <v>23</v>
      </c>
      <c r="M676" s="14" t="s">
        <v>24</v>
      </c>
      <c r="N676" s="20"/>
      <c r="O676" s="14">
        <v>1.0</v>
      </c>
      <c r="P676" s="15" t="s">
        <v>899</v>
      </c>
      <c r="Q676" s="16"/>
      <c r="R676" s="16"/>
      <c r="S676" s="16"/>
      <c r="T676" s="16"/>
      <c r="U676" s="16"/>
      <c r="V676" s="16"/>
      <c r="W676" s="16"/>
      <c r="X676" s="16"/>
      <c r="Y676" s="16"/>
      <c r="Z676" s="16"/>
    </row>
    <row r="677">
      <c r="A677" s="10">
        <v>38868.0</v>
      </c>
      <c r="B677" s="23">
        <v>8.4848906E7</v>
      </c>
      <c r="C677" s="12" t="s">
        <v>900</v>
      </c>
      <c r="D677" s="13" t="s">
        <v>18</v>
      </c>
      <c r="E677" s="13" t="s">
        <v>29</v>
      </c>
      <c r="F677" s="13">
        <v>21.0</v>
      </c>
      <c r="G677" s="13" t="s">
        <v>23</v>
      </c>
      <c r="H677" s="13" t="s">
        <v>28</v>
      </c>
      <c r="I677" s="14" t="s">
        <v>18</v>
      </c>
      <c r="J677" s="14" t="s">
        <v>29</v>
      </c>
      <c r="K677" s="14">
        <v>39.0</v>
      </c>
      <c r="L677" s="14" t="s">
        <v>23</v>
      </c>
      <c r="M677" s="14" t="s">
        <v>24</v>
      </c>
      <c r="N677" s="20"/>
      <c r="O677" s="14">
        <v>1.0</v>
      </c>
      <c r="P677" s="15" t="s">
        <v>901</v>
      </c>
      <c r="Q677" s="16"/>
      <c r="R677" s="16"/>
      <c r="S677" s="16"/>
      <c r="T677" s="16"/>
      <c r="U677" s="16"/>
      <c r="V677" s="16"/>
      <c r="W677" s="16"/>
      <c r="X677" s="16"/>
      <c r="Y677" s="16"/>
      <c r="Z677" s="16"/>
    </row>
    <row r="678">
      <c r="D678" s="13" t="s">
        <v>18</v>
      </c>
      <c r="E678" s="13" t="s">
        <v>29</v>
      </c>
      <c r="F678" s="13">
        <v>20.0</v>
      </c>
      <c r="G678" s="13" t="s">
        <v>23</v>
      </c>
      <c r="H678" s="13" t="s">
        <v>28</v>
      </c>
      <c r="N678" s="20"/>
      <c r="Q678" s="16"/>
      <c r="R678" s="16"/>
      <c r="S678" s="16"/>
      <c r="T678" s="16"/>
      <c r="U678" s="16"/>
      <c r="V678" s="16"/>
      <c r="W678" s="16"/>
      <c r="X678" s="16"/>
      <c r="Y678" s="16"/>
      <c r="Z678" s="16"/>
    </row>
    <row r="679">
      <c r="A679" s="10">
        <v>38856.0</v>
      </c>
      <c r="B679" s="23">
        <v>7.8020306E7</v>
      </c>
      <c r="C679" s="12" t="s">
        <v>902</v>
      </c>
      <c r="D679" s="13" t="s">
        <v>18</v>
      </c>
      <c r="E679" s="13" t="s">
        <v>29</v>
      </c>
      <c r="F679" s="13">
        <v>20.0</v>
      </c>
      <c r="G679" s="13" t="s">
        <v>34</v>
      </c>
      <c r="H679" s="13" t="s">
        <v>28</v>
      </c>
      <c r="I679" s="14" t="s">
        <v>18</v>
      </c>
      <c r="J679" s="14" t="s">
        <v>22</v>
      </c>
      <c r="K679" s="14">
        <v>44.0</v>
      </c>
      <c r="L679" s="14" t="s">
        <v>23</v>
      </c>
      <c r="M679" s="14" t="s">
        <v>24</v>
      </c>
      <c r="N679" s="20"/>
      <c r="O679" s="14">
        <v>1.0</v>
      </c>
      <c r="P679" s="15" t="s">
        <v>903</v>
      </c>
      <c r="Q679" s="16"/>
      <c r="R679" s="16"/>
      <c r="S679" s="16"/>
      <c r="T679" s="16"/>
      <c r="U679" s="16"/>
      <c r="V679" s="16"/>
      <c r="W679" s="16"/>
      <c r="X679" s="16"/>
      <c r="Y679" s="16"/>
      <c r="Z679" s="16"/>
    </row>
    <row r="680">
      <c r="A680" s="10">
        <v>38841.0</v>
      </c>
      <c r="B680" s="23">
        <v>6.9428906E7</v>
      </c>
      <c r="C680" s="12" t="s">
        <v>904</v>
      </c>
      <c r="D680" s="13" t="s">
        <v>18</v>
      </c>
      <c r="E680" s="13" t="s">
        <v>29</v>
      </c>
      <c r="F680" s="13">
        <v>54.0</v>
      </c>
      <c r="G680" s="13" t="s">
        <v>20</v>
      </c>
      <c r="H680" s="13" t="s">
        <v>905</v>
      </c>
      <c r="I680" s="14" t="s">
        <v>18</v>
      </c>
      <c r="J680" s="14" t="s">
        <v>22</v>
      </c>
      <c r="K680" s="14">
        <v>52.0</v>
      </c>
      <c r="L680" s="14" t="s">
        <v>23</v>
      </c>
      <c r="M680" s="14" t="s">
        <v>24</v>
      </c>
      <c r="N680" s="20"/>
      <c r="O680" s="14">
        <v>1.0</v>
      </c>
      <c r="P680" s="15" t="s">
        <v>906</v>
      </c>
      <c r="Q680" s="16"/>
      <c r="R680" s="16"/>
      <c r="S680" s="16"/>
      <c r="T680" s="16"/>
      <c r="U680" s="16"/>
      <c r="V680" s="16"/>
      <c r="W680" s="16"/>
      <c r="X680" s="16"/>
      <c r="Y680" s="16"/>
      <c r="Z680" s="16"/>
    </row>
    <row r="681">
      <c r="A681" s="10">
        <v>38829.0</v>
      </c>
      <c r="B681" s="23">
        <v>6.2840506E7</v>
      </c>
      <c r="C681" s="12" t="s">
        <v>907</v>
      </c>
      <c r="D681" s="13" t="s">
        <v>18</v>
      </c>
      <c r="E681" s="13" t="s">
        <v>19</v>
      </c>
      <c r="F681" s="13">
        <v>39.0</v>
      </c>
      <c r="G681" s="13" t="s">
        <v>20</v>
      </c>
      <c r="H681" s="13" t="s">
        <v>28</v>
      </c>
      <c r="I681" s="14" t="s">
        <v>18</v>
      </c>
      <c r="J681" s="14" t="s">
        <v>19</v>
      </c>
      <c r="K681" s="14">
        <v>57.0</v>
      </c>
      <c r="L681" s="14" t="s">
        <v>20</v>
      </c>
      <c r="M681" s="14" t="s">
        <v>24</v>
      </c>
      <c r="N681" s="20"/>
      <c r="O681" s="14" t="s">
        <v>35</v>
      </c>
      <c r="P681" s="15" t="s">
        <v>908</v>
      </c>
      <c r="Q681" s="16"/>
      <c r="R681" s="16"/>
      <c r="S681" s="16"/>
      <c r="T681" s="16"/>
      <c r="U681" s="16"/>
      <c r="V681" s="16"/>
      <c r="W681" s="16"/>
      <c r="X681" s="16"/>
      <c r="Y681" s="16"/>
      <c r="Z681" s="16"/>
    </row>
    <row r="682">
      <c r="I682" s="14" t="s">
        <v>18</v>
      </c>
      <c r="J682" s="14" t="s">
        <v>22</v>
      </c>
      <c r="K682" s="14">
        <v>50.0</v>
      </c>
      <c r="L682" s="14" t="s">
        <v>23</v>
      </c>
      <c r="M682" s="14" t="s">
        <v>24</v>
      </c>
      <c r="N682" s="20"/>
      <c r="O682" s="14">
        <v>1.0</v>
      </c>
      <c r="Q682" s="16"/>
      <c r="R682" s="16"/>
      <c r="S682" s="16"/>
      <c r="T682" s="16"/>
      <c r="U682" s="16"/>
      <c r="V682" s="16"/>
      <c r="W682" s="16"/>
      <c r="X682" s="16"/>
      <c r="Y682" s="16"/>
      <c r="Z682" s="16"/>
    </row>
    <row r="683">
      <c r="I683" s="14" t="s">
        <v>18</v>
      </c>
      <c r="J683" s="14" t="s">
        <v>22</v>
      </c>
      <c r="K683" s="14">
        <v>38.0</v>
      </c>
      <c r="L683" s="14" t="s">
        <v>23</v>
      </c>
      <c r="M683" s="14" t="s">
        <v>24</v>
      </c>
      <c r="N683" s="20"/>
      <c r="O683" s="14">
        <v>1.0</v>
      </c>
      <c r="Q683" s="16"/>
      <c r="R683" s="16"/>
      <c r="S683" s="16"/>
      <c r="T683" s="16"/>
      <c r="U683" s="16"/>
      <c r="V683" s="16"/>
      <c r="W683" s="16"/>
      <c r="X683" s="16"/>
      <c r="Y683" s="16"/>
      <c r="Z683" s="16"/>
    </row>
    <row r="684">
      <c r="A684" s="10">
        <v>38812.0</v>
      </c>
      <c r="B684" s="23">
        <v>5.3261906E7</v>
      </c>
      <c r="C684" s="12" t="s">
        <v>909</v>
      </c>
      <c r="D684" s="13" t="s">
        <v>18</v>
      </c>
      <c r="E684" s="13" t="s">
        <v>29</v>
      </c>
      <c r="F684" s="13">
        <v>18.0</v>
      </c>
      <c r="G684" s="13" t="s">
        <v>20</v>
      </c>
      <c r="H684" s="13" t="s">
        <v>617</v>
      </c>
      <c r="I684" s="14" t="s">
        <v>18</v>
      </c>
      <c r="J684" s="14" t="s">
        <v>19</v>
      </c>
      <c r="K684" s="14">
        <v>38.0</v>
      </c>
      <c r="L684" s="14" t="s">
        <v>23</v>
      </c>
      <c r="M684" s="14" t="s">
        <v>24</v>
      </c>
      <c r="N684" s="20"/>
      <c r="O684" s="14">
        <v>1.0</v>
      </c>
      <c r="P684" s="15" t="s">
        <v>910</v>
      </c>
      <c r="Q684" s="16"/>
      <c r="R684" s="16"/>
      <c r="S684" s="16"/>
      <c r="T684" s="16"/>
      <c r="U684" s="16"/>
      <c r="V684" s="16"/>
      <c r="W684" s="16"/>
      <c r="X684" s="16"/>
      <c r="Y684" s="16"/>
      <c r="Z684" s="16"/>
    </row>
    <row r="685">
      <c r="A685" s="10">
        <v>38809.0</v>
      </c>
      <c r="B685" s="23">
        <v>5.1744806E7</v>
      </c>
      <c r="C685" s="12" t="s">
        <v>911</v>
      </c>
      <c r="D685" s="13" t="s">
        <v>18</v>
      </c>
      <c r="E685" s="13" t="s">
        <v>29</v>
      </c>
      <c r="F685" s="13">
        <v>26.0</v>
      </c>
      <c r="G685" s="13" t="s">
        <v>23</v>
      </c>
      <c r="H685" s="13" t="s">
        <v>23</v>
      </c>
      <c r="I685" s="14" t="s">
        <v>18</v>
      </c>
      <c r="J685" s="14" t="s">
        <v>22</v>
      </c>
      <c r="K685" s="14">
        <v>33.0</v>
      </c>
      <c r="L685" s="14" t="s">
        <v>23</v>
      </c>
      <c r="M685" s="14" t="s">
        <v>24</v>
      </c>
      <c r="N685" s="20"/>
      <c r="O685" s="14">
        <v>1.0</v>
      </c>
      <c r="P685" s="15" t="s">
        <v>912</v>
      </c>
      <c r="Q685" s="16"/>
      <c r="R685" s="16"/>
      <c r="S685" s="16"/>
      <c r="T685" s="16"/>
      <c r="U685" s="16"/>
      <c r="V685" s="16"/>
      <c r="W685" s="16"/>
      <c r="X685" s="16"/>
      <c r="Y685" s="16"/>
      <c r="Z685" s="16"/>
    </row>
    <row r="686">
      <c r="A686" s="10">
        <v>38791.0</v>
      </c>
      <c r="B686" s="23">
        <v>4.2016506E7</v>
      </c>
      <c r="C686" s="12" t="s">
        <v>913</v>
      </c>
      <c r="D686" s="13" t="s">
        <v>18</v>
      </c>
      <c r="E686" s="13" t="s">
        <v>22</v>
      </c>
      <c r="F686" s="13">
        <v>36.0</v>
      </c>
      <c r="G686" s="13" t="s">
        <v>20</v>
      </c>
      <c r="H686" s="13" t="s">
        <v>23</v>
      </c>
      <c r="I686" s="14" t="s">
        <v>18</v>
      </c>
      <c r="J686" s="14" t="s">
        <v>22</v>
      </c>
      <c r="K686" s="14">
        <v>29.0</v>
      </c>
      <c r="L686" s="14" t="s">
        <v>23</v>
      </c>
      <c r="M686" s="14" t="s">
        <v>24</v>
      </c>
      <c r="N686" s="20"/>
      <c r="O686" s="14">
        <v>1.0</v>
      </c>
      <c r="P686" s="15" t="s">
        <v>914</v>
      </c>
      <c r="Q686" s="16"/>
      <c r="R686" s="16"/>
      <c r="S686" s="16"/>
      <c r="T686" s="16"/>
      <c r="U686" s="16"/>
      <c r="V686" s="16"/>
      <c r="W686" s="16"/>
      <c r="X686" s="16"/>
      <c r="Y686" s="16"/>
      <c r="Z686" s="16"/>
    </row>
    <row r="687">
      <c r="A687" s="10">
        <v>38787.0</v>
      </c>
      <c r="B687" s="23">
        <v>3.9877906E7</v>
      </c>
      <c r="C687" s="12" t="s">
        <v>915</v>
      </c>
      <c r="D687" s="13" t="s">
        <v>18</v>
      </c>
      <c r="E687" s="13" t="s">
        <v>22</v>
      </c>
      <c r="F687" s="13">
        <v>28.0</v>
      </c>
      <c r="G687" s="13" t="s">
        <v>20</v>
      </c>
      <c r="H687" s="13" t="s">
        <v>916</v>
      </c>
      <c r="I687" s="14" t="s">
        <v>18</v>
      </c>
      <c r="J687" s="14" t="s">
        <v>29</v>
      </c>
      <c r="K687" s="14">
        <v>47.0</v>
      </c>
      <c r="L687" s="14" t="s">
        <v>23</v>
      </c>
      <c r="M687" s="14" t="s">
        <v>24</v>
      </c>
      <c r="N687" s="20"/>
      <c r="O687" s="14" t="s">
        <v>35</v>
      </c>
      <c r="P687" s="15" t="s">
        <v>917</v>
      </c>
      <c r="Q687" s="16"/>
      <c r="R687" s="16"/>
      <c r="S687" s="16"/>
      <c r="T687" s="16"/>
      <c r="U687" s="16"/>
      <c r="V687" s="16"/>
      <c r="W687" s="16"/>
      <c r="X687" s="16"/>
      <c r="Y687" s="16"/>
      <c r="Z687" s="16"/>
    </row>
    <row r="688">
      <c r="A688" s="10">
        <v>38771.0</v>
      </c>
      <c r="B688" s="23">
        <v>3.0371506E7</v>
      </c>
      <c r="C688" s="12" t="s">
        <v>918</v>
      </c>
      <c r="D688" s="13" t="s">
        <v>18</v>
      </c>
      <c r="E688" s="13" t="s">
        <v>19</v>
      </c>
      <c r="F688" s="13">
        <v>27.0</v>
      </c>
      <c r="G688" s="13" t="s">
        <v>20</v>
      </c>
      <c r="H688" s="13" t="s">
        <v>152</v>
      </c>
      <c r="I688" s="14" t="s">
        <v>18</v>
      </c>
      <c r="J688" s="14" t="s">
        <v>45</v>
      </c>
      <c r="K688" s="14">
        <v>34.0</v>
      </c>
      <c r="L688" s="14" t="s">
        <v>23</v>
      </c>
      <c r="M688" s="14" t="s">
        <v>24</v>
      </c>
      <c r="N688" s="20"/>
      <c r="O688" s="14" t="s">
        <v>35</v>
      </c>
      <c r="P688" s="15" t="s">
        <v>919</v>
      </c>
      <c r="Q688" s="16"/>
      <c r="R688" s="16"/>
      <c r="S688" s="16"/>
      <c r="T688" s="16"/>
      <c r="U688" s="16"/>
      <c r="V688" s="16"/>
      <c r="W688" s="16"/>
      <c r="X688" s="16"/>
      <c r="Y688" s="16"/>
      <c r="Z688" s="16"/>
    </row>
    <row r="689">
      <c r="I689" s="14" t="s">
        <v>18</v>
      </c>
      <c r="J689" s="14" t="s">
        <v>19</v>
      </c>
      <c r="K689" s="14">
        <v>40.0</v>
      </c>
      <c r="L689" s="14" t="s">
        <v>23</v>
      </c>
      <c r="M689" s="14" t="s">
        <v>24</v>
      </c>
      <c r="N689" s="20"/>
      <c r="O689" s="14" t="s">
        <v>35</v>
      </c>
      <c r="Q689" s="16"/>
      <c r="R689" s="16"/>
      <c r="S689" s="16"/>
      <c r="T689" s="16"/>
      <c r="U689" s="16"/>
      <c r="V689" s="16"/>
      <c r="W689" s="16"/>
      <c r="X689" s="16"/>
      <c r="Y689" s="16"/>
      <c r="Z689" s="16"/>
    </row>
    <row r="690">
      <c r="A690" s="10">
        <v>38756.0</v>
      </c>
      <c r="B690" s="23">
        <v>2.1933806E7</v>
      </c>
      <c r="C690" s="12" t="s">
        <v>920</v>
      </c>
      <c r="D690" s="13" t="s">
        <v>164</v>
      </c>
      <c r="E690" s="13" t="s">
        <v>164</v>
      </c>
      <c r="F690" s="13" t="s">
        <v>164</v>
      </c>
      <c r="G690" s="13" t="s">
        <v>20</v>
      </c>
      <c r="H690" s="13" t="s">
        <v>38</v>
      </c>
      <c r="I690" s="14" t="s">
        <v>18</v>
      </c>
      <c r="J690" s="14" t="s">
        <v>29</v>
      </c>
      <c r="K690" s="14">
        <v>37.0</v>
      </c>
      <c r="L690" s="14" t="s">
        <v>23</v>
      </c>
      <c r="M690" s="14" t="s">
        <v>24</v>
      </c>
      <c r="N690" s="20"/>
      <c r="O690" s="14">
        <v>1.0</v>
      </c>
      <c r="P690" s="15" t="s">
        <v>921</v>
      </c>
      <c r="Q690" s="16"/>
      <c r="R690" s="16"/>
      <c r="S690" s="16"/>
      <c r="T690" s="16"/>
      <c r="U690" s="16"/>
      <c r="V690" s="16"/>
      <c r="W690" s="16"/>
      <c r="X690" s="16"/>
      <c r="Y690" s="16"/>
      <c r="Z690" s="16"/>
    </row>
    <row r="691">
      <c r="A691" s="10">
        <v>38750.0</v>
      </c>
      <c r="B691" s="23">
        <v>1.8268706E7</v>
      </c>
      <c r="C691" s="12" t="s">
        <v>922</v>
      </c>
      <c r="D691" s="13" t="s">
        <v>18</v>
      </c>
      <c r="E691" s="13" t="s">
        <v>29</v>
      </c>
      <c r="F691" s="13">
        <v>28.0</v>
      </c>
      <c r="G691" s="13" t="s">
        <v>34</v>
      </c>
      <c r="H691" s="13" t="s">
        <v>28</v>
      </c>
      <c r="I691" s="14" t="s">
        <v>18</v>
      </c>
      <c r="J691" s="14" t="s">
        <v>22</v>
      </c>
      <c r="K691" s="14">
        <v>35.0</v>
      </c>
      <c r="L691" s="14" t="s">
        <v>23</v>
      </c>
      <c r="M691" s="14" t="s">
        <v>24</v>
      </c>
      <c r="N691" s="20"/>
      <c r="O691" s="14">
        <v>1.0</v>
      </c>
      <c r="P691" s="15" t="s">
        <v>923</v>
      </c>
      <c r="Q691" s="16"/>
      <c r="R691" s="16"/>
      <c r="S691" s="16"/>
      <c r="T691" s="16"/>
      <c r="U691" s="16"/>
      <c r="V691" s="16"/>
      <c r="W691" s="16"/>
      <c r="X691" s="16"/>
      <c r="Y691" s="16"/>
      <c r="Z691" s="16"/>
    </row>
    <row r="692">
      <c r="A692" s="10">
        <v>38741.0</v>
      </c>
      <c r="B692" s="23">
        <v>1.3033806E7</v>
      </c>
      <c r="C692" s="12" t="s">
        <v>924</v>
      </c>
      <c r="D692" s="13" t="s">
        <v>18</v>
      </c>
      <c r="E692" s="13" t="s">
        <v>19</v>
      </c>
      <c r="F692" s="13">
        <v>36.0</v>
      </c>
      <c r="G692" s="13" t="s">
        <v>34</v>
      </c>
      <c r="H692" s="13" t="s">
        <v>28</v>
      </c>
      <c r="I692" s="14" t="s">
        <v>18</v>
      </c>
      <c r="J692" s="14" t="s">
        <v>22</v>
      </c>
      <c r="K692" s="14">
        <v>45.0</v>
      </c>
      <c r="L692" s="14" t="s">
        <v>23</v>
      </c>
      <c r="M692" s="14" t="s">
        <v>24</v>
      </c>
      <c r="N692" s="20"/>
      <c r="O692" s="14" t="s">
        <v>35</v>
      </c>
      <c r="P692" s="15" t="s">
        <v>925</v>
      </c>
      <c r="Q692" s="16"/>
      <c r="R692" s="16"/>
      <c r="S692" s="16"/>
      <c r="T692" s="16"/>
      <c r="U692" s="16"/>
      <c r="V692" s="16"/>
      <c r="W692" s="16"/>
      <c r="X692" s="16"/>
      <c r="Y692" s="16"/>
      <c r="Z692" s="16"/>
    </row>
    <row r="693">
      <c r="I693" s="14" t="s">
        <v>84</v>
      </c>
      <c r="J693" s="14" t="s">
        <v>22</v>
      </c>
      <c r="K693" s="14">
        <v>33.0</v>
      </c>
      <c r="L693" s="14" t="s">
        <v>23</v>
      </c>
      <c r="M693" s="14" t="s">
        <v>24</v>
      </c>
      <c r="N693" s="20"/>
      <c r="O693" s="14" t="s">
        <v>35</v>
      </c>
      <c r="Q693" s="16"/>
      <c r="R693" s="16"/>
      <c r="S693" s="16"/>
      <c r="T693" s="16"/>
      <c r="U693" s="16"/>
      <c r="V693" s="16"/>
      <c r="W693" s="16"/>
      <c r="X693" s="16"/>
      <c r="Y693" s="16"/>
      <c r="Z693" s="16"/>
    </row>
    <row r="694">
      <c r="A694" s="10">
        <v>38721.0</v>
      </c>
      <c r="B694" s="23">
        <v>2004806.0</v>
      </c>
      <c r="C694" s="12" t="s">
        <v>926</v>
      </c>
      <c r="D694" s="13" t="s">
        <v>18</v>
      </c>
      <c r="E694" s="13" t="s">
        <v>19</v>
      </c>
      <c r="F694" s="13" t="s">
        <v>157</v>
      </c>
      <c r="G694" s="13" t="s">
        <v>140</v>
      </c>
      <c r="H694" s="13" t="s">
        <v>28</v>
      </c>
      <c r="I694" s="14" t="s">
        <v>18</v>
      </c>
      <c r="J694" s="14" t="s">
        <v>22</v>
      </c>
      <c r="K694" s="14">
        <v>53.0</v>
      </c>
      <c r="L694" s="14" t="s">
        <v>23</v>
      </c>
      <c r="M694" s="14" t="s">
        <v>60</v>
      </c>
      <c r="N694" s="20"/>
      <c r="O694" s="14">
        <v>1.0</v>
      </c>
      <c r="P694" s="15" t="s">
        <v>927</v>
      </c>
      <c r="Q694" s="16"/>
      <c r="R694" s="16"/>
      <c r="S694" s="16"/>
      <c r="T694" s="16"/>
      <c r="U694" s="16"/>
      <c r="V694" s="16"/>
      <c r="W694" s="16"/>
      <c r="X694" s="16"/>
      <c r="Y694" s="16"/>
      <c r="Z694" s="16"/>
    </row>
    <row r="695">
      <c r="A695" s="10">
        <v>38710.0</v>
      </c>
      <c r="B695" s="23">
        <v>1.93131105E8</v>
      </c>
      <c r="C695" s="12" t="s">
        <v>928</v>
      </c>
      <c r="D695" s="13" t="s">
        <v>18</v>
      </c>
      <c r="E695" s="13" t="s">
        <v>29</v>
      </c>
      <c r="F695" s="13">
        <v>22.0</v>
      </c>
      <c r="G695" s="13" t="s">
        <v>34</v>
      </c>
      <c r="H695" s="13" t="s">
        <v>28</v>
      </c>
      <c r="I695" s="14" t="s">
        <v>18</v>
      </c>
      <c r="J695" s="14" t="s">
        <v>19</v>
      </c>
      <c r="K695" s="14">
        <v>32.0</v>
      </c>
      <c r="L695" s="14" t="s">
        <v>23</v>
      </c>
      <c r="M695" s="14" t="s">
        <v>24</v>
      </c>
      <c r="N695" s="20"/>
      <c r="O695" s="14" t="s">
        <v>35</v>
      </c>
      <c r="P695" s="15" t="s">
        <v>929</v>
      </c>
      <c r="Q695" s="16"/>
      <c r="R695" s="16"/>
      <c r="S695" s="16"/>
      <c r="T695" s="16"/>
      <c r="U695" s="16"/>
      <c r="V695" s="16"/>
      <c r="W695" s="16"/>
      <c r="X695" s="16"/>
      <c r="Y695" s="16"/>
      <c r="Z695" s="16"/>
    </row>
    <row r="696">
      <c r="I696" s="14" t="s">
        <v>18</v>
      </c>
      <c r="J696" s="14" t="s">
        <v>19</v>
      </c>
      <c r="K696" s="14">
        <v>33.0</v>
      </c>
      <c r="L696" s="14" t="s">
        <v>23</v>
      </c>
      <c r="M696" s="14" t="s">
        <v>24</v>
      </c>
      <c r="N696" s="20"/>
      <c r="O696" s="14" t="s">
        <v>35</v>
      </c>
      <c r="Q696" s="16"/>
      <c r="R696" s="16"/>
      <c r="S696" s="16"/>
      <c r="T696" s="16"/>
      <c r="U696" s="16"/>
      <c r="V696" s="16"/>
      <c r="W696" s="16"/>
      <c r="X696" s="16"/>
      <c r="Y696" s="16"/>
      <c r="Z696" s="16"/>
    </row>
    <row r="697">
      <c r="A697" s="10">
        <v>38710.0</v>
      </c>
      <c r="B697" s="23">
        <v>1.93231905E8</v>
      </c>
      <c r="C697" s="12" t="s">
        <v>930</v>
      </c>
      <c r="D697" s="13" t="s">
        <v>18</v>
      </c>
      <c r="E697" s="13" t="s">
        <v>29</v>
      </c>
      <c r="F697" s="13">
        <v>40.0</v>
      </c>
      <c r="G697" s="13" t="s">
        <v>20</v>
      </c>
      <c r="H697" s="13" t="s">
        <v>28</v>
      </c>
      <c r="I697" s="14" t="s">
        <v>18</v>
      </c>
      <c r="J697" s="14" t="s">
        <v>19</v>
      </c>
      <c r="K697" s="14">
        <v>41.0</v>
      </c>
      <c r="L697" s="14" t="s">
        <v>23</v>
      </c>
      <c r="M697" s="14" t="s">
        <v>24</v>
      </c>
      <c r="N697" s="20"/>
      <c r="O697" s="14" t="s">
        <v>35</v>
      </c>
      <c r="P697" s="15" t="s">
        <v>931</v>
      </c>
      <c r="Q697" s="16"/>
      <c r="R697" s="16"/>
      <c r="S697" s="16"/>
      <c r="T697" s="16"/>
      <c r="U697" s="16"/>
      <c r="V697" s="16"/>
      <c r="W697" s="16"/>
      <c r="X697" s="16"/>
      <c r="Y697" s="16"/>
      <c r="Z697" s="16"/>
    </row>
    <row r="698">
      <c r="I698" s="14" t="s">
        <v>18</v>
      </c>
      <c r="J698" s="14" t="s">
        <v>19</v>
      </c>
      <c r="K698" s="14">
        <v>34.0</v>
      </c>
      <c r="L698" s="14" t="s">
        <v>23</v>
      </c>
      <c r="M698" s="14" t="s">
        <v>24</v>
      </c>
      <c r="N698" s="20"/>
      <c r="O698" s="14" t="s">
        <v>35</v>
      </c>
      <c r="Q698" s="16"/>
      <c r="R698" s="16"/>
      <c r="S698" s="16"/>
      <c r="T698" s="16"/>
      <c r="U698" s="16"/>
      <c r="V698" s="16"/>
      <c r="W698" s="16"/>
      <c r="X698" s="16"/>
      <c r="Y698" s="16"/>
      <c r="Z698" s="16"/>
    </row>
    <row r="699">
      <c r="A699" s="10">
        <v>38701.0</v>
      </c>
      <c r="B699" s="23">
        <v>1.88502605E8</v>
      </c>
      <c r="C699" s="12" t="s">
        <v>932</v>
      </c>
      <c r="D699" s="13" t="s">
        <v>18</v>
      </c>
      <c r="E699" s="13" t="s">
        <v>19</v>
      </c>
      <c r="F699" s="13">
        <v>19.0</v>
      </c>
      <c r="G699" s="13" t="s">
        <v>20</v>
      </c>
      <c r="H699" s="13" t="s">
        <v>28</v>
      </c>
      <c r="I699" s="14" t="s">
        <v>18</v>
      </c>
      <c r="J699" s="14" t="s">
        <v>22</v>
      </c>
      <c r="K699" s="14">
        <v>46.0</v>
      </c>
      <c r="L699" s="14" t="s">
        <v>20</v>
      </c>
      <c r="M699" s="14" t="s">
        <v>24</v>
      </c>
      <c r="N699" s="20"/>
      <c r="O699" s="14" t="s">
        <v>35</v>
      </c>
      <c r="P699" s="15" t="s">
        <v>933</v>
      </c>
      <c r="Q699" s="16"/>
      <c r="R699" s="16"/>
      <c r="S699" s="16"/>
      <c r="T699" s="16"/>
      <c r="U699" s="16"/>
      <c r="V699" s="16"/>
      <c r="W699" s="16"/>
      <c r="X699" s="16"/>
      <c r="Y699" s="16"/>
      <c r="Z699" s="16"/>
    </row>
    <row r="700">
      <c r="D700" s="13" t="s">
        <v>18</v>
      </c>
      <c r="E700" s="13" t="s">
        <v>19</v>
      </c>
      <c r="F700" s="13">
        <v>22.0</v>
      </c>
      <c r="G700" s="13" t="s">
        <v>20</v>
      </c>
      <c r="H700" s="13" t="s">
        <v>28</v>
      </c>
      <c r="I700" s="14" t="s">
        <v>18</v>
      </c>
      <c r="J700" s="14" t="s">
        <v>22</v>
      </c>
      <c r="K700" s="14">
        <v>37.0</v>
      </c>
      <c r="L700" s="14" t="s">
        <v>23</v>
      </c>
      <c r="M700" s="14" t="s">
        <v>24</v>
      </c>
      <c r="N700" s="20"/>
      <c r="O700" s="14" t="s">
        <v>35</v>
      </c>
      <c r="Q700" s="16"/>
      <c r="R700" s="16"/>
      <c r="S700" s="16"/>
      <c r="T700" s="16"/>
      <c r="U700" s="16"/>
      <c r="V700" s="16"/>
      <c r="W700" s="16"/>
      <c r="X700" s="16"/>
      <c r="Y700" s="16"/>
      <c r="Z700" s="16"/>
    </row>
    <row r="701">
      <c r="D701" s="13" t="s">
        <v>164</v>
      </c>
      <c r="E701" s="13" t="s">
        <v>164</v>
      </c>
      <c r="F701" s="13" t="s">
        <v>164</v>
      </c>
      <c r="G701" s="13" t="s">
        <v>23</v>
      </c>
      <c r="H701" s="13" t="s">
        <v>28</v>
      </c>
      <c r="I701" s="14" t="s">
        <v>18</v>
      </c>
      <c r="J701" s="14" t="s">
        <v>19</v>
      </c>
      <c r="K701" s="14">
        <v>34.0</v>
      </c>
      <c r="L701" s="14" t="s">
        <v>23</v>
      </c>
      <c r="M701" s="14" t="s">
        <v>24</v>
      </c>
      <c r="N701" s="20"/>
      <c r="O701" s="14" t="s">
        <v>35</v>
      </c>
      <c r="Q701" s="16"/>
      <c r="R701" s="16"/>
      <c r="S701" s="16"/>
      <c r="T701" s="16"/>
      <c r="U701" s="16"/>
      <c r="V701" s="16"/>
      <c r="W701" s="16"/>
      <c r="X701" s="16"/>
      <c r="Y701" s="16"/>
      <c r="Z701" s="16"/>
    </row>
    <row r="702">
      <c r="D702" s="13" t="s">
        <v>18</v>
      </c>
      <c r="E702" s="13" t="s">
        <v>19</v>
      </c>
      <c r="F702" s="13">
        <v>24.0</v>
      </c>
      <c r="G702" s="13" t="s">
        <v>34</v>
      </c>
      <c r="H702" s="13" t="s">
        <v>28</v>
      </c>
      <c r="I702" s="14" t="s">
        <v>18</v>
      </c>
      <c r="J702" s="14" t="s">
        <v>22</v>
      </c>
      <c r="K702" s="14">
        <v>38.0</v>
      </c>
      <c r="L702" s="14" t="s">
        <v>23</v>
      </c>
      <c r="M702" s="14" t="s">
        <v>24</v>
      </c>
      <c r="N702" s="20"/>
      <c r="O702" s="14" t="s">
        <v>35</v>
      </c>
      <c r="Q702" s="16"/>
      <c r="R702" s="16"/>
      <c r="S702" s="16"/>
      <c r="T702" s="16"/>
      <c r="U702" s="16"/>
      <c r="V702" s="16"/>
      <c r="W702" s="16"/>
      <c r="X702" s="16"/>
      <c r="Y702" s="16"/>
      <c r="Z702" s="16"/>
    </row>
    <row r="703">
      <c r="A703" s="10">
        <v>38691.0</v>
      </c>
      <c r="B703" s="23">
        <v>1.83852305E8</v>
      </c>
      <c r="C703" s="12" t="s">
        <v>934</v>
      </c>
      <c r="D703" s="13" t="s">
        <v>18</v>
      </c>
      <c r="E703" s="13" t="s">
        <v>29</v>
      </c>
      <c r="F703" s="13">
        <v>22.0</v>
      </c>
      <c r="G703" s="13" t="s">
        <v>20</v>
      </c>
      <c r="H703" s="13" t="s">
        <v>28</v>
      </c>
      <c r="I703" s="14" t="s">
        <v>18</v>
      </c>
      <c r="J703" s="14" t="s">
        <v>19</v>
      </c>
      <c r="K703" s="14">
        <v>37.0</v>
      </c>
      <c r="L703" s="14" t="s">
        <v>23</v>
      </c>
      <c r="M703" s="14" t="s">
        <v>24</v>
      </c>
      <c r="N703" s="20"/>
      <c r="O703" s="14" t="s">
        <v>35</v>
      </c>
      <c r="P703" s="15" t="s">
        <v>935</v>
      </c>
      <c r="Q703" s="16"/>
      <c r="R703" s="16"/>
      <c r="S703" s="16"/>
      <c r="T703" s="16"/>
      <c r="U703" s="16"/>
      <c r="V703" s="16"/>
      <c r="W703" s="16"/>
      <c r="X703" s="16"/>
      <c r="Y703" s="16"/>
      <c r="Z703" s="16"/>
    </row>
    <row r="704">
      <c r="A704" s="10">
        <v>38684.0</v>
      </c>
      <c r="B704" s="23">
        <v>1.79844005E8</v>
      </c>
      <c r="C704" s="12" t="s">
        <v>936</v>
      </c>
      <c r="D704" s="13" t="s">
        <v>164</v>
      </c>
      <c r="E704" s="13" t="s">
        <v>164</v>
      </c>
      <c r="F704" s="13" t="s">
        <v>164</v>
      </c>
      <c r="G704" s="13" t="s">
        <v>23</v>
      </c>
      <c r="H704" s="13" t="s">
        <v>28</v>
      </c>
      <c r="I704" s="14" t="s">
        <v>84</v>
      </c>
      <c r="J704" s="14" t="s">
        <v>22</v>
      </c>
      <c r="K704" s="14">
        <v>43.0</v>
      </c>
      <c r="L704" s="14" t="s">
        <v>23</v>
      </c>
      <c r="M704" s="14" t="s">
        <v>24</v>
      </c>
      <c r="N704" s="20"/>
      <c r="O704" s="14">
        <v>1.0</v>
      </c>
      <c r="P704" s="15" t="s">
        <v>937</v>
      </c>
      <c r="Q704" s="16"/>
      <c r="R704" s="16"/>
      <c r="S704" s="16"/>
      <c r="T704" s="16"/>
      <c r="U704" s="16"/>
      <c r="V704" s="16"/>
      <c r="W704" s="16"/>
      <c r="X704" s="16"/>
      <c r="Y704" s="16"/>
      <c r="Z704" s="16"/>
    </row>
    <row r="705">
      <c r="A705" s="10">
        <v>38663.0</v>
      </c>
      <c r="B705" s="23">
        <v>1.69240405E8</v>
      </c>
      <c r="C705" s="12" t="s">
        <v>938</v>
      </c>
      <c r="D705" s="13" t="s">
        <v>84</v>
      </c>
      <c r="E705" s="13" t="s">
        <v>22</v>
      </c>
      <c r="F705" s="13">
        <v>48.0</v>
      </c>
      <c r="G705" s="13" t="s">
        <v>34</v>
      </c>
      <c r="H705" s="13" t="s">
        <v>28</v>
      </c>
      <c r="I705" s="14" t="s">
        <v>18</v>
      </c>
      <c r="J705" s="14" t="s">
        <v>22</v>
      </c>
      <c r="K705" s="14">
        <v>37.0</v>
      </c>
      <c r="L705" s="14" t="s">
        <v>23</v>
      </c>
      <c r="M705" s="14" t="s">
        <v>24</v>
      </c>
      <c r="N705" s="20"/>
      <c r="O705" s="14">
        <v>1.0</v>
      </c>
      <c r="P705" s="15" t="s">
        <v>939</v>
      </c>
      <c r="Q705" s="16"/>
      <c r="R705" s="16"/>
      <c r="S705" s="16"/>
      <c r="T705" s="16"/>
      <c r="U705" s="16"/>
      <c r="V705" s="16"/>
      <c r="W705" s="16"/>
      <c r="X705" s="16"/>
      <c r="Y705" s="16"/>
      <c r="Z705" s="16"/>
    </row>
    <row r="706">
      <c r="A706" s="10">
        <v>38663.0</v>
      </c>
      <c r="B706" s="23">
        <v>1.69240405E8</v>
      </c>
      <c r="C706" s="12" t="s">
        <v>938</v>
      </c>
      <c r="D706" s="13" t="s">
        <v>84</v>
      </c>
      <c r="E706" s="13" t="s">
        <v>22</v>
      </c>
      <c r="F706" s="13">
        <v>48.0</v>
      </c>
      <c r="G706" s="13" t="s">
        <v>34</v>
      </c>
      <c r="H706" s="13" t="s">
        <v>28</v>
      </c>
      <c r="I706" s="14" t="s">
        <v>18</v>
      </c>
      <c r="J706" s="14" t="s">
        <v>22</v>
      </c>
      <c r="K706" s="14">
        <v>45.0</v>
      </c>
      <c r="L706" s="14" t="s">
        <v>23</v>
      </c>
      <c r="M706" s="14" t="s">
        <v>24</v>
      </c>
      <c r="N706" s="20"/>
      <c r="O706" s="14">
        <v>1.0</v>
      </c>
      <c r="P706" s="15" t="s">
        <v>939</v>
      </c>
      <c r="Q706" s="16"/>
      <c r="R706" s="16"/>
      <c r="S706" s="16"/>
      <c r="T706" s="16"/>
      <c r="U706" s="16"/>
      <c r="V706" s="16"/>
      <c r="W706" s="16"/>
      <c r="X706" s="16"/>
      <c r="Y706" s="16"/>
      <c r="Z706" s="16"/>
    </row>
    <row r="707">
      <c r="A707" s="10">
        <v>38663.0</v>
      </c>
      <c r="B707" s="23">
        <v>1.69240405E8</v>
      </c>
      <c r="C707" s="12" t="s">
        <v>938</v>
      </c>
      <c r="D707" s="13" t="s">
        <v>84</v>
      </c>
      <c r="E707" s="13" t="s">
        <v>22</v>
      </c>
      <c r="F707" s="13">
        <v>48.0</v>
      </c>
      <c r="G707" s="13" t="s">
        <v>34</v>
      </c>
      <c r="H707" s="13" t="s">
        <v>28</v>
      </c>
      <c r="I707" s="14" t="s">
        <v>18</v>
      </c>
      <c r="J707" s="14" t="s">
        <v>22</v>
      </c>
      <c r="K707" s="14">
        <v>28.0</v>
      </c>
      <c r="L707" s="14" t="s">
        <v>23</v>
      </c>
      <c r="M707" s="14" t="s">
        <v>24</v>
      </c>
      <c r="N707" s="20"/>
      <c r="O707" s="14">
        <v>1.0</v>
      </c>
      <c r="P707" s="15" t="s">
        <v>939</v>
      </c>
      <c r="Q707" s="16"/>
      <c r="R707" s="16"/>
      <c r="S707" s="16"/>
      <c r="T707" s="16"/>
      <c r="U707" s="16"/>
      <c r="V707" s="16"/>
      <c r="W707" s="16"/>
      <c r="X707" s="16"/>
      <c r="Y707" s="16"/>
      <c r="Z707" s="16"/>
    </row>
    <row r="708">
      <c r="A708" s="10">
        <v>38651.0</v>
      </c>
      <c r="B708" s="23">
        <v>1.63031105E8</v>
      </c>
      <c r="C708" s="12" t="s">
        <v>940</v>
      </c>
      <c r="D708" s="13" t="s">
        <v>18</v>
      </c>
      <c r="E708" s="13" t="s">
        <v>19</v>
      </c>
      <c r="F708" s="13" t="s">
        <v>157</v>
      </c>
      <c r="G708" s="13" t="s">
        <v>23</v>
      </c>
      <c r="H708" s="13" t="s">
        <v>28</v>
      </c>
      <c r="I708" s="14" t="s">
        <v>18</v>
      </c>
      <c r="J708" s="14" t="s">
        <v>19</v>
      </c>
      <c r="K708" s="14">
        <v>34.0</v>
      </c>
      <c r="L708" s="14" t="s">
        <v>23</v>
      </c>
      <c r="M708" s="14" t="s">
        <v>60</v>
      </c>
      <c r="N708" s="20"/>
      <c r="O708" s="14">
        <v>1.0</v>
      </c>
      <c r="P708" s="15" t="s">
        <v>941</v>
      </c>
      <c r="Q708" s="16"/>
      <c r="R708" s="16"/>
      <c r="S708" s="16"/>
      <c r="T708" s="16"/>
      <c r="U708" s="16"/>
      <c r="V708" s="16"/>
      <c r="W708" s="16"/>
      <c r="X708" s="16"/>
      <c r="Y708" s="16"/>
      <c r="Z708" s="16"/>
    </row>
    <row r="709">
      <c r="A709" s="10">
        <v>38604.0</v>
      </c>
      <c r="B709" s="23">
        <v>1.38241605E8</v>
      </c>
      <c r="C709" s="12" t="s">
        <v>942</v>
      </c>
      <c r="D709" s="13" t="s">
        <v>18</v>
      </c>
      <c r="E709" s="13" t="s">
        <v>19</v>
      </c>
      <c r="F709" s="13">
        <v>32.0</v>
      </c>
      <c r="G709" s="13" t="s">
        <v>34</v>
      </c>
      <c r="H709" s="13" t="s">
        <v>186</v>
      </c>
      <c r="I709" s="14" t="s">
        <v>18</v>
      </c>
      <c r="J709" s="14" t="s">
        <v>22</v>
      </c>
      <c r="K709" s="14">
        <v>28.0</v>
      </c>
      <c r="L709" s="14" t="s">
        <v>20</v>
      </c>
      <c r="M709" s="14" t="s">
        <v>24</v>
      </c>
      <c r="N709" s="20"/>
      <c r="O709" s="14">
        <v>1.0</v>
      </c>
      <c r="P709" s="15" t="s">
        <v>943</v>
      </c>
      <c r="Q709" s="16"/>
      <c r="R709" s="16"/>
      <c r="S709" s="16"/>
      <c r="T709" s="16"/>
      <c r="U709" s="16"/>
      <c r="V709" s="16"/>
      <c r="W709" s="16"/>
      <c r="X709" s="16"/>
      <c r="Y709" s="16"/>
      <c r="Z709" s="16"/>
    </row>
    <row r="710">
      <c r="A710" s="10">
        <v>38601.0</v>
      </c>
      <c r="B710" s="23">
        <v>1.52782805E8</v>
      </c>
      <c r="C710" s="12" t="s">
        <v>944</v>
      </c>
      <c r="D710" s="13" t="s">
        <v>18</v>
      </c>
      <c r="E710" s="13" t="s">
        <v>29</v>
      </c>
      <c r="F710" s="13">
        <v>23.0</v>
      </c>
      <c r="G710" s="13" t="s">
        <v>23</v>
      </c>
      <c r="H710" s="13" t="s">
        <v>152</v>
      </c>
      <c r="I710" s="14" t="s">
        <v>18</v>
      </c>
      <c r="J710" s="14" t="s">
        <v>22</v>
      </c>
      <c r="K710" s="14">
        <v>36.0</v>
      </c>
      <c r="L710" s="14" t="s">
        <v>23</v>
      </c>
      <c r="M710" s="14" t="s">
        <v>24</v>
      </c>
      <c r="N710" s="20"/>
      <c r="O710" s="14">
        <v>1.0</v>
      </c>
      <c r="P710" s="15" t="s">
        <v>945</v>
      </c>
      <c r="Q710" s="16"/>
      <c r="R710" s="16"/>
      <c r="S710" s="16"/>
      <c r="T710" s="16"/>
      <c r="U710" s="16"/>
      <c r="V710" s="16"/>
      <c r="W710" s="16"/>
      <c r="X710" s="16"/>
      <c r="Y710" s="16"/>
      <c r="Z710" s="16"/>
    </row>
    <row r="711">
      <c r="A711" s="10">
        <v>38580.0</v>
      </c>
      <c r="B711" s="23">
        <v>1.25292305E8</v>
      </c>
      <c r="C711" s="12" t="s">
        <v>946</v>
      </c>
      <c r="D711" s="13" t="s">
        <v>18</v>
      </c>
      <c r="E711" s="13" t="s">
        <v>29</v>
      </c>
      <c r="F711" s="13">
        <v>19.0</v>
      </c>
      <c r="G711" s="13" t="s">
        <v>23</v>
      </c>
      <c r="H711" s="13" t="s">
        <v>186</v>
      </c>
      <c r="I711" s="14" t="s">
        <v>18</v>
      </c>
      <c r="J711" s="14" t="s">
        <v>22</v>
      </c>
      <c r="K711" s="14">
        <v>28.0</v>
      </c>
      <c r="L711" s="14" t="s">
        <v>23</v>
      </c>
      <c r="M711" s="14" t="s">
        <v>24</v>
      </c>
      <c r="N711" s="20"/>
      <c r="O711" s="14">
        <v>1.0</v>
      </c>
      <c r="P711" s="15" t="s">
        <v>947</v>
      </c>
      <c r="Q711" s="16"/>
      <c r="R711" s="16"/>
      <c r="S711" s="16"/>
      <c r="T711" s="16"/>
      <c r="U711" s="16"/>
      <c r="V711" s="16"/>
      <c r="W711" s="16"/>
      <c r="X711" s="16"/>
      <c r="Y711" s="16"/>
      <c r="Z711" s="16"/>
    </row>
    <row r="712">
      <c r="A712" s="10">
        <v>38574.0</v>
      </c>
      <c r="B712" s="23">
        <v>1.22380905E8</v>
      </c>
      <c r="C712" s="12" t="s">
        <v>948</v>
      </c>
      <c r="D712" s="13" t="s">
        <v>18</v>
      </c>
      <c r="E712" s="13" t="s">
        <v>29</v>
      </c>
      <c r="F712" s="13">
        <v>52.0</v>
      </c>
      <c r="G712" s="13" t="s">
        <v>571</v>
      </c>
      <c r="H712" s="13" t="s">
        <v>28</v>
      </c>
      <c r="I712" s="14" t="s">
        <v>18</v>
      </c>
      <c r="J712" s="14" t="s">
        <v>22</v>
      </c>
      <c r="K712" s="14">
        <v>28.0</v>
      </c>
      <c r="L712" s="14" t="s">
        <v>23</v>
      </c>
      <c r="M712" s="14" t="s">
        <v>24</v>
      </c>
      <c r="N712" s="20"/>
      <c r="O712" s="14">
        <v>1.0</v>
      </c>
      <c r="P712" s="15" t="s">
        <v>949</v>
      </c>
      <c r="Q712" s="16"/>
      <c r="R712" s="16"/>
      <c r="S712" s="16"/>
      <c r="T712" s="16"/>
      <c r="U712" s="16"/>
      <c r="V712" s="16"/>
      <c r="W712" s="16"/>
      <c r="X712" s="16"/>
      <c r="Y712" s="16"/>
      <c r="Z712" s="16"/>
    </row>
    <row r="713">
      <c r="A713" s="10">
        <v>38570.0</v>
      </c>
      <c r="B713" s="23">
        <v>1.20398305E8</v>
      </c>
      <c r="C713" s="12" t="s">
        <v>950</v>
      </c>
      <c r="D713" s="13" t="s">
        <v>18</v>
      </c>
      <c r="E713" s="13" t="s">
        <v>29</v>
      </c>
      <c r="F713" s="13" t="s">
        <v>157</v>
      </c>
      <c r="G713" s="13" t="s">
        <v>23</v>
      </c>
      <c r="H713" s="13" t="s">
        <v>152</v>
      </c>
      <c r="I713" s="14" t="s">
        <v>84</v>
      </c>
      <c r="J713" s="14" t="s">
        <v>29</v>
      </c>
      <c r="K713" s="14">
        <v>34.0</v>
      </c>
      <c r="L713" s="14" t="s">
        <v>23</v>
      </c>
      <c r="M713" s="14" t="s">
        <v>60</v>
      </c>
      <c r="N713" s="20"/>
      <c r="O713" s="14">
        <v>1.0</v>
      </c>
      <c r="P713" s="15" t="s">
        <v>951</v>
      </c>
      <c r="Q713" s="16"/>
      <c r="R713" s="16"/>
      <c r="S713" s="16"/>
      <c r="T713" s="16"/>
      <c r="U713" s="16"/>
      <c r="V713" s="16"/>
      <c r="W713" s="16"/>
      <c r="X713" s="16"/>
      <c r="Y713" s="16"/>
      <c r="Z713" s="16"/>
    </row>
    <row r="714">
      <c r="A714" s="10">
        <v>38558.0</v>
      </c>
      <c r="B714" s="23">
        <v>1.13549405E8</v>
      </c>
      <c r="C714" s="12" t="s">
        <v>952</v>
      </c>
      <c r="D714" s="13" t="s">
        <v>84</v>
      </c>
      <c r="E714" s="13" t="s">
        <v>22</v>
      </c>
      <c r="F714" s="13">
        <v>19.0</v>
      </c>
      <c r="G714" s="13" t="s">
        <v>34</v>
      </c>
      <c r="H714" s="13" t="s">
        <v>28</v>
      </c>
      <c r="I714" s="14" t="s">
        <v>18</v>
      </c>
      <c r="J714" s="14" t="s">
        <v>22</v>
      </c>
      <c r="K714" s="14">
        <v>49.0</v>
      </c>
      <c r="L714" s="14" t="s">
        <v>23</v>
      </c>
      <c r="M714" s="14" t="s">
        <v>24</v>
      </c>
      <c r="N714" s="20"/>
      <c r="O714" s="14">
        <v>1.0</v>
      </c>
      <c r="P714" s="15" t="s">
        <v>953</v>
      </c>
      <c r="Q714" s="16"/>
      <c r="R714" s="16"/>
      <c r="S714" s="16"/>
      <c r="T714" s="16"/>
      <c r="U714" s="16"/>
      <c r="V714" s="16"/>
      <c r="W714" s="16"/>
      <c r="X714" s="16"/>
      <c r="Y714" s="16"/>
      <c r="Z714" s="16"/>
    </row>
    <row r="715">
      <c r="A715" s="10">
        <v>38555.0</v>
      </c>
      <c r="B715" s="23">
        <v>1.12382105E8</v>
      </c>
      <c r="C715" s="12" t="s">
        <v>954</v>
      </c>
      <c r="D715" s="13" t="s">
        <v>18</v>
      </c>
      <c r="E715" s="13" t="s">
        <v>29</v>
      </c>
      <c r="F715" s="13">
        <v>36.0</v>
      </c>
      <c r="G715" s="13" t="s">
        <v>23</v>
      </c>
      <c r="H715" s="13" t="s">
        <v>23</v>
      </c>
      <c r="I715" s="14" t="s">
        <v>18</v>
      </c>
      <c r="J715" s="14" t="s">
        <v>22</v>
      </c>
      <c r="K715" s="14">
        <v>36.0</v>
      </c>
      <c r="L715" s="14" t="s">
        <v>23</v>
      </c>
      <c r="M715" s="14" t="s">
        <v>24</v>
      </c>
      <c r="N715" s="20"/>
      <c r="O715" s="14">
        <v>1.0</v>
      </c>
      <c r="P715" s="15" t="s">
        <v>955</v>
      </c>
      <c r="Q715" s="16"/>
      <c r="R715" s="16"/>
      <c r="S715" s="16"/>
      <c r="T715" s="16"/>
      <c r="U715" s="16"/>
      <c r="V715" s="16"/>
      <c r="W715" s="16"/>
      <c r="X715" s="16"/>
      <c r="Y715" s="16"/>
      <c r="Z715" s="16"/>
    </row>
    <row r="716">
      <c r="A716" s="10">
        <v>38553.0</v>
      </c>
      <c r="B716" s="23">
        <v>1.10924105E8</v>
      </c>
      <c r="C716" s="12" t="s">
        <v>956</v>
      </c>
      <c r="D716" s="13" t="s">
        <v>18</v>
      </c>
      <c r="E716" s="13" t="s">
        <v>22</v>
      </c>
      <c r="F716" s="13">
        <v>41.0</v>
      </c>
      <c r="G716" s="13" t="s">
        <v>34</v>
      </c>
      <c r="H716" s="13" t="s">
        <v>28</v>
      </c>
      <c r="I716" s="14" t="s">
        <v>18</v>
      </c>
      <c r="J716" s="14" t="s">
        <v>22</v>
      </c>
      <c r="K716" s="14">
        <v>56.0</v>
      </c>
      <c r="L716" s="14" t="s">
        <v>23</v>
      </c>
      <c r="M716" s="14" t="s">
        <v>24</v>
      </c>
      <c r="N716" s="20"/>
      <c r="O716" s="14">
        <v>1.0</v>
      </c>
      <c r="P716" s="15" t="s">
        <v>957</v>
      </c>
      <c r="Q716" s="16"/>
      <c r="R716" s="16"/>
      <c r="S716" s="16"/>
      <c r="T716" s="16"/>
      <c r="U716" s="16"/>
      <c r="V716" s="16"/>
      <c r="W716" s="16"/>
      <c r="X716" s="16"/>
      <c r="Y716" s="16"/>
      <c r="Z716" s="16"/>
    </row>
    <row r="717">
      <c r="I717" s="14" t="s">
        <v>18</v>
      </c>
      <c r="J717" s="14" t="s">
        <v>22</v>
      </c>
      <c r="K717" s="14">
        <v>37.0</v>
      </c>
      <c r="L717" s="14" t="s">
        <v>23</v>
      </c>
      <c r="M717" s="14" t="s">
        <v>24</v>
      </c>
      <c r="N717" s="20"/>
      <c r="O717" s="14">
        <v>1.0</v>
      </c>
      <c r="Q717" s="16"/>
      <c r="R717" s="16"/>
      <c r="S717" s="16"/>
      <c r="T717" s="16"/>
      <c r="U717" s="16"/>
      <c r="V717" s="16"/>
      <c r="W717" s="16"/>
      <c r="X717" s="16"/>
      <c r="Y717" s="16"/>
      <c r="Z717" s="16"/>
    </row>
    <row r="718">
      <c r="A718" s="10">
        <v>38552.0</v>
      </c>
      <c r="B718" s="23">
        <v>1.10403105E8</v>
      </c>
      <c r="C718" s="12" t="s">
        <v>174</v>
      </c>
      <c r="D718" s="13" t="s">
        <v>18</v>
      </c>
      <c r="E718" s="13" t="s">
        <v>19</v>
      </c>
      <c r="F718" s="13" t="s">
        <v>157</v>
      </c>
      <c r="G718" s="13" t="s">
        <v>20</v>
      </c>
      <c r="H718" s="13" t="s">
        <v>28</v>
      </c>
      <c r="I718" s="14" t="s">
        <v>18</v>
      </c>
      <c r="J718" s="14" t="s">
        <v>19</v>
      </c>
      <c r="K718" s="14">
        <v>34.0</v>
      </c>
      <c r="L718" s="14" t="s">
        <v>23</v>
      </c>
      <c r="M718" s="14" t="s">
        <v>60</v>
      </c>
      <c r="N718" s="20"/>
      <c r="O718" s="14">
        <v>1.0</v>
      </c>
      <c r="P718" s="15" t="s">
        <v>958</v>
      </c>
      <c r="Q718" s="16"/>
      <c r="R718" s="16"/>
      <c r="S718" s="16"/>
      <c r="T718" s="16"/>
      <c r="U718" s="16"/>
      <c r="V718" s="16"/>
      <c r="W718" s="16"/>
      <c r="X718" s="16"/>
      <c r="Y718" s="16"/>
      <c r="Z718" s="16"/>
    </row>
    <row r="719">
      <c r="A719" s="10">
        <v>38550.0</v>
      </c>
      <c r="B719" s="23">
        <v>1.09574205E8</v>
      </c>
      <c r="C719" s="12" t="s">
        <v>174</v>
      </c>
      <c r="D719" s="13" t="s">
        <v>164</v>
      </c>
      <c r="E719" s="13" t="s">
        <v>164</v>
      </c>
      <c r="F719" s="13" t="s">
        <v>164</v>
      </c>
      <c r="G719" s="13" t="s">
        <v>23</v>
      </c>
      <c r="H719" s="13" t="s">
        <v>23</v>
      </c>
      <c r="I719" s="14" t="s">
        <v>18</v>
      </c>
      <c r="J719" s="14" t="s">
        <v>19</v>
      </c>
      <c r="K719" s="14">
        <v>33.0</v>
      </c>
      <c r="L719" s="14" t="s">
        <v>23</v>
      </c>
      <c r="M719" s="14" t="s">
        <v>24</v>
      </c>
      <c r="N719" s="20"/>
      <c r="O719" s="14">
        <v>1.0</v>
      </c>
      <c r="P719" s="15" t="s">
        <v>959</v>
      </c>
      <c r="Q719" s="16"/>
      <c r="R719" s="16"/>
      <c r="S719" s="16"/>
      <c r="T719" s="16"/>
      <c r="U719" s="16"/>
      <c r="V719" s="16"/>
      <c r="W719" s="16"/>
      <c r="X719" s="16"/>
      <c r="Y719" s="16"/>
      <c r="Z719" s="16"/>
    </row>
    <row r="720">
      <c r="A720" s="10">
        <v>38546.0</v>
      </c>
      <c r="B720" s="23">
        <v>1.07632105E8</v>
      </c>
      <c r="C720" s="12" t="s">
        <v>960</v>
      </c>
      <c r="D720" s="13" t="s">
        <v>18</v>
      </c>
      <c r="E720" s="13" t="s">
        <v>29</v>
      </c>
      <c r="F720" s="13" t="s">
        <v>157</v>
      </c>
      <c r="G720" s="13" t="s">
        <v>23</v>
      </c>
      <c r="H720" s="13" t="s">
        <v>28</v>
      </c>
      <c r="I720" s="14" t="s">
        <v>18</v>
      </c>
      <c r="J720" s="14" t="s">
        <v>22</v>
      </c>
      <c r="K720" s="14">
        <v>40.0</v>
      </c>
      <c r="L720" s="14" t="s">
        <v>23</v>
      </c>
      <c r="M720" s="14" t="s">
        <v>24</v>
      </c>
      <c r="N720" s="20"/>
      <c r="O720" s="14">
        <v>1.0</v>
      </c>
      <c r="P720" s="15" t="s">
        <v>961</v>
      </c>
      <c r="Q720" s="16"/>
      <c r="R720" s="16"/>
      <c r="S720" s="16"/>
      <c r="T720" s="16"/>
      <c r="U720" s="16"/>
      <c r="V720" s="16"/>
      <c r="W720" s="16"/>
      <c r="X720" s="16"/>
      <c r="Y720" s="16"/>
      <c r="Z720" s="16"/>
    </row>
    <row r="721">
      <c r="A721" s="10">
        <v>38539.0</v>
      </c>
      <c r="B721" s="23">
        <v>1.03365905E8</v>
      </c>
      <c r="C721" s="12" t="s">
        <v>962</v>
      </c>
      <c r="D721" s="13" t="s">
        <v>18</v>
      </c>
      <c r="E721" s="13" t="s">
        <v>29</v>
      </c>
      <c r="F721" s="13">
        <v>32.0</v>
      </c>
      <c r="G721" s="13" t="s">
        <v>20</v>
      </c>
      <c r="H721" s="13" t="s">
        <v>28</v>
      </c>
      <c r="I721" s="14" t="s">
        <v>18</v>
      </c>
      <c r="J721" s="14" t="s">
        <v>29</v>
      </c>
      <c r="K721" s="14">
        <v>34.0</v>
      </c>
      <c r="L721" s="14" t="s">
        <v>23</v>
      </c>
      <c r="M721" s="14" t="s">
        <v>24</v>
      </c>
      <c r="N721" s="20"/>
      <c r="O721" s="14">
        <v>1.0</v>
      </c>
      <c r="P721" s="15" t="s">
        <v>963</v>
      </c>
      <c r="Q721" s="16"/>
      <c r="R721" s="16"/>
      <c r="S721" s="16"/>
      <c r="T721" s="16"/>
      <c r="U721" s="16"/>
      <c r="V721" s="16"/>
      <c r="W721" s="16"/>
      <c r="X721" s="16"/>
      <c r="Y721" s="16"/>
      <c r="Z721" s="16"/>
    </row>
    <row r="722">
      <c r="G722" s="13" t="s">
        <v>20</v>
      </c>
      <c r="H722" s="13" t="s">
        <v>28</v>
      </c>
      <c r="I722" s="14" t="s">
        <v>18</v>
      </c>
      <c r="J722" s="14" t="s">
        <v>29</v>
      </c>
      <c r="K722" s="14">
        <v>33.0</v>
      </c>
      <c r="L722" s="14" t="s">
        <v>23</v>
      </c>
      <c r="M722" s="14" t="s">
        <v>24</v>
      </c>
      <c r="N722" s="20"/>
      <c r="O722" s="14" t="s">
        <v>35</v>
      </c>
      <c r="Q722" s="16"/>
      <c r="R722" s="16"/>
      <c r="S722" s="16"/>
      <c r="T722" s="16"/>
      <c r="U722" s="16"/>
      <c r="V722" s="16"/>
      <c r="W722" s="16"/>
      <c r="X722" s="16"/>
      <c r="Y722" s="16"/>
      <c r="Z722" s="16"/>
    </row>
    <row r="723">
      <c r="D723" s="13" t="s">
        <v>18</v>
      </c>
      <c r="E723" s="13" t="s">
        <v>29</v>
      </c>
      <c r="F723" s="13">
        <v>31.0</v>
      </c>
      <c r="G723" s="13" t="s">
        <v>20</v>
      </c>
      <c r="H723" s="13" t="s">
        <v>28</v>
      </c>
      <c r="I723" s="14" t="s">
        <v>18</v>
      </c>
      <c r="J723" s="14" t="s">
        <v>29</v>
      </c>
      <c r="K723" s="14">
        <v>33.0</v>
      </c>
      <c r="L723" s="14" t="s">
        <v>23</v>
      </c>
      <c r="M723" s="14" t="s">
        <v>24</v>
      </c>
      <c r="N723" s="20"/>
      <c r="O723" s="14" t="s">
        <v>35</v>
      </c>
      <c r="Q723" s="16"/>
      <c r="R723" s="16"/>
      <c r="S723" s="16"/>
      <c r="T723" s="16"/>
      <c r="U723" s="16"/>
      <c r="V723" s="16"/>
      <c r="W723" s="16"/>
      <c r="X723" s="16"/>
      <c r="Y723" s="16"/>
      <c r="Z723" s="16"/>
    </row>
    <row r="724">
      <c r="A724" s="10">
        <v>38534.0</v>
      </c>
      <c r="B724" s="23">
        <v>1.00573705E8</v>
      </c>
      <c r="C724" s="12" t="s">
        <v>964</v>
      </c>
      <c r="D724" s="13" t="s">
        <v>18</v>
      </c>
      <c r="E724" s="13" t="s">
        <v>22</v>
      </c>
      <c r="F724" s="13">
        <v>29.0</v>
      </c>
      <c r="G724" s="13" t="s">
        <v>34</v>
      </c>
      <c r="H724" s="13" t="s">
        <v>28</v>
      </c>
      <c r="I724" s="14" t="s">
        <v>18</v>
      </c>
      <c r="J724" s="14" t="s">
        <v>22</v>
      </c>
      <c r="K724" s="14">
        <v>27.0</v>
      </c>
      <c r="L724" s="14" t="s">
        <v>23</v>
      </c>
      <c r="M724" s="14" t="s">
        <v>24</v>
      </c>
      <c r="N724" s="20"/>
      <c r="O724" s="14" t="s">
        <v>35</v>
      </c>
      <c r="P724" s="15" t="s">
        <v>965</v>
      </c>
      <c r="Q724" s="16"/>
      <c r="R724" s="16"/>
      <c r="S724" s="16"/>
      <c r="T724" s="16"/>
      <c r="U724" s="16"/>
      <c r="V724" s="16"/>
      <c r="W724" s="16"/>
      <c r="X724" s="16"/>
      <c r="Y724" s="16"/>
      <c r="Z724" s="16"/>
    </row>
    <row r="725">
      <c r="I725" s="14" t="s">
        <v>18</v>
      </c>
      <c r="J725" s="14" t="s">
        <v>22</v>
      </c>
      <c r="K725" s="14">
        <v>26.0</v>
      </c>
      <c r="L725" s="14" t="s">
        <v>23</v>
      </c>
      <c r="M725" s="14" t="s">
        <v>24</v>
      </c>
      <c r="N725" s="20"/>
      <c r="O725" s="14">
        <v>1.0</v>
      </c>
      <c r="Q725" s="16"/>
      <c r="R725" s="16"/>
      <c r="S725" s="16"/>
      <c r="T725" s="16"/>
      <c r="U725" s="16"/>
      <c r="V725" s="16"/>
      <c r="W725" s="16"/>
      <c r="X725" s="16"/>
      <c r="Y725" s="16"/>
      <c r="Z725" s="16"/>
    </row>
    <row r="726">
      <c r="A726" s="10">
        <v>38522.0</v>
      </c>
      <c r="B726" s="23">
        <v>9.4050605E7</v>
      </c>
      <c r="C726" s="12" t="s">
        <v>966</v>
      </c>
      <c r="D726" s="13" t="s">
        <v>18</v>
      </c>
      <c r="E726" s="13" t="s">
        <v>49</v>
      </c>
      <c r="F726" s="13">
        <v>31.0</v>
      </c>
      <c r="G726" s="13" t="s">
        <v>20</v>
      </c>
      <c r="H726" s="13" t="s">
        <v>28</v>
      </c>
      <c r="I726" s="14" t="s">
        <v>18</v>
      </c>
      <c r="J726" s="14" t="s">
        <v>22</v>
      </c>
      <c r="K726" s="14">
        <v>36.0</v>
      </c>
      <c r="L726" s="14" t="s">
        <v>23</v>
      </c>
      <c r="M726" s="14" t="s">
        <v>60</v>
      </c>
      <c r="N726" s="20"/>
      <c r="O726" s="14">
        <v>1.0</v>
      </c>
      <c r="P726" s="15" t="s">
        <v>967</v>
      </c>
      <c r="Q726" s="16"/>
      <c r="R726" s="16"/>
      <c r="S726" s="16"/>
      <c r="T726" s="16"/>
      <c r="U726" s="16"/>
      <c r="V726" s="16"/>
      <c r="W726" s="16"/>
      <c r="X726" s="16"/>
      <c r="Y726" s="16"/>
      <c r="Z726" s="16"/>
    </row>
    <row r="727">
      <c r="A727" s="10">
        <v>38512.0</v>
      </c>
      <c r="B727" s="23">
        <v>8.8385705E7</v>
      </c>
      <c r="C727" s="12" t="s">
        <v>968</v>
      </c>
      <c r="D727" s="13" t="s">
        <v>18</v>
      </c>
      <c r="E727" s="13" t="s">
        <v>29</v>
      </c>
      <c r="F727" s="13">
        <v>26.0</v>
      </c>
      <c r="G727" s="13" t="s">
        <v>20</v>
      </c>
      <c r="H727" s="13" t="s">
        <v>23</v>
      </c>
      <c r="I727" s="14" t="s">
        <v>18</v>
      </c>
      <c r="J727" s="14" t="s">
        <v>29</v>
      </c>
      <c r="K727" s="14">
        <v>48.0</v>
      </c>
      <c r="L727" s="14" t="s">
        <v>23</v>
      </c>
      <c r="M727" s="14" t="s">
        <v>24</v>
      </c>
      <c r="N727" s="20"/>
      <c r="O727" s="14">
        <v>1.0</v>
      </c>
      <c r="P727" s="15" t="s">
        <v>969</v>
      </c>
      <c r="Q727" s="16"/>
      <c r="R727" s="16"/>
      <c r="S727" s="16"/>
      <c r="T727" s="16"/>
      <c r="U727" s="16"/>
      <c r="V727" s="16"/>
      <c r="W727" s="16"/>
      <c r="X727" s="16"/>
      <c r="Y727" s="16"/>
      <c r="Z727" s="16"/>
    </row>
    <row r="728">
      <c r="A728" s="10">
        <v>38506.0</v>
      </c>
      <c r="B728" s="23">
        <v>8.5495805E7</v>
      </c>
      <c r="C728" s="12" t="s">
        <v>970</v>
      </c>
      <c r="D728" s="13" t="s">
        <v>164</v>
      </c>
      <c r="E728" s="13" t="s">
        <v>164</v>
      </c>
      <c r="F728" s="13" t="s">
        <v>164</v>
      </c>
      <c r="G728" s="13" t="s">
        <v>23</v>
      </c>
      <c r="H728" s="13" t="s">
        <v>152</v>
      </c>
      <c r="I728" s="14" t="s">
        <v>18</v>
      </c>
      <c r="J728" s="14" t="s">
        <v>22</v>
      </c>
      <c r="K728" s="14">
        <v>36.0</v>
      </c>
      <c r="L728" s="14" t="s">
        <v>20</v>
      </c>
      <c r="M728" s="14" t="s">
        <v>24</v>
      </c>
      <c r="N728" s="20"/>
      <c r="O728" s="14">
        <v>1.0</v>
      </c>
      <c r="P728" s="15" t="s">
        <v>971</v>
      </c>
      <c r="Q728" s="16"/>
      <c r="R728" s="16"/>
      <c r="S728" s="16"/>
      <c r="T728" s="16"/>
      <c r="U728" s="16"/>
      <c r="V728" s="16"/>
      <c r="W728" s="16"/>
      <c r="X728" s="16"/>
      <c r="Y728" s="16"/>
      <c r="Z728" s="16"/>
    </row>
    <row r="729">
      <c r="A729" s="10">
        <v>38498.0</v>
      </c>
      <c r="B729" s="23">
        <v>8.0613005E7</v>
      </c>
      <c r="C729" s="12" t="s">
        <v>972</v>
      </c>
      <c r="D729" s="13" t="s">
        <v>18</v>
      </c>
      <c r="E729" s="13" t="s">
        <v>29</v>
      </c>
      <c r="F729" s="13">
        <v>22.0</v>
      </c>
      <c r="G729" s="13" t="s">
        <v>34</v>
      </c>
      <c r="H729" s="13" t="s">
        <v>973</v>
      </c>
      <c r="I729" s="14" t="s">
        <v>18</v>
      </c>
      <c r="J729" s="14" t="s">
        <v>22</v>
      </c>
      <c r="K729" s="14">
        <v>38.0</v>
      </c>
      <c r="L729" s="14" t="s">
        <v>23</v>
      </c>
      <c r="M729" s="14" t="s">
        <v>24</v>
      </c>
      <c r="N729" s="20"/>
      <c r="O729" s="14" t="s">
        <v>35</v>
      </c>
      <c r="P729" s="15" t="s">
        <v>974</v>
      </c>
      <c r="Q729" s="16"/>
      <c r="R729" s="16"/>
      <c r="S729" s="16"/>
      <c r="T729" s="16"/>
      <c r="U729" s="16"/>
      <c r="V729" s="16"/>
      <c r="W729" s="16"/>
      <c r="X729" s="16"/>
      <c r="Y729" s="16"/>
      <c r="Z729" s="16"/>
    </row>
    <row r="730">
      <c r="A730" s="10">
        <v>38474.0</v>
      </c>
      <c r="B730" s="23">
        <v>6.6529405E7</v>
      </c>
      <c r="C730" s="12" t="s">
        <v>975</v>
      </c>
      <c r="D730" s="13" t="s">
        <v>18</v>
      </c>
      <c r="E730" s="13" t="s">
        <v>19</v>
      </c>
      <c r="F730" s="13">
        <v>25.0</v>
      </c>
      <c r="G730" s="13" t="s">
        <v>23</v>
      </c>
      <c r="H730" s="13" t="s">
        <v>152</v>
      </c>
      <c r="I730" s="14" t="s">
        <v>18</v>
      </c>
      <c r="J730" s="14" t="s">
        <v>19</v>
      </c>
      <c r="K730" s="14">
        <v>29.0</v>
      </c>
      <c r="L730" s="14" t="s">
        <v>20</v>
      </c>
      <c r="M730" s="14" t="s">
        <v>24</v>
      </c>
      <c r="N730" s="20"/>
      <c r="O730" s="14">
        <v>1.0</v>
      </c>
      <c r="P730" s="15" t="s">
        <v>976</v>
      </c>
      <c r="Q730" s="16"/>
      <c r="R730" s="16"/>
      <c r="S730" s="16"/>
      <c r="T730" s="16"/>
      <c r="U730" s="16"/>
      <c r="V730" s="16"/>
      <c r="W730" s="16"/>
      <c r="X730" s="16"/>
      <c r="Y730" s="16"/>
      <c r="Z730" s="16"/>
    </row>
    <row r="731">
      <c r="I731" s="14" t="s">
        <v>18</v>
      </c>
      <c r="J731" s="14" t="s">
        <v>19</v>
      </c>
      <c r="K731" s="14">
        <v>28.0</v>
      </c>
      <c r="L731" s="14" t="s">
        <v>23</v>
      </c>
      <c r="M731" s="14" t="s">
        <v>24</v>
      </c>
      <c r="N731" s="20"/>
      <c r="O731" s="14">
        <v>1.0</v>
      </c>
      <c r="Q731" s="16"/>
      <c r="R731" s="16"/>
      <c r="S731" s="16"/>
      <c r="T731" s="16"/>
      <c r="U731" s="16"/>
      <c r="V731" s="16"/>
      <c r="W731" s="16"/>
      <c r="X731" s="16"/>
      <c r="Y731" s="16"/>
      <c r="Z731" s="16"/>
    </row>
    <row r="732">
      <c r="A732" s="10">
        <v>38467.0</v>
      </c>
      <c r="B732" s="23">
        <v>6.3489305E7</v>
      </c>
      <c r="C732" s="12" t="s">
        <v>977</v>
      </c>
      <c r="D732" s="13" t="s">
        <v>18</v>
      </c>
      <c r="E732" s="13" t="s">
        <v>29</v>
      </c>
      <c r="F732" s="13">
        <v>18.0</v>
      </c>
      <c r="G732" s="13" t="s">
        <v>23</v>
      </c>
      <c r="H732" s="13" t="s">
        <v>152</v>
      </c>
      <c r="I732" s="14" t="s">
        <v>18</v>
      </c>
      <c r="J732" s="14" t="s">
        <v>29</v>
      </c>
      <c r="K732" s="14">
        <v>37.0</v>
      </c>
      <c r="L732" s="14" t="s">
        <v>23</v>
      </c>
      <c r="M732" s="14" t="s">
        <v>24</v>
      </c>
      <c r="N732" s="20"/>
      <c r="O732" s="14" t="s">
        <v>35</v>
      </c>
      <c r="P732" s="15" t="s">
        <v>978</v>
      </c>
      <c r="Q732" s="16"/>
      <c r="R732" s="16"/>
      <c r="S732" s="16"/>
      <c r="T732" s="16"/>
      <c r="U732" s="16"/>
      <c r="V732" s="16"/>
      <c r="W732" s="16"/>
      <c r="X732" s="16"/>
      <c r="Y732" s="16"/>
      <c r="Z732" s="16"/>
    </row>
    <row r="733">
      <c r="A733" s="10">
        <v>38450.0</v>
      </c>
      <c r="B733" s="23">
        <v>5.3339905E7</v>
      </c>
      <c r="C733" s="12" t="s">
        <v>979</v>
      </c>
      <c r="D733" s="13" t="s">
        <v>18</v>
      </c>
      <c r="E733" s="13" t="s">
        <v>19</v>
      </c>
      <c r="F733" s="13" t="s">
        <v>157</v>
      </c>
      <c r="G733" s="13" t="s">
        <v>23</v>
      </c>
      <c r="H733" s="13" t="s">
        <v>28</v>
      </c>
      <c r="I733" s="14" t="s">
        <v>18</v>
      </c>
      <c r="J733" s="14" t="s">
        <v>19</v>
      </c>
      <c r="K733" s="14">
        <v>39.0</v>
      </c>
      <c r="L733" s="14" t="s">
        <v>23</v>
      </c>
      <c r="M733" s="14" t="s">
        <v>60</v>
      </c>
      <c r="N733" s="20"/>
      <c r="O733" s="14" t="s">
        <v>35</v>
      </c>
      <c r="P733" s="15" t="s">
        <v>980</v>
      </c>
      <c r="Q733" s="16"/>
      <c r="R733" s="16"/>
      <c r="S733" s="16"/>
      <c r="T733" s="16"/>
      <c r="U733" s="16"/>
      <c r="V733" s="16"/>
      <c r="W733" s="16"/>
      <c r="X733" s="16"/>
      <c r="Y733" s="16"/>
      <c r="Z733" s="16"/>
    </row>
    <row r="734">
      <c r="A734" s="10">
        <v>38447.0</v>
      </c>
      <c r="B734" s="23">
        <v>5.2104805E7</v>
      </c>
      <c r="C734" s="12" t="s">
        <v>981</v>
      </c>
      <c r="D734" s="13" t="s">
        <v>18</v>
      </c>
      <c r="E734" s="13" t="s">
        <v>29</v>
      </c>
      <c r="F734" s="13">
        <v>26.0</v>
      </c>
      <c r="G734" s="13" t="s">
        <v>23</v>
      </c>
      <c r="H734" s="13" t="s">
        <v>23</v>
      </c>
      <c r="I734" s="14" t="s">
        <v>18</v>
      </c>
      <c r="J734" s="14" t="s">
        <v>22</v>
      </c>
      <c r="K734" s="14">
        <v>27.0</v>
      </c>
      <c r="L734" s="14" t="s">
        <v>23</v>
      </c>
      <c r="M734" s="14" t="s">
        <v>60</v>
      </c>
      <c r="N734" s="20"/>
      <c r="O734" s="14">
        <v>1.0</v>
      </c>
      <c r="P734" s="15" t="s">
        <v>982</v>
      </c>
      <c r="Q734" s="16"/>
      <c r="R734" s="16"/>
      <c r="S734" s="16"/>
      <c r="T734" s="16"/>
      <c r="U734" s="16"/>
      <c r="V734" s="16"/>
      <c r="W734" s="16"/>
      <c r="X734" s="16"/>
      <c r="Y734" s="16"/>
      <c r="Z734" s="16"/>
    </row>
    <row r="735">
      <c r="A735" s="10">
        <v>38441.0</v>
      </c>
      <c r="B735" s="23">
        <v>4.8422305E7</v>
      </c>
      <c r="C735" s="12" t="s">
        <v>983</v>
      </c>
      <c r="D735" s="13" t="s">
        <v>18</v>
      </c>
      <c r="E735" s="13" t="s">
        <v>29</v>
      </c>
      <c r="F735" s="13">
        <v>31.0</v>
      </c>
      <c r="G735" s="13" t="s">
        <v>23</v>
      </c>
      <c r="H735" s="13" t="s">
        <v>23</v>
      </c>
      <c r="I735" s="14" t="s">
        <v>18</v>
      </c>
      <c r="J735" s="14" t="s">
        <v>29</v>
      </c>
      <c r="K735" s="14">
        <v>36.0</v>
      </c>
      <c r="L735" s="14" t="s">
        <v>23</v>
      </c>
      <c r="M735" s="14" t="s">
        <v>24</v>
      </c>
      <c r="N735" s="20"/>
      <c r="O735" s="14">
        <v>1.0</v>
      </c>
      <c r="P735" s="15" t="s">
        <v>984</v>
      </c>
      <c r="Q735" s="16"/>
      <c r="R735" s="16"/>
      <c r="S735" s="16"/>
      <c r="T735" s="16"/>
      <c r="U735" s="16"/>
      <c r="V735" s="16"/>
      <c r="W735" s="16"/>
      <c r="X735" s="16"/>
      <c r="Y735" s="16"/>
      <c r="Z735" s="16"/>
    </row>
    <row r="736">
      <c r="A736" s="10">
        <v>38427.0</v>
      </c>
      <c r="B736" s="23">
        <v>4.0489405E7</v>
      </c>
      <c r="C736" s="12" t="s">
        <v>985</v>
      </c>
      <c r="D736" s="13" t="s">
        <v>18</v>
      </c>
      <c r="E736" s="13" t="s">
        <v>29</v>
      </c>
      <c r="F736" s="13">
        <v>39.0</v>
      </c>
      <c r="G736" s="13" t="s">
        <v>23</v>
      </c>
      <c r="H736" s="13" t="s">
        <v>23</v>
      </c>
      <c r="I736" s="14" t="s">
        <v>84</v>
      </c>
      <c r="J736" s="14" t="s">
        <v>19</v>
      </c>
      <c r="K736" s="14">
        <v>28.0</v>
      </c>
      <c r="L736" s="14" t="s">
        <v>23</v>
      </c>
      <c r="M736" s="14" t="s">
        <v>24</v>
      </c>
      <c r="N736" s="20"/>
      <c r="O736" s="14">
        <v>1.0</v>
      </c>
      <c r="P736" s="15" t="s">
        <v>986</v>
      </c>
      <c r="Q736" s="16"/>
      <c r="R736" s="16"/>
      <c r="S736" s="16"/>
      <c r="T736" s="16"/>
      <c r="U736" s="16"/>
      <c r="V736" s="16"/>
      <c r="W736" s="16"/>
      <c r="X736" s="16"/>
      <c r="Y736" s="16"/>
      <c r="Z736" s="16"/>
    </row>
    <row r="737">
      <c r="A737" s="10">
        <v>38424.0</v>
      </c>
      <c r="B737" s="23">
        <v>3.8929805E7</v>
      </c>
      <c r="C737" s="12" t="s">
        <v>987</v>
      </c>
      <c r="D737" s="13" t="s">
        <v>18</v>
      </c>
      <c r="E737" s="13" t="s">
        <v>19</v>
      </c>
      <c r="F737" s="13">
        <v>18.0</v>
      </c>
      <c r="G737" s="13" t="s">
        <v>23</v>
      </c>
      <c r="H737" s="13" t="s">
        <v>152</v>
      </c>
      <c r="I737" s="14" t="s">
        <v>18</v>
      </c>
      <c r="J737" s="14" t="s">
        <v>22</v>
      </c>
      <c r="K737" s="14">
        <v>36.0</v>
      </c>
      <c r="L737" s="14" t="s">
        <v>23</v>
      </c>
      <c r="M737" s="14" t="s">
        <v>24</v>
      </c>
      <c r="N737" s="20"/>
      <c r="O737" s="14">
        <v>1.0</v>
      </c>
      <c r="P737" s="15" t="s">
        <v>988</v>
      </c>
      <c r="Q737" s="16"/>
      <c r="R737" s="16"/>
      <c r="S737" s="16"/>
      <c r="T737" s="16"/>
      <c r="U737" s="16"/>
      <c r="V737" s="16"/>
      <c r="W737" s="16"/>
      <c r="X737" s="16"/>
      <c r="Y737" s="16"/>
      <c r="Z737" s="16"/>
    </row>
    <row r="738">
      <c r="A738" s="10">
        <v>38418.0</v>
      </c>
      <c r="B738" s="23">
        <v>3.5678805E7</v>
      </c>
      <c r="C738" s="12" t="s">
        <v>989</v>
      </c>
      <c r="D738" s="13" t="s">
        <v>18</v>
      </c>
      <c r="E738" s="13" t="s">
        <v>29</v>
      </c>
      <c r="F738" s="13">
        <v>21.0</v>
      </c>
      <c r="G738" s="13" t="s">
        <v>34</v>
      </c>
      <c r="H738" s="13" t="s">
        <v>28</v>
      </c>
      <c r="I738" s="14" t="s">
        <v>18</v>
      </c>
      <c r="J738" s="14" t="s">
        <v>22</v>
      </c>
      <c r="K738" s="14">
        <v>45.0</v>
      </c>
      <c r="L738" s="14" t="s">
        <v>23</v>
      </c>
      <c r="M738" s="14" t="s">
        <v>24</v>
      </c>
      <c r="N738" s="20"/>
      <c r="O738" s="14">
        <v>1.0</v>
      </c>
      <c r="P738" s="15" t="s">
        <v>990</v>
      </c>
      <c r="Q738" s="16"/>
      <c r="R738" s="16"/>
      <c r="S738" s="16"/>
      <c r="T738" s="16"/>
      <c r="U738" s="16"/>
      <c r="V738" s="16"/>
      <c r="W738" s="16"/>
      <c r="X738" s="16"/>
      <c r="Y738" s="16"/>
      <c r="Z738" s="16"/>
    </row>
    <row r="739">
      <c r="A739" s="10">
        <v>38412.0</v>
      </c>
      <c r="B739" s="23">
        <v>3.2456405E7</v>
      </c>
      <c r="C739" s="12" t="s">
        <v>991</v>
      </c>
      <c r="D739" s="13" t="s">
        <v>18</v>
      </c>
      <c r="E739" s="13" t="s">
        <v>29</v>
      </c>
      <c r="F739" s="13">
        <v>22.0</v>
      </c>
      <c r="G739" s="13" t="s">
        <v>23</v>
      </c>
      <c r="H739" s="13" t="s">
        <v>28</v>
      </c>
      <c r="I739" s="14" t="s">
        <v>18</v>
      </c>
      <c r="J739" s="14" t="s">
        <v>22</v>
      </c>
      <c r="K739" s="14">
        <v>30.0</v>
      </c>
      <c r="L739" s="14" t="s">
        <v>23</v>
      </c>
      <c r="M739" s="14" t="s">
        <v>24</v>
      </c>
      <c r="N739" s="20"/>
      <c r="O739" s="14">
        <v>1.0</v>
      </c>
      <c r="P739" s="15" t="s">
        <v>992</v>
      </c>
      <c r="Q739" s="16"/>
      <c r="R739" s="16"/>
      <c r="S739" s="16"/>
      <c r="T739" s="16"/>
      <c r="U739" s="16"/>
      <c r="V739" s="16"/>
      <c r="W739" s="16"/>
      <c r="X739" s="16"/>
      <c r="Y739" s="16"/>
      <c r="Z739" s="16"/>
    </row>
    <row r="740">
      <c r="A740" s="10">
        <v>38409.0</v>
      </c>
      <c r="B740" s="23">
        <v>3.0500705E7</v>
      </c>
      <c r="C740" s="12" t="s">
        <v>993</v>
      </c>
      <c r="D740" s="13" t="s">
        <v>18</v>
      </c>
      <c r="E740" s="13" t="s">
        <v>22</v>
      </c>
      <c r="F740" s="13">
        <v>29.0</v>
      </c>
      <c r="G740" s="13" t="s">
        <v>23</v>
      </c>
      <c r="H740" s="13" t="s">
        <v>28</v>
      </c>
      <c r="I740" s="14" t="s">
        <v>18</v>
      </c>
      <c r="J740" s="14" t="s">
        <v>19</v>
      </c>
      <c r="K740" s="14">
        <v>43.0</v>
      </c>
      <c r="L740" s="14" t="s">
        <v>23</v>
      </c>
      <c r="M740" s="14" t="s">
        <v>60</v>
      </c>
      <c r="N740" s="20"/>
      <c r="O740" s="14" t="s">
        <v>35</v>
      </c>
      <c r="P740" s="15" t="s">
        <v>994</v>
      </c>
      <c r="Q740" s="16"/>
      <c r="R740" s="16"/>
      <c r="S740" s="16"/>
      <c r="T740" s="16"/>
      <c r="U740" s="16"/>
      <c r="V740" s="16"/>
      <c r="W740" s="16"/>
      <c r="X740" s="16"/>
      <c r="Y740" s="16"/>
      <c r="Z740" s="16"/>
    </row>
    <row r="741">
      <c r="I741" s="14" t="s">
        <v>18</v>
      </c>
      <c r="J741" s="14" t="s">
        <v>19</v>
      </c>
      <c r="K741" s="14">
        <v>35.0</v>
      </c>
      <c r="L741" s="14" t="s">
        <v>23</v>
      </c>
      <c r="M741" s="14" t="s">
        <v>60</v>
      </c>
      <c r="N741" s="20"/>
      <c r="O741" s="14" t="s">
        <v>35</v>
      </c>
      <c r="Q741" s="16"/>
      <c r="R741" s="16"/>
      <c r="S741" s="16"/>
      <c r="T741" s="16"/>
      <c r="U741" s="16"/>
      <c r="V741" s="16"/>
      <c r="W741" s="16"/>
      <c r="X741" s="16"/>
      <c r="Y741" s="16"/>
      <c r="Z741" s="16"/>
    </row>
    <row r="742">
      <c r="A742" s="10">
        <v>38406.0</v>
      </c>
      <c r="B742" s="23">
        <v>2.8841605E7</v>
      </c>
      <c r="C742" s="12" t="s">
        <v>995</v>
      </c>
      <c r="D742" s="13" t="s">
        <v>18</v>
      </c>
      <c r="E742" s="13" t="s">
        <v>29</v>
      </c>
      <c r="F742" s="13">
        <v>26.0</v>
      </c>
      <c r="G742" s="13" t="s">
        <v>34</v>
      </c>
      <c r="H742" s="13" t="s">
        <v>28</v>
      </c>
      <c r="I742" s="14" t="s">
        <v>18</v>
      </c>
      <c r="J742" s="14" t="s">
        <v>19</v>
      </c>
      <c r="K742" s="14">
        <v>30.0</v>
      </c>
      <c r="L742" s="14" t="s">
        <v>23</v>
      </c>
      <c r="M742" s="14" t="s">
        <v>24</v>
      </c>
      <c r="N742" s="20"/>
      <c r="O742" s="14">
        <v>1.0</v>
      </c>
      <c r="P742" s="15" t="s">
        <v>996</v>
      </c>
      <c r="Q742" s="16"/>
      <c r="R742" s="16"/>
      <c r="S742" s="16"/>
      <c r="T742" s="16"/>
      <c r="U742" s="16"/>
      <c r="V742" s="16"/>
      <c r="W742" s="16"/>
      <c r="X742" s="16"/>
      <c r="Y742" s="16"/>
      <c r="Z742" s="16"/>
    </row>
    <row r="743">
      <c r="A743" s="10">
        <v>38397.0</v>
      </c>
      <c r="B743" s="23">
        <v>2.4094505E7</v>
      </c>
      <c r="C743" s="12" t="s">
        <v>997</v>
      </c>
      <c r="D743" s="13" t="s">
        <v>18</v>
      </c>
      <c r="E743" s="13" t="s">
        <v>29</v>
      </c>
      <c r="F743" s="13">
        <v>18.0</v>
      </c>
      <c r="G743" s="13" t="s">
        <v>23</v>
      </c>
      <c r="H743" s="13" t="s">
        <v>28</v>
      </c>
      <c r="I743" s="14" t="s">
        <v>18</v>
      </c>
      <c r="J743" s="14" t="s">
        <v>22</v>
      </c>
      <c r="K743" s="14">
        <v>37.0</v>
      </c>
      <c r="L743" s="14" t="s">
        <v>23</v>
      </c>
      <c r="M743" s="14" t="s">
        <v>24</v>
      </c>
      <c r="N743" s="20"/>
      <c r="O743" s="14" t="s">
        <v>35</v>
      </c>
      <c r="P743" s="15" t="s">
        <v>998</v>
      </c>
      <c r="Q743" s="16"/>
      <c r="R743" s="16"/>
      <c r="S743" s="16"/>
      <c r="T743" s="16"/>
      <c r="U743" s="16"/>
      <c r="V743" s="16"/>
      <c r="W743" s="16"/>
      <c r="X743" s="16"/>
      <c r="Y743" s="16"/>
      <c r="Z743" s="16"/>
    </row>
    <row r="744">
      <c r="A744" s="10">
        <v>38393.0</v>
      </c>
      <c r="B744" s="23">
        <v>2.1966005E7</v>
      </c>
      <c r="C744" s="12" t="s">
        <v>999</v>
      </c>
      <c r="D744" s="13" t="s">
        <v>18</v>
      </c>
      <c r="E744" s="13" t="s">
        <v>49</v>
      </c>
      <c r="F744" s="13">
        <v>26.0</v>
      </c>
      <c r="G744" s="13" t="s">
        <v>23</v>
      </c>
      <c r="H744" s="13" t="s">
        <v>152</v>
      </c>
      <c r="I744" s="14" t="s">
        <v>18</v>
      </c>
      <c r="J744" s="14" t="s">
        <v>19</v>
      </c>
      <c r="K744" s="14">
        <v>32.0</v>
      </c>
      <c r="L744" s="14" t="s">
        <v>23</v>
      </c>
      <c r="M744" s="14" t="s">
        <v>24</v>
      </c>
      <c r="N744" s="20"/>
      <c r="O744" s="14">
        <v>1.0</v>
      </c>
      <c r="P744" s="15" t="s">
        <v>1000</v>
      </c>
      <c r="Q744" s="16"/>
      <c r="R744" s="16"/>
      <c r="S744" s="16"/>
      <c r="T744" s="16"/>
      <c r="U744" s="16"/>
      <c r="V744" s="16"/>
      <c r="W744" s="16"/>
      <c r="X744" s="16"/>
      <c r="Y744" s="16"/>
      <c r="Z744" s="16"/>
    </row>
    <row r="745">
      <c r="A745" s="10">
        <v>38355.0</v>
      </c>
      <c r="B745" s="23">
        <v>1517405.0</v>
      </c>
      <c r="C745" s="12" t="s">
        <v>1001</v>
      </c>
      <c r="D745" s="13" t="s">
        <v>18</v>
      </c>
      <c r="E745" s="13" t="s">
        <v>19</v>
      </c>
      <c r="F745" s="13">
        <v>26.0</v>
      </c>
      <c r="G745" s="13" t="s">
        <v>34</v>
      </c>
      <c r="H745" s="13" t="s">
        <v>28</v>
      </c>
      <c r="I745" s="14" t="s">
        <v>18</v>
      </c>
      <c r="J745" s="14" t="s">
        <v>19</v>
      </c>
      <c r="K745" s="14">
        <v>28.0</v>
      </c>
      <c r="L745" s="14" t="s">
        <v>23</v>
      </c>
      <c r="M745" s="14" t="s">
        <v>24</v>
      </c>
      <c r="N745" s="20"/>
      <c r="O745" s="14" t="s">
        <v>35</v>
      </c>
      <c r="P745" s="15" t="s">
        <v>1002</v>
      </c>
      <c r="Q745" s="16"/>
      <c r="R745" s="16"/>
      <c r="S745" s="16"/>
      <c r="T745" s="16"/>
      <c r="U745" s="16"/>
      <c r="V745" s="16"/>
      <c r="W745" s="16"/>
      <c r="X745" s="16"/>
      <c r="Y745" s="16"/>
      <c r="Z745" s="16"/>
    </row>
    <row r="746">
      <c r="I746" s="14" t="s">
        <v>18</v>
      </c>
      <c r="J746" s="14" t="s">
        <v>22</v>
      </c>
      <c r="K746" s="14">
        <v>29.0</v>
      </c>
      <c r="L746" s="14" t="s">
        <v>23</v>
      </c>
      <c r="M746" s="14" t="s">
        <v>24</v>
      </c>
      <c r="N746" s="20"/>
      <c r="O746" s="14" t="s">
        <v>35</v>
      </c>
      <c r="Q746" s="16"/>
      <c r="R746" s="16"/>
      <c r="S746" s="16"/>
      <c r="T746" s="16"/>
      <c r="U746" s="16"/>
      <c r="V746" s="16"/>
      <c r="W746" s="16"/>
      <c r="X746" s="16"/>
      <c r="Y746" s="16"/>
      <c r="Z746" s="16"/>
    </row>
    <row r="747">
      <c r="A747" s="10">
        <v>38354.0</v>
      </c>
      <c r="B747" s="23">
        <v>1027805.0</v>
      </c>
      <c r="C747" s="12" t="s">
        <v>1003</v>
      </c>
      <c r="D747" s="13" t="s">
        <v>18</v>
      </c>
      <c r="E747" s="13" t="s">
        <v>19</v>
      </c>
      <c r="F747" s="13">
        <v>35.0</v>
      </c>
      <c r="G747" s="13" t="s">
        <v>20</v>
      </c>
      <c r="H747" s="13" t="s">
        <v>152</v>
      </c>
      <c r="I747" s="14" t="s">
        <v>18</v>
      </c>
      <c r="J747" s="14" t="s">
        <v>45</v>
      </c>
      <c r="K747" s="14">
        <v>39.0</v>
      </c>
      <c r="L747" s="14" t="s">
        <v>23</v>
      </c>
      <c r="M747" s="14" t="s">
        <v>24</v>
      </c>
      <c r="N747" s="20"/>
      <c r="O747" s="14">
        <v>1.0</v>
      </c>
      <c r="P747" s="15" t="s">
        <v>1004</v>
      </c>
      <c r="Q747" s="16"/>
      <c r="R747" s="16"/>
      <c r="S747" s="16"/>
      <c r="T747" s="16"/>
      <c r="U747" s="16"/>
      <c r="V747" s="16"/>
      <c r="W747" s="16"/>
      <c r="X747" s="16"/>
      <c r="Y747" s="16"/>
      <c r="Z747" s="16"/>
    </row>
  </sheetData>
  <mergeCells count="1494">
    <mergeCell ref="H526:H531"/>
    <mergeCell ref="P526:P531"/>
    <mergeCell ref="A526:A531"/>
    <mergeCell ref="B526:B531"/>
    <mergeCell ref="C526:C531"/>
    <mergeCell ref="D526:D531"/>
    <mergeCell ref="E526:E531"/>
    <mergeCell ref="F526:F531"/>
    <mergeCell ref="G526:G531"/>
    <mergeCell ref="H533:H534"/>
    <mergeCell ref="P533:P534"/>
    <mergeCell ref="A533:A534"/>
    <mergeCell ref="B533:B534"/>
    <mergeCell ref="C533:C534"/>
    <mergeCell ref="D533:D534"/>
    <mergeCell ref="E533:E534"/>
    <mergeCell ref="F533:F534"/>
    <mergeCell ref="G533:G534"/>
    <mergeCell ref="H538:H540"/>
    <mergeCell ref="P538:P540"/>
    <mergeCell ref="A538:A540"/>
    <mergeCell ref="B538:B540"/>
    <mergeCell ref="C538:C540"/>
    <mergeCell ref="D538:D540"/>
    <mergeCell ref="E538:E540"/>
    <mergeCell ref="F538:F540"/>
    <mergeCell ref="G538:G540"/>
    <mergeCell ref="P604:P611"/>
    <mergeCell ref="P618:P623"/>
    <mergeCell ref="D566:D568"/>
    <mergeCell ref="E566:E568"/>
    <mergeCell ref="A587:A588"/>
    <mergeCell ref="B587:B588"/>
    <mergeCell ref="C587:C588"/>
    <mergeCell ref="D587:D588"/>
    <mergeCell ref="E587:E588"/>
    <mergeCell ref="B591:B594"/>
    <mergeCell ref="C591:C594"/>
    <mergeCell ref="D591:D594"/>
    <mergeCell ref="E591:E594"/>
    <mergeCell ref="F591:F594"/>
    <mergeCell ref="G591:G594"/>
    <mergeCell ref="H591:H594"/>
    <mergeCell ref="G595:G597"/>
    <mergeCell ref="H595:H597"/>
    <mergeCell ref="A591:A594"/>
    <mergeCell ref="A595:A597"/>
    <mergeCell ref="B595:B597"/>
    <mergeCell ref="C595:C597"/>
    <mergeCell ref="D595:D597"/>
    <mergeCell ref="E595:E597"/>
    <mergeCell ref="F595:F597"/>
    <mergeCell ref="A599:A601"/>
    <mergeCell ref="B599:B601"/>
    <mergeCell ref="C599:C601"/>
    <mergeCell ref="D599:D601"/>
    <mergeCell ref="E599:E601"/>
    <mergeCell ref="F599:F601"/>
    <mergeCell ref="A602:A603"/>
    <mergeCell ref="F604:F611"/>
    <mergeCell ref="G604:G611"/>
    <mergeCell ref="H604:H611"/>
    <mergeCell ref="B602:B603"/>
    <mergeCell ref="C602:C603"/>
    <mergeCell ref="A604:A611"/>
    <mergeCell ref="B604:B611"/>
    <mergeCell ref="C604:C611"/>
    <mergeCell ref="D604:D611"/>
    <mergeCell ref="E604:E611"/>
    <mergeCell ref="H547:H550"/>
    <mergeCell ref="P547:P550"/>
    <mergeCell ref="A547:A550"/>
    <mergeCell ref="B547:B550"/>
    <mergeCell ref="C547:C550"/>
    <mergeCell ref="D547:D550"/>
    <mergeCell ref="E547:E550"/>
    <mergeCell ref="F547:F550"/>
    <mergeCell ref="G547:G550"/>
    <mergeCell ref="H551:H553"/>
    <mergeCell ref="P551:P553"/>
    <mergeCell ref="A551:A553"/>
    <mergeCell ref="B551:B553"/>
    <mergeCell ref="C551:C553"/>
    <mergeCell ref="D551:D553"/>
    <mergeCell ref="E551:E553"/>
    <mergeCell ref="F551:F553"/>
    <mergeCell ref="G551:G553"/>
    <mergeCell ref="H555:H556"/>
    <mergeCell ref="P555:P556"/>
    <mergeCell ref="A555:A556"/>
    <mergeCell ref="B555:B556"/>
    <mergeCell ref="C555:C556"/>
    <mergeCell ref="D555:D556"/>
    <mergeCell ref="E555:E556"/>
    <mergeCell ref="F555:F556"/>
    <mergeCell ref="G555:G556"/>
    <mergeCell ref="H557:H560"/>
    <mergeCell ref="P557:P560"/>
    <mergeCell ref="A557:A560"/>
    <mergeCell ref="B557:B560"/>
    <mergeCell ref="C557:C560"/>
    <mergeCell ref="D557:D560"/>
    <mergeCell ref="E557:E560"/>
    <mergeCell ref="F557:F560"/>
    <mergeCell ref="G557:G560"/>
    <mergeCell ref="F566:F568"/>
    <mergeCell ref="G566:G568"/>
    <mergeCell ref="P563:P564"/>
    <mergeCell ref="P566:P568"/>
    <mergeCell ref="A563:A564"/>
    <mergeCell ref="B563:B564"/>
    <mergeCell ref="C563:C564"/>
    <mergeCell ref="A566:A568"/>
    <mergeCell ref="B566:B568"/>
    <mergeCell ref="C566:C568"/>
    <mergeCell ref="H566:H568"/>
    <mergeCell ref="F587:F588"/>
    <mergeCell ref="G587:G588"/>
    <mergeCell ref="H587:H588"/>
    <mergeCell ref="P587:P588"/>
    <mergeCell ref="P591:P594"/>
    <mergeCell ref="P595:P597"/>
    <mergeCell ref="P599:P601"/>
    <mergeCell ref="I602:I603"/>
    <mergeCell ref="J602:J603"/>
    <mergeCell ref="K602:K603"/>
    <mergeCell ref="L602:L603"/>
    <mergeCell ref="M602:M603"/>
    <mergeCell ref="O602:O603"/>
    <mergeCell ref="P602:P603"/>
    <mergeCell ref="H644:H645"/>
    <mergeCell ref="P644:P645"/>
    <mergeCell ref="A644:A645"/>
    <mergeCell ref="B644:B645"/>
    <mergeCell ref="C644:C645"/>
    <mergeCell ref="D644:D645"/>
    <mergeCell ref="E644:E645"/>
    <mergeCell ref="F644:F645"/>
    <mergeCell ref="G644:G645"/>
    <mergeCell ref="H681:H683"/>
    <mergeCell ref="P681:P683"/>
    <mergeCell ref="A681:A683"/>
    <mergeCell ref="B681:B683"/>
    <mergeCell ref="C681:C683"/>
    <mergeCell ref="D681:D683"/>
    <mergeCell ref="E681:E683"/>
    <mergeCell ref="F681:F683"/>
    <mergeCell ref="G681:G683"/>
    <mergeCell ref="H688:H689"/>
    <mergeCell ref="P688:P689"/>
    <mergeCell ref="A688:A689"/>
    <mergeCell ref="B688:B689"/>
    <mergeCell ref="C688:C689"/>
    <mergeCell ref="D688:D689"/>
    <mergeCell ref="E688:E689"/>
    <mergeCell ref="F688:F689"/>
    <mergeCell ref="G688:G689"/>
    <mergeCell ref="H692:H693"/>
    <mergeCell ref="P692:P693"/>
    <mergeCell ref="A692:A693"/>
    <mergeCell ref="B692:B693"/>
    <mergeCell ref="C692:C693"/>
    <mergeCell ref="D692:D693"/>
    <mergeCell ref="E692:E693"/>
    <mergeCell ref="F692:F693"/>
    <mergeCell ref="G692:G693"/>
    <mergeCell ref="H695:H696"/>
    <mergeCell ref="P695:P696"/>
    <mergeCell ref="A695:A696"/>
    <mergeCell ref="B695:B696"/>
    <mergeCell ref="C695:C696"/>
    <mergeCell ref="D695:D696"/>
    <mergeCell ref="E695:E696"/>
    <mergeCell ref="F695:F696"/>
    <mergeCell ref="G695:G696"/>
    <mergeCell ref="H697:H698"/>
    <mergeCell ref="P697:P698"/>
    <mergeCell ref="A697:A698"/>
    <mergeCell ref="B697:B698"/>
    <mergeCell ref="C697:C698"/>
    <mergeCell ref="D697:D698"/>
    <mergeCell ref="E697:E698"/>
    <mergeCell ref="F697:F698"/>
    <mergeCell ref="G697:G698"/>
    <mergeCell ref="F716:F717"/>
    <mergeCell ref="G716:G717"/>
    <mergeCell ref="P699:P702"/>
    <mergeCell ref="P716:P717"/>
    <mergeCell ref="A699:A702"/>
    <mergeCell ref="B699:B702"/>
    <mergeCell ref="C699:C702"/>
    <mergeCell ref="A716:A717"/>
    <mergeCell ref="B716:B717"/>
    <mergeCell ref="C716:C717"/>
    <mergeCell ref="H716:H717"/>
    <mergeCell ref="A724:A725"/>
    <mergeCell ref="B724:B725"/>
    <mergeCell ref="C724:C725"/>
    <mergeCell ref="D724:D725"/>
    <mergeCell ref="E724:E725"/>
    <mergeCell ref="F724:F725"/>
    <mergeCell ref="G724:G725"/>
    <mergeCell ref="H724:H725"/>
    <mergeCell ref="D716:D717"/>
    <mergeCell ref="E716:E717"/>
    <mergeCell ref="A721:A723"/>
    <mergeCell ref="B721:B723"/>
    <mergeCell ref="C721:C723"/>
    <mergeCell ref="D721:D722"/>
    <mergeCell ref="E721:E722"/>
    <mergeCell ref="B730:B731"/>
    <mergeCell ref="C730:C731"/>
    <mergeCell ref="D730:D731"/>
    <mergeCell ref="E730:E731"/>
    <mergeCell ref="F730:F731"/>
    <mergeCell ref="G730:G731"/>
    <mergeCell ref="H730:H731"/>
    <mergeCell ref="G740:G741"/>
    <mergeCell ref="H740:H741"/>
    <mergeCell ref="A745:A746"/>
    <mergeCell ref="B745:B746"/>
    <mergeCell ref="C745:C746"/>
    <mergeCell ref="D745:D746"/>
    <mergeCell ref="E745:E746"/>
    <mergeCell ref="F745:F746"/>
    <mergeCell ref="G745:G746"/>
    <mergeCell ref="H745:H746"/>
    <mergeCell ref="A730:A731"/>
    <mergeCell ref="A740:A741"/>
    <mergeCell ref="B740:B741"/>
    <mergeCell ref="C740:C741"/>
    <mergeCell ref="D740:D741"/>
    <mergeCell ref="E740:E741"/>
    <mergeCell ref="F740:F741"/>
    <mergeCell ref="B618:B623"/>
    <mergeCell ref="C618:C623"/>
    <mergeCell ref="D618:D623"/>
    <mergeCell ref="E618:E623"/>
    <mergeCell ref="F618:F623"/>
    <mergeCell ref="G618:G623"/>
    <mergeCell ref="H618:H623"/>
    <mergeCell ref="G624:G625"/>
    <mergeCell ref="H624:H625"/>
    <mergeCell ref="P624:P625"/>
    <mergeCell ref="A618:A623"/>
    <mergeCell ref="A624:A625"/>
    <mergeCell ref="B624:B625"/>
    <mergeCell ref="C624:C625"/>
    <mergeCell ref="D624:D625"/>
    <mergeCell ref="E624:E625"/>
    <mergeCell ref="F624:F625"/>
    <mergeCell ref="B637:B638"/>
    <mergeCell ref="C637:C638"/>
    <mergeCell ref="D637:D638"/>
    <mergeCell ref="E637:E638"/>
    <mergeCell ref="F637:F638"/>
    <mergeCell ref="G637:G638"/>
    <mergeCell ref="P637:P638"/>
    <mergeCell ref="G639:G640"/>
    <mergeCell ref="H639:H640"/>
    <mergeCell ref="P639:P640"/>
    <mergeCell ref="A637:A638"/>
    <mergeCell ref="A639:A640"/>
    <mergeCell ref="B639:B640"/>
    <mergeCell ref="C639:C640"/>
    <mergeCell ref="D639:D640"/>
    <mergeCell ref="E639:E640"/>
    <mergeCell ref="F639:F640"/>
    <mergeCell ref="F721:F722"/>
    <mergeCell ref="P721:P723"/>
    <mergeCell ref="P724:P725"/>
    <mergeCell ref="P730:P731"/>
    <mergeCell ref="P740:P741"/>
    <mergeCell ref="P745:P746"/>
    <mergeCell ref="H649:H650"/>
    <mergeCell ref="P649:P650"/>
    <mergeCell ref="A649:A650"/>
    <mergeCell ref="B649:B650"/>
    <mergeCell ref="C649:C650"/>
    <mergeCell ref="D649:D650"/>
    <mergeCell ref="E649:E650"/>
    <mergeCell ref="F649:F650"/>
    <mergeCell ref="G649:G650"/>
    <mergeCell ref="H653:H654"/>
    <mergeCell ref="P653:P654"/>
    <mergeCell ref="A653:A654"/>
    <mergeCell ref="B653:B654"/>
    <mergeCell ref="C653:C654"/>
    <mergeCell ref="D653:D654"/>
    <mergeCell ref="E653:E654"/>
    <mergeCell ref="F653:F654"/>
    <mergeCell ref="G653:G654"/>
    <mergeCell ref="H655:H656"/>
    <mergeCell ref="P655:P656"/>
    <mergeCell ref="A655:A656"/>
    <mergeCell ref="B655:B656"/>
    <mergeCell ref="C655:C656"/>
    <mergeCell ref="D655:D656"/>
    <mergeCell ref="E655:E656"/>
    <mergeCell ref="F655:F656"/>
    <mergeCell ref="G655:G656"/>
    <mergeCell ref="H658:H659"/>
    <mergeCell ref="P658:P659"/>
    <mergeCell ref="A658:A659"/>
    <mergeCell ref="B658:B659"/>
    <mergeCell ref="C658:C659"/>
    <mergeCell ref="D658:D659"/>
    <mergeCell ref="E658:E659"/>
    <mergeCell ref="F658:F659"/>
    <mergeCell ref="G658:G659"/>
    <mergeCell ref="H666:H668"/>
    <mergeCell ref="P666:P668"/>
    <mergeCell ref="A666:A668"/>
    <mergeCell ref="B666:B668"/>
    <mergeCell ref="C666:C668"/>
    <mergeCell ref="D666:D668"/>
    <mergeCell ref="E666:E668"/>
    <mergeCell ref="F666:F668"/>
    <mergeCell ref="G666:G668"/>
    <mergeCell ref="H672:H673"/>
    <mergeCell ref="P672:P673"/>
    <mergeCell ref="A672:A673"/>
    <mergeCell ref="B672:B673"/>
    <mergeCell ref="C672:C673"/>
    <mergeCell ref="D672:D673"/>
    <mergeCell ref="E672:E673"/>
    <mergeCell ref="F672:F673"/>
    <mergeCell ref="G672:G673"/>
    <mergeCell ref="M677:M678"/>
    <mergeCell ref="O677:O678"/>
    <mergeCell ref="P677:P678"/>
    <mergeCell ref="A677:A678"/>
    <mergeCell ref="B677:B678"/>
    <mergeCell ref="C677:C678"/>
    <mergeCell ref="I677:I678"/>
    <mergeCell ref="J677:J678"/>
    <mergeCell ref="K677:K678"/>
    <mergeCell ref="L677:L678"/>
    <mergeCell ref="G5:G7"/>
    <mergeCell ref="H5:H7"/>
    <mergeCell ref="G9:G10"/>
    <mergeCell ref="H9:H10"/>
    <mergeCell ref="A1:C1"/>
    <mergeCell ref="D1:H1"/>
    <mergeCell ref="I1:P1"/>
    <mergeCell ref="A5:A7"/>
    <mergeCell ref="B5:B7"/>
    <mergeCell ref="C5:C7"/>
    <mergeCell ref="D5:D7"/>
    <mergeCell ref="E5:E7"/>
    <mergeCell ref="F5:F7"/>
    <mergeCell ref="B9:B10"/>
    <mergeCell ref="C9:C10"/>
    <mergeCell ref="D9:D10"/>
    <mergeCell ref="E9:E10"/>
    <mergeCell ref="F9:F10"/>
    <mergeCell ref="G12:G13"/>
    <mergeCell ref="H12:H13"/>
    <mergeCell ref="A9:A10"/>
    <mergeCell ref="A12:A13"/>
    <mergeCell ref="B12:B13"/>
    <mergeCell ref="C12:C13"/>
    <mergeCell ref="D12:D13"/>
    <mergeCell ref="E12:E13"/>
    <mergeCell ref="F12:F13"/>
    <mergeCell ref="G25:G28"/>
    <mergeCell ref="H25:H28"/>
    <mergeCell ref="P33:P34"/>
    <mergeCell ref="P36:P37"/>
    <mergeCell ref="P38:P39"/>
    <mergeCell ref="P41:P42"/>
    <mergeCell ref="P44:P46"/>
    <mergeCell ref="P47:P48"/>
    <mergeCell ref="P51:P52"/>
    <mergeCell ref="P5:P7"/>
    <mergeCell ref="P9:P10"/>
    <mergeCell ref="P12:P13"/>
    <mergeCell ref="P14:P18"/>
    <mergeCell ref="P25:P28"/>
    <mergeCell ref="P29:P30"/>
    <mergeCell ref="P31:P32"/>
    <mergeCell ref="B38:B39"/>
    <mergeCell ref="C38:C39"/>
    <mergeCell ref="D38:D39"/>
    <mergeCell ref="E38:E39"/>
    <mergeCell ref="A33:A34"/>
    <mergeCell ref="B33:B34"/>
    <mergeCell ref="C33:C34"/>
    <mergeCell ref="A36:A37"/>
    <mergeCell ref="B36:B37"/>
    <mergeCell ref="C36:C37"/>
    <mergeCell ref="A38:A39"/>
    <mergeCell ref="B44:B46"/>
    <mergeCell ref="C44:C46"/>
    <mergeCell ref="D44:D46"/>
    <mergeCell ref="E44:E46"/>
    <mergeCell ref="F44:F46"/>
    <mergeCell ref="G44:G46"/>
    <mergeCell ref="H44:H46"/>
    <mergeCell ref="A44:A46"/>
    <mergeCell ref="A47:A48"/>
    <mergeCell ref="B47:B48"/>
    <mergeCell ref="C47:C48"/>
    <mergeCell ref="D47:D48"/>
    <mergeCell ref="E47:E48"/>
    <mergeCell ref="F47:F48"/>
    <mergeCell ref="N54:N55"/>
    <mergeCell ref="O54:O55"/>
    <mergeCell ref="P54:P55"/>
    <mergeCell ref="P57:P60"/>
    <mergeCell ref="P62:P63"/>
    <mergeCell ref="F51:F52"/>
    <mergeCell ref="G51:G52"/>
    <mergeCell ref="I54:I55"/>
    <mergeCell ref="J54:J55"/>
    <mergeCell ref="K54:K55"/>
    <mergeCell ref="L54:L55"/>
    <mergeCell ref="M54:M55"/>
    <mergeCell ref="D59:D60"/>
    <mergeCell ref="E59:E60"/>
    <mergeCell ref="F59:F60"/>
    <mergeCell ref="G59:G60"/>
    <mergeCell ref="H59:H60"/>
    <mergeCell ref="G47:G48"/>
    <mergeCell ref="H47:H48"/>
    <mergeCell ref="B51:B52"/>
    <mergeCell ref="C51:C52"/>
    <mergeCell ref="D51:D52"/>
    <mergeCell ref="E51:E52"/>
    <mergeCell ref="H51:H52"/>
    <mergeCell ref="B14:B18"/>
    <mergeCell ref="C14:C18"/>
    <mergeCell ref="D14:D18"/>
    <mergeCell ref="E14:E18"/>
    <mergeCell ref="F14:F18"/>
    <mergeCell ref="G14:G18"/>
    <mergeCell ref="H14:H18"/>
    <mergeCell ref="A14:A18"/>
    <mergeCell ref="A25:A28"/>
    <mergeCell ref="B25:B28"/>
    <mergeCell ref="C25:C28"/>
    <mergeCell ref="D25:D28"/>
    <mergeCell ref="E25:E28"/>
    <mergeCell ref="F25:F28"/>
    <mergeCell ref="B29:B30"/>
    <mergeCell ref="C29:C30"/>
    <mergeCell ref="D29:D30"/>
    <mergeCell ref="E29:E30"/>
    <mergeCell ref="F29:F30"/>
    <mergeCell ref="G29:G30"/>
    <mergeCell ref="H29:H30"/>
    <mergeCell ref="G31:G32"/>
    <mergeCell ref="H31:H32"/>
    <mergeCell ref="A29:A30"/>
    <mergeCell ref="A31:A32"/>
    <mergeCell ref="B31:B32"/>
    <mergeCell ref="C31:C32"/>
    <mergeCell ref="D31:D32"/>
    <mergeCell ref="E31:E32"/>
    <mergeCell ref="F31:F32"/>
    <mergeCell ref="A41:A42"/>
    <mergeCell ref="B41:B42"/>
    <mergeCell ref="C41:C42"/>
    <mergeCell ref="D41:D42"/>
    <mergeCell ref="E41:E42"/>
    <mergeCell ref="F41:F42"/>
    <mergeCell ref="G41:G42"/>
    <mergeCell ref="H41:H42"/>
    <mergeCell ref="D57:D58"/>
    <mergeCell ref="E57:E58"/>
    <mergeCell ref="F57:F58"/>
    <mergeCell ref="G57:G58"/>
    <mergeCell ref="H57:H58"/>
    <mergeCell ref="A62:A63"/>
    <mergeCell ref="B62:B63"/>
    <mergeCell ref="C62:C63"/>
    <mergeCell ref="D62:D63"/>
    <mergeCell ref="E62:E63"/>
    <mergeCell ref="F62:F63"/>
    <mergeCell ref="G62:G63"/>
    <mergeCell ref="H62:H63"/>
    <mergeCell ref="M66:M67"/>
    <mergeCell ref="N66:N67"/>
    <mergeCell ref="O66:O67"/>
    <mergeCell ref="P66:P67"/>
    <mergeCell ref="A66:A67"/>
    <mergeCell ref="B66:B67"/>
    <mergeCell ref="C66:C67"/>
    <mergeCell ref="I66:I67"/>
    <mergeCell ref="J66:J67"/>
    <mergeCell ref="K66:K67"/>
    <mergeCell ref="L66:L67"/>
    <mergeCell ref="H71:H73"/>
    <mergeCell ref="P71:P73"/>
    <mergeCell ref="A76:A77"/>
    <mergeCell ref="B76:B77"/>
    <mergeCell ref="C76:C77"/>
    <mergeCell ref="P76:P77"/>
    <mergeCell ref="A71:A73"/>
    <mergeCell ref="B71:B73"/>
    <mergeCell ref="C71:C73"/>
    <mergeCell ref="D71:D73"/>
    <mergeCell ref="E71:E73"/>
    <mergeCell ref="F71:F73"/>
    <mergeCell ref="G71:G73"/>
    <mergeCell ref="A51:A52"/>
    <mergeCell ref="A54:A55"/>
    <mergeCell ref="B54:B55"/>
    <mergeCell ref="C54:C55"/>
    <mergeCell ref="A57:A60"/>
    <mergeCell ref="B57:B60"/>
    <mergeCell ref="C57:C60"/>
    <mergeCell ref="H84:H88"/>
    <mergeCell ref="P84:P88"/>
    <mergeCell ref="A84:A88"/>
    <mergeCell ref="B84:B88"/>
    <mergeCell ref="C84:C88"/>
    <mergeCell ref="D84:D88"/>
    <mergeCell ref="E84:E88"/>
    <mergeCell ref="F84:F88"/>
    <mergeCell ref="G84:G88"/>
    <mergeCell ref="H93:H96"/>
    <mergeCell ref="P93:P97"/>
    <mergeCell ref="P98:P103"/>
    <mergeCell ref="H99:H103"/>
    <mergeCell ref="A93:A96"/>
    <mergeCell ref="B93:B96"/>
    <mergeCell ref="C93:C96"/>
    <mergeCell ref="D93:D96"/>
    <mergeCell ref="E93:E96"/>
    <mergeCell ref="F93:F96"/>
    <mergeCell ref="G93:G96"/>
    <mergeCell ref="A97:A103"/>
    <mergeCell ref="B97:B103"/>
    <mergeCell ref="C97:C103"/>
    <mergeCell ref="D99:D103"/>
    <mergeCell ref="E99:E103"/>
    <mergeCell ref="F99:F103"/>
    <mergeCell ref="G99:G103"/>
    <mergeCell ref="H104:H105"/>
    <mergeCell ref="P104:P105"/>
    <mergeCell ref="A104:A105"/>
    <mergeCell ref="B104:B105"/>
    <mergeCell ref="C104:C105"/>
    <mergeCell ref="D104:D105"/>
    <mergeCell ref="E104:E105"/>
    <mergeCell ref="F104:F105"/>
    <mergeCell ref="G104:G105"/>
    <mergeCell ref="H107:H108"/>
    <mergeCell ref="P107:P108"/>
    <mergeCell ref="M109:M110"/>
    <mergeCell ref="O109:O110"/>
    <mergeCell ref="P109:P110"/>
    <mergeCell ref="P111:P114"/>
    <mergeCell ref="M113:M114"/>
    <mergeCell ref="O113:O114"/>
    <mergeCell ref="P116:P117"/>
    <mergeCell ref="A109:A110"/>
    <mergeCell ref="B109:B110"/>
    <mergeCell ref="C109:C110"/>
    <mergeCell ref="I109:I110"/>
    <mergeCell ref="J109:J110"/>
    <mergeCell ref="K109:K110"/>
    <mergeCell ref="L109:L110"/>
    <mergeCell ref="A107:A108"/>
    <mergeCell ref="B107:B108"/>
    <mergeCell ref="C107:C108"/>
    <mergeCell ref="D107:D108"/>
    <mergeCell ref="E107:E108"/>
    <mergeCell ref="F107:F108"/>
    <mergeCell ref="G107:G108"/>
    <mergeCell ref="A111:A114"/>
    <mergeCell ref="B111:B114"/>
    <mergeCell ref="C111:C114"/>
    <mergeCell ref="I113:I114"/>
    <mergeCell ref="J113:J114"/>
    <mergeCell ref="K113:K114"/>
    <mergeCell ref="L113:L114"/>
    <mergeCell ref="I118:I119"/>
    <mergeCell ref="J118:J119"/>
    <mergeCell ref="K118:K119"/>
    <mergeCell ref="L118:L119"/>
    <mergeCell ref="M118:M119"/>
    <mergeCell ref="O118:O119"/>
    <mergeCell ref="P118:P119"/>
    <mergeCell ref="P120:P121"/>
    <mergeCell ref="B116:B117"/>
    <mergeCell ref="C116:C117"/>
    <mergeCell ref="D116:D117"/>
    <mergeCell ref="E116:E117"/>
    <mergeCell ref="F116:F117"/>
    <mergeCell ref="G116:G117"/>
    <mergeCell ref="H116:H117"/>
    <mergeCell ref="D120:D121"/>
    <mergeCell ref="E120:E121"/>
    <mergeCell ref="F120:F121"/>
    <mergeCell ref="G120:G121"/>
    <mergeCell ref="H120:H121"/>
    <mergeCell ref="A116:A117"/>
    <mergeCell ref="A118:A119"/>
    <mergeCell ref="B118:B119"/>
    <mergeCell ref="C118:C119"/>
    <mergeCell ref="A120:A121"/>
    <mergeCell ref="B120:B121"/>
    <mergeCell ref="C120:C121"/>
    <mergeCell ref="O124:O125"/>
    <mergeCell ref="P124:P127"/>
    <mergeCell ref="O126:O127"/>
    <mergeCell ref="P128:P129"/>
    <mergeCell ref="H124:H125"/>
    <mergeCell ref="I124:I125"/>
    <mergeCell ref="J124:J125"/>
    <mergeCell ref="K124:K125"/>
    <mergeCell ref="L124:L125"/>
    <mergeCell ref="M124:M125"/>
    <mergeCell ref="N124:N125"/>
    <mergeCell ref="M126:M127"/>
    <mergeCell ref="N126:N127"/>
    <mergeCell ref="F126:F127"/>
    <mergeCell ref="G126:G127"/>
    <mergeCell ref="H126:H127"/>
    <mergeCell ref="I126:I127"/>
    <mergeCell ref="J126:J127"/>
    <mergeCell ref="K126:K127"/>
    <mergeCell ref="L126:L127"/>
    <mergeCell ref="A128:A129"/>
    <mergeCell ref="B128:B129"/>
    <mergeCell ref="C128:C129"/>
    <mergeCell ref="D128:D129"/>
    <mergeCell ref="E128:E129"/>
    <mergeCell ref="F128:F129"/>
    <mergeCell ref="G128:G129"/>
    <mergeCell ref="H128:H129"/>
    <mergeCell ref="A124:A127"/>
    <mergeCell ref="B124:B127"/>
    <mergeCell ref="C124:C127"/>
    <mergeCell ref="D124:D125"/>
    <mergeCell ref="E124:E125"/>
    <mergeCell ref="F124:F125"/>
    <mergeCell ref="G124:G125"/>
    <mergeCell ref="F132:F136"/>
    <mergeCell ref="G132:G136"/>
    <mergeCell ref="H132:H136"/>
    <mergeCell ref="P132:P136"/>
    <mergeCell ref="M137:M139"/>
    <mergeCell ref="O137:O139"/>
    <mergeCell ref="P137:P139"/>
    <mergeCell ref="P141:P142"/>
    <mergeCell ref="P143:P144"/>
    <mergeCell ref="A137:A139"/>
    <mergeCell ref="B137:B139"/>
    <mergeCell ref="C137:C139"/>
    <mergeCell ref="I137:I139"/>
    <mergeCell ref="J137:J139"/>
    <mergeCell ref="K137:K139"/>
    <mergeCell ref="L137:L139"/>
    <mergeCell ref="D126:D127"/>
    <mergeCell ref="E126:E127"/>
    <mergeCell ref="A132:A136"/>
    <mergeCell ref="B132:B136"/>
    <mergeCell ref="C132:C136"/>
    <mergeCell ref="D132:D136"/>
    <mergeCell ref="E132:E136"/>
    <mergeCell ref="G143:G144"/>
    <mergeCell ref="H143:H144"/>
    <mergeCell ref="H148:H149"/>
    <mergeCell ref="P148:P149"/>
    <mergeCell ref="A148:A149"/>
    <mergeCell ref="B148:B149"/>
    <mergeCell ref="C148:C149"/>
    <mergeCell ref="D148:D149"/>
    <mergeCell ref="E148:E149"/>
    <mergeCell ref="F148:F149"/>
    <mergeCell ref="G148:G149"/>
    <mergeCell ref="B141:B142"/>
    <mergeCell ref="C141:C142"/>
    <mergeCell ref="D141:D142"/>
    <mergeCell ref="E141:E142"/>
    <mergeCell ref="F141:F142"/>
    <mergeCell ref="G141:G142"/>
    <mergeCell ref="H141:H142"/>
    <mergeCell ref="A141:A142"/>
    <mergeCell ref="A143:A144"/>
    <mergeCell ref="B143:B144"/>
    <mergeCell ref="C143:C144"/>
    <mergeCell ref="D143:D144"/>
    <mergeCell ref="E143:E144"/>
    <mergeCell ref="F143:F144"/>
    <mergeCell ref="M154:M155"/>
    <mergeCell ref="O154:O155"/>
    <mergeCell ref="P154:P155"/>
    <mergeCell ref="P156:P157"/>
    <mergeCell ref="P158:P163"/>
    <mergeCell ref="P165:P166"/>
    <mergeCell ref="A154:A155"/>
    <mergeCell ref="B154:B155"/>
    <mergeCell ref="C154:C155"/>
    <mergeCell ref="I154:I155"/>
    <mergeCell ref="J154:J155"/>
    <mergeCell ref="K154:K155"/>
    <mergeCell ref="L154:L155"/>
    <mergeCell ref="B156:B157"/>
    <mergeCell ref="C156:C157"/>
    <mergeCell ref="D156:D157"/>
    <mergeCell ref="E156:E157"/>
    <mergeCell ref="F156:F157"/>
    <mergeCell ref="G156:G157"/>
    <mergeCell ref="H156:H157"/>
    <mergeCell ref="D165:D166"/>
    <mergeCell ref="E165:E166"/>
    <mergeCell ref="F165:F166"/>
    <mergeCell ref="G165:G166"/>
    <mergeCell ref="H165:H166"/>
    <mergeCell ref="A156:A157"/>
    <mergeCell ref="A158:A163"/>
    <mergeCell ref="B158:B163"/>
    <mergeCell ref="C158:C163"/>
    <mergeCell ref="A165:A166"/>
    <mergeCell ref="B165:B166"/>
    <mergeCell ref="C165:C166"/>
    <mergeCell ref="J173:J174"/>
    <mergeCell ref="K173:K174"/>
    <mergeCell ref="L173:L174"/>
    <mergeCell ref="M173:M174"/>
    <mergeCell ref="N173:N174"/>
    <mergeCell ref="O173:O174"/>
    <mergeCell ref="P173:P174"/>
    <mergeCell ref="I173:I174"/>
    <mergeCell ref="I175:I176"/>
    <mergeCell ref="J175:J176"/>
    <mergeCell ref="K175:K176"/>
    <mergeCell ref="L175:L176"/>
    <mergeCell ref="M175:M176"/>
    <mergeCell ref="N175:N176"/>
    <mergeCell ref="M167:M168"/>
    <mergeCell ref="O167:O168"/>
    <mergeCell ref="P167:P168"/>
    <mergeCell ref="A167:A168"/>
    <mergeCell ref="B167:B168"/>
    <mergeCell ref="C167:C168"/>
    <mergeCell ref="I167:I168"/>
    <mergeCell ref="J167:J168"/>
    <mergeCell ref="K167:K168"/>
    <mergeCell ref="L167:L168"/>
    <mergeCell ref="M169:M170"/>
    <mergeCell ref="O169:O170"/>
    <mergeCell ref="P169:P170"/>
    <mergeCell ref="P171:P172"/>
    <mergeCell ref="A169:A170"/>
    <mergeCell ref="B169:B170"/>
    <mergeCell ref="C169:C170"/>
    <mergeCell ref="I169:I170"/>
    <mergeCell ref="J169:J170"/>
    <mergeCell ref="K169:K170"/>
    <mergeCell ref="L169:L170"/>
    <mergeCell ref="B171:B172"/>
    <mergeCell ref="C171:C172"/>
    <mergeCell ref="D171:D172"/>
    <mergeCell ref="E171:E172"/>
    <mergeCell ref="F171:F172"/>
    <mergeCell ref="G171:G172"/>
    <mergeCell ref="H171:H172"/>
    <mergeCell ref="O175:O176"/>
    <mergeCell ref="P175:P176"/>
    <mergeCell ref="O180:O182"/>
    <mergeCell ref="P180:P182"/>
    <mergeCell ref="A171:A172"/>
    <mergeCell ref="A173:A174"/>
    <mergeCell ref="B173:B174"/>
    <mergeCell ref="C173:C174"/>
    <mergeCell ref="A175:A176"/>
    <mergeCell ref="B175:B176"/>
    <mergeCell ref="C175:C176"/>
    <mergeCell ref="M181:M182"/>
    <mergeCell ref="N181:N182"/>
    <mergeCell ref="N184:N186"/>
    <mergeCell ref="P184:P186"/>
    <mergeCell ref="A180:A182"/>
    <mergeCell ref="B180:B182"/>
    <mergeCell ref="C180:C182"/>
    <mergeCell ref="I181:I182"/>
    <mergeCell ref="J181:J182"/>
    <mergeCell ref="K181:K182"/>
    <mergeCell ref="L181:L182"/>
    <mergeCell ref="L191:L192"/>
    <mergeCell ref="M191:M192"/>
    <mergeCell ref="N191:N192"/>
    <mergeCell ref="O191:O192"/>
    <mergeCell ref="P191:P193"/>
    <mergeCell ref="E191:E192"/>
    <mergeCell ref="F191:F192"/>
    <mergeCell ref="G191:G192"/>
    <mergeCell ref="H191:H192"/>
    <mergeCell ref="I191:I192"/>
    <mergeCell ref="J191:J192"/>
    <mergeCell ref="K191:K192"/>
    <mergeCell ref="M196:M197"/>
    <mergeCell ref="N196:N197"/>
    <mergeCell ref="O196:O197"/>
    <mergeCell ref="P196:P197"/>
    <mergeCell ref="A196:A197"/>
    <mergeCell ref="B196:B197"/>
    <mergeCell ref="C196:C197"/>
    <mergeCell ref="I196:I197"/>
    <mergeCell ref="J196:J197"/>
    <mergeCell ref="K196:K197"/>
    <mergeCell ref="L196:L197"/>
    <mergeCell ref="A184:A186"/>
    <mergeCell ref="B184:B186"/>
    <mergeCell ref="C184:C186"/>
    <mergeCell ref="A191:A193"/>
    <mergeCell ref="B191:B193"/>
    <mergeCell ref="C191:C193"/>
    <mergeCell ref="D191:D192"/>
    <mergeCell ref="N210:N211"/>
    <mergeCell ref="O210:O211"/>
    <mergeCell ref="P210:P211"/>
    <mergeCell ref="M204:M206"/>
    <mergeCell ref="N204:N206"/>
    <mergeCell ref="O204:O206"/>
    <mergeCell ref="P204:P206"/>
    <mergeCell ref="N207:N209"/>
    <mergeCell ref="O207:O209"/>
    <mergeCell ref="P207:P209"/>
    <mergeCell ref="H199:H200"/>
    <mergeCell ref="N199:N200"/>
    <mergeCell ref="O199:O200"/>
    <mergeCell ref="P199:P200"/>
    <mergeCell ref="A199:A200"/>
    <mergeCell ref="B199:B200"/>
    <mergeCell ref="C199:C200"/>
    <mergeCell ref="D199:D200"/>
    <mergeCell ref="E199:E200"/>
    <mergeCell ref="F199:F200"/>
    <mergeCell ref="G199:G200"/>
    <mergeCell ref="H201:H202"/>
    <mergeCell ref="N201:N202"/>
    <mergeCell ref="O201:O202"/>
    <mergeCell ref="P201:P202"/>
    <mergeCell ref="A201:A202"/>
    <mergeCell ref="B201:B202"/>
    <mergeCell ref="C201:C202"/>
    <mergeCell ref="D201:D202"/>
    <mergeCell ref="E201:E202"/>
    <mergeCell ref="F201:F202"/>
    <mergeCell ref="G201:G202"/>
    <mergeCell ref="A204:A206"/>
    <mergeCell ref="B204:B206"/>
    <mergeCell ref="C204:C206"/>
    <mergeCell ref="I204:I206"/>
    <mergeCell ref="J204:J206"/>
    <mergeCell ref="K204:K206"/>
    <mergeCell ref="L204:L206"/>
    <mergeCell ref="E210:E211"/>
    <mergeCell ref="F210:F211"/>
    <mergeCell ref="G210:G211"/>
    <mergeCell ref="H210:H211"/>
    <mergeCell ref="A207:A209"/>
    <mergeCell ref="B207:B209"/>
    <mergeCell ref="C207:C209"/>
    <mergeCell ref="A210:A211"/>
    <mergeCell ref="B210:B211"/>
    <mergeCell ref="C210:C211"/>
    <mergeCell ref="D210:D211"/>
    <mergeCell ref="H230:H231"/>
    <mergeCell ref="P230:P231"/>
    <mergeCell ref="A230:A231"/>
    <mergeCell ref="B230:B231"/>
    <mergeCell ref="C230:C231"/>
    <mergeCell ref="D230:D231"/>
    <mergeCell ref="E230:E231"/>
    <mergeCell ref="F230:F231"/>
    <mergeCell ref="G230:G231"/>
    <mergeCell ref="F238:F239"/>
    <mergeCell ref="G238:G239"/>
    <mergeCell ref="P236:P237"/>
    <mergeCell ref="P238:P239"/>
    <mergeCell ref="A236:A237"/>
    <mergeCell ref="B236:B237"/>
    <mergeCell ref="C236:C237"/>
    <mergeCell ref="A238:A239"/>
    <mergeCell ref="B238:B239"/>
    <mergeCell ref="C238:C239"/>
    <mergeCell ref="H238:H239"/>
    <mergeCell ref="M253:M254"/>
    <mergeCell ref="P253:P254"/>
    <mergeCell ref="A253:A254"/>
    <mergeCell ref="B253:B254"/>
    <mergeCell ref="C253:C254"/>
    <mergeCell ref="I253:I254"/>
    <mergeCell ref="J253:J254"/>
    <mergeCell ref="K253:K254"/>
    <mergeCell ref="L253:L254"/>
    <mergeCell ref="M255:M256"/>
    <mergeCell ref="P255:P256"/>
    <mergeCell ref="A255:A256"/>
    <mergeCell ref="B255:B256"/>
    <mergeCell ref="C255:C256"/>
    <mergeCell ref="I255:I256"/>
    <mergeCell ref="J255:J256"/>
    <mergeCell ref="K255:K256"/>
    <mergeCell ref="L255:L256"/>
    <mergeCell ref="M261:M262"/>
    <mergeCell ref="P261:P262"/>
    <mergeCell ref="A261:A262"/>
    <mergeCell ref="B261:B262"/>
    <mergeCell ref="C261:C262"/>
    <mergeCell ref="I261:I262"/>
    <mergeCell ref="J261:J262"/>
    <mergeCell ref="K261:K262"/>
    <mergeCell ref="L261:L262"/>
    <mergeCell ref="M263:M264"/>
    <mergeCell ref="P263:P264"/>
    <mergeCell ref="A263:A264"/>
    <mergeCell ref="B263:B264"/>
    <mergeCell ref="C263:C264"/>
    <mergeCell ref="I263:I264"/>
    <mergeCell ref="J263:J264"/>
    <mergeCell ref="K263:K264"/>
    <mergeCell ref="L263:L264"/>
    <mergeCell ref="M266:M267"/>
    <mergeCell ref="P266:P267"/>
    <mergeCell ref="A266:A267"/>
    <mergeCell ref="B266:B267"/>
    <mergeCell ref="C266:C267"/>
    <mergeCell ref="I266:I267"/>
    <mergeCell ref="J266:J267"/>
    <mergeCell ref="K266:K267"/>
    <mergeCell ref="L266:L267"/>
    <mergeCell ref="M268:M270"/>
    <mergeCell ref="P268:P270"/>
    <mergeCell ref="A268:A270"/>
    <mergeCell ref="B268:B270"/>
    <mergeCell ref="C268:C270"/>
    <mergeCell ref="I268:I270"/>
    <mergeCell ref="J268:J270"/>
    <mergeCell ref="K268:K270"/>
    <mergeCell ref="L268:L270"/>
    <mergeCell ref="M271:M273"/>
    <mergeCell ref="P271:P273"/>
    <mergeCell ref="A271:A273"/>
    <mergeCell ref="B271:B273"/>
    <mergeCell ref="C271:C273"/>
    <mergeCell ref="I271:I273"/>
    <mergeCell ref="J271:J273"/>
    <mergeCell ref="K271:K273"/>
    <mergeCell ref="L271:L273"/>
    <mergeCell ref="H274:H275"/>
    <mergeCell ref="P274:P275"/>
    <mergeCell ref="A274:A275"/>
    <mergeCell ref="B274:B275"/>
    <mergeCell ref="C274:C275"/>
    <mergeCell ref="D274:D275"/>
    <mergeCell ref="E274:E275"/>
    <mergeCell ref="F274:F275"/>
    <mergeCell ref="G274:G275"/>
    <mergeCell ref="M283:M288"/>
    <mergeCell ref="P283:P288"/>
    <mergeCell ref="A283:A288"/>
    <mergeCell ref="B283:B288"/>
    <mergeCell ref="C283:C288"/>
    <mergeCell ref="I283:I288"/>
    <mergeCell ref="J283:J288"/>
    <mergeCell ref="K283:K288"/>
    <mergeCell ref="L283:L288"/>
    <mergeCell ref="M292:M293"/>
    <mergeCell ref="P292:P293"/>
    <mergeCell ref="A292:A293"/>
    <mergeCell ref="B292:B293"/>
    <mergeCell ref="C292:C293"/>
    <mergeCell ref="I292:I293"/>
    <mergeCell ref="J292:J293"/>
    <mergeCell ref="K292:K293"/>
    <mergeCell ref="L292:L293"/>
    <mergeCell ref="M356:M357"/>
    <mergeCell ref="P356:P357"/>
    <mergeCell ref="A356:A357"/>
    <mergeCell ref="B356:B357"/>
    <mergeCell ref="C356:C357"/>
    <mergeCell ref="I356:I357"/>
    <mergeCell ref="J356:J357"/>
    <mergeCell ref="K356:K357"/>
    <mergeCell ref="L356:L357"/>
    <mergeCell ref="G342:G344"/>
    <mergeCell ref="H342:H344"/>
    <mergeCell ref="P342:P344"/>
    <mergeCell ref="A340:A341"/>
    <mergeCell ref="A342:A344"/>
    <mergeCell ref="B342:B344"/>
    <mergeCell ref="C342:C344"/>
    <mergeCell ref="D342:D344"/>
    <mergeCell ref="E342:E344"/>
    <mergeCell ref="F342:F344"/>
    <mergeCell ref="M347:M352"/>
    <mergeCell ref="P347:P352"/>
    <mergeCell ref="A347:A352"/>
    <mergeCell ref="B347:B352"/>
    <mergeCell ref="C347:C352"/>
    <mergeCell ref="I347:I352"/>
    <mergeCell ref="J347:J352"/>
    <mergeCell ref="K347:K352"/>
    <mergeCell ref="L347:L352"/>
    <mergeCell ref="M353:M354"/>
    <mergeCell ref="P353:P354"/>
    <mergeCell ref="A353:A354"/>
    <mergeCell ref="B353:B354"/>
    <mergeCell ref="C353:C354"/>
    <mergeCell ref="I353:I354"/>
    <mergeCell ref="J353:J354"/>
    <mergeCell ref="K353:K354"/>
    <mergeCell ref="L353:L354"/>
    <mergeCell ref="A361:A362"/>
    <mergeCell ref="B361:B362"/>
    <mergeCell ref="C361:C362"/>
    <mergeCell ref="D361:D362"/>
    <mergeCell ref="E361:E362"/>
    <mergeCell ref="F361:F362"/>
    <mergeCell ref="P361:P362"/>
    <mergeCell ref="N214:N215"/>
    <mergeCell ref="O214:O215"/>
    <mergeCell ref="P214:P215"/>
    <mergeCell ref="A214:A215"/>
    <mergeCell ref="B214:B215"/>
    <mergeCell ref="C214:C215"/>
    <mergeCell ref="D214:D215"/>
    <mergeCell ref="E214:E215"/>
    <mergeCell ref="F214:F215"/>
    <mergeCell ref="G214:G215"/>
    <mergeCell ref="M218:M220"/>
    <mergeCell ref="N218:N220"/>
    <mergeCell ref="O218:O220"/>
    <mergeCell ref="P218:P220"/>
    <mergeCell ref="A218:A220"/>
    <mergeCell ref="B218:B220"/>
    <mergeCell ref="C218:C220"/>
    <mergeCell ref="I218:I220"/>
    <mergeCell ref="J218:J220"/>
    <mergeCell ref="K218:K220"/>
    <mergeCell ref="L218:L220"/>
    <mergeCell ref="M223:M225"/>
    <mergeCell ref="N223:N225"/>
    <mergeCell ref="O223:O225"/>
    <mergeCell ref="P223:P225"/>
    <mergeCell ref="A223:A225"/>
    <mergeCell ref="B223:B225"/>
    <mergeCell ref="C223:C225"/>
    <mergeCell ref="I223:I225"/>
    <mergeCell ref="J223:J225"/>
    <mergeCell ref="K223:K225"/>
    <mergeCell ref="L223:L225"/>
    <mergeCell ref="F241:F242"/>
    <mergeCell ref="G241:G242"/>
    <mergeCell ref="H241:H242"/>
    <mergeCell ref="P241:P242"/>
    <mergeCell ref="P243:P244"/>
    <mergeCell ref="M295:M298"/>
    <mergeCell ref="P295:P298"/>
    <mergeCell ref="A295:A298"/>
    <mergeCell ref="B295:B298"/>
    <mergeCell ref="C295:C298"/>
    <mergeCell ref="I295:I298"/>
    <mergeCell ref="J295:J298"/>
    <mergeCell ref="K295:K298"/>
    <mergeCell ref="L295:L298"/>
    <mergeCell ref="A243:A244"/>
    <mergeCell ref="B243:B244"/>
    <mergeCell ref="C243:C244"/>
    <mergeCell ref="D243:D244"/>
    <mergeCell ref="E243:E244"/>
    <mergeCell ref="F243:F244"/>
    <mergeCell ref="G243:G244"/>
    <mergeCell ref="M245:M247"/>
    <mergeCell ref="P245:P247"/>
    <mergeCell ref="A245:A247"/>
    <mergeCell ref="B245:B247"/>
    <mergeCell ref="C245:C247"/>
    <mergeCell ref="I245:I247"/>
    <mergeCell ref="J245:J247"/>
    <mergeCell ref="K245:K247"/>
    <mergeCell ref="L245:L247"/>
    <mergeCell ref="D238:D239"/>
    <mergeCell ref="E238:E239"/>
    <mergeCell ref="A241:A242"/>
    <mergeCell ref="B241:B242"/>
    <mergeCell ref="C241:C242"/>
    <mergeCell ref="D241:D242"/>
    <mergeCell ref="E241:E242"/>
    <mergeCell ref="M250:M251"/>
    <mergeCell ref="P250:P251"/>
    <mergeCell ref="A250:A251"/>
    <mergeCell ref="B250:B251"/>
    <mergeCell ref="C250:C251"/>
    <mergeCell ref="I250:I251"/>
    <mergeCell ref="J250:J251"/>
    <mergeCell ref="K250:K251"/>
    <mergeCell ref="L250:L251"/>
    <mergeCell ref="H299:H300"/>
    <mergeCell ref="P299:P302"/>
    <mergeCell ref="H301:H302"/>
    <mergeCell ref="P304:P305"/>
    <mergeCell ref="P307:P308"/>
    <mergeCell ref="D301:D302"/>
    <mergeCell ref="E301:E302"/>
    <mergeCell ref="F301:F302"/>
    <mergeCell ref="G301:G302"/>
    <mergeCell ref="A299:A302"/>
    <mergeCell ref="B299:B302"/>
    <mergeCell ref="C299:C302"/>
    <mergeCell ref="D299:D300"/>
    <mergeCell ref="E299:E300"/>
    <mergeCell ref="F299:F300"/>
    <mergeCell ref="G299:G300"/>
    <mergeCell ref="B304:B305"/>
    <mergeCell ref="C304:C305"/>
    <mergeCell ref="D304:D305"/>
    <mergeCell ref="E304:E305"/>
    <mergeCell ref="F304:F305"/>
    <mergeCell ref="G304:G305"/>
    <mergeCell ref="H304:H305"/>
    <mergeCell ref="A304:A305"/>
    <mergeCell ref="B307:B308"/>
    <mergeCell ref="C307:C308"/>
    <mergeCell ref="D307:D308"/>
    <mergeCell ref="E307:E308"/>
    <mergeCell ref="F307:F308"/>
    <mergeCell ref="G307:G308"/>
    <mergeCell ref="L310:L313"/>
    <mergeCell ref="M310:M313"/>
    <mergeCell ref="P310:P313"/>
    <mergeCell ref="A307:A308"/>
    <mergeCell ref="A310:A313"/>
    <mergeCell ref="B310:B313"/>
    <mergeCell ref="C310:C313"/>
    <mergeCell ref="I310:I313"/>
    <mergeCell ref="J310:J313"/>
    <mergeCell ref="K310:K313"/>
    <mergeCell ref="M315:M317"/>
    <mergeCell ref="P315:P317"/>
    <mergeCell ref="A315:A317"/>
    <mergeCell ref="B315:B317"/>
    <mergeCell ref="C315:C317"/>
    <mergeCell ref="I315:I317"/>
    <mergeCell ref="J315:J317"/>
    <mergeCell ref="K315:K317"/>
    <mergeCell ref="L315:L317"/>
    <mergeCell ref="M318:M319"/>
    <mergeCell ref="P318:P319"/>
    <mergeCell ref="P320:P323"/>
    <mergeCell ref="M322:M323"/>
    <mergeCell ref="A318:A319"/>
    <mergeCell ref="B318:B319"/>
    <mergeCell ref="C318:C319"/>
    <mergeCell ref="I318:I319"/>
    <mergeCell ref="J318:J319"/>
    <mergeCell ref="K318:K319"/>
    <mergeCell ref="L318:L319"/>
    <mergeCell ref="K322:K323"/>
    <mergeCell ref="L322:L323"/>
    <mergeCell ref="I320:I321"/>
    <mergeCell ref="J320:J321"/>
    <mergeCell ref="K320:K321"/>
    <mergeCell ref="L320:L321"/>
    <mergeCell ref="M320:M321"/>
    <mergeCell ref="I322:I323"/>
    <mergeCell ref="J322:J323"/>
    <mergeCell ref="P328:P330"/>
    <mergeCell ref="P333:P334"/>
    <mergeCell ref="P336:P337"/>
    <mergeCell ref="P340:P341"/>
    <mergeCell ref="I324:I325"/>
    <mergeCell ref="J324:J325"/>
    <mergeCell ref="K324:K325"/>
    <mergeCell ref="L324:L325"/>
    <mergeCell ref="M324:M325"/>
    <mergeCell ref="P324:P325"/>
    <mergeCell ref="P326:P327"/>
    <mergeCell ref="B326:B327"/>
    <mergeCell ref="C326:C327"/>
    <mergeCell ref="D326:D327"/>
    <mergeCell ref="E326:E327"/>
    <mergeCell ref="F326:F327"/>
    <mergeCell ref="G326:G327"/>
    <mergeCell ref="H326:H327"/>
    <mergeCell ref="A328:A330"/>
    <mergeCell ref="B328:B330"/>
    <mergeCell ref="C328:C330"/>
    <mergeCell ref="D328:D330"/>
    <mergeCell ref="E328:E330"/>
    <mergeCell ref="F328:F330"/>
    <mergeCell ref="G328:G330"/>
    <mergeCell ref="H328:H330"/>
    <mergeCell ref="A320:A323"/>
    <mergeCell ref="B320:B323"/>
    <mergeCell ref="C320:C323"/>
    <mergeCell ref="A324:A325"/>
    <mergeCell ref="B324:B325"/>
    <mergeCell ref="C324:C325"/>
    <mergeCell ref="A326:A327"/>
    <mergeCell ref="B333:B334"/>
    <mergeCell ref="C333:C334"/>
    <mergeCell ref="D333:D334"/>
    <mergeCell ref="E333:E334"/>
    <mergeCell ref="F333:F334"/>
    <mergeCell ref="G333:G334"/>
    <mergeCell ref="H333:H334"/>
    <mergeCell ref="G336:G337"/>
    <mergeCell ref="H336:H337"/>
    <mergeCell ref="A333:A334"/>
    <mergeCell ref="A336:A337"/>
    <mergeCell ref="B336:B337"/>
    <mergeCell ref="C336:C337"/>
    <mergeCell ref="D336:D337"/>
    <mergeCell ref="E336:E337"/>
    <mergeCell ref="F336:F337"/>
    <mergeCell ref="B340:B341"/>
    <mergeCell ref="C340:C341"/>
    <mergeCell ref="I340:I341"/>
    <mergeCell ref="J340:J341"/>
    <mergeCell ref="K340:K341"/>
    <mergeCell ref="L340:L341"/>
    <mergeCell ref="M340:M341"/>
    <mergeCell ref="A396:A397"/>
    <mergeCell ref="B398:B399"/>
    <mergeCell ref="C398:C399"/>
    <mergeCell ref="D398:D399"/>
    <mergeCell ref="E398:E399"/>
    <mergeCell ref="F398:F399"/>
    <mergeCell ref="G398:G399"/>
    <mergeCell ref="A398:A399"/>
    <mergeCell ref="A400:A401"/>
    <mergeCell ref="B400:B401"/>
    <mergeCell ref="C400:C401"/>
    <mergeCell ref="D400:D401"/>
    <mergeCell ref="E400:E401"/>
    <mergeCell ref="F400:F401"/>
    <mergeCell ref="A368:A370"/>
    <mergeCell ref="A371:A372"/>
    <mergeCell ref="B371:B372"/>
    <mergeCell ref="C371:C372"/>
    <mergeCell ref="A373:A374"/>
    <mergeCell ref="B373:B374"/>
    <mergeCell ref="C373:C374"/>
    <mergeCell ref="B384:B387"/>
    <mergeCell ref="C384:C387"/>
    <mergeCell ref="D384:D387"/>
    <mergeCell ref="E384:E387"/>
    <mergeCell ref="F384:F387"/>
    <mergeCell ref="G384:G387"/>
    <mergeCell ref="H384:H387"/>
    <mergeCell ref="G391:G392"/>
    <mergeCell ref="H391:H392"/>
    <mergeCell ref="A384:A387"/>
    <mergeCell ref="A391:A392"/>
    <mergeCell ref="B391:B392"/>
    <mergeCell ref="C391:C392"/>
    <mergeCell ref="D391:D392"/>
    <mergeCell ref="E391:E392"/>
    <mergeCell ref="F391:F392"/>
    <mergeCell ref="B396:B397"/>
    <mergeCell ref="C396:C397"/>
    <mergeCell ref="D396:D397"/>
    <mergeCell ref="E396:E397"/>
    <mergeCell ref="F396:F397"/>
    <mergeCell ref="G396:G397"/>
    <mergeCell ref="H396:H397"/>
    <mergeCell ref="G400:G401"/>
    <mergeCell ref="H400:H401"/>
    <mergeCell ref="E417:E418"/>
    <mergeCell ref="F417:F418"/>
    <mergeCell ref="G417:G418"/>
    <mergeCell ref="H417:H418"/>
    <mergeCell ref="P405:P406"/>
    <mergeCell ref="P417:P418"/>
    <mergeCell ref="I420:I421"/>
    <mergeCell ref="J420:J421"/>
    <mergeCell ref="K420:K421"/>
    <mergeCell ref="L420:L421"/>
    <mergeCell ref="M420:M421"/>
    <mergeCell ref="O420:O421"/>
    <mergeCell ref="P420:P421"/>
    <mergeCell ref="P430:P431"/>
    <mergeCell ref="I433:I434"/>
    <mergeCell ref="J433:J434"/>
    <mergeCell ref="K433:K434"/>
    <mergeCell ref="L433:L434"/>
    <mergeCell ref="P433:P434"/>
    <mergeCell ref="L449:L450"/>
    <mergeCell ref="M449:M450"/>
    <mergeCell ref="M433:M434"/>
    <mergeCell ref="O433:O434"/>
    <mergeCell ref="P439:P442"/>
    <mergeCell ref="P446:P448"/>
    <mergeCell ref="I449:I450"/>
    <mergeCell ref="J449:J450"/>
    <mergeCell ref="K449:K450"/>
    <mergeCell ref="O449:O450"/>
    <mergeCell ref="P449:P450"/>
    <mergeCell ref="P455:P456"/>
    <mergeCell ref="P457:P458"/>
    <mergeCell ref="P462:P463"/>
    <mergeCell ref="P470:P471"/>
    <mergeCell ref="P472:P473"/>
    <mergeCell ref="M490:M491"/>
    <mergeCell ref="O490:O491"/>
    <mergeCell ref="P493:P494"/>
    <mergeCell ref="P496:P497"/>
    <mergeCell ref="P477:P478"/>
    <mergeCell ref="P483:P484"/>
    <mergeCell ref="P486:P488"/>
    <mergeCell ref="I490:I491"/>
    <mergeCell ref="J490:J491"/>
    <mergeCell ref="K490:K491"/>
    <mergeCell ref="L490:L491"/>
    <mergeCell ref="P490:P491"/>
    <mergeCell ref="I371:I372"/>
    <mergeCell ref="J371:J372"/>
    <mergeCell ref="K371:K372"/>
    <mergeCell ref="L371:L372"/>
    <mergeCell ref="M371:M372"/>
    <mergeCell ref="P371:P372"/>
    <mergeCell ref="B368:B370"/>
    <mergeCell ref="C368:C370"/>
    <mergeCell ref="D368:D370"/>
    <mergeCell ref="E368:E370"/>
    <mergeCell ref="F368:F370"/>
    <mergeCell ref="G368:G370"/>
    <mergeCell ref="P368:P370"/>
    <mergeCell ref="D373:D374"/>
    <mergeCell ref="E373:E374"/>
    <mergeCell ref="F373:F374"/>
    <mergeCell ref="G373:G374"/>
    <mergeCell ref="H373:H374"/>
    <mergeCell ref="P373:P374"/>
    <mergeCell ref="M378:M379"/>
    <mergeCell ref="P378:P379"/>
    <mergeCell ref="A378:A379"/>
    <mergeCell ref="B378:B379"/>
    <mergeCell ref="C378:C379"/>
    <mergeCell ref="I378:I379"/>
    <mergeCell ref="J378:J379"/>
    <mergeCell ref="K378:K379"/>
    <mergeCell ref="L378:L379"/>
    <mergeCell ref="A380:A381"/>
    <mergeCell ref="B380:B381"/>
    <mergeCell ref="C380:C381"/>
    <mergeCell ref="I380:I381"/>
    <mergeCell ref="J380:J381"/>
    <mergeCell ref="K380:K381"/>
    <mergeCell ref="L380:L381"/>
    <mergeCell ref="M380:M381"/>
    <mergeCell ref="P380:P381"/>
    <mergeCell ref="P384:P387"/>
    <mergeCell ref="P391:P392"/>
    <mergeCell ref="P396:P397"/>
    <mergeCell ref="P398:P399"/>
    <mergeCell ref="P400:P401"/>
    <mergeCell ref="A405:A406"/>
    <mergeCell ref="B405:B406"/>
    <mergeCell ref="C405:C406"/>
    <mergeCell ref="A417:A418"/>
    <mergeCell ref="B417:B418"/>
    <mergeCell ref="C417:C418"/>
    <mergeCell ref="D417:D418"/>
    <mergeCell ref="E430:E431"/>
    <mergeCell ref="F430:F431"/>
    <mergeCell ref="G430:G431"/>
    <mergeCell ref="H430:H431"/>
    <mergeCell ref="A420:A421"/>
    <mergeCell ref="B420:B421"/>
    <mergeCell ref="C420:C421"/>
    <mergeCell ref="A430:A431"/>
    <mergeCell ref="B430:B431"/>
    <mergeCell ref="C430:C431"/>
    <mergeCell ref="D430:D431"/>
    <mergeCell ref="E439:E442"/>
    <mergeCell ref="F439:F442"/>
    <mergeCell ref="G439:G442"/>
    <mergeCell ref="H439:H442"/>
    <mergeCell ref="A433:A434"/>
    <mergeCell ref="B433:B434"/>
    <mergeCell ref="C433:C434"/>
    <mergeCell ref="A439:A442"/>
    <mergeCell ref="B439:B442"/>
    <mergeCell ref="C439:C442"/>
    <mergeCell ref="D439:D442"/>
    <mergeCell ref="B446:B448"/>
    <mergeCell ref="C446:C448"/>
    <mergeCell ref="D446:D447"/>
    <mergeCell ref="E446:E447"/>
    <mergeCell ref="F446:F447"/>
    <mergeCell ref="G446:G447"/>
    <mergeCell ref="H446:H447"/>
    <mergeCell ref="A457:A458"/>
    <mergeCell ref="B457:B458"/>
    <mergeCell ref="C457:C458"/>
    <mergeCell ref="D457:D458"/>
    <mergeCell ref="E457:E458"/>
    <mergeCell ref="F457:F458"/>
    <mergeCell ref="G457:G458"/>
    <mergeCell ref="H457:H458"/>
    <mergeCell ref="A446:A448"/>
    <mergeCell ref="A449:A450"/>
    <mergeCell ref="B449:B450"/>
    <mergeCell ref="C449:C450"/>
    <mergeCell ref="A455:A456"/>
    <mergeCell ref="B455:B456"/>
    <mergeCell ref="C455:C456"/>
    <mergeCell ref="B472:B473"/>
    <mergeCell ref="C472:C473"/>
    <mergeCell ref="D472:D473"/>
    <mergeCell ref="E472:E473"/>
    <mergeCell ref="F472:F473"/>
    <mergeCell ref="G472:G473"/>
    <mergeCell ref="H472:H473"/>
    <mergeCell ref="A477:A478"/>
    <mergeCell ref="B477:B478"/>
    <mergeCell ref="C477:C478"/>
    <mergeCell ref="D477:D478"/>
    <mergeCell ref="E477:E478"/>
    <mergeCell ref="F477:F478"/>
    <mergeCell ref="G477:G478"/>
    <mergeCell ref="H477:H478"/>
    <mergeCell ref="A462:A463"/>
    <mergeCell ref="B462:B463"/>
    <mergeCell ref="C462:C463"/>
    <mergeCell ref="A470:A471"/>
    <mergeCell ref="B470:B471"/>
    <mergeCell ref="C470:C471"/>
    <mergeCell ref="A472:A473"/>
    <mergeCell ref="B483:B484"/>
    <mergeCell ref="C483:C484"/>
    <mergeCell ref="D483:D484"/>
    <mergeCell ref="E483:E484"/>
    <mergeCell ref="F483:F484"/>
    <mergeCell ref="G483:G484"/>
    <mergeCell ref="H483:H484"/>
    <mergeCell ref="G486:G488"/>
    <mergeCell ref="H486:H488"/>
    <mergeCell ref="A483:A484"/>
    <mergeCell ref="A486:A488"/>
    <mergeCell ref="B486:B488"/>
    <mergeCell ref="C486:C488"/>
    <mergeCell ref="D486:D488"/>
    <mergeCell ref="E486:E488"/>
    <mergeCell ref="F486:F488"/>
    <mergeCell ref="E493:E494"/>
    <mergeCell ref="F493:F494"/>
    <mergeCell ref="G493:G494"/>
    <mergeCell ref="H493:H494"/>
    <mergeCell ref="A496:A497"/>
    <mergeCell ref="B496:B497"/>
    <mergeCell ref="C496:C497"/>
    <mergeCell ref="D496:D497"/>
    <mergeCell ref="E496:E497"/>
    <mergeCell ref="F496:F497"/>
    <mergeCell ref="G496:G497"/>
    <mergeCell ref="H496:H497"/>
    <mergeCell ref="M513:M514"/>
    <mergeCell ref="O513:O514"/>
    <mergeCell ref="P513:P514"/>
    <mergeCell ref="A513:A514"/>
    <mergeCell ref="B513:B514"/>
    <mergeCell ref="C513:C514"/>
    <mergeCell ref="I513:I514"/>
    <mergeCell ref="J513:J514"/>
    <mergeCell ref="K513:K514"/>
    <mergeCell ref="L513:L514"/>
    <mergeCell ref="M516:M517"/>
    <mergeCell ref="O516:O517"/>
    <mergeCell ref="P516:P517"/>
    <mergeCell ref="A516:A517"/>
    <mergeCell ref="B516:B517"/>
    <mergeCell ref="C516:C517"/>
    <mergeCell ref="I516:I517"/>
    <mergeCell ref="J516:J517"/>
    <mergeCell ref="K516:K517"/>
    <mergeCell ref="L516:L517"/>
    <mergeCell ref="A490:A491"/>
    <mergeCell ref="B490:B491"/>
    <mergeCell ref="C490:C491"/>
    <mergeCell ref="A493:A494"/>
    <mergeCell ref="B493:B494"/>
    <mergeCell ref="C493:C494"/>
    <mergeCell ref="D493:D494"/>
    <mergeCell ref="M545:M546"/>
    <mergeCell ref="O545:O546"/>
    <mergeCell ref="P545:P546"/>
    <mergeCell ref="A545:A546"/>
    <mergeCell ref="B545:B546"/>
    <mergeCell ref="C545:C546"/>
    <mergeCell ref="I545:I546"/>
    <mergeCell ref="J545:J546"/>
    <mergeCell ref="K545:K546"/>
    <mergeCell ref="L545:L546"/>
  </mergeCells>
  <hyperlinks>
    <hyperlink r:id="rId1" ref="B3"/>
    <hyperlink r:id="rId2" ref="B4"/>
    <hyperlink r:id="rId3" ref="B5"/>
    <hyperlink r:id="rId4" ref="B8"/>
    <hyperlink r:id="rId5" ref="B9"/>
    <hyperlink r:id="rId6" ref="B11"/>
    <hyperlink r:id="rId7" ref="B12"/>
    <hyperlink r:id="rId8" ref="B14"/>
    <hyperlink r:id="rId9" ref="B19"/>
    <hyperlink r:id="rId10" ref="B20"/>
    <hyperlink r:id="rId11" ref="B21"/>
    <hyperlink r:id="rId12" ref="B22"/>
    <hyperlink r:id="rId13" ref="B23"/>
    <hyperlink r:id="rId14" ref="B24"/>
    <hyperlink r:id="rId15" ref="B25"/>
    <hyperlink r:id="rId16" ref="B29"/>
    <hyperlink r:id="rId17" ref="B31"/>
    <hyperlink r:id="rId18" ref="B33"/>
    <hyperlink r:id="rId19" ref="B35"/>
    <hyperlink r:id="rId20" ref="B36"/>
    <hyperlink r:id="rId21" ref="B38"/>
    <hyperlink r:id="rId22" ref="B40"/>
    <hyperlink r:id="rId23" ref="B41"/>
    <hyperlink r:id="rId24" ref="B43"/>
    <hyperlink r:id="rId25" ref="B44"/>
    <hyperlink r:id="rId26" ref="B47"/>
    <hyperlink r:id="rId27" ref="B49"/>
    <hyperlink r:id="rId28" ref="B50"/>
    <hyperlink r:id="rId29" ref="B51"/>
    <hyperlink r:id="rId30" ref="B53"/>
    <hyperlink r:id="rId31" ref="B54"/>
    <hyperlink r:id="rId32" ref="B56"/>
    <hyperlink r:id="rId33" ref="B57"/>
    <hyperlink r:id="rId34" ref="B61"/>
    <hyperlink r:id="rId35" ref="B62"/>
    <hyperlink r:id="rId36" ref="B64"/>
    <hyperlink r:id="rId37" ref="B65"/>
    <hyperlink r:id="rId38" ref="B66"/>
    <hyperlink r:id="rId39" ref="B68"/>
    <hyperlink r:id="rId40" ref="B69"/>
    <hyperlink r:id="rId41" ref="B70"/>
    <hyperlink r:id="rId42" ref="B71"/>
    <hyperlink r:id="rId43" ref="B74"/>
    <hyperlink r:id="rId44" ref="B75"/>
    <hyperlink r:id="rId45" ref="B76"/>
    <hyperlink r:id="rId46" ref="B78"/>
    <hyperlink r:id="rId47" ref="B79"/>
    <hyperlink r:id="rId48" ref="B80"/>
    <hyperlink r:id="rId49" ref="B81"/>
    <hyperlink r:id="rId50" ref="B82"/>
    <hyperlink r:id="rId51" ref="B83"/>
    <hyperlink r:id="rId52" ref="B84"/>
    <hyperlink r:id="rId53" ref="B89"/>
    <hyperlink r:id="rId54" ref="B90"/>
    <hyperlink r:id="rId55" ref="B91"/>
    <hyperlink r:id="rId56" ref="B92"/>
    <hyperlink r:id="rId57" ref="B93"/>
    <hyperlink r:id="rId58" ref="B97"/>
    <hyperlink r:id="rId59" ref="B104"/>
    <hyperlink r:id="rId60" ref="B106"/>
    <hyperlink r:id="rId61" ref="B107"/>
    <hyperlink r:id="rId62" ref="B109"/>
    <hyperlink r:id="rId63" ref="B111"/>
    <hyperlink r:id="rId64" ref="B115"/>
    <hyperlink r:id="rId65" ref="B116"/>
    <hyperlink r:id="rId66" ref="B118"/>
    <hyperlink r:id="rId67" ref="B120"/>
    <hyperlink r:id="rId68" ref="B122"/>
    <hyperlink r:id="rId69" ref="B123"/>
    <hyperlink r:id="rId70" ref="B124"/>
    <hyperlink r:id="rId71" ref="B128"/>
    <hyperlink r:id="rId72" ref="B130"/>
    <hyperlink r:id="rId73" ref="B131"/>
    <hyperlink r:id="rId74" ref="B132"/>
    <hyperlink r:id="rId75" ref="B137"/>
    <hyperlink r:id="rId76" ref="B140"/>
    <hyperlink r:id="rId77" ref="B141"/>
    <hyperlink r:id="rId78" ref="B143"/>
    <hyperlink r:id="rId79" ref="B145"/>
    <hyperlink r:id="rId80" ref="B146"/>
    <hyperlink r:id="rId81" ref="B147"/>
    <hyperlink r:id="rId82" ref="B148"/>
    <hyperlink r:id="rId83" ref="B150"/>
    <hyperlink r:id="rId84" ref="B151"/>
    <hyperlink r:id="rId85" ref="B152"/>
    <hyperlink r:id="rId86" ref="B153"/>
    <hyperlink r:id="rId87" ref="B154"/>
    <hyperlink r:id="rId88" ref="B156"/>
    <hyperlink r:id="rId89" ref="B158"/>
    <hyperlink r:id="rId90" ref="B164"/>
    <hyperlink r:id="rId91" ref="B165"/>
    <hyperlink r:id="rId92" ref="B167"/>
    <hyperlink r:id="rId93" ref="B169"/>
    <hyperlink r:id="rId94" ref="B171"/>
    <hyperlink r:id="rId95" ref="B173"/>
  </hyperlinks>
  <printOptions gridLines="1" horizontalCentered="1"/>
  <pageMargins bottom="0.75" footer="0.0" header="0.0" left="0.7" right="0.7" top="0.75"/>
  <pageSetup fitToHeight="0" cellComments="atEnd" orientation="landscape" pageOrder="overThenDown"/>
  <drawing r:id="rId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4.43" defaultRowHeight="15.75"/>
  <cols>
    <col customWidth="1" min="1" max="1" width="12.14"/>
    <col customWidth="1" hidden="1" min="2" max="2" width="11.29"/>
    <col customWidth="1" min="3" max="3" width="22.86"/>
    <col customWidth="1" min="4" max="4" width="7.14"/>
    <col customWidth="1" min="5" max="5" width="5.57"/>
    <col customWidth="1" min="6" max="6" width="6.57"/>
    <col customWidth="1" min="16" max="16" width="77.57"/>
  </cols>
  <sheetData>
    <row r="1">
      <c r="A1" s="1" t="s">
        <v>4</v>
      </c>
      <c r="B1" s="6" t="s">
        <v>5</v>
      </c>
      <c r="C1" s="7" t="s">
        <v>6</v>
      </c>
      <c r="D1" s="2" t="s">
        <v>1008</v>
      </c>
      <c r="E1" s="2" t="s">
        <v>1009</v>
      </c>
      <c r="F1" s="2" t="s">
        <v>1010</v>
      </c>
      <c r="G1" s="2" t="s">
        <v>1011</v>
      </c>
      <c r="H1" s="2" t="s">
        <v>1012</v>
      </c>
      <c r="I1" s="3" t="s">
        <v>1013</v>
      </c>
      <c r="J1" s="3" t="s">
        <v>1014</v>
      </c>
      <c r="K1" s="3" t="s">
        <v>1015</v>
      </c>
      <c r="L1" s="3" t="s">
        <v>1016</v>
      </c>
      <c r="M1" s="3" t="s">
        <v>12</v>
      </c>
      <c r="N1" s="3" t="s">
        <v>13</v>
      </c>
      <c r="O1" s="3" t="s">
        <v>14</v>
      </c>
      <c r="P1" s="8" t="s">
        <v>15</v>
      </c>
      <c r="Q1" s="4"/>
      <c r="R1" s="4"/>
      <c r="S1" s="4"/>
      <c r="T1" s="4"/>
      <c r="U1" s="4"/>
      <c r="V1" s="4"/>
      <c r="W1" s="4"/>
      <c r="X1" s="4"/>
      <c r="Y1" s="4"/>
      <c r="Z1" s="4"/>
    </row>
    <row r="2" hidden="1">
      <c r="A2" s="25">
        <f>IFERROR(__xludf.DUMMYFUNCTION("QUERY(Sheet1!3:747)"),43980.0)</f>
        <v>43980</v>
      </c>
      <c r="B2" s="24">
        <f>IFERROR(__xludf.DUMMYFUNCTION("""COMPUTED_VALUE"""),7.132692E7)</f>
        <v>71326920</v>
      </c>
      <c r="C2" s="24" t="str">
        <f>IFERROR(__xludf.DUMMYFUNCTION("""COMPUTED_VALUE"""),"7000 CULLEN BLVD")</f>
        <v>7000 CULLEN BLVD</v>
      </c>
      <c r="D2" s="26" t="str">
        <f>IFERROR(__xludf.DUMMYFUNCTION("""COMPUTED_VALUE"""),"M")</f>
        <v>M</v>
      </c>
      <c r="E2" s="26" t="str">
        <f>IFERROR(__xludf.DUMMYFUNCTION("""COMPUTED_VALUE"""),"H")</f>
        <v>H</v>
      </c>
      <c r="F2" s="26">
        <f>IFERROR(__xludf.DUMMYFUNCTION("""COMPUTED_VALUE"""),26.0)</f>
        <v>26</v>
      </c>
      <c r="G2" s="26" t="str">
        <f>IFERROR(__xludf.DUMMYFUNCTION("""COMPUTED_VALUE"""),"Wounded")</f>
        <v>Wounded</v>
      </c>
      <c r="H2" s="26" t="str">
        <f>IFERROR(__xludf.DUMMYFUNCTION("""COMPUTED_VALUE"""),"Other")</f>
        <v>Other</v>
      </c>
      <c r="I2" s="27" t="str">
        <f>IFERROR(__xludf.DUMMYFUNCTION("""COMPUTED_VALUE"""),"M")</f>
        <v>M</v>
      </c>
      <c r="J2" s="27" t="str">
        <f>IFERROR(__xludf.DUMMYFUNCTION("""COMPUTED_VALUE"""),"W")</f>
        <v>W</v>
      </c>
      <c r="K2" s="27">
        <f>IFERROR(__xludf.DUMMYFUNCTION("""COMPUTED_VALUE"""),22.0)</f>
        <v>22</v>
      </c>
      <c r="L2" s="27" t="str">
        <f>IFERROR(__xludf.DUMMYFUNCTION("""COMPUTED_VALUE"""),"None")</f>
        <v>None</v>
      </c>
      <c r="M2" s="27" t="str">
        <f>IFERROR(__xludf.DUMMYFUNCTION("""COMPUTED_VALUE"""),"Y")</f>
        <v>Y</v>
      </c>
      <c r="N2" s="24" t="str">
        <f>IFERROR(__xludf.DUMMYFUNCTION("""COMPUTED_VALUE"""),"Emergency Call")</f>
        <v>Emergency Call</v>
      </c>
      <c r="O2" s="24">
        <f>IFERROR(__xludf.DUMMYFUNCTION("""COMPUTED_VALUE"""),1.0)</f>
        <v>1</v>
      </c>
      <c r="P2" s="28" t="str">
        <f>IFERROR(__xludf.DUMMYFUNCTION("""COMPUTED_VALUE"""),"An officer was conducting a traffic stop and had two persons detained when an unrelated suspect ambushed the officer and struck him with a pipe. The officer shot the suspect who was transported to Ben Taub.
")</f>
        <v>An officer was conducting a traffic stop and had two persons detained when an unrelated suspect ambushed the officer and struck him with a pipe. The officer shot the suspect who was transported to Ben Taub.
</v>
      </c>
      <c r="Q2" s="24"/>
      <c r="R2" s="24"/>
      <c r="S2" s="24"/>
      <c r="T2" s="24"/>
      <c r="U2" s="24"/>
      <c r="V2" s="24"/>
      <c r="W2" s="24"/>
      <c r="X2" s="24"/>
      <c r="Y2" s="24"/>
      <c r="Z2" s="24"/>
    </row>
    <row r="3" hidden="1">
      <c r="A3" s="29">
        <f>IFERROR(__xludf.DUMMYFUNCTION("""COMPUTED_VALUE"""),43979.0)</f>
        <v>43979</v>
      </c>
      <c r="B3" s="24">
        <f>IFERROR(__xludf.DUMMYFUNCTION("""COMPUTED_VALUE"""),7.127082E7)</f>
        <v>71270820</v>
      </c>
      <c r="C3" s="24" t="str">
        <f>IFERROR(__xludf.DUMMYFUNCTION("""COMPUTED_VALUE"""),"6300 DUMFRIES DR")</f>
        <v>6300 DUMFRIES DR</v>
      </c>
      <c r="D3" s="26" t="str">
        <f>IFERROR(__xludf.DUMMYFUNCTION("""COMPUTED_VALUE"""),"M")</f>
        <v>M</v>
      </c>
      <c r="E3" s="26" t="str">
        <f>IFERROR(__xludf.DUMMYFUNCTION("""COMPUTED_VALUE"""),"H")</f>
        <v>H</v>
      </c>
      <c r="F3" s="26">
        <f>IFERROR(__xludf.DUMMYFUNCTION("""COMPUTED_VALUE"""),18.0)</f>
        <v>18</v>
      </c>
      <c r="G3" s="26" t="str">
        <f>IFERROR(__xludf.DUMMYFUNCTION("""COMPUTED_VALUE"""),"Wounded")</f>
        <v>Wounded</v>
      </c>
      <c r="H3" s="26" t="str">
        <f>IFERROR(__xludf.DUMMYFUNCTION("""COMPUTED_VALUE"""),"Firearm")</f>
        <v>Firearm</v>
      </c>
      <c r="I3" s="27" t="str">
        <f>IFERROR(__xludf.DUMMYFUNCTION("""COMPUTED_VALUE"""),"M")</f>
        <v>M</v>
      </c>
      <c r="J3" s="27" t="str">
        <f>IFERROR(__xludf.DUMMYFUNCTION("""COMPUTED_VALUE"""),"B")</f>
        <v>B</v>
      </c>
      <c r="K3" s="27">
        <f>IFERROR(__xludf.DUMMYFUNCTION("""COMPUTED_VALUE"""),35.0)</f>
        <v>35</v>
      </c>
      <c r="L3" s="27" t="str">
        <f>IFERROR(__xludf.DUMMYFUNCTION("""COMPUTED_VALUE"""),"None")</f>
        <v>None</v>
      </c>
      <c r="M3" s="27" t="str">
        <f>IFERROR(__xludf.DUMMYFUNCTION("""COMPUTED_VALUE"""),"Y")</f>
        <v>Y</v>
      </c>
      <c r="N3" s="24" t="str">
        <f>IFERROR(__xludf.DUMMYFUNCTION("""COMPUTED_VALUE"""),"Traffic Stop")</f>
        <v>Traffic Stop</v>
      </c>
      <c r="O3" s="24">
        <f>IFERROR(__xludf.DUMMYFUNCTION("""COMPUTED_VALUE"""),1.0)</f>
        <v>1</v>
      </c>
      <c r="P3" s="28" t="str">
        <f>IFERROR(__xludf.DUMMYFUNCTION("""COMPUTED_VALUE"""),"An officer observed a traffic violation, turned on his emergency lights and sirens, and attempted to pull the vehicle over on a traffic stop. The driver ignored the officer’s commands to pull over and began to actively flee. After 1.5 miles, the suspect s"&amp;"topped his vehicle, exited, and continued to flee on foot. The suspect presented a handgun and was ordered by the officer to drop the weapon numerous times. The suspect ignored these commands. In fear of his life, the officer discharged his duty weapon mu"&amp;"ltiple times striking the suspect with non-life threatening injuries. The officer was not injured.
")</f>
        <v>An officer observed a traffic violation, turned on his emergency lights and sirens, and attempted to pull the vehicle over on a traffic stop. The driver ignored the officer’s commands to pull over and began to actively flee. After 1.5 miles, the suspect stopped his vehicle, exited, and continued to flee on foot. The suspect presented a handgun and was ordered by the officer to drop the weapon numerous times. The suspect ignored these commands. In fear of his life, the officer discharged his duty weapon multiple times striking the suspect with non-life threatening injuries. The officer was not injured.
</v>
      </c>
      <c r="Q3" s="24"/>
      <c r="R3" s="24"/>
      <c r="S3" s="24"/>
      <c r="T3" s="24"/>
      <c r="U3" s="24"/>
      <c r="V3" s="24"/>
      <c r="W3" s="24"/>
      <c r="X3" s="24"/>
      <c r="Y3" s="24"/>
      <c r="Z3" s="24"/>
    </row>
    <row r="4" hidden="1">
      <c r="A4" s="29">
        <f>IFERROR(__xludf.DUMMYFUNCTION("""COMPUTED_VALUE"""),43976.0)</f>
        <v>43976</v>
      </c>
      <c r="B4" s="24">
        <f>IFERROR(__xludf.DUMMYFUNCTION("""COMPUTED_VALUE"""),6.925932E7)</f>
        <v>69259320</v>
      </c>
      <c r="C4" s="24" t="str">
        <f>IFERROR(__xludf.DUMMYFUNCTION("""COMPUTED_VALUE"""),"6500 CAPRIDGE DR")</f>
        <v>6500 CAPRIDGE DR</v>
      </c>
      <c r="D4" s="26" t="str">
        <f>IFERROR(__xludf.DUMMYFUNCTION("""COMPUTED_VALUE"""),"M")</f>
        <v>M</v>
      </c>
      <c r="E4" s="26" t="str">
        <f>IFERROR(__xludf.DUMMYFUNCTION("""COMPUTED_VALUE"""),"H")</f>
        <v>H</v>
      </c>
      <c r="F4" s="26"/>
      <c r="G4" s="26" t="str">
        <f>IFERROR(__xludf.DUMMYFUNCTION("""COMPUTED_VALUE"""),"Killed")</f>
        <v>Killed</v>
      </c>
      <c r="H4" s="26" t="str">
        <f>IFERROR(__xludf.DUMMYFUNCTION("""COMPUTED_VALUE"""),"Firearm")</f>
        <v>Firearm</v>
      </c>
      <c r="I4" s="27" t="str">
        <f>IFERROR(__xludf.DUMMYFUNCTION("""COMPUTED_VALUE"""),"M")</f>
        <v>M</v>
      </c>
      <c r="J4" s="27" t="str">
        <f>IFERROR(__xludf.DUMMYFUNCTION("""COMPUTED_VALUE"""),"H")</f>
        <v>H</v>
      </c>
      <c r="K4" s="27">
        <f>IFERROR(__xludf.DUMMYFUNCTION("""COMPUTED_VALUE"""),31.0)</f>
        <v>31</v>
      </c>
      <c r="L4" s="27" t="str">
        <f>IFERROR(__xludf.DUMMYFUNCTION("""COMPUTED_VALUE"""),"None")</f>
        <v>None</v>
      </c>
      <c r="M4" s="27" t="str">
        <f>IFERROR(__xludf.DUMMYFUNCTION("""COMPUTED_VALUE"""),"Y")</f>
        <v>Y</v>
      </c>
      <c r="N4" s="24" t="str">
        <f>IFERROR(__xludf.DUMMYFUNCTION("""COMPUTED_VALUE"""),"Emergency Call")</f>
        <v>Emergency Call</v>
      </c>
      <c r="O4" s="24"/>
      <c r="P4" s="24" t="str">
        <f>IFERROR(__xludf.DUMMYFUNCTION("""COMPUTED_VALUE"""),"Officers were dispatched to a suicide threat with a weapon. A female caller reported that her husband had a gun, was highly emotional, and just discharged the weapon. Upon officers’ arrival, they observed the suspect walking with a handgun in his right ha"&amp;"nd. Officers ordered him numerous times to drop the gun and surrender, but he ignored these commands and fired a round into the ground. Moments later, the suspect turned and raised the handgun towards officers. Fearing for their lives, and the lives of th"&amp;"ose around them, several officers fired their duty weapons striking the suspect multiple times. The suspect was pronounced dead at the scene. ")</f>
        <v>Officers were dispatched to a suicide threat with a weapon. A female caller reported that her husband had a gun, was highly emotional, and just discharged the weapon. Upon officers’ arrival, they observed the suspect walking with a handgun in his right hand. Officers ordered him numerous times to drop the gun and surrender, but he ignored these commands and fired a round into the ground. Moments later, the suspect turned and raised the handgun towards officers. Fearing for their lives, and the lives of those around them, several officers fired their duty weapons striking the suspect multiple times. The suspect was pronounced dead at the scene. </v>
      </c>
      <c r="Q4" s="24"/>
      <c r="R4" s="24"/>
      <c r="S4" s="24"/>
      <c r="T4" s="24"/>
      <c r="U4" s="24"/>
      <c r="V4" s="24"/>
      <c r="W4" s="24"/>
      <c r="X4" s="24"/>
      <c r="Y4" s="24"/>
      <c r="Z4" s="24"/>
    </row>
    <row r="5" hidden="1">
      <c r="A5" s="29"/>
      <c r="B5" s="24"/>
      <c r="C5" s="24"/>
      <c r="D5" s="26"/>
      <c r="E5" s="26"/>
      <c r="F5" s="26"/>
      <c r="G5" s="26"/>
      <c r="H5" s="26"/>
      <c r="I5" s="27" t="str">
        <f>IFERROR(__xludf.DUMMYFUNCTION("""COMPUTED_VALUE"""),"M")</f>
        <v>M</v>
      </c>
      <c r="J5" s="27" t="str">
        <f>IFERROR(__xludf.DUMMYFUNCTION("""COMPUTED_VALUE"""),"W")</f>
        <v>W</v>
      </c>
      <c r="K5" s="27">
        <f>IFERROR(__xludf.DUMMYFUNCTION("""COMPUTED_VALUE"""),26.0)</f>
        <v>26</v>
      </c>
      <c r="L5" s="27" t="str">
        <f>IFERROR(__xludf.DUMMYFUNCTION("""COMPUTED_VALUE"""),"None")</f>
        <v>None</v>
      </c>
      <c r="M5" s="27" t="str">
        <f>IFERROR(__xludf.DUMMYFUNCTION("""COMPUTED_VALUE"""),"Y")</f>
        <v>Y</v>
      </c>
      <c r="N5" s="24" t="str">
        <f>IFERROR(__xludf.DUMMYFUNCTION("""COMPUTED_VALUE"""),"Emergency Call")</f>
        <v>Emergency Call</v>
      </c>
      <c r="O5" s="24"/>
      <c r="P5" s="24"/>
      <c r="Q5" s="24"/>
      <c r="R5" s="24"/>
      <c r="S5" s="24"/>
      <c r="T5" s="24"/>
      <c r="U5" s="24"/>
      <c r="V5" s="24"/>
      <c r="W5" s="24"/>
      <c r="X5" s="24"/>
      <c r="Y5" s="24"/>
      <c r="Z5" s="24"/>
    </row>
    <row r="6" hidden="1">
      <c r="A6" s="29"/>
      <c r="B6" s="24"/>
      <c r="C6" s="24"/>
      <c r="D6" s="26"/>
      <c r="E6" s="26"/>
      <c r="F6" s="26"/>
      <c r="G6" s="26"/>
      <c r="H6" s="26"/>
      <c r="I6" s="27" t="str">
        <f>IFERROR(__xludf.DUMMYFUNCTION("""COMPUTED_VALUE"""),"M")</f>
        <v>M</v>
      </c>
      <c r="J6" s="27" t="str">
        <f>IFERROR(__xludf.DUMMYFUNCTION("""COMPUTED_VALUE"""),"W")</f>
        <v>W</v>
      </c>
      <c r="K6" s="27">
        <f>IFERROR(__xludf.DUMMYFUNCTION("""COMPUTED_VALUE"""),39.0)</f>
        <v>39</v>
      </c>
      <c r="L6" s="27" t="str">
        <f>IFERROR(__xludf.DUMMYFUNCTION("""COMPUTED_VALUE"""),"None")</f>
        <v>None</v>
      </c>
      <c r="M6" s="27" t="str">
        <f>IFERROR(__xludf.DUMMYFUNCTION("""COMPUTED_VALUE"""),"Y")</f>
        <v>Y</v>
      </c>
      <c r="N6" s="24" t="str">
        <f>IFERROR(__xludf.DUMMYFUNCTION("""COMPUTED_VALUE"""),"Emergency Call")</f>
        <v>Emergency Call</v>
      </c>
      <c r="O6" s="24"/>
      <c r="P6" s="24"/>
      <c r="Q6" s="24"/>
      <c r="R6" s="24"/>
      <c r="S6" s="24"/>
      <c r="T6" s="24"/>
      <c r="U6" s="24"/>
      <c r="V6" s="24"/>
      <c r="W6" s="24"/>
      <c r="X6" s="24"/>
      <c r="Y6" s="24"/>
      <c r="Z6" s="24"/>
    </row>
    <row r="7" hidden="1">
      <c r="A7" s="29">
        <f>IFERROR(__xludf.DUMMYFUNCTION("""COMPUTED_VALUE"""),43967.0)</f>
        <v>43967</v>
      </c>
      <c r="B7" s="24">
        <f>IFERROR(__xludf.DUMMYFUNCTION("""COMPUTED_VALUE"""),6.478802E7)</f>
        <v>64788020</v>
      </c>
      <c r="C7" s="24" t="str">
        <f>IFERROR(__xludf.DUMMYFUNCTION("""COMPUTED_VALUE"""),"8600 S BRAESWOOD BLVD")</f>
        <v>8600 S BRAESWOOD BLVD</v>
      </c>
      <c r="D7" s="26" t="str">
        <f>IFERROR(__xludf.DUMMYFUNCTION("""COMPUTED_VALUE"""),"M")</f>
        <v>M</v>
      </c>
      <c r="E7" s="26" t="str">
        <f>IFERROR(__xludf.DUMMYFUNCTION("""COMPUTED_VALUE"""),"B")</f>
        <v>B</v>
      </c>
      <c r="F7" s="26">
        <f>IFERROR(__xludf.DUMMYFUNCTION("""COMPUTED_VALUE"""),38.0)</f>
        <v>38</v>
      </c>
      <c r="G7" s="26" t="str">
        <f>IFERROR(__xludf.DUMMYFUNCTION("""COMPUTED_VALUE"""),"Killed")</f>
        <v>Killed</v>
      </c>
      <c r="H7" s="26" t="str">
        <f>IFERROR(__xludf.DUMMYFUNCTION("""COMPUTED_VALUE"""),"Knife")</f>
        <v>Knife</v>
      </c>
      <c r="I7" s="27" t="str">
        <f>IFERROR(__xludf.DUMMYFUNCTION("""COMPUTED_VALUE"""),"M")</f>
        <v>M</v>
      </c>
      <c r="J7" s="27" t="str">
        <f>IFERROR(__xludf.DUMMYFUNCTION("""COMPUTED_VALUE"""),"H")</f>
        <v>H</v>
      </c>
      <c r="K7" s="27">
        <f>IFERROR(__xludf.DUMMYFUNCTION("""COMPUTED_VALUE"""),34.0)</f>
        <v>34</v>
      </c>
      <c r="L7" s="27" t="str">
        <f>IFERROR(__xludf.DUMMYFUNCTION("""COMPUTED_VALUE"""),"None")</f>
        <v>None</v>
      </c>
      <c r="M7" s="27" t="str">
        <f>IFERROR(__xludf.DUMMYFUNCTION("""COMPUTED_VALUE"""),"Y")</f>
        <v>Y</v>
      </c>
      <c r="N7" s="24" t="str">
        <f>IFERROR(__xludf.DUMMYFUNCTION("""COMPUTED_VALUE"""),"Emergency Call")</f>
        <v>Emergency Call</v>
      </c>
      <c r="O7" s="24">
        <f>IFERROR(__xludf.DUMMYFUNCTION("""COMPUTED_VALUE"""),1.0)</f>
        <v>1</v>
      </c>
      <c r="P7" s="24" t="str">
        <f>IFERROR(__xludf.DUMMYFUNCTION("""COMPUTED_VALUE"""),"HPD officers responded to a suspicious person with a knife call but did not locate the suspect at that location. One officer canvassed the area and saw a witness who stated the suspect stabbed an elderly female before entering her vehicle. The elderly fem"&amp;"ale was lying on the ground near her car. As the officer ordered the suspect out of the complainant’s vehicle, the suspect exited the vehicle and moved quickly towards the officer with a knife. In fear of serious bodily injury or death, the officer fired "&amp;"his duty weapon twice, striking the suspect. HFD transported the elderly female to the hospital where she succumbed to her injuries. ")</f>
        <v>HPD officers responded to a suspicious person with a knife call but did not locate the suspect at that location. One officer canvassed the area and saw a witness who stated the suspect stabbed an elderly female before entering her vehicle. The elderly female was lying on the ground near her car. As the officer ordered the suspect out of the complainant’s vehicle, the suspect exited the vehicle and moved quickly towards the officer with a knife. In fear of serious bodily injury or death, the officer fired his duty weapon twice, striking the suspect. HFD transported the elderly female to the hospital where she succumbed to her injuries. </v>
      </c>
      <c r="Q7" s="24"/>
      <c r="R7" s="24"/>
      <c r="S7" s="24"/>
      <c r="T7" s="24"/>
      <c r="U7" s="24"/>
      <c r="V7" s="24"/>
      <c r="W7" s="24"/>
      <c r="X7" s="24"/>
      <c r="Y7" s="24"/>
      <c r="Z7" s="24"/>
    </row>
    <row r="8" hidden="1">
      <c r="A8" s="29">
        <f>IFERROR(__xludf.DUMMYFUNCTION("""COMPUTED_VALUE"""),43965.0)</f>
        <v>43965</v>
      </c>
      <c r="B8" s="24">
        <f>IFERROR(__xludf.DUMMYFUNCTION("""COMPUTED_VALUE"""),6.394662E7)</f>
        <v>63946620</v>
      </c>
      <c r="C8" s="24" t="str">
        <f>IFERROR(__xludf.DUMMYFUNCTION("""COMPUTED_VALUE"""),"3800 NOAH ST")</f>
        <v>3800 NOAH ST</v>
      </c>
      <c r="D8" s="26" t="str">
        <f>IFERROR(__xludf.DUMMYFUNCTION("""COMPUTED_VALUE"""),"M")</f>
        <v>M</v>
      </c>
      <c r="E8" s="26" t="str">
        <f>IFERROR(__xludf.DUMMYFUNCTION("""COMPUTED_VALUE"""),"B")</f>
        <v>B</v>
      </c>
      <c r="F8" s="26">
        <f>IFERROR(__xludf.DUMMYFUNCTION("""COMPUTED_VALUE"""),30.0)</f>
        <v>30</v>
      </c>
      <c r="G8" s="26" t="str">
        <f>IFERROR(__xludf.DUMMYFUNCTION("""COMPUTED_VALUE"""),"Killed")</f>
        <v>Killed</v>
      </c>
      <c r="H8" s="26" t="str">
        <f>IFERROR(__xludf.DUMMYFUNCTION("""COMPUTED_VALUE"""),"Other")</f>
        <v>Other</v>
      </c>
      <c r="I8" s="27" t="str">
        <f>IFERROR(__xludf.DUMMYFUNCTION("""COMPUTED_VALUE"""),"M")</f>
        <v>M</v>
      </c>
      <c r="J8" s="27" t="str">
        <f>IFERROR(__xludf.DUMMYFUNCTION("""COMPUTED_VALUE"""),"B")</f>
        <v>B</v>
      </c>
      <c r="K8" s="27">
        <f>IFERROR(__xludf.DUMMYFUNCTION("""COMPUTED_VALUE"""),28.0)</f>
        <v>28</v>
      </c>
      <c r="L8" s="27" t="str">
        <f>IFERROR(__xludf.DUMMYFUNCTION("""COMPUTED_VALUE"""),"None")</f>
        <v>None</v>
      </c>
      <c r="M8" s="27" t="str">
        <f>IFERROR(__xludf.DUMMYFUNCTION("""COMPUTED_VALUE"""),"Y")</f>
        <v>Y</v>
      </c>
      <c r="N8" s="24" t="str">
        <f>IFERROR(__xludf.DUMMYFUNCTION("""COMPUTED_VALUE"""),"Emergency Call")</f>
        <v>Emergency Call</v>
      </c>
      <c r="O8" s="24">
        <f>IFERROR(__xludf.DUMMYFUNCTION("""COMPUTED_VALUE"""),1.0)</f>
        <v>1</v>
      </c>
      <c r="P8" s="24" t="str">
        <f>IFERROR(__xludf.DUMMYFUNCTION("""COMPUTED_VALUE"""),"Officers responded to a suspicious person with a weapon, located the suspect, and gave him verbal commands to cooperate. The suspect ignored the officer and started to approach him. The officer saw what appeared to be a pistol in the suspect’s front pocke"&amp;"t. The officer repeatedly ordered the suspect to halt but the suspect kept approaching him causing the officer circled his vehicle to keep a barrier between himself and the suspect. The officer repeatedly ordered the suspect not to reach for the weapon. A"&amp;"s backup officers arrived on scene, the suspect turned and reached for his weapon. The officer discharged his weapon striking the suspect several times. The suspect was transported to the hospital where he was pronounced deceased. It was later learned the"&amp;" suspect’s weapon was a BB gun replica of a 9mm Beretta. ")</f>
        <v>Officers responded to a suspicious person with a weapon, located the suspect, and gave him verbal commands to cooperate. The suspect ignored the officer and started to approach him. The officer saw what appeared to be a pistol in the suspect’s front pocket. The officer repeatedly ordered the suspect to halt but the suspect kept approaching him causing the officer circled his vehicle to keep a barrier between himself and the suspect. The officer repeatedly ordered the suspect not to reach for the weapon. As backup officers arrived on scene, the suspect turned and reached for his weapon. The officer discharged his weapon striking the suspect several times. The suspect was transported to the hospital where he was pronounced deceased. It was later learned the suspect’s weapon was a BB gun replica of a 9mm Beretta. </v>
      </c>
      <c r="Q8" s="24"/>
      <c r="R8" s="24"/>
      <c r="S8" s="24"/>
      <c r="T8" s="24"/>
      <c r="U8" s="24"/>
      <c r="V8" s="24"/>
      <c r="W8" s="24"/>
      <c r="X8" s="24"/>
      <c r="Y8" s="24"/>
      <c r="Z8" s="24"/>
    </row>
    <row r="9" hidden="1">
      <c r="A9" s="29"/>
      <c r="B9" s="24"/>
      <c r="C9" s="24"/>
      <c r="D9" s="26"/>
      <c r="E9" s="26"/>
      <c r="F9" s="26"/>
      <c r="G9" s="26"/>
      <c r="H9" s="26"/>
      <c r="I9" s="27" t="str">
        <f>IFERROR(__xludf.DUMMYFUNCTION("""COMPUTED_VALUE"""),"M")</f>
        <v>M</v>
      </c>
      <c r="J9" s="27" t="str">
        <f>IFERROR(__xludf.DUMMYFUNCTION("""COMPUTED_VALUE"""),"B")</f>
        <v>B</v>
      </c>
      <c r="K9" s="27">
        <f>IFERROR(__xludf.DUMMYFUNCTION("""COMPUTED_VALUE"""),28.0)</f>
        <v>28</v>
      </c>
      <c r="L9" s="27" t="str">
        <f>IFERROR(__xludf.DUMMYFUNCTION("""COMPUTED_VALUE"""),"None")</f>
        <v>None</v>
      </c>
      <c r="M9" s="27" t="str">
        <f>IFERROR(__xludf.DUMMYFUNCTION("""COMPUTED_VALUE"""),"Y")</f>
        <v>Y</v>
      </c>
      <c r="N9" s="24" t="str">
        <f>IFERROR(__xludf.DUMMYFUNCTION("""COMPUTED_VALUE"""),"Emergency Call")</f>
        <v>Emergency Call</v>
      </c>
      <c r="O9" s="24">
        <f>IFERROR(__xludf.DUMMYFUNCTION("""COMPUTED_VALUE"""),1.0)</f>
        <v>1</v>
      </c>
      <c r="P9" s="24"/>
      <c r="Q9" s="24"/>
      <c r="R9" s="24"/>
      <c r="S9" s="24"/>
      <c r="T9" s="24"/>
      <c r="U9" s="24"/>
      <c r="V9" s="24"/>
      <c r="W9" s="24"/>
      <c r="X9" s="24"/>
      <c r="Y9" s="24"/>
      <c r="Z9" s="24"/>
    </row>
    <row r="10" hidden="1">
      <c r="A10" s="29">
        <f>IFERROR(__xludf.DUMMYFUNCTION("""COMPUTED_VALUE"""),43959.0)</f>
        <v>43959</v>
      </c>
      <c r="B10" s="24">
        <f>IFERROR(__xludf.DUMMYFUNCTION("""COMPUTED_VALUE"""),6.049172E7)</f>
        <v>60491720</v>
      </c>
      <c r="C10" s="24" t="str">
        <f>IFERROR(__xludf.DUMMYFUNCTION("""COMPUTED_VALUE"""),"11700 NORTH FWY OB")</f>
        <v>11700 NORTH FWY OB</v>
      </c>
      <c r="D10" s="26" t="str">
        <f>IFERROR(__xludf.DUMMYFUNCTION("""COMPUTED_VALUE"""),"M")</f>
        <v>M</v>
      </c>
      <c r="E10" s="26" t="str">
        <f>IFERROR(__xludf.DUMMYFUNCTION("""COMPUTED_VALUE"""),"B")</f>
        <v>B</v>
      </c>
      <c r="F10" s="26">
        <f>IFERROR(__xludf.DUMMYFUNCTION("""COMPUTED_VALUE"""),48.0)</f>
        <v>48</v>
      </c>
      <c r="G10" s="26" t="str">
        <f>IFERROR(__xludf.DUMMYFUNCTION("""COMPUTED_VALUE"""),"Killed")</f>
        <v>Killed</v>
      </c>
      <c r="H10" s="26" t="str">
        <f>IFERROR(__xludf.DUMMYFUNCTION("""COMPUTED_VALUE"""),"Other")</f>
        <v>Other</v>
      </c>
      <c r="I10" s="27" t="str">
        <f>IFERROR(__xludf.DUMMYFUNCTION("""COMPUTED_VALUE"""),"M")</f>
        <v>M</v>
      </c>
      <c r="J10" s="27" t="str">
        <f>IFERROR(__xludf.DUMMYFUNCTION("""COMPUTED_VALUE"""),"H")</f>
        <v>H</v>
      </c>
      <c r="K10" s="27">
        <f>IFERROR(__xludf.DUMMYFUNCTION("""COMPUTED_VALUE"""),33.0)</f>
        <v>33</v>
      </c>
      <c r="L10" s="27" t="str">
        <f>IFERROR(__xludf.DUMMYFUNCTION("""COMPUTED_VALUE"""),"None")</f>
        <v>None</v>
      </c>
      <c r="M10" s="27" t="str">
        <f>IFERROR(__xludf.DUMMYFUNCTION("""COMPUTED_VALUE"""),"Y")</f>
        <v>Y</v>
      </c>
      <c r="N10" s="24" t="str">
        <f>IFERROR(__xludf.DUMMYFUNCTION("""COMPUTED_VALUE"""),"Traffic Stop")</f>
        <v>Traffic Stop</v>
      </c>
      <c r="O10" s="24">
        <f>IFERROR(__xludf.DUMMYFUNCTION("""COMPUTED_VALUE"""),1.0)</f>
        <v>1</v>
      </c>
      <c r="P10" s="24" t="str">
        <f>IFERROR(__xludf.DUMMYFUNCTION("""COMPUTED_VALUE"""),"An HPD officer conducted a traffic stop and conducted a DWI investigation. The officer attempted to place the suspect under arrest and a physical altercation ensued. During this confrontation, the suspect was able to gain possession of the officer’s taser"&amp;" and pointed it at him. In fear of serious bodily injury or death, the officer fired multiple times striking the suspect. First aid was provided at the scene but the suspect was later pronounced deceased. ")</f>
        <v>An HPD officer conducted a traffic stop and conducted a DWI investigation. The officer attempted to place the suspect under arrest and a physical altercation ensued. During this confrontation, the suspect was able to gain possession of the officer’s taser and pointed it at him. In fear of serious bodily injury or death, the officer fired multiple times striking the suspect. First aid was provided at the scene but the suspect was later pronounced deceased. </v>
      </c>
      <c r="Q10" s="24"/>
      <c r="R10" s="24"/>
      <c r="S10" s="24"/>
      <c r="T10" s="24"/>
      <c r="U10" s="24"/>
      <c r="V10" s="24"/>
      <c r="W10" s="24"/>
      <c r="X10" s="24"/>
      <c r="Y10" s="24"/>
      <c r="Z10" s="24"/>
    </row>
    <row r="11" hidden="1">
      <c r="A11" s="29">
        <f>IFERROR(__xludf.DUMMYFUNCTION("""COMPUTED_VALUE"""),43948.0)</f>
        <v>43948</v>
      </c>
      <c r="B11" s="24">
        <f>IFERROR(__xludf.DUMMYFUNCTION("""COMPUTED_VALUE"""),5.494912E7)</f>
        <v>54949120</v>
      </c>
      <c r="C11" s="24" t="str">
        <f>IFERROR(__xludf.DUMMYFUNCTION("""COMPUTED_VALUE"""),"7900 LANE ST")</f>
        <v>7900 LANE ST</v>
      </c>
      <c r="D11" s="26" t="str">
        <f>IFERROR(__xludf.DUMMYFUNCTION("""COMPUTED_VALUE"""),"M")</f>
        <v>M</v>
      </c>
      <c r="E11" s="26" t="str">
        <f>IFERROR(__xludf.DUMMYFUNCTION("""COMPUTED_VALUE"""),"H")</f>
        <v>H</v>
      </c>
      <c r="F11" s="26">
        <f>IFERROR(__xludf.DUMMYFUNCTION("""COMPUTED_VALUE"""),28.0)</f>
        <v>28</v>
      </c>
      <c r="G11" s="26" t="str">
        <f>IFERROR(__xludf.DUMMYFUNCTION("""COMPUTED_VALUE"""),"Killed")</f>
        <v>Killed</v>
      </c>
      <c r="H11" s="26" t="str">
        <f>IFERROR(__xludf.DUMMYFUNCTION("""COMPUTED_VALUE"""),"Firearm")</f>
        <v>Firearm</v>
      </c>
      <c r="I11" s="27" t="str">
        <f>IFERROR(__xludf.DUMMYFUNCTION("""COMPUTED_VALUE"""),"M")</f>
        <v>M</v>
      </c>
      <c r="J11" s="27" t="str">
        <f>IFERROR(__xludf.DUMMYFUNCTION("""COMPUTED_VALUE"""),"P")</f>
        <v>P</v>
      </c>
      <c r="K11" s="27">
        <f>IFERROR(__xludf.DUMMYFUNCTION("""COMPUTED_VALUE"""),24.0)</f>
        <v>24</v>
      </c>
      <c r="L11" s="27" t="str">
        <f>IFERROR(__xludf.DUMMYFUNCTION("""COMPUTED_VALUE"""),"None")</f>
        <v>None</v>
      </c>
      <c r="M11" s="27" t="str">
        <f>IFERROR(__xludf.DUMMYFUNCTION("""COMPUTED_VALUE"""),"Y")</f>
        <v>Y</v>
      </c>
      <c r="N11" s="24" t="str">
        <f>IFERROR(__xludf.DUMMYFUNCTION("""COMPUTED_VALUE"""),"Emergency Call")</f>
        <v>Emergency Call</v>
      </c>
      <c r="O11" s="24">
        <f>IFERROR(__xludf.DUMMYFUNCTION("""COMPUTED_VALUE"""),1.0)</f>
        <v>1</v>
      </c>
      <c r="P11" s="24" t="str">
        <f>IFERROR(__xludf.DUMMYFUNCTION("""COMPUTED_VALUE"""),"Officers dispatched to a suspicious person with a weapon. The suspect was shooting in the air and then at officers as they arrived on scene. Officers shot and killed the suspect. Suspect had shot over fifty-five rounds of ammunition. ")</f>
        <v>Officers dispatched to a suspicious person with a weapon. The suspect was shooting in the air and then at officers as they arrived on scene. Officers shot and killed the suspect. Suspect had shot over fifty-five rounds of ammunition. </v>
      </c>
      <c r="Q11" s="24"/>
      <c r="R11" s="24"/>
      <c r="S11" s="24"/>
      <c r="T11" s="24"/>
      <c r="U11" s="24"/>
      <c r="V11" s="24"/>
      <c r="W11" s="24"/>
      <c r="X11" s="24"/>
      <c r="Y11" s="24"/>
      <c r="Z11" s="24"/>
    </row>
    <row r="12" hidden="1">
      <c r="A12" s="29"/>
      <c r="B12" s="24"/>
      <c r="C12" s="24"/>
      <c r="D12" s="26"/>
      <c r="E12" s="26"/>
      <c r="F12" s="26"/>
      <c r="G12" s="26"/>
      <c r="H12" s="26"/>
      <c r="I12" s="27" t="str">
        <f>IFERROR(__xludf.DUMMYFUNCTION("""COMPUTED_VALUE"""),"M")</f>
        <v>M</v>
      </c>
      <c r="J12" s="27" t="str">
        <f>IFERROR(__xludf.DUMMYFUNCTION("""COMPUTED_VALUE"""),"H")</f>
        <v>H</v>
      </c>
      <c r="K12" s="27">
        <f>IFERROR(__xludf.DUMMYFUNCTION("""COMPUTED_VALUE"""),26.0)</f>
        <v>26</v>
      </c>
      <c r="L12" s="27" t="str">
        <f>IFERROR(__xludf.DUMMYFUNCTION("""COMPUTED_VALUE"""),"None")</f>
        <v>None</v>
      </c>
      <c r="M12" s="27" t="str">
        <f>IFERROR(__xludf.DUMMYFUNCTION("""COMPUTED_VALUE"""),"Y")</f>
        <v>Y</v>
      </c>
      <c r="N12" s="24" t="str">
        <f>IFERROR(__xludf.DUMMYFUNCTION("""COMPUTED_VALUE"""),"Emergency Call")</f>
        <v>Emergency Call</v>
      </c>
      <c r="O12" s="24"/>
      <c r="P12" s="24"/>
      <c r="Q12" s="24"/>
      <c r="R12" s="24"/>
      <c r="S12" s="24"/>
      <c r="T12" s="24"/>
      <c r="U12" s="24"/>
      <c r="V12" s="24"/>
      <c r="W12" s="24"/>
      <c r="X12" s="24"/>
      <c r="Y12" s="24"/>
      <c r="Z12" s="24"/>
    </row>
    <row r="13" hidden="1">
      <c r="A13" s="29">
        <f>IFERROR(__xludf.DUMMYFUNCTION("""COMPUTED_VALUE"""),43942.0)</f>
        <v>43942</v>
      </c>
      <c r="B13" s="24">
        <f>IFERROR(__xludf.DUMMYFUNCTION("""COMPUTED_VALUE"""),5.253792E7)</f>
        <v>52537920</v>
      </c>
      <c r="C13" s="24" t="str">
        <f>IFERROR(__xludf.DUMMYFUNCTION("""COMPUTED_VALUE"""),"800 GAZIN")</f>
        <v>800 GAZIN</v>
      </c>
      <c r="D13" s="26" t="str">
        <f>IFERROR(__xludf.DUMMYFUNCTION("""COMPUTED_VALUE"""),"M")</f>
        <v>M</v>
      </c>
      <c r="E13" s="26" t="str">
        <f>IFERROR(__xludf.DUMMYFUNCTION("""COMPUTED_VALUE"""),"B")</f>
        <v>B</v>
      </c>
      <c r="F13" s="26">
        <f>IFERROR(__xludf.DUMMYFUNCTION("""COMPUTED_VALUE"""),36.0)</f>
        <v>36</v>
      </c>
      <c r="G13" s="26" t="str">
        <f>IFERROR(__xludf.DUMMYFUNCTION("""COMPUTED_VALUE"""),"Killed")</f>
        <v>Killed</v>
      </c>
      <c r="H13" s="26" t="str">
        <f>IFERROR(__xludf.DUMMYFUNCTION("""COMPUTED_VALUE"""),"Other")</f>
        <v>Other</v>
      </c>
      <c r="I13" s="27" t="str">
        <f>IFERROR(__xludf.DUMMYFUNCTION("""COMPUTED_VALUE"""),"M")</f>
        <v>M</v>
      </c>
      <c r="J13" s="27" t="str">
        <f>IFERROR(__xludf.DUMMYFUNCTION("""COMPUTED_VALUE"""),"H")</f>
        <v>H</v>
      </c>
      <c r="K13" s="27">
        <f>IFERROR(__xludf.DUMMYFUNCTION("""COMPUTED_VALUE"""),24.0)</f>
        <v>24</v>
      </c>
      <c r="L13" s="27" t="str">
        <f>IFERROR(__xludf.DUMMYFUNCTION("""COMPUTED_VALUE"""),"None")</f>
        <v>None</v>
      </c>
      <c r="M13" s="27" t="str">
        <f>IFERROR(__xludf.DUMMYFUNCTION("""COMPUTED_VALUE"""),"Y")</f>
        <v>Y</v>
      </c>
      <c r="N13" s="24" t="str">
        <f>IFERROR(__xludf.DUMMYFUNCTION("""COMPUTED_VALUE"""),"Emergency Call")</f>
        <v>Emergency Call</v>
      </c>
      <c r="O13" s="24"/>
      <c r="P13" s="24" t="str">
        <f>IFERROR(__xludf.DUMMYFUNCTION("""COMPUTED_VALUE"""),"Houston Police Officers responded to a suicide in progress. As the officers engaged the suspect, he charged at them with a pointed object in his hand. Three officers discharged their CED’s at the suspect, which had no effect on him. Officers then discharg"&amp;"ed several beanbags at the suspect, which also had no effect on the suspect. The suspect charged at the officers with a pointed weapon causing one sergeant to shoot the suspect. The suspect then crawled to a CED that was dropped by an officer, picked it u"&amp;"p, and pointed it at the officers. In fear of their lives, several officers discharged their weapons and the suspect, killing him. ")</f>
        <v>Houston Police Officers responded to a suicide in progress. As the officers engaged the suspect, he charged at them with a pointed object in his hand. Three officers discharged their CED’s at the suspect, which had no effect on him. Officers then discharged several beanbags at the suspect, which also had no effect on the suspect. The suspect charged at the officers with a pointed weapon causing one sergeant to shoot the suspect. The suspect then crawled to a CED that was dropped by an officer, picked it up, and pointed it at the officers. In fear of their lives, several officers discharged their weapons and the suspect, killing him. </v>
      </c>
      <c r="Q13" s="24"/>
      <c r="R13" s="24"/>
      <c r="S13" s="24"/>
      <c r="T13" s="24"/>
      <c r="U13" s="24"/>
      <c r="V13" s="24"/>
      <c r="W13" s="24"/>
      <c r="X13" s="24"/>
      <c r="Y13" s="24"/>
      <c r="Z13" s="24"/>
    </row>
    <row r="14" hidden="1">
      <c r="A14" s="29"/>
      <c r="B14" s="24"/>
      <c r="C14" s="24"/>
      <c r="D14" s="26"/>
      <c r="E14" s="26"/>
      <c r="F14" s="26"/>
      <c r="G14" s="26"/>
      <c r="H14" s="26"/>
      <c r="I14" s="27" t="str">
        <f>IFERROR(__xludf.DUMMYFUNCTION("""COMPUTED_VALUE"""),"M")</f>
        <v>M</v>
      </c>
      <c r="J14" s="27" t="str">
        <f>IFERROR(__xludf.DUMMYFUNCTION("""COMPUTED_VALUE"""),"H")</f>
        <v>H</v>
      </c>
      <c r="K14" s="27">
        <f>IFERROR(__xludf.DUMMYFUNCTION("""COMPUTED_VALUE"""),26.0)</f>
        <v>26</v>
      </c>
      <c r="L14" s="27" t="str">
        <f>IFERROR(__xludf.DUMMYFUNCTION("""COMPUTED_VALUE"""),"None")</f>
        <v>None</v>
      </c>
      <c r="M14" s="27" t="str">
        <f>IFERROR(__xludf.DUMMYFUNCTION("""COMPUTED_VALUE"""),"Y")</f>
        <v>Y</v>
      </c>
      <c r="N14" s="24" t="str">
        <f>IFERROR(__xludf.DUMMYFUNCTION("""COMPUTED_VALUE"""),"Emergency Call")</f>
        <v>Emergency Call</v>
      </c>
      <c r="O14" s="24"/>
      <c r="P14" s="24"/>
      <c r="Q14" s="24"/>
      <c r="R14" s="24"/>
      <c r="S14" s="24"/>
      <c r="T14" s="24"/>
      <c r="U14" s="24"/>
      <c r="V14" s="24"/>
      <c r="W14" s="24"/>
      <c r="X14" s="24"/>
      <c r="Y14" s="24"/>
      <c r="Z14" s="24"/>
    </row>
    <row r="15" hidden="1">
      <c r="A15" s="29"/>
      <c r="B15" s="24"/>
      <c r="C15" s="24"/>
      <c r="D15" s="26"/>
      <c r="E15" s="26"/>
      <c r="F15" s="26"/>
      <c r="G15" s="26"/>
      <c r="H15" s="26"/>
      <c r="I15" s="27" t="str">
        <f>IFERROR(__xludf.DUMMYFUNCTION("""COMPUTED_VALUE"""),"M")</f>
        <v>M</v>
      </c>
      <c r="J15" s="27" t="str">
        <f>IFERROR(__xludf.DUMMYFUNCTION("""COMPUTED_VALUE"""),"H")</f>
        <v>H</v>
      </c>
      <c r="K15" s="27">
        <f>IFERROR(__xludf.DUMMYFUNCTION("""COMPUTED_VALUE"""),24.0)</f>
        <v>24</v>
      </c>
      <c r="L15" s="27" t="str">
        <f>IFERROR(__xludf.DUMMYFUNCTION("""COMPUTED_VALUE"""),"None")</f>
        <v>None</v>
      </c>
      <c r="M15" s="27" t="str">
        <f>IFERROR(__xludf.DUMMYFUNCTION("""COMPUTED_VALUE"""),"Y")</f>
        <v>Y</v>
      </c>
      <c r="N15" s="24" t="str">
        <f>IFERROR(__xludf.DUMMYFUNCTION("""COMPUTED_VALUE"""),"Other")</f>
        <v>Other</v>
      </c>
      <c r="O15" s="24"/>
      <c r="P15" s="24"/>
      <c r="Q15" s="24"/>
      <c r="R15" s="24"/>
      <c r="S15" s="24"/>
      <c r="T15" s="24"/>
      <c r="U15" s="24"/>
      <c r="V15" s="24"/>
      <c r="W15" s="24"/>
      <c r="X15" s="24"/>
      <c r="Y15" s="24"/>
      <c r="Z15" s="24"/>
    </row>
    <row r="16" hidden="1">
      <c r="A16" s="29"/>
      <c r="B16" s="24"/>
      <c r="C16" s="24"/>
      <c r="D16" s="26"/>
      <c r="E16" s="26"/>
      <c r="F16" s="26"/>
      <c r="G16" s="26"/>
      <c r="H16" s="26"/>
      <c r="I16" s="27" t="str">
        <f>IFERROR(__xludf.DUMMYFUNCTION("""COMPUTED_VALUE"""),"M")</f>
        <v>M</v>
      </c>
      <c r="J16" s="27" t="str">
        <f>IFERROR(__xludf.DUMMYFUNCTION("""COMPUTED_VALUE"""),"A")</f>
        <v>A</v>
      </c>
      <c r="K16" s="27">
        <f>IFERROR(__xludf.DUMMYFUNCTION("""COMPUTED_VALUE"""),31.0)</f>
        <v>31</v>
      </c>
      <c r="L16" s="27" t="str">
        <f>IFERROR(__xludf.DUMMYFUNCTION("""COMPUTED_VALUE"""),"None")</f>
        <v>None</v>
      </c>
      <c r="M16" s="27" t="str">
        <f>IFERROR(__xludf.DUMMYFUNCTION("""COMPUTED_VALUE"""),"Y")</f>
        <v>Y</v>
      </c>
      <c r="N16" s="24" t="str">
        <f>IFERROR(__xludf.DUMMYFUNCTION("""COMPUTED_VALUE"""),"Emergency Call")</f>
        <v>Emergency Call</v>
      </c>
      <c r="O16" s="24"/>
      <c r="P16" s="24"/>
      <c r="Q16" s="24"/>
      <c r="R16" s="24"/>
      <c r="S16" s="24"/>
      <c r="T16" s="24"/>
      <c r="U16" s="24"/>
      <c r="V16" s="24"/>
      <c r="W16" s="24"/>
      <c r="X16" s="24"/>
      <c r="Y16" s="24"/>
      <c r="Z16" s="24"/>
    </row>
    <row r="17" hidden="1">
      <c r="A17" s="29"/>
      <c r="B17" s="24"/>
      <c r="C17" s="24"/>
      <c r="D17" s="26"/>
      <c r="E17" s="26"/>
      <c r="F17" s="26"/>
      <c r="G17" s="26"/>
      <c r="H17" s="26"/>
      <c r="I17" s="27" t="str">
        <f>IFERROR(__xludf.DUMMYFUNCTION("""COMPUTED_VALUE"""),"M")</f>
        <v>M</v>
      </c>
      <c r="J17" s="27" t="str">
        <f>IFERROR(__xludf.DUMMYFUNCTION("""COMPUTED_VALUE"""),"W")</f>
        <v>W</v>
      </c>
      <c r="K17" s="27">
        <f>IFERROR(__xludf.DUMMYFUNCTION("""COMPUTED_VALUE"""),35.0)</f>
        <v>35</v>
      </c>
      <c r="L17" s="27" t="str">
        <f>IFERROR(__xludf.DUMMYFUNCTION("""COMPUTED_VALUE"""),"None")</f>
        <v>None</v>
      </c>
      <c r="M17" s="27" t="str">
        <f>IFERROR(__xludf.DUMMYFUNCTION("""COMPUTED_VALUE"""),"Y")</f>
        <v>Y</v>
      </c>
      <c r="N17" s="24" t="str">
        <f>IFERROR(__xludf.DUMMYFUNCTION("""COMPUTED_VALUE"""),"Emergency Call")</f>
        <v>Emergency Call</v>
      </c>
      <c r="O17" s="24">
        <f>IFERROR(__xludf.DUMMYFUNCTION("""COMPUTED_VALUE"""),1.0)</f>
        <v>1</v>
      </c>
      <c r="P17" s="24"/>
      <c r="Q17" s="24"/>
      <c r="R17" s="24"/>
      <c r="S17" s="24"/>
      <c r="T17" s="24"/>
      <c r="U17" s="24"/>
      <c r="V17" s="24"/>
      <c r="W17" s="24"/>
      <c r="X17" s="24"/>
      <c r="Y17" s="24"/>
      <c r="Z17" s="24"/>
    </row>
    <row r="18">
      <c r="A18" s="29">
        <f>IFERROR(__xludf.DUMMYFUNCTION("""COMPUTED_VALUE"""),43932.0)</f>
        <v>43932</v>
      </c>
      <c r="B18" s="24">
        <f>IFERROR(__xludf.DUMMYFUNCTION("""COMPUTED_VALUE"""),4.782602E7)</f>
        <v>47826020</v>
      </c>
      <c r="C18" s="24" t="str">
        <f>IFERROR(__xludf.DUMMYFUNCTION("""COMPUTED_VALUE"""),"400 GREENS RD #2008")</f>
        <v>400 GREENS RD #2008</v>
      </c>
      <c r="D18" s="26" t="str">
        <f>IFERROR(__xludf.DUMMYFUNCTION("""COMPUTED_VALUE"""),"M")</f>
        <v>M</v>
      </c>
      <c r="E18" s="26" t="str">
        <f>IFERROR(__xludf.DUMMYFUNCTION("""COMPUTED_VALUE"""),"B")</f>
        <v>B</v>
      </c>
      <c r="F18" s="26">
        <f>IFERROR(__xludf.DUMMYFUNCTION("""COMPUTED_VALUE"""),34.0)</f>
        <v>34</v>
      </c>
      <c r="G18" s="26" t="str">
        <f>IFERROR(__xludf.DUMMYFUNCTION("""COMPUTED_VALUE"""),"None")</f>
        <v>None</v>
      </c>
      <c r="H18" s="26" t="str">
        <f>IFERROR(__xludf.DUMMYFUNCTION("""COMPUTED_VALUE"""),"Firearm")</f>
        <v>Firearm</v>
      </c>
      <c r="I18" s="27" t="str">
        <f>IFERROR(__xludf.DUMMYFUNCTION("""COMPUTED_VALUE"""),"M")</f>
        <v>M</v>
      </c>
      <c r="J18" s="27" t="str">
        <f>IFERROR(__xludf.DUMMYFUNCTION("""COMPUTED_VALUE"""),"H")</f>
        <v>H</v>
      </c>
      <c r="K18" s="27">
        <f>IFERROR(__xludf.DUMMYFUNCTION("""COMPUTED_VALUE"""),35.0)</f>
        <v>35</v>
      </c>
      <c r="L18" s="27" t="str">
        <f>IFERROR(__xludf.DUMMYFUNCTION("""COMPUTED_VALUE"""),"None")</f>
        <v>None</v>
      </c>
      <c r="M18" s="27" t="str">
        <f>IFERROR(__xludf.DUMMYFUNCTION("""COMPUTED_VALUE"""),"Y")</f>
        <v>Y</v>
      </c>
      <c r="N18" s="24" t="str">
        <f>IFERROR(__xludf.DUMMYFUNCTION("""COMPUTED_VALUE"""),"Emergency Call")</f>
        <v>Emergency Call</v>
      </c>
      <c r="O18" s="24">
        <f>IFERROR(__xludf.DUMMYFUNCTION("""COMPUTED_VALUE"""),1.0)</f>
        <v>1</v>
      </c>
      <c r="P18" s="28" t="str">
        <f>IFERROR(__xludf.DUMMYFUNCTION("""COMPUTED_VALUE"""),"Officers responded to call concerning a suspicious person with a weapon. Officers found the suspect and he ran into the park. While running from officers, he pulled a gun out of his pants. Officers fired several shots at the suspect, but missed. The suspe"&amp;"ct was taken into custody unharmed. No officers were injured. ")</f>
        <v>Officers responded to call concerning a suspicious person with a weapon. Officers found the suspect and he ran into the park. While running from officers, he pulled a gun out of his pants. Officers fired several shots at the suspect, but missed. The suspect was taken into custody unharmed. No officers were injured. </v>
      </c>
      <c r="Q18" s="24"/>
      <c r="R18" s="24"/>
      <c r="S18" s="24"/>
      <c r="T18" s="24"/>
      <c r="U18" s="24"/>
      <c r="V18" s="24"/>
      <c r="W18" s="24"/>
      <c r="X18" s="24"/>
      <c r="Y18" s="24"/>
      <c r="Z18" s="24"/>
    </row>
    <row r="19" hidden="1">
      <c r="A19" s="29">
        <f>IFERROR(__xludf.DUMMYFUNCTION("""COMPUTED_VALUE"""),43924.0)</f>
        <v>43924</v>
      </c>
      <c r="B19" s="24">
        <f>IFERROR(__xludf.DUMMYFUNCTION("""COMPUTED_VALUE"""),4.420682E7)</f>
        <v>44206820</v>
      </c>
      <c r="C19" s="24" t="str">
        <f>IFERROR(__xludf.DUMMYFUNCTION("""COMPUTED_VALUE"""),"12300 BRAESRIDGE DR")</f>
        <v>12300 BRAESRIDGE DR</v>
      </c>
      <c r="D19" s="26" t="str">
        <f>IFERROR(__xludf.DUMMYFUNCTION("""COMPUTED_VALUE"""),"M")</f>
        <v>M</v>
      </c>
      <c r="E19" s="26" t="str">
        <f>IFERROR(__xludf.DUMMYFUNCTION("""COMPUTED_VALUE"""),"B")</f>
        <v>B</v>
      </c>
      <c r="F19" s="26">
        <f>IFERROR(__xludf.DUMMYFUNCTION("""COMPUTED_VALUE"""),27.0)</f>
        <v>27</v>
      </c>
      <c r="G19" s="26" t="str">
        <f>IFERROR(__xludf.DUMMYFUNCTION("""COMPUTED_VALUE"""),"Wounded")</f>
        <v>Wounded</v>
      </c>
      <c r="H19" s="26" t="str">
        <f>IFERROR(__xludf.DUMMYFUNCTION("""COMPUTED_VALUE"""),"None")</f>
        <v>None</v>
      </c>
      <c r="I19" s="27" t="str">
        <f>IFERROR(__xludf.DUMMYFUNCTION("""COMPUTED_VALUE"""),"M")</f>
        <v>M</v>
      </c>
      <c r="J19" s="27" t="str">
        <f>IFERROR(__xludf.DUMMYFUNCTION("""COMPUTED_VALUE"""),"B")</f>
        <v>B</v>
      </c>
      <c r="K19" s="27">
        <f>IFERROR(__xludf.DUMMYFUNCTION("""COMPUTED_VALUE"""),46.0)</f>
        <v>46</v>
      </c>
      <c r="L19" s="27" t="str">
        <f>IFERROR(__xludf.DUMMYFUNCTION("""COMPUTED_VALUE"""),"None")</f>
        <v>None</v>
      </c>
      <c r="M19" s="27" t="str">
        <f>IFERROR(__xludf.DUMMYFUNCTION("""COMPUTED_VALUE"""),"Y")</f>
        <v>Y</v>
      </c>
      <c r="N19" s="24" t="str">
        <f>IFERROR(__xludf.DUMMYFUNCTION("""COMPUTED_VALUE"""),"Warrant")</f>
        <v>Warrant</v>
      </c>
      <c r="O19" s="24">
        <f>IFERROR(__xludf.DUMMYFUNCTION("""COMPUTED_VALUE"""),1.0)</f>
        <v>1</v>
      </c>
      <c r="P19" s="28" t="str">
        <f>IFERROR(__xludf.DUMMYFUNCTION("""COMPUTED_VALUE"""),"HPD officers arrived at the residence to locate a wanted fugitive. Upon officers’ arrival, they surrounded the residence, knocked, and announced their presence as, “Houston Police."" Officers were met by several family members who would not confirm whethe"&amp;"r the suspect was inside the home. Officers searched the interior of the home for the suspect, which included a dark attic area. During their search, an HPD officer located the suspect hiding behind loose insulation in the attic. The suspect was within cl"&amp;"ose proximity of the officer and suddenly raised his left arm. Fearing for his safety and the safety of the other officers, the officer discharged his duty weapon one time striking the suspect in the arm. The suspect was transported to the hospital with n"&amp;"on-life threatening injuries and was released the same day. ")</f>
        <v>HPD officers arrived at the residence to locate a wanted fugitive. Upon officers’ arrival, they surrounded the residence, knocked, and announced their presence as, “Houston Police." Officers were met by several family members who would not confirm whether the suspect was inside the home. Officers searched the interior of the home for the suspect, which included a dark attic area. During their search, an HPD officer located the suspect hiding behind loose insulation in the attic. The suspect was within close proximity of the officer and suddenly raised his left arm. Fearing for his safety and the safety of the other officers, the officer discharged his duty weapon one time striking the suspect in the arm. The suspect was transported to the hospital with non-life threatening injuries and was released the same day. </v>
      </c>
      <c r="Q19" s="24" t="str">
        <f>IFERROR(__xludf.DUMMYFUNCTION("""COMPUTED_VALUE"""),"#VALUE!")</f>
        <v>#VALUE!</v>
      </c>
      <c r="R19" s="24"/>
      <c r="S19" s="24"/>
      <c r="T19" s="24"/>
      <c r="U19" s="24"/>
      <c r="V19" s="24"/>
      <c r="W19" s="24"/>
      <c r="X19" s="24"/>
      <c r="Y19" s="24"/>
      <c r="Z19" s="24"/>
    </row>
    <row r="20" hidden="1">
      <c r="A20" s="29">
        <f>IFERROR(__xludf.DUMMYFUNCTION("""COMPUTED_VALUE"""),43880.0)</f>
        <v>43880</v>
      </c>
      <c r="B20" s="24">
        <f>IFERROR(__xludf.DUMMYFUNCTION("""COMPUTED_VALUE"""),2.372642E7)</f>
        <v>23726420</v>
      </c>
      <c r="C20" s="24" t="str">
        <f>IFERROR(__xludf.DUMMYFUNCTION("""COMPUTED_VALUE"""),"20100 NORTH FWY IB")</f>
        <v>20100 NORTH FWY IB</v>
      </c>
      <c r="D20" s="26" t="str">
        <f>IFERROR(__xludf.DUMMYFUNCTION("""COMPUTED_VALUE"""),"M")</f>
        <v>M</v>
      </c>
      <c r="E20" s="26" t="str">
        <f>IFERROR(__xludf.DUMMYFUNCTION("""COMPUTED_VALUE"""),"B")</f>
        <v>B</v>
      </c>
      <c r="F20" s="26">
        <f>IFERROR(__xludf.DUMMYFUNCTION("""COMPUTED_VALUE"""),26.0)</f>
        <v>26</v>
      </c>
      <c r="G20" s="26" t="str">
        <f>IFERROR(__xludf.DUMMYFUNCTION("""COMPUTED_VALUE"""),"Wounded")</f>
        <v>Wounded</v>
      </c>
      <c r="H20" s="26" t="str">
        <f>IFERROR(__xludf.DUMMYFUNCTION("""COMPUTED_VALUE"""),"Knife")</f>
        <v>Knife</v>
      </c>
      <c r="I20" s="27" t="str">
        <f>IFERROR(__xludf.DUMMYFUNCTION("""COMPUTED_VALUE"""),"M")</f>
        <v>M</v>
      </c>
      <c r="J20" s="27" t="str">
        <f>IFERROR(__xludf.DUMMYFUNCTION("""COMPUTED_VALUE"""),"W")</f>
        <v>W</v>
      </c>
      <c r="K20" s="27">
        <f>IFERROR(__xludf.DUMMYFUNCTION("""COMPUTED_VALUE"""),54.0)</f>
        <v>54</v>
      </c>
      <c r="L20" s="27" t="str">
        <f>IFERROR(__xludf.DUMMYFUNCTION("""COMPUTED_VALUE"""),"None")</f>
        <v>None</v>
      </c>
      <c r="M20" s="27" t="str">
        <f>IFERROR(__xludf.DUMMYFUNCTION("""COMPUTED_VALUE"""),"Y")</f>
        <v>Y</v>
      </c>
      <c r="N20" s="24" t="str">
        <f>IFERROR(__xludf.DUMMYFUNCTION("""COMPUTED_VALUE"""),"Emergency Call")</f>
        <v>Emergency Call</v>
      </c>
      <c r="O20" s="24">
        <f>IFERROR(__xludf.DUMMYFUNCTION("""COMPUTED_VALUE"""),1.0)</f>
        <v>1</v>
      </c>
      <c r="P20" s="28" t="str">
        <f>IFERROR(__xludf.DUMMYFUNCTION("""COMPUTED_VALUE"""),"On off-duty officer was in the parking of a gym when a suspect, armed with a knife, charged at the officer. In fear of his life and the life of a Precinct 4 Deputy, the officer shot the suspect multiple times. The suspect is expected to survive his injuri"&amp;"es. ")</f>
        <v>On off-duty officer was in the parking of a gym when a suspect, armed with a knife, charged at the officer. In fear of his life and the life of a Precinct 4 Deputy, the officer shot the suspect multiple times. The suspect is expected to survive his injuries. </v>
      </c>
      <c r="Q20" s="24"/>
      <c r="R20" s="24"/>
      <c r="S20" s="24"/>
      <c r="T20" s="24"/>
      <c r="U20" s="24"/>
      <c r="V20" s="24"/>
      <c r="W20" s="24"/>
      <c r="X20" s="24"/>
      <c r="Y20" s="24"/>
      <c r="Z20" s="24"/>
    </row>
    <row r="21">
      <c r="A21" s="29">
        <f>IFERROR(__xludf.DUMMYFUNCTION("""COMPUTED_VALUE"""),43853.0)</f>
        <v>43853</v>
      </c>
      <c r="B21" s="24">
        <f>IFERROR(__xludf.DUMMYFUNCTION("""COMPUTED_VALUE"""),1.038082E7)</f>
        <v>10380820</v>
      </c>
      <c r="C21" s="24" t="str">
        <f>IFERROR(__xludf.DUMMYFUNCTION("""COMPUTED_VALUE"""),"3900 YELLOWSTONE BLVD")</f>
        <v>3900 YELLOWSTONE BLVD</v>
      </c>
      <c r="D21" s="26" t="str">
        <f>IFERROR(__xludf.DUMMYFUNCTION("""COMPUTED_VALUE"""),"M")</f>
        <v>M</v>
      </c>
      <c r="E21" s="26" t="str">
        <f>IFERROR(__xludf.DUMMYFUNCTION("""COMPUTED_VALUE"""),"B")</f>
        <v>B</v>
      </c>
      <c r="F21" s="26">
        <f>IFERROR(__xludf.DUMMYFUNCTION("""COMPUTED_VALUE"""),37.0)</f>
        <v>37</v>
      </c>
      <c r="G21" s="26" t="str">
        <f>IFERROR(__xludf.DUMMYFUNCTION("""COMPUTED_VALUE"""),"None")</f>
        <v>None</v>
      </c>
      <c r="H21" s="26" t="str">
        <f>IFERROR(__xludf.DUMMYFUNCTION("""COMPUTED_VALUE"""),"Firearm")</f>
        <v>Firearm</v>
      </c>
      <c r="I21" s="27" t="str">
        <f>IFERROR(__xludf.DUMMYFUNCTION("""COMPUTED_VALUE"""),"M")</f>
        <v>M</v>
      </c>
      <c r="J21" s="27" t="str">
        <f>IFERROR(__xludf.DUMMYFUNCTION("""COMPUTED_VALUE"""),"W")</f>
        <v>W</v>
      </c>
      <c r="K21" s="27">
        <f>IFERROR(__xludf.DUMMYFUNCTION("""COMPUTED_VALUE"""),41.0)</f>
        <v>41</v>
      </c>
      <c r="L21" s="27" t="str">
        <f>IFERROR(__xludf.DUMMYFUNCTION("""COMPUTED_VALUE"""),"None")</f>
        <v>None</v>
      </c>
      <c r="M21" s="27" t="str">
        <f>IFERROR(__xludf.DUMMYFUNCTION("""COMPUTED_VALUE"""),"Y")</f>
        <v>Y</v>
      </c>
      <c r="N21" s="24" t="str">
        <f>IFERROR(__xludf.DUMMYFUNCTION("""COMPUTED_VALUE"""),"Traffic Stop")</f>
        <v>Traffic Stop</v>
      </c>
      <c r="O21" s="24"/>
      <c r="P21" s="28" t="str">
        <f>IFERROR(__xludf.DUMMYFUNCTION("""COMPUTED_VALUE"""),"The officers pulled a car over for a broken headlight. The car turned onto a side street when the suspect and his mother jumped out of the car. After getting out of the car, the suspect pulled a pistol and shot at the officers as they tried to get out of "&amp;"their vehicle. Neither were struck, but one of the officer managed to return fire and also missed. Several more officers arrived on scene and found the suspect hiding underneath a car a few blocks away. ")</f>
        <v>The officers pulled a car over for a broken headlight. The car turned onto a side street when the suspect and his mother jumped out of the car. After getting out of the car, the suspect pulled a pistol and shot at the officers as they tried to get out of their vehicle. Neither were struck, but one of the officer managed to return fire and also missed. Several more officers arrived on scene and found the suspect hiding underneath a car a few blocks away. </v>
      </c>
      <c r="Q21" s="24"/>
      <c r="R21" s="24"/>
      <c r="S21" s="24"/>
      <c r="T21" s="24"/>
      <c r="U21" s="24"/>
      <c r="V21" s="24"/>
      <c r="W21" s="24"/>
      <c r="X21" s="24"/>
      <c r="Y21" s="24"/>
      <c r="Z21" s="24"/>
    </row>
    <row r="22" hidden="1">
      <c r="A22" s="29">
        <f>IFERROR(__xludf.DUMMYFUNCTION("""COMPUTED_VALUE"""),43836.0)</f>
        <v>43836</v>
      </c>
      <c r="B22" s="24">
        <f>IFERROR(__xludf.DUMMYFUNCTION("""COMPUTED_VALUE"""),2508920.0)</f>
        <v>2508920</v>
      </c>
      <c r="C22" s="24" t="str">
        <f>IFERROR(__xludf.DUMMYFUNCTION("""COMPUTED_VALUE"""),"2300 FANNIN ST")</f>
        <v>2300 FANNIN ST</v>
      </c>
      <c r="D22" s="26" t="str">
        <f>IFERROR(__xludf.DUMMYFUNCTION("""COMPUTED_VALUE"""),"M")</f>
        <v>M</v>
      </c>
      <c r="E22" s="26" t="str">
        <f>IFERROR(__xludf.DUMMYFUNCTION("""COMPUTED_VALUE"""),"B")</f>
        <v>B</v>
      </c>
      <c r="F22" s="26">
        <f>IFERROR(__xludf.DUMMYFUNCTION("""COMPUTED_VALUE"""),30.0)</f>
        <v>30</v>
      </c>
      <c r="G22" s="26" t="str">
        <f>IFERROR(__xludf.DUMMYFUNCTION("""COMPUTED_VALUE"""),"Wounded")</f>
        <v>Wounded</v>
      </c>
      <c r="H22" s="26" t="str">
        <f>IFERROR(__xludf.DUMMYFUNCTION("""COMPUTED_VALUE"""),"None")</f>
        <v>None</v>
      </c>
      <c r="I22" s="27" t="str">
        <f>IFERROR(__xludf.DUMMYFUNCTION("""COMPUTED_VALUE"""),"M")</f>
        <v>M</v>
      </c>
      <c r="J22" s="27" t="str">
        <f>IFERROR(__xludf.DUMMYFUNCTION("""COMPUTED_VALUE"""),"W")</f>
        <v>W</v>
      </c>
      <c r="K22" s="27">
        <f>IFERROR(__xludf.DUMMYFUNCTION("""COMPUTED_VALUE"""),50.0)</f>
        <v>50</v>
      </c>
      <c r="L22" s="27" t="str">
        <f>IFERROR(__xludf.DUMMYFUNCTION("""COMPUTED_VALUE"""),"None")</f>
        <v>None</v>
      </c>
      <c r="M22" s="27" t="str">
        <f>IFERROR(__xludf.DUMMYFUNCTION("""COMPUTED_VALUE"""),"N")</f>
        <v>N</v>
      </c>
      <c r="N22" s="24" t="str">
        <f>IFERROR(__xludf.DUMMYFUNCTION("""COMPUTED_VALUE"""),"Other")</f>
        <v>Other</v>
      </c>
      <c r="O22" s="24">
        <f>IFERROR(__xludf.DUMMYFUNCTION("""COMPUTED_VALUE"""),1.0)</f>
        <v>1</v>
      </c>
      <c r="P22" s="28" t="str">
        <f>IFERROR(__xludf.DUMMYFUNCTION("""COMPUTED_VALUE"""),"Houston Police officers responded to an assault in progress with a weapon. The responding officers met with the homeowner. As officers were checking the perimeter of the residence, they encountered a male in the backyard holding a semiautomatic weapon to "&amp;"his own neck. The suspect moved into a shed located in the backyard and refused to comply with multiple commands by officers to drop his weapon. The suspect made statements about killing himself and requested his girlfriend be allowed to come to the backy"&amp;"ard. The suspect then lowered the weapon from his neck, pointing it in the direction of the officers. Several officers fired their weapons, striking the suspect multiple times. First aid was immediately administered and the suspect was taken by life-fligh"&amp;"t to Hermann Memorial in critical but stable condition. ")</f>
        <v>Houston Police officers responded to an assault in progress with a weapon. The responding officers met with the homeowner. As officers were checking the perimeter of the residence, they encountered a male in the backyard holding a semiautomatic weapon to his own neck. The suspect moved into a shed located in the backyard and refused to comply with multiple commands by officers to drop his weapon. The suspect made statements about killing himself and requested his girlfriend be allowed to come to the backyard. The suspect then lowered the weapon from his neck, pointing it in the direction of the officers. Several officers fired their weapons, striking the suspect multiple times. First aid was immediately administered and the suspect was taken by life-flight to Hermann Memorial in critical but stable condition. </v>
      </c>
      <c r="Q22" s="24"/>
      <c r="R22" s="24"/>
      <c r="S22" s="24"/>
      <c r="T22" s="24"/>
      <c r="U22" s="24"/>
      <c r="V22" s="24"/>
      <c r="W22" s="24"/>
      <c r="X22" s="24"/>
      <c r="Y22" s="24"/>
      <c r="Z22" s="24"/>
    </row>
    <row r="23" hidden="1">
      <c r="A23" s="29">
        <f>IFERROR(__xludf.DUMMYFUNCTION("""COMPUTED_VALUE"""),43839.0)</f>
        <v>43839</v>
      </c>
      <c r="B23" s="24">
        <f>IFERROR(__xludf.DUMMYFUNCTION("""COMPUTED_VALUE"""),4005720.0)</f>
        <v>4005720</v>
      </c>
      <c r="C23" s="24" t="str">
        <f>IFERROR(__xludf.DUMMYFUNCTION("""COMPUTED_VALUE"""),"8100 MARTIN LUTHER KING BLVD")</f>
        <v>8100 MARTIN LUTHER KING BLVD</v>
      </c>
      <c r="D23" s="26" t="str">
        <f>IFERROR(__xludf.DUMMYFUNCTION("""COMPUTED_VALUE"""),"M")</f>
        <v>M</v>
      </c>
      <c r="E23" s="26" t="str">
        <f>IFERROR(__xludf.DUMMYFUNCTION("""COMPUTED_VALUE"""),"B")</f>
        <v>B</v>
      </c>
      <c r="F23" s="26">
        <f>IFERROR(__xludf.DUMMYFUNCTION("""COMPUTED_VALUE"""),45.0)</f>
        <v>45</v>
      </c>
      <c r="G23" s="26" t="str">
        <f>IFERROR(__xludf.DUMMYFUNCTION("""COMPUTED_VALUE"""),"Wounded")</f>
        <v>Wounded</v>
      </c>
      <c r="H23" s="26" t="str">
        <f>IFERROR(__xludf.DUMMYFUNCTION("""COMPUTED_VALUE"""),"None")</f>
        <v>None</v>
      </c>
      <c r="I23" s="27" t="str">
        <f>IFERROR(__xludf.DUMMYFUNCTION("""COMPUTED_VALUE"""),"M")</f>
        <v>M</v>
      </c>
      <c r="J23" s="27" t="str">
        <f>IFERROR(__xludf.DUMMYFUNCTION("""COMPUTED_VALUE"""),"B")</f>
        <v>B</v>
      </c>
      <c r="K23" s="27">
        <f>IFERROR(__xludf.DUMMYFUNCTION("""COMPUTED_VALUE"""),29.0)</f>
        <v>29</v>
      </c>
      <c r="L23" s="27" t="str">
        <f>IFERROR(__xludf.DUMMYFUNCTION("""COMPUTED_VALUE"""),"None")</f>
        <v>None</v>
      </c>
      <c r="M23" s="27" t="str">
        <f>IFERROR(__xludf.DUMMYFUNCTION("""COMPUTED_VALUE"""),"Y")</f>
        <v>Y</v>
      </c>
      <c r="N23" s="24" t="str">
        <f>IFERROR(__xludf.DUMMYFUNCTION("""COMPUTED_VALUE"""),"Emergency Call")</f>
        <v>Emergency Call</v>
      </c>
      <c r="O23" s="24"/>
      <c r="P23" s="28" t="str">
        <f>IFERROR(__xludf.DUMMYFUNCTION("""COMPUTED_VALUE"""),"Houston Police officers responded to an assault in progress with a weapon. The responding officers met with the homeowner. As officers were checking the perimeter of the residence, they encountered a male in the backyard holding a semiautomatic weapon to "&amp;"his own neck. The suspect moved into a shed located in the backyard and refused to comply with multiple commands by officers to drop his weapon. The suspect made statements about killing himself and requested his girlfriend be allowed to come to the backy"&amp;"ard. The suspect then lowered the weapon from his neck, pointing it in the direction of the officers. Several officers fired their weapons, striking the suspect multiple times. First aid was immediately administered and the suspect was taken by life-fligh"&amp;"t to Hermann Memorial in critical but stable condition.
")</f>
        <v>Houston Police officers responded to an assault in progress with a weapon. The responding officers met with the homeowner. As officers were checking the perimeter of the residence, they encountered a male in the backyard holding a semiautomatic weapon to his own neck. The suspect moved into a shed located in the backyard and refused to comply with multiple commands by officers to drop his weapon. The suspect made statements about killing himself and requested his girlfriend be allowed to come to the backyard. The suspect then lowered the weapon from his neck, pointing it in the direction of the officers. Several officers fired their weapons, striking the suspect multiple times. First aid was immediately administered and the suspect was taken by life-flight to Hermann Memorial in critical but stable condition.
</v>
      </c>
      <c r="Q23" s="24" t="str">
        <f>IFERROR(__xludf.DUMMYFUNCTION("""COMPUTED_VALUE"""),"Either this report or the following is true for the case, but not both.  Unsure why both case synopsis are the same.")</f>
        <v>Either this report or the following is true for the case, but not both.  Unsure why both case synopsis are the same.</v>
      </c>
      <c r="R23" s="24"/>
      <c r="S23" s="24"/>
      <c r="T23" s="24"/>
      <c r="U23" s="24"/>
      <c r="V23" s="24"/>
      <c r="W23" s="24"/>
      <c r="X23" s="24"/>
      <c r="Y23" s="24"/>
      <c r="Z23" s="24"/>
    </row>
    <row r="24" hidden="1">
      <c r="A24" s="29">
        <f>IFERROR(__xludf.DUMMYFUNCTION("""COMPUTED_VALUE"""),43833.0)</f>
        <v>43833</v>
      </c>
      <c r="B24" s="24">
        <f>IFERROR(__xludf.DUMMYFUNCTION("""COMPUTED_VALUE"""),2446820.0)</f>
        <v>2446820</v>
      </c>
      <c r="C24" s="24" t="str">
        <f>IFERROR(__xludf.DUMMYFUNCTION("""COMPUTED_VALUE"""),"11000 SPOTTSWOOD DR")</f>
        <v>11000 SPOTTSWOOD DR</v>
      </c>
      <c r="D24" s="26" t="str">
        <f>IFERROR(__xludf.DUMMYFUNCTION("""COMPUTED_VALUE"""),"M")</f>
        <v>M</v>
      </c>
      <c r="E24" s="26" t="str">
        <f>IFERROR(__xludf.DUMMYFUNCTION("""COMPUTED_VALUE"""),"B")</f>
        <v>B</v>
      </c>
      <c r="F24" s="26">
        <f>IFERROR(__xludf.DUMMYFUNCTION("""COMPUTED_VALUE"""),34.0)</f>
        <v>34</v>
      </c>
      <c r="G24" s="26" t="str">
        <f>IFERROR(__xludf.DUMMYFUNCTION("""COMPUTED_VALUE"""),"Wounded")</f>
        <v>Wounded</v>
      </c>
      <c r="H24" s="26" t="str">
        <f>IFERROR(__xludf.DUMMYFUNCTION("""COMPUTED_VALUE"""),"Firearm")</f>
        <v>Firearm</v>
      </c>
      <c r="I24" s="27" t="str">
        <f>IFERROR(__xludf.DUMMYFUNCTION("""COMPUTED_VALUE"""),"M")</f>
        <v>M</v>
      </c>
      <c r="J24" s="27" t="str">
        <f>IFERROR(__xludf.DUMMYFUNCTION("""COMPUTED_VALUE"""),"W")</f>
        <v>W</v>
      </c>
      <c r="K24" s="27">
        <f>IFERROR(__xludf.DUMMYFUNCTION("""COMPUTED_VALUE"""),28.0)</f>
        <v>28</v>
      </c>
      <c r="L24" s="27" t="str">
        <f>IFERROR(__xludf.DUMMYFUNCTION("""COMPUTED_VALUE"""),"None")</f>
        <v>None</v>
      </c>
      <c r="M24" s="27" t="str">
        <f>IFERROR(__xludf.DUMMYFUNCTION("""COMPUTED_VALUE"""),"Y")</f>
        <v>Y</v>
      </c>
      <c r="N24" s="24" t="str">
        <f>IFERROR(__xludf.DUMMYFUNCTION("""COMPUTED_VALUE"""),"Emergency Call")</f>
        <v>Emergency Call</v>
      </c>
      <c r="O24" s="24"/>
      <c r="P24" s="28" t="str">
        <f>IFERROR(__xludf.DUMMYFUNCTION("""COMPUTED_VALUE"""),"Houston Police officers responded to an assault in progress with a weapon. The responding officers met with the homeowner. As officers were checking the perimeter of the residence, they encountered a male in the backyard holding a semiautomatic weapon to "&amp;"his own neck. The suspect moved into a shed located in the backyard and refused to comply with multiple commands by officers to drop his weapon. The suspect made statements about killing himself and requested his girlfriend be allowed to come to the backy"&amp;"ard. The suspect then lowered the weapon from his neck, pointing it in the direction of the officers. Several officers fired their weapons, striking the suspect multiple times. First aid was immediately administered and the suspect was taken by life-fligh"&amp;"t to Hermann Memorial in critical but stable condition. ")</f>
        <v>Houston Police officers responded to an assault in progress with a weapon. The responding officers met with the homeowner. As officers were checking the perimeter of the residence, they encountered a male in the backyard holding a semiautomatic weapon to his own neck. The suspect moved into a shed located in the backyard and refused to comply with multiple commands by officers to drop his weapon. The suspect made statements about killing himself and requested his girlfriend be allowed to come to the backyard. The suspect then lowered the weapon from his neck, pointing it in the direction of the officers. Several officers fired their weapons, striking the suspect multiple times. First aid was immediately administered and the suspect was taken by life-flight to Hermann Memorial in critical but stable condition. </v>
      </c>
      <c r="Q24" s="24"/>
      <c r="R24" s="24"/>
      <c r="S24" s="24"/>
      <c r="T24" s="24"/>
      <c r="U24" s="24"/>
      <c r="V24" s="24"/>
      <c r="W24" s="24"/>
      <c r="X24" s="24"/>
      <c r="Y24" s="24"/>
      <c r="Z24" s="24"/>
    </row>
    <row r="25" hidden="1">
      <c r="A25" s="29"/>
      <c r="B25" s="24"/>
      <c r="C25" s="24"/>
      <c r="D25" s="26"/>
      <c r="E25" s="26"/>
      <c r="F25" s="26"/>
      <c r="G25" s="26"/>
      <c r="H25" s="26"/>
      <c r="I25" s="27" t="str">
        <f>IFERROR(__xludf.DUMMYFUNCTION("""COMPUTED_VALUE"""),"M")</f>
        <v>M</v>
      </c>
      <c r="J25" s="27" t="str">
        <f>IFERROR(__xludf.DUMMYFUNCTION("""COMPUTED_VALUE"""),"W")</f>
        <v>W</v>
      </c>
      <c r="K25" s="27">
        <f>IFERROR(__xludf.DUMMYFUNCTION("""COMPUTED_VALUE"""),23.0)</f>
        <v>23</v>
      </c>
      <c r="L25" s="27" t="str">
        <f>IFERROR(__xludf.DUMMYFUNCTION("""COMPUTED_VALUE"""),"None")</f>
        <v>None</v>
      </c>
      <c r="M25" s="27" t="str">
        <f>IFERROR(__xludf.DUMMYFUNCTION("""COMPUTED_VALUE"""),"Y")</f>
        <v>Y</v>
      </c>
      <c r="N25" s="24" t="str">
        <f>IFERROR(__xludf.DUMMYFUNCTION("""COMPUTED_VALUE"""),"Emergency Call")</f>
        <v>Emergency Call</v>
      </c>
      <c r="O25" s="24"/>
      <c r="P25" s="24"/>
      <c r="Q25" s="24"/>
      <c r="R25" s="24"/>
      <c r="S25" s="24"/>
      <c r="T25" s="24"/>
      <c r="U25" s="24"/>
      <c r="V25" s="24"/>
      <c r="W25" s="24"/>
      <c r="X25" s="24"/>
      <c r="Y25" s="24"/>
      <c r="Z25" s="24"/>
    </row>
    <row r="26" hidden="1">
      <c r="A26" s="29"/>
      <c r="B26" s="24"/>
      <c r="C26" s="24"/>
      <c r="D26" s="26"/>
      <c r="E26" s="26"/>
      <c r="F26" s="26"/>
      <c r="G26" s="26"/>
      <c r="H26" s="26"/>
      <c r="I26" s="27" t="str">
        <f>IFERROR(__xludf.DUMMYFUNCTION("""COMPUTED_VALUE"""),"M")</f>
        <v>M</v>
      </c>
      <c r="J26" s="27" t="str">
        <f>IFERROR(__xludf.DUMMYFUNCTION("""COMPUTED_VALUE"""),"W")</f>
        <v>W</v>
      </c>
      <c r="K26" s="27">
        <f>IFERROR(__xludf.DUMMYFUNCTION("""COMPUTED_VALUE"""),29.0)</f>
        <v>29</v>
      </c>
      <c r="L26" s="27" t="str">
        <f>IFERROR(__xludf.DUMMYFUNCTION("""COMPUTED_VALUE"""),"None")</f>
        <v>None</v>
      </c>
      <c r="M26" s="27" t="str">
        <f>IFERROR(__xludf.DUMMYFUNCTION("""COMPUTED_VALUE"""),"Y")</f>
        <v>Y</v>
      </c>
      <c r="N26" s="24" t="str">
        <f>IFERROR(__xludf.DUMMYFUNCTION("""COMPUTED_VALUE"""),"Emergency Call")</f>
        <v>Emergency Call</v>
      </c>
      <c r="O26" s="24">
        <f>IFERROR(__xludf.DUMMYFUNCTION("""COMPUTED_VALUE"""),1.0)</f>
        <v>1</v>
      </c>
      <c r="P26" s="24"/>
      <c r="Q26" s="24"/>
      <c r="R26" s="24"/>
      <c r="S26" s="24"/>
      <c r="T26" s="24"/>
      <c r="U26" s="24"/>
      <c r="V26" s="24"/>
      <c r="W26" s="24"/>
      <c r="X26" s="24"/>
      <c r="Y26" s="24"/>
      <c r="Z26" s="24"/>
    </row>
    <row r="27" hidden="1">
      <c r="A27" s="29"/>
      <c r="B27" s="24"/>
      <c r="C27" s="24"/>
      <c r="D27" s="26"/>
      <c r="E27" s="26"/>
      <c r="F27" s="26"/>
      <c r="G27" s="26"/>
      <c r="H27" s="26"/>
      <c r="I27" s="27" t="str">
        <f>IFERROR(__xludf.DUMMYFUNCTION("""COMPUTED_VALUE"""),"M")</f>
        <v>M</v>
      </c>
      <c r="J27" s="27" t="str">
        <f>IFERROR(__xludf.DUMMYFUNCTION("""COMPUTED_VALUE"""),"W")</f>
        <v>W</v>
      </c>
      <c r="K27" s="27">
        <f>IFERROR(__xludf.DUMMYFUNCTION("""COMPUTED_VALUE"""),28.0)</f>
        <v>28</v>
      </c>
      <c r="L27" s="27" t="str">
        <f>IFERROR(__xludf.DUMMYFUNCTION("""COMPUTED_VALUE"""),"None")</f>
        <v>None</v>
      </c>
      <c r="M27" s="27" t="str">
        <f>IFERROR(__xludf.DUMMYFUNCTION("""COMPUTED_VALUE"""),"Y")</f>
        <v>Y</v>
      </c>
      <c r="N27" s="24" t="str">
        <f>IFERROR(__xludf.DUMMYFUNCTION("""COMPUTED_VALUE"""),"Emergency Call")</f>
        <v>Emergency Call</v>
      </c>
      <c r="O27" s="24">
        <f>IFERROR(__xludf.DUMMYFUNCTION("""COMPUTED_VALUE"""),1.0)</f>
        <v>1</v>
      </c>
      <c r="P27" s="24"/>
      <c r="Q27" s="24"/>
      <c r="R27" s="24"/>
      <c r="S27" s="24"/>
      <c r="T27" s="24"/>
      <c r="U27" s="24"/>
      <c r="V27" s="24"/>
      <c r="W27" s="24"/>
      <c r="X27" s="24"/>
      <c r="Y27" s="24"/>
      <c r="Z27" s="24"/>
    </row>
    <row r="28" hidden="1">
      <c r="A28" s="29">
        <f>IFERROR(__xludf.DUMMYFUNCTION("""COMPUTED_VALUE"""),43829.0)</f>
        <v>43829</v>
      </c>
      <c r="B28" s="24">
        <f>IFERROR(__xludf.DUMMYFUNCTION("""COMPUTED_VALUE"""),1.71736319E8)</f>
        <v>171736319</v>
      </c>
      <c r="C28" s="24" t="str">
        <f>IFERROR(__xludf.DUMMYFUNCTION("""COMPUTED_VALUE"""),"5700 PERSHING ST")</f>
        <v>5700 PERSHING ST</v>
      </c>
      <c r="D28" s="26" t="str">
        <f>IFERROR(__xludf.DUMMYFUNCTION("""COMPUTED_VALUE"""),"M")</f>
        <v>M</v>
      </c>
      <c r="E28" s="26" t="str">
        <f>IFERROR(__xludf.DUMMYFUNCTION("""COMPUTED_VALUE"""),"B")</f>
        <v>B</v>
      </c>
      <c r="F28" s="26">
        <f>IFERROR(__xludf.DUMMYFUNCTION("""COMPUTED_VALUE"""),18.0)</f>
        <v>18</v>
      </c>
      <c r="G28" s="26" t="str">
        <f>IFERROR(__xludf.DUMMYFUNCTION("""COMPUTED_VALUE"""),"Killed")</f>
        <v>Killed</v>
      </c>
      <c r="H28" s="26" t="str">
        <f>IFERROR(__xludf.DUMMYFUNCTION("""COMPUTED_VALUE"""),"Firearm")</f>
        <v>Firearm</v>
      </c>
      <c r="I28" s="27" t="str">
        <f>IFERROR(__xludf.DUMMYFUNCTION("""COMPUTED_VALUE"""),"M")</f>
        <v>M</v>
      </c>
      <c r="J28" s="27" t="str">
        <f>IFERROR(__xludf.DUMMYFUNCTION("""COMPUTED_VALUE"""),"H")</f>
        <v>H</v>
      </c>
      <c r="K28" s="27">
        <f>IFERROR(__xludf.DUMMYFUNCTION("""COMPUTED_VALUE"""),28.0)</f>
        <v>28</v>
      </c>
      <c r="L28" s="27" t="str">
        <f>IFERROR(__xludf.DUMMYFUNCTION("""COMPUTED_VALUE"""),"None")</f>
        <v>None</v>
      </c>
      <c r="M28" s="27" t="str">
        <f>IFERROR(__xludf.DUMMYFUNCTION("""COMPUTED_VALUE"""),"Y")</f>
        <v>Y</v>
      </c>
      <c r="N28" s="24" t="str">
        <f>IFERROR(__xludf.DUMMYFUNCTION("""COMPUTED_VALUE"""),"Emergency Call")</f>
        <v>Emergency Call</v>
      </c>
      <c r="O28" s="24"/>
      <c r="P28" s="24" t="str">
        <f>IFERROR(__xludf.DUMMYFUNCTION("""COMPUTED_VALUE"""),"A Pasadena officer stopped a vehicle on traffic and learned it was involved in an Aggravated Robbery. After being asked to exit the vehicle, the driver sped off. A vehicle pursuit ensued into the City of Houston and HPD officers joined the chase. At one p"&amp;"oint, the two passengers exited the vehicle and officers apprehended them. The driver continued to flee and ultimately crashed into a Pasadena police vehicle and fled on foot. The suspect fired at least one gunshot at the officers and ignored their comman"&amp;"ds. The suspect turned towards the officers and the officers shot him multiple times. HPD and Pasadena officers shot and killed the suspect. No officers were injured. ")</f>
        <v>A Pasadena officer stopped a vehicle on traffic and learned it was involved in an Aggravated Robbery. After being asked to exit the vehicle, the driver sped off. A vehicle pursuit ensued into the City of Houston and HPD officers joined the chase. At one point, the two passengers exited the vehicle and officers apprehended them. The driver continued to flee and ultimately crashed into a Pasadena police vehicle and fled on foot. The suspect fired at least one gunshot at the officers and ignored their commands. The suspect turned towards the officers and the officers shot him multiple times. HPD and Pasadena officers shot and killed the suspect. No officers were injured. </v>
      </c>
      <c r="Q28" s="24"/>
      <c r="R28" s="24"/>
      <c r="S28" s="24"/>
      <c r="T28" s="24"/>
      <c r="U28" s="24"/>
      <c r="V28" s="24"/>
      <c r="W28" s="24"/>
      <c r="X28" s="24"/>
      <c r="Y28" s="24"/>
      <c r="Z28" s="24"/>
    </row>
    <row r="29" hidden="1">
      <c r="A29" s="29"/>
      <c r="B29" s="24"/>
      <c r="C29" s="24"/>
      <c r="D29" s="26"/>
      <c r="E29" s="26"/>
      <c r="F29" s="26"/>
      <c r="G29" s="26"/>
      <c r="H29" s="26"/>
      <c r="I29" s="27" t="str">
        <f>IFERROR(__xludf.DUMMYFUNCTION("""COMPUTED_VALUE"""),"M")</f>
        <v>M</v>
      </c>
      <c r="J29" s="27" t="str">
        <f>IFERROR(__xludf.DUMMYFUNCTION("""COMPUTED_VALUE"""),"H")</f>
        <v>H</v>
      </c>
      <c r="K29" s="27">
        <f>IFERROR(__xludf.DUMMYFUNCTION("""COMPUTED_VALUE"""),24.0)</f>
        <v>24</v>
      </c>
      <c r="L29" s="27" t="str">
        <f>IFERROR(__xludf.DUMMYFUNCTION("""COMPUTED_VALUE"""),"None")</f>
        <v>None</v>
      </c>
      <c r="M29" s="27" t="str">
        <f>IFERROR(__xludf.DUMMYFUNCTION("""COMPUTED_VALUE"""),"Y")</f>
        <v>Y</v>
      </c>
      <c r="N29" s="24" t="str">
        <f>IFERROR(__xludf.DUMMYFUNCTION("""COMPUTED_VALUE"""),"Emergency Call")</f>
        <v>Emergency Call</v>
      </c>
      <c r="O29" s="24"/>
      <c r="P29" s="24"/>
      <c r="Q29" s="24"/>
      <c r="R29" s="24"/>
      <c r="S29" s="24"/>
      <c r="T29" s="24"/>
      <c r="U29" s="24"/>
      <c r="V29" s="24"/>
      <c r="W29" s="24"/>
      <c r="X29" s="24"/>
      <c r="Y29" s="24"/>
      <c r="Z29" s="24"/>
    </row>
    <row r="30" hidden="1">
      <c r="A30" s="29">
        <f>IFERROR(__xludf.DUMMYFUNCTION("""COMPUTED_VALUE"""),43817.0)</f>
        <v>43817</v>
      </c>
      <c r="B30" s="24">
        <f>IFERROR(__xludf.DUMMYFUNCTION("""COMPUTED_VALUE"""),4055820.0)</f>
        <v>4055820</v>
      </c>
      <c r="C30" s="24" t="str">
        <f>IFERROR(__xludf.DUMMYFUNCTION("""COMPUTED_VALUE"""),"1400 LOCKWOOD DR")</f>
        <v>1400 LOCKWOOD DR</v>
      </c>
      <c r="D30" s="26" t="str">
        <f>IFERROR(__xludf.DUMMYFUNCTION("""COMPUTED_VALUE"""),"M")</f>
        <v>M</v>
      </c>
      <c r="E30" s="26" t="str">
        <f>IFERROR(__xludf.DUMMYFUNCTION("""COMPUTED_VALUE"""),"B")</f>
        <v>B</v>
      </c>
      <c r="F30" s="26">
        <f>IFERROR(__xludf.DUMMYFUNCTION("""COMPUTED_VALUE"""),43.0)</f>
        <v>43</v>
      </c>
      <c r="G30" s="26" t="str">
        <f>IFERROR(__xludf.DUMMYFUNCTION("""COMPUTED_VALUE"""),"Wounded")</f>
        <v>Wounded</v>
      </c>
      <c r="H30" s="26" t="str">
        <f>IFERROR(__xludf.DUMMYFUNCTION("""COMPUTED_VALUE"""),"Firearm")</f>
        <v>Firearm</v>
      </c>
      <c r="I30" s="27" t="str">
        <f>IFERROR(__xludf.DUMMYFUNCTION("""COMPUTED_VALUE"""),"M")</f>
        <v>M</v>
      </c>
      <c r="J30" s="27" t="str">
        <f>IFERROR(__xludf.DUMMYFUNCTION("""COMPUTED_VALUE"""),"W")</f>
        <v>W</v>
      </c>
      <c r="K30" s="27">
        <f>IFERROR(__xludf.DUMMYFUNCTION("""COMPUTED_VALUE"""),24.0)</f>
        <v>24</v>
      </c>
      <c r="L30" s="27" t="str">
        <f>IFERROR(__xludf.DUMMYFUNCTION("""COMPUTED_VALUE"""),"None")</f>
        <v>None</v>
      </c>
      <c r="M30" s="27" t="str">
        <f>IFERROR(__xludf.DUMMYFUNCTION("""COMPUTED_VALUE"""),"Y")</f>
        <v>Y</v>
      </c>
      <c r="N30" s="24" t="str">
        <f>IFERROR(__xludf.DUMMYFUNCTION("""COMPUTED_VALUE"""),"Other")</f>
        <v>Other</v>
      </c>
      <c r="O30" s="24"/>
      <c r="P30" s="28"/>
      <c r="Q30" s="24"/>
      <c r="R30" s="24"/>
      <c r="S30" s="24"/>
      <c r="T30" s="24"/>
      <c r="U30" s="24"/>
      <c r="V30" s="24"/>
      <c r="W30" s="24"/>
      <c r="X30" s="24"/>
      <c r="Y30" s="24"/>
      <c r="Z30" s="24"/>
    </row>
    <row r="31" hidden="1">
      <c r="A31" s="29"/>
      <c r="B31" s="24"/>
      <c r="C31" s="24"/>
      <c r="D31" s="26"/>
      <c r="E31" s="26"/>
      <c r="F31" s="26"/>
      <c r="G31" s="26"/>
      <c r="H31" s="26"/>
      <c r="I31" s="27" t="str">
        <f>IFERROR(__xludf.DUMMYFUNCTION("""COMPUTED_VALUE"""),"M")</f>
        <v>M</v>
      </c>
      <c r="J31" s="27" t="str">
        <f>IFERROR(__xludf.DUMMYFUNCTION("""COMPUTED_VALUE"""),"B")</f>
        <v>B</v>
      </c>
      <c r="K31" s="27">
        <f>IFERROR(__xludf.DUMMYFUNCTION("""COMPUTED_VALUE"""),22.0)</f>
        <v>22</v>
      </c>
      <c r="L31" s="27" t="str">
        <f>IFERROR(__xludf.DUMMYFUNCTION("""COMPUTED_VALUE"""),"None")</f>
        <v>None</v>
      </c>
      <c r="M31" s="27" t="str">
        <f>IFERROR(__xludf.DUMMYFUNCTION("""COMPUTED_VALUE"""),"Y")</f>
        <v>Y</v>
      </c>
      <c r="N31" s="24" t="str">
        <f>IFERROR(__xludf.DUMMYFUNCTION("""COMPUTED_VALUE"""),"Other")</f>
        <v>Other</v>
      </c>
      <c r="O31" s="24"/>
      <c r="P31" s="24"/>
      <c r="Q31" s="24"/>
      <c r="R31" s="24"/>
      <c r="S31" s="24"/>
      <c r="T31" s="24"/>
      <c r="U31" s="24"/>
      <c r="V31" s="24"/>
      <c r="W31" s="24"/>
      <c r="X31" s="24"/>
      <c r="Y31" s="24"/>
      <c r="Z31" s="24"/>
    </row>
    <row r="32" hidden="1">
      <c r="A32" s="29">
        <f>IFERROR(__xludf.DUMMYFUNCTION("""COMPUTED_VALUE"""),43713.0)</f>
        <v>43713</v>
      </c>
      <c r="B32" s="24">
        <f>IFERROR(__xludf.DUMMYFUNCTION("""COMPUTED_VALUE"""),1.15732919E8)</f>
        <v>115732919</v>
      </c>
      <c r="C32" s="24" t="str">
        <f>IFERROR(__xludf.DUMMYFUNCTION("""COMPUTED_VALUE"""),"400 UVALDE RD")</f>
        <v>400 UVALDE RD</v>
      </c>
      <c r="D32" s="26" t="str">
        <f>IFERROR(__xludf.DUMMYFUNCTION("""COMPUTED_VALUE"""),"M")</f>
        <v>M</v>
      </c>
      <c r="E32" s="26" t="str">
        <f>IFERROR(__xludf.DUMMYFUNCTION("""COMPUTED_VALUE"""),"H")</f>
        <v>H</v>
      </c>
      <c r="F32" s="26">
        <f>IFERROR(__xludf.DUMMYFUNCTION("""COMPUTED_VALUE"""),28.0)</f>
        <v>28</v>
      </c>
      <c r="G32" s="26" t="str">
        <f>IFERROR(__xludf.DUMMYFUNCTION("""COMPUTED_VALUE"""),"Wounded")</f>
        <v>Wounded</v>
      </c>
      <c r="H32" s="26" t="str">
        <f>IFERROR(__xludf.DUMMYFUNCTION("""COMPUTED_VALUE"""),"None")</f>
        <v>None</v>
      </c>
      <c r="I32" s="27" t="str">
        <f>IFERROR(__xludf.DUMMYFUNCTION("""COMPUTED_VALUE"""),"M")</f>
        <v>M</v>
      </c>
      <c r="J32" s="27" t="str">
        <f>IFERROR(__xludf.DUMMYFUNCTION("""COMPUTED_VALUE"""),"H")</f>
        <v>H</v>
      </c>
      <c r="K32" s="27">
        <f>IFERROR(__xludf.DUMMYFUNCTION("""COMPUTED_VALUE"""),38.0)</f>
        <v>38</v>
      </c>
      <c r="L32" s="27" t="str">
        <f>IFERROR(__xludf.DUMMYFUNCTION("""COMPUTED_VALUE"""),"None")</f>
        <v>None</v>
      </c>
      <c r="M32" s="27" t="str">
        <f>IFERROR(__xludf.DUMMYFUNCTION("""COMPUTED_VALUE"""),"Y")</f>
        <v>Y</v>
      </c>
      <c r="N32" s="24" t="str">
        <f>IFERROR(__xludf.DUMMYFUNCTION("""COMPUTED_VALUE"""),"Emergency Call")</f>
        <v>Emergency Call</v>
      </c>
      <c r="O32" s="24"/>
      <c r="P32" s="28" t="str">
        <f>IFERROR(__xludf.DUMMYFUNCTION("""COMPUTED_VALUE"""),"HPD officers outside the city limits of Houston were part of a crime initiative in Harris County. They stopped and asked the male suspect to step out of the car. The suspect pulled out a pistol, stepped out of the car, and fired his weapon at the officers"&amp;". Both officers fired multiple rounds, wounding the suspect. The suspect was transported to Ben Taub and is expected to survive. ")</f>
        <v>HPD officers outside the city limits of Houston were part of a crime initiative in Harris County. They stopped and asked the male suspect to step out of the car. The suspect pulled out a pistol, stepped out of the car, and fired his weapon at the officers. Both officers fired multiple rounds, wounding the suspect. The suspect was transported to Ben Taub and is expected to survive. </v>
      </c>
      <c r="Q32" s="24"/>
      <c r="R32" s="24"/>
      <c r="S32" s="24"/>
      <c r="T32" s="24"/>
      <c r="U32" s="24"/>
      <c r="V32" s="24"/>
      <c r="W32" s="24"/>
      <c r="X32" s="24"/>
      <c r="Y32" s="24"/>
      <c r="Z32" s="24"/>
    </row>
    <row r="33" hidden="1">
      <c r="A33" s="29"/>
      <c r="B33" s="24"/>
      <c r="C33" s="24"/>
      <c r="D33" s="26"/>
      <c r="E33" s="26"/>
      <c r="F33" s="26"/>
      <c r="G33" s="26"/>
      <c r="H33" s="26"/>
      <c r="I33" s="27" t="str">
        <f>IFERROR(__xludf.DUMMYFUNCTION("""COMPUTED_VALUE"""),"M")</f>
        <v>M</v>
      </c>
      <c r="J33" s="27" t="str">
        <f>IFERROR(__xludf.DUMMYFUNCTION("""COMPUTED_VALUE"""),"H")</f>
        <v>H</v>
      </c>
      <c r="K33" s="27">
        <f>IFERROR(__xludf.DUMMYFUNCTION("""COMPUTED_VALUE"""),37.0)</f>
        <v>37</v>
      </c>
      <c r="L33" s="27" t="str">
        <f>IFERROR(__xludf.DUMMYFUNCTION("""COMPUTED_VALUE"""),"None")</f>
        <v>None</v>
      </c>
      <c r="M33" s="27" t="str">
        <f>IFERROR(__xludf.DUMMYFUNCTION("""COMPUTED_VALUE"""),"Y")</f>
        <v>Y</v>
      </c>
      <c r="N33" s="24"/>
      <c r="O33" s="24"/>
      <c r="P33" s="24"/>
      <c r="Q33" s="24"/>
      <c r="R33" s="24"/>
      <c r="S33" s="24"/>
      <c r="T33" s="24"/>
      <c r="U33" s="24"/>
      <c r="V33" s="24"/>
      <c r="W33" s="24"/>
      <c r="X33" s="24"/>
      <c r="Y33" s="24"/>
      <c r="Z33" s="24"/>
    </row>
    <row r="34" hidden="1">
      <c r="A34" s="29">
        <f>IFERROR(__xludf.DUMMYFUNCTION("""COMPUTED_VALUE"""),43720.0)</f>
        <v>43720</v>
      </c>
      <c r="B34" s="24">
        <f>IFERROR(__xludf.DUMMYFUNCTION("""COMPUTED_VALUE"""),1.19361419E8)</f>
        <v>119361419</v>
      </c>
      <c r="C34" s="24" t="str">
        <f>IFERROR(__xludf.DUMMYFUNCTION("""COMPUTED_VALUE"""),"3900 TRISTAN ST")</f>
        <v>3900 TRISTAN ST</v>
      </c>
      <c r="D34" s="26" t="str">
        <f>IFERROR(__xludf.DUMMYFUNCTION("""COMPUTED_VALUE"""),"M")</f>
        <v>M</v>
      </c>
      <c r="E34" s="26" t="str">
        <f>IFERROR(__xludf.DUMMYFUNCTION("""COMPUTED_VALUE"""),"B")</f>
        <v>B</v>
      </c>
      <c r="F34" s="26">
        <f>IFERROR(__xludf.DUMMYFUNCTION("""COMPUTED_VALUE"""),17.0)</f>
        <v>17</v>
      </c>
      <c r="G34" s="26" t="str">
        <f>IFERROR(__xludf.DUMMYFUNCTION("""COMPUTED_VALUE"""),"1")</f>
        <v>1</v>
      </c>
      <c r="H34" s="26" t="str">
        <f>IFERROR(__xludf.DUMMYFUNCTION("""COMPUTED_VALUE"""),"None")</f>
        <v>None</v>
      </c>
      <c r="I34" s="27" t="str">
        <f>IFERROR(__xludf.DUMMYFUNCTION("""COMPUTED_VALUE"""),"M")</f>
        <v>M</v>
      </c>
      <c r="J34" s="27" t="str">
        <f>IFERROR(__xludf.DUMMYFUNCTION("""COMPUTED_VALUE"""),"W")</f>
        <v>W</v>
      </c>
      <c r="K34" s="27">
        <f>IFERROR(__xludf.DUMMYFUNCTION("""COMPUTED_VALUE"""),31.0)</f>
        <v>31</v>
      </c>
      <c r="L34" s="27" t="str">
        <f>IFERROR(__xludf.DUMMYFUNCTION("""COMPUTED_VALUE"""),"None")</f>
        <v>None</v>
      </c>
      <c r="M34" s="27" t="str">
        <f>IFERROR(__xludf.DUMMYFUNCTION("""COMPUTED_VALUE"""),"Y")</f>
        <v>Y</v>
      </c>
      <c r="N34" s="24" t="str">
        <f>IFERROR(__xludf.DUMMYFUNCTION("""COMPUTED_VALUE"""),"Emergency Call")</f>
        <v>Emergency Call</v>
      </c>
      <c r="O34" s="24">
        <f>IFERROR(__xludf.DUMMYFUNCTION("""COMPUTED_VALUE"""),1.0)</f>
        <v>1</v>
      </c>
      <c r="P34" s="24"/>
      <c r="Q34" s="24"/>
      <c r="R34" s="24"/>
      <c r="S34" s="24"/>
      <c r="T34" s="24"/>
      <c r="U34" s="24"/>
      <c r="V34" s="24"/>
      <c r="W34" s="24"/>
      <c r="X34" s="24"/>
      <c r="Y34" s="24"/>
      <c r="Z34" s="24"/>
    </row>
    <row r="35" hidden="1">
      <c r="A35" s="29">
        <f>IFERROR(__xludf.DUMMYFUNCTION("""COMPUTED_VALUE"""),43724.0)</f>
        <v>43724</v>
      </c>
      <c r="B35" s="24">
        <f>IFERROR(__xludf.DUMMYFUNCTION("""COMPUTED_VALUE"""),1.20935219E8)</f>
        <v>120935219</v>
      </c>
      <c r="C35" s="24" t="str">
        <f>IFERROR(__xludf.DUMMYFUNCTION("""COMPUTED_VALUE"""),"10700 S. Gessner")</f>
        <v>10700 S. Gessner</v>
      </c>
      <c r="D35" s="26" t="str">
        <f>IFERROR(__xludf.DUMMYFUNCTION("""COMPUTED_VALUE"""),"M")</f>
        <v>M</v>
      </c>
      <c r="E35" s="26" t="str">
        <f>IFERROR(__xludf.DUMMYFUNCTION("""COMPUTED_VALUE"""),"B")</f>
        <v>B</v>
      </c>
      <c r="F35" s="26">
        <f>IFERROR(__xludf.DUMMYFUNCTION("""COMPUTED_VALUE"""),27.0)</f>
        <v>27</v>
      </c>
      <c r="G35" s="26" t="str">
        <f>IFERROR(__xludf.DUMMYFUNCTION("""COMPUTED_VALUE"""),"Killed")</f>
        <v>Killed</v>
      </c>
      <c r="H35" s="26" t="str">
        <f>IFERROR(__xludf.DUMMYFUNCTION("""COMPUTED_VALUE"""),"Firearm")</f>
        <v>Firearm</v>
      </c>
      <c r="I35" s="27" t="str">
        <f>IFERROR(__xludf.DUMMYFUNCTION("""COMPUTED_VALUE"""),"M")</f>
        <v>M</v>
      </c>
      <c r="J35" s="27" t="str">
        <f>IFERROR(__xludf.DUMMYFUNCTION("""COMPUTED_VALUE"""),"W")</f>
        <v>W</v>
      </c>
      <c r="K35" s="27">
        <f>IFERROR(__xludf.DUMMYFUNCTION("""COMPUTED_VALUE"""),28.0)</f>
        <v>28</v>
      </c>
      <c r="L35" s="27" t="str">
        <f>IFERROR(__xludf.DUMMYFUNCTION("""COMPUTED_VALUE"""),"None")</f>
        <v>None</v>
      </c>
      <c r="M35" s="27" t="str">
        <f>IFERROR(__xludf.DUMMYFUNCTION("""COMPUTED_VALUE"""),"Y")</f>
        <v>Y</v>
      </c>
      <c r="N35" s="24" t="str">
        <f>IFERROR(__xludf.DUMMYFUNCTION("""COMPUTED_VALUE"""),"Other")</f>
        <v>Other</v>
      </c>
      <c r="O35" s="24"/>
      <c r="P35" s="24" t="str">
        <f>IFERROR(__xludf.DUMMYFUNCTION("""COMPUTED_VALUE"""),"A citizen flagged down HPD officers regarding a suspicious male with a weapon. In a marked patrol car, officers approached the suspect who immediately fled on foot. Officers pursued the suspect on foot ordering him to stop and not reach for a weapon. As t"&amp;"he suspect fled, he pulled a pistol from his waistband, pointed it in the direction of pursuing officers, and possibly discharged his weapon towards officers. Officers, fearing for their lives, shot multiple rounds in the suspect’s direction and struck th"&amp;"e suspect. The suspect was pronounced deceased at the scene. ")</f>
        <v>A citizen flagged down HPD officers regarding a suspicious male with a weapon. In a marked patrol car, officers approached the suspect who immediately fled on foot. Officers pursued the suspect on foot ordering him to stop and not reach for a weapon. As the suspect fled, he pulled a pistol from his waistband, pointed it in the direction of pursuing officers, and possibly discharged his weapon towards officers. Officers, fearing for their lives, shot multiple rounds in the suspect’s direction and struck the suspect. The suspect was pronounced deceased at the scene. </v>
      </c>
      <c r="Q35" s="24"/>
      <c r="R35" s="24"/>
      <c r="S35" s="24"/>
      <c r="T35" s="24"/>
      <c r="U35" s="24"/>
      <c r="V35" s="24"/>
      <c r="W35" s="24"/>
      <c r="X35" s="24"/>
      <c r="Y35" s="24"/>
      <c r="Z35" s="24"/>
    </row>
    <row r="36" hidden="1">
      <c r="A36" s="29"/>
      <c r="B36" s="24"/>
      <c r="C36" s="24"/>
      <c r="D36" s="26"/>
      <c r="E36" s="26"/>
      <c r="F36" s="26"/>
      <c r="G36" s="26"/>
      <c r="H36" s="26" t="str">
        <f>IFERROR(__xludf.DUMMYFUNCTION("""COMPUTED_VALUE"""),"Firearm")</f>
        <v>Firearm</v>
      </c>
      <c r="I36" s="27" t="str">
        <f>IFERROR(__xludf.DUMMYFUNCTION("""COMPUTED_VALUE"""),"M")</f>
        <v>M</v>
      </c>
      <c r="J36" s="27" t="str">
        <f>IFERROR(__xludf.DUMMYFUNCTION("""COMPUTED_VALUE"""),"H")</f>
        <v>H</v>
      </c>
      <c r="K36" s="27">
        <f>IFERROR(__xludf.DUMMYFUNCTION("""COMPUTED_VALUE"""),29.0)</f>
        <v>29</v>
      </c>
      <c r="L36" s="27" t="str">
        <f>IFERROR(__xludf.DUMMYFUNCTION("""COMPUTED_VALUE"""),"None")</f>
        <v>None</v>
      </c>
      <c r="M36" s="27" t="str">
        <f>IFERROR(__xludf.DUMMYFUNCTION("""COMPUTED_VALUE"""),"Y")</f>
        <v>Y</v>
      </c>
      <c r="N36" s="24"/>
      <c r="O36" s="24"/>
      <c r="P36" s="24"/>
      <c r="Q36" s="24"/>
      <c r="R36" s="24"/>
      <c r="S36" s="24"/>
      <c r="T36" s="24"/>
      <c r="U36" s="24"/>
      <c r="V36" s="24"/>
      <c r="W36" s="24"/>
      <c r="X36" s="24"/>
      <c r="Y36" s="24"/>
      <c r="Z36" s="24"/>
    </row>
    <row r="37" hidden="1">
      <c r="A37" s="29">
        <f>IFERROR(__xludf.DUMMYFUNCTION("""COMPUTED_VALUE"""),43770.0)</f>
        <v>43770</v>
      </c>
      <c r="B37" s="24">
        <f>IFERROR(__xludf.DUMMYFUNCTION("""COMPUTED_VALUE"""),1.43778519E8)</f>
        <v>143778519</v>
      </c>
      <c r="C37" s="24" t="str">
        <f>IFERROR(__xludf.DUMMYFUNCTION("""COMPUTED_VALUE"""),"16100 S POST OAK RD")</f>
        <v>16100 S POST OAK RD</v>
      </c>
      <c r="D37" s="26" t="str">
        <f>IFERROR(__xludf.DUMMYFUNCTION("""COMPUTED_VALUE"""),"M")</f>
        <v>M</v>
      </c>
      <c r="E37" s="26" t="str">
        <f>IFERROR(__xludf.DUMMYFUNCTION("""COMPUTED_VALUE"""),"A")</f>
        <v>A</v>
      </c>
      <c r="F37" s="26">
        <f>IFERROR(__xludf.DUMMYFUNCTION("""COMPUTED_VALUE"""),32.0)</f>
        <v>32</v>
      </c>
      <c r="G37" s="26" t="str">
        <f>IFERROR(__xludf.DUMMYFUNCTION("""COMPUTED_VALUE"""),"2")</f>
        <v>2</v>
      </c>
      <c r="H37" s="26" t="str">
        <f>IFERROR(__xludf.DUMMYFUNCTION("""COMPUTED_VALUE"""),"Firearm")</f>
        <v>Firearm</v>
      </c>
      <c r="I37" s="27" t="str">
        <f>IFERROR(__xludf.DUMMYFUNCTION("""COMPUTED_VALUE"""),"M")</f>
        <v>M</v>
      </c>
      <c r="J37" s="27" t="str">
        <f>IFERROR(__xludf.DUMMYFUNCTION("""COMPUTED_VALUE"""),"W")</f>
        <v>W</v>
      </c>
      <c r="K37" s="27">
        <f>IFERROR(__xludf.DUMMYFUNCTION("""COMPUTED_VALUE"""),39.0)</f>
        <v>39</v>
      </c>
      <c r="L37" s="27" t="str">
        <f>IFERROR(__xludf.DUMMYFUNCTION("""COMPUTED_VALUE"""),"None")</f>
        <v>None</v>
      </c>
      <c r="M37" s="27" t="str">
        <f>IFERROR(__xludf.DUMMYFUNCTION("""COMPUTED_VALUE"""),"Y")</f>
        <v>Y</v>
      </c>
      <c r="N37" s="24" t="str">
        <f>IFERROR(__xludf.DUMMYFUNCTION("""COMPUTED_VALUE"""),"Other")</f>
        <v>Other</v>
      </c>
      <c r="O37" s="24"/>
      <c r="P37" s="24" t="str">
        <f>IFERROR(__xludf.DUMMYFUNCTION("""COMPUTED_VALUE"""),"A vehicle pursuit ensued after officers attempted to apprehend three suspects about to rob an armored truck. After officers performed a PIT maneuver and stopped the suspect vehicle, the front seat passenger, armed with an AR style rifle, opened his door a"&amp;"nd turned towards the officers. An officer shot and injured the suspect, who is expected to survive. Officers successfully apprehended the other two other suspects who attempted to flee. ")</f>
        <v>A vehicle pursuit ensued after officers attempted to apprehend three suspects about to rob an armored truck. After officers performed a PIT maneuver and stopped the suspect vehicle, the front seat passenger, armed with an AR style rifle, opened his door and turned towards the officers. An officer shot and injured the suspect, who is expected to survive. Officers successfully apprehended the other two other suspects who attempted to flee. </v>
      </c>
      <c r="Q37" s="24"/>
      <c r="R37" s="24"/>
      <c r="S37" s="24"/>
      <c r="T37" s="24"/>
      <c r="U37" s="24"/>
      <c r="V37" s="24"/>
      <c r="W37" s="24"/>
      <c r="X37" s="24"/>
      <c r="Y37" s="24"/>
      <c r="Z37" s="24"/>
    </row>
    <row r="38" hidden="1">
      <c r="A38" s="29"/>
      <c r="B38" s="24"/>
      <c r="C38" s="24"/>
      <c r="D38" s="26"/>
      <c r="E38" s="26"/>
      <c r="F38" s="26"/>
      <c r="G38" s="26"/>
      <c r="H38" s="26" t="str">
        <f>IFERROR(__xludf.DUMMYFUNCTION("""COMPUTED_VALUE"""),"Firearm")</f>
        <v>Firearm</v>
      </c>
      <c r="I38" s="27" t="str">
        <f>IFERROR(__xludf.DUMMYFUNCTION("""COMPUTED_VALUE"""),"M")</f>
        <v>M</v>
      </c>
      <c r="J38" s="27" t="str">
        <f>IFERROR(__xludf.DUMMYFUNCTION("""COMPUTED_VALUE"""),"H")</f>
        <v>H</v>
      </c>
      <c r="K38" s="27">
        <f>IFERROR(__xludf.DUMMYFUNCTION("""COMPUTED_VALUE"""),33.0)</f>
        <v>33</v>
      </c>
      <c r="L38" s="27" t="str">
        <f>IFERROR(__xludf.DUMMYFUNCTION("""COMPUTED_VALUE"""),"None")</f>
        <v>None</v>
      </c>
      <c r="M38" s="27" t="str">
        <f>IFERROR(__xludf.DUMMYFUNCTION("""COMPUTED_VALUE"""),"Y")</f>
        <v>Y</v>
      </c>
      <c r="N38" s="24"/>
      <c r="O38" s="24"/>
      <c r="P38" s="24"/>
      <c r="Q38" s="24"/>
      <c r="R38" s="24"/>
      <c r="S38" s="24"/>
      <c r="T38" s="24"/>
      <c r="U38" s="24"/>
      <c r="V38" s="24"/>
      <c r="W38" s="24"/>
      <c r="X38" s="24"/>
      <c r="Y38" s="24"/>
      <c r="Z38" s="24"/>
    </row>
    <row r="39" hidden="1">
      <c r="A39" s="29">
        <f>IFERROR(__xludf.DUMMYFUNCTION("""COMPUTED_VALUE"""),43692.0)</f>
        <v>43692</v>
      </c>
      <c r="B39" s="24">
        <f>IFERROR(__xludf.DUMMYFUNCTION("""COMPUTED_VALUE"""),1.08199719E8)</f>
        <v>108199719</v>
      </c>
      <c r="C39" s="24" t="str">
        <f>IFERROR(__xludf.DUMMYFUNCTION("""COMPUTED_VALUE"""),"2400 CHARLES RD")</f>
        <v>2400 CHARLES RD</v>
      </c>
      <c r="D39" s="26" t="str">
        <f>IFERROR(__xludf.DUMMYFUNCTION("""COMPUTED_VALUE"""),"M")</f>
        <v>M</v>
      </c>
      <c r="E39" s="26" t="str">
        <f>IFERROR(__xludf.DUMMYFUNCTION("""COMPUTED_VALUE"""),"H")</f>
        <v>H</v>
      </c>
      <c r="F39" s="26">
        <f>IFERROR(__xludf.DUMMYFUNCTION("""COMPUTED_VALUE"""),41.0)</f>
        <v>41</v>
      </c>
      <c r="G39" s="26" t="str">
        <f>IFERROR(__xludf.DUMMYFUNCTION("""COMPUTED_VALUE"""),"Killed")</f>
        <v>Killed</v>
      </c>
      <c r="H39" s="26" t="str">
        <f>IFERROR(__xludf.DUMMYFUNCTION("""COMPUTED_VALUE"""),"Firearm")</f>
        <v>Firearm</v>
      </c>
      <c r="I39" s="27" t="str">
        <f>IFERROR(__xludf.DUMMYFUNCTION("""COMPUTED_VALUE"""),"M")</f>
        <v>M</v>
      </c>
      <c r="J39" s="27" t="str">
        <f>IFERROR(__xludf.DUMMYFUNCTION("""COMPUTED_VALUE"""),"W")</f>
        <v>W</v>
      </c>
      <c r="K39" s="27">
        <f>IFERROR(__xludf.DUMMYFUNCTION("""COMPUTED_VALUE"""),27.0)</f>
        <v>27</v>
      </c>
      <c r="L39" s="27" t="str">
        <f>IFERROR(__xludf.DUMMYFUNCTION("""COMPUTED_VALUE"""),"None")</f>
        <v>None</v>
      </c>
      <c r="M39" s="27" t="str">
        <f>IFERROR(__xludf.DUMMYFUNCTION("""COMPUTED_VALUE"""),"Y")</f>
        <v>Y</v>
      </c>
      <c r="N39" s="24" t="str">
        <f>IFERROR(__xludf.DUMMYFUNCTION("""COMPUTED_VALUE"""),"Emergency Call")</f>
        <v>Emergency Call</v>
      </c>
      <c r="O39" s="24"/>
      <c r="P39" s="24" t="str">
        <f>IFERROR(__xludf.DUMMYFUNCTION("""COMPUTED_VALUE"""),"HPD officers responded to a complainant in the middle of the street with a gun pointed to his head. The complainant was speaking with someone on the phone who was trying to help him. As the officers began to speak with the male and set up a perimeter, the"&amp;" male shot himself in the head. One officer on the perimeter discharged his firearm, simultaneously, missing the individual. The complainant died at the scene. ")</f>
        <v>HPD officers responded to a complainant in the middle of the street with a gun pointed to his head. The complainant was speaking with someone on the phone who was trying to help him. As the officers began to speak with the male and set up a perimeter, the male shot himself in the head. One officer on the perimeter discharged his firearm, simultaneously, missing the individual. The complainant died at the scene. </v>
      </c>
      <c r="Q39" s="24"/>
      <c r="R39" s="24"/>
      <c r="S39" s="24"/>
      <c r="T39" s="24"/>
      <c r="U39" s="24"/>
      <c r="V39" s="24"/>
      <c r="W39" s="24"/>
      <c r="X39" s="24"/>
      <c r="Y39" s="24"/>
      <c r="Z39" s="24"/>
    </row>
    <row r="40" hidden="1">
      <c r="A40" s="29">
        <f>IFERROR(__xludf.DUMMYFUNCTION("""COMPUTED_VALUE"""),43686.0)</f>
        <v>43686</v>
      </c>
      <c r="B40" s="24">
        <f>IFERROR(__xludf.DUMMYFUNCTION("""COMPUTED_VALUE"""),1.02521519E8)</f>
        <v>102521519</v>
      </c>
      <c r="C40" s="24" t="str">
        <f>IFERROR(__xludf.DUMMYFUNCTION("""COMPUTED_VALUE"""),"2400 Hutton")</f>
        <v>2400 Hutton</v>
      </c>
      <c r="D40" s="26" t="str">
        <f>IFERROR(__xludf.DUMMYFUNCTION("""COMPUTED_VALUE"""),"M")</f>
        <v>M</v>
      </c>
      <c r="E40" s="26" t="str">
        <f>IFERROR(__xludf.DUMMYFUNCTION("""COMPUTED_VALUE"""),"B")</f>
        <v>B</v>
      </c>
      <c r="F40" s="26">
        <f>IFERROR(__xludf.DUMMYFUNCTION("""COMPUTED_VALUE"""),60.0)</f>
        <v>60</v>
      </c>
      <c r="G40" s="26" t="str">
        <f>IFERROR(__xludf.DUMMYFUNCTION("""COMPUTED_VALUE"""),"Wounded")</f>
        <v>Wounded</v>
      </c>
      <c r="H40" s="26" t="str">
        <f>IFERROR(__xludf.DUMMYFUNCTION("""COMPUTED_VALUE"""),"Firearm")</f>
        <v>Firearm</v>
      </c>
      <c r="I40" s="27" t="str">
        <f>IFERROR(__xludf.DUMMYFUNCTION("""COMPUTED_VALUE"""),"M")</f>
        <v>M</v>
      </c>
      <c r="J40" s="27" t="str">
        <f>IFERROR(__xludf.DUMMYFUNCTION("""COMPUTED_VALUE"""),"W")</f>
        <v>W</v>
      </c>
      <c r="K40" s="27">
        <f>IFERROR(__xludf.DUMMYFUNCTION("""COMPUTED_VALUE"""),35.0)</f>
        <v>35</v>
      </c>
      <c r="L40" s="27" t="str">
        <f>IFERROR(__xludf.DUMMYFUNCTION("""COMPUTED_VALUE"""),"None")</f>
        <v>None</v>
      </c>
      <c r="M40" s="27" t="str">
        <f>IFERROR(__xludf.DUMMYFUNCTION("""COMPUTED_VALUE"""),"Y")</f>
        <v>Y</v>
      </c>
      <c r="N40" s="24" t="str">
        <f>IFERROR(__xludf.DUMMYFUNCTION("""COMPUTED_VALUE"""),"Emergency Call")</f>
        <v>Emergency Call</v>
      </c>
      <c r="O40" s="24">
        <f>IFERROR(__xludf.DUMMYFUNCTION("""COMPUTED_VALUE"""),1.0)</f>
        <v>1</v>
      </c>
      <c r="P40" s="28" t="str">
        <f>IFERROR(__xludf.DUMMYFUNCTION("""COMPUTED_VALUE"""),"Officer was notifed by a citizen that there was an armed individual in the area who was discharging a firearm. The officer along with backup went to the loaction where the individual was reported to be and found the suspect who was armed with a shotgun. T"&amp;"he officers told the suspect to drop his weapon at which time the suspect turned the weapon towards them causing the officers to discharge their firearm. The suspect was transported to the hospital and treated for the sustained gunshot wounds. ")</f>
        <v>Officer was notifed by a citizen that there was an armed individual in the area who was discharging a firearm. The officer along with backup went to the loaction where the individual was reported to be and found the suspect who was armed with a shotgun. The officers told the suspect to drop his weapon at which time the suspect turned the weapon towards them causing the officers to discharge their firearm. The suspect was transported to the hospital and treated for the sustained gunshot wounds. </v>
      </c>
      <c r="Q40" s="24"/>
      <c r="R40" s="24"/>
      <c r="S40" s="24"/>
      <c r="T40" s="24"/>
      <c r="U40" s="24"/>
      <c r="V40" s="24"/>
      <c r="W40" s="24"/>
      <c r="X40" s="24"/>
      <c r="Y40" s="24"/>
      <c r="Z40" s="24"/>
    </row>
    <row r="41" hidden="1">
      <c r="A41" s="29"/>
      <c r="B41" s="24"/>
      <c r="C41" s="24"/>
      <c r="D41" s="26"/>
      <c r="E41" s="26"/>
      <c r="F41" s="26"/>
      <c r="G41" s="26"/>
      <c r="H41" s="26"/>
      <c r="I41" s="27" t="str">
        <f>IFERROR(__xludf.DUMMYFUNCTION("""COMPUTED_VALUE"""),"M")</f>
        <v>M</v>
      </c>
      <c r="J41" s="27" t="str">
        <f>IFERROR(__xludf.DUMMYFUNCTION("""COMPUTED_VALUE"""),"B")</f>
        <v>B</v>
      </c>
      <c r="K41" s="27">
        <f>IFERROR(__xludf.DUMMYFUNCTION("""COMPUTED_VALUE"""),33.0)</f>
        <v>33</v>
      </c>
      <c r="L41" s="27" t="str">
        <f>IFERROR(__xludf.DUMMYFUNCTION("""COMPUTED_VALUE"""),"None")</f>
        <v>None</v>
      </c>
      <c r="M41" s="27" t="str">
        <f>IFERROR(__xludf.DUMMYFUNCTION("""COMPUTED_VALUE"""),"Y")</f>
        <v>Y</v>
      </c>
      <c r="N41" s="24" t="str">
        <f>IFERROR(__xludf.DUMMYFUNCTION("""COMPUTED_VALUE"""),"Emergency Call")</f>
        <v>Emergency Call</v>
      </c>
      <c r="O41" s="24">
        <f>IFERROR(__xludf.DUMMYFUNCTION("""COMPUTED_VALUE"""),1.0)</f>
        <v>1</v>
      </c>
      <c r="P41" s="24"/>
      <c r="Q41" s="24"/>
      <c r="R41" s="24"/>
      <c r="S41" s="24"/>
      <c r="T41" s="24"/>
      <c r="U41" s="24"/>
      <c r="V41" s="24"/>
      <c r="W41" s="24"/>
      <c r="X41" s="24"/>
      <c r="Y41" s="24"/>
      <c r="Z41" s="24"/>
    </row>
    <row r="42">
      <c r="A42" s="29">
        <f>IFERROR(__xludf.DUMMYFUNCTION("""COMPUTED_VALUE"""),43667.0)</f>
        <v>43667</v>
      </c>
      <c r="B42" s="24">
        <f>IFERROR(__xludf.DUMMYFUNCTION("""COMPUTED_VALUE"""),9.3118919E7)</f>
        <v>93118919</v>
      </c>
      <c r="C42" s="24" t="str">
        <f>IFERROR(__xludf.DUMMYFUNCTION("""COMPUTED_VALUE"""),"6400 S GESSNER RD")</f>
        <v>6400 S GESSNER RD</v>
      </c>
      <c r="D42" s="26" t="str">
        <f>IFERROR(__xludf.DUMMYFUNCTION("""COMPUTED_VALUE"""),"M")</f>
        <v>M</v>
      </c>
      <c r="E42" s="26" t="str">
        <f>IFERROR(__xludf.DUMMYFUNCTION("""COMPUTED_VALUE"""),"B")</f>
        <v>B</v>
      </c>
      <c r="F42" s="26">
        <f>IFERROR(__xludf.DUMMYFUNCTION("""COMPUTED_VALUE"""),25.0)</f>
        <v>25</v>
      </c>
      <c r="G42" s="26" t="str">
        <f>IFERROR(__xludf.DUMMYFUNCTION("""COMPUTED_VALUE"""),"None")</f>
        <v>None</v>
      </c>
      <c r="H42" s="26" t="str">
        <f>IFERROR(__xludf.DUMMYFUNCTION("""COMPUTED_VALUE"""),"Firearm")</f>
        <v>Firearm</v>
      </c>
      <c r="I42" s="27" t="str">
        <f>IFERROR(__xludf.DUMMYFUNCTION("""COMPUTED_VALUE"""),"M")</f>
        <v>M</v>
      </c>
      <c r="J42" s="27" t="str">
        <f>IFERROR(__xludf.DUMMYFUNCTION("""COMPUTED_VALUE"""),"W")</f>
        <v>W</v>
      </c>
      <c r="K42" s="27">
        <f>IFERROR(__xludf.DUMMYFUNCTION("""COMPUTED_VALUE"""),42.0)</f>
        <v>42</v>
      </c>
      <c r="L42" s="27" t="str">
        <f>IFERROR(__xludf.DUMMYFUNCTION("""COMPUTED_VALUE"""),"None")</f>
        <v>None</v>
      </c>
      <c r="M42" s="27" t="str">
        <f>IFERROR(__xludf.DUMMYFUNCTION("""COMPUTED_VALUE"""),"Y")</f>
        <v>Y</v>
      </c>
      <c r="N42" s="24" t="str">
        <f>IFERROR(__xludf.DUMMYFUNCTION("""COMPUTED_VALUE"""),"Traffic Stop")</f>
        <v>Traffic Stop</v>
      </c>
      <c r="O42" s="24">
        <f>IFERROR(__xludf.DUMMYFUNCTION("""COMPUTED_VALUE"""),1.0)</f>
        <v>1</v>
      </c>
      <c r="P42" s="28" t="str">
        <f>IFERROR(__xludf.DUMMYFUNCTION("""COMPUTED_VALUE"""),"Houston Police officers observed a vehicle described in a recent robbery. They stopped the vehicle, and the front passenger ran causing officers to pursue on foot. The back-seat passenger also fled on foot. One officer attempted to take the driver into cu"&amp;"stody, but the driver reversed out of the parking space. The suspect then drove towards the officer and reached for a handgun inside of the vehicle. In fear of his life, the officer discharged his duty weapon striking the suspect’s vehicle. The suspect dr"&amp;"ove away, crashed, and fled on foot, but officers’ successfully detained the suspect. ")</f>
        <v>Houston Police officers observed a vehicle described in a recent robbery. They stopped the vehicle, and the front passenger ran causing officers to pursue on foot. The back-seat passenger also fled on foot. One officer attempted to take the driver into custody, but the driver reversed out of the parking space. The suspect then drove towards the officer and reached for a handgun inside of the vehicle. In fear of his life, the officer discharged his duty weapon striking the suspect’s vehicle. The suspect drove away, crashed, and fled on foot, but officers’ successfully detained the suspect. </v>
      </c>
      <c r="Q42" s="24"/>
      <c r="R42" s="24"/>
      <c r="S42" s="24"/>
      <c r="T42" s="24"/>
      <c r="U42" s="24"/>
      <c r="V42" s="24"/>
      <c r="W42" s="24"/>
      <c r="X42" s="24"/>
      <c r="Y42" s="24"/>
      <c r="Z42" s="24"/>
    </row>
    <row r="43" hidden="1">
      <c r="A43" s="29">
        <f>IFERROR(__xludf.DUMMYFUNCTION("""COMPUTED_VALUE"""),43644.0)</f>
        <v>43644</v>
      </c>
      <c r="B43" s="24">
        <f>IFERROR(__xludf.DUMMYFUNCTION("""COMPUTED_VALUE"""),8.2488019E7)</f>
        <v>82488019</v>
      </c>
      <c r="C43" s="24" t="str">
        <f>IFERROR(__xludf.DUMMYFUNCTION("""COMPUTED_VALUE"""),"10000 SOUTHWEST FWY OB")</f>
        <v>10000 SOUTHWEST FWY OB</v>
      </c>
      <c r="D43" s="26" t="str">
        <f>IFERROR(__xludf.DUMMYFUNCTION("""COMPUTED_VALUE"""),"M")</f>
        <v>M</v>
      </c>
      <c r="E43" s="26" t="str">
        <f>IFERROR(__xludf.DUMMYFUNCTION("""COMPUTED_VALUE"""),"W")</f>
        <v>W</v>
      </c>
      <c r="F43" s="26">
        <f>IFERROR(__xludf.DUMMYFUNCTION("""COMPUTED_VALUE"""),24.0)</f>
        <v>24</v>
      </c>
      <c r="G43" s="26" t="str">
        <f>IFERROR(__xludf.DUMMYFUNCTION("""COMPUTED_VALUE"""),"Killed")</f>
        <v>Killed</v>
      </c>
      <c r="H43" s="26" t="str">
        <f>IFERROR(__xludf.DUMMYFUNCTION("""COMPUTED_VALUE"""),"Firearm")</f>
        <v>Firearm</v>
      </c>
      <c r="I43" s="27" t="str">
        <f>IFERROR(__xludf.DUMMYFUNCTION("""COMPUTED_VALUE"""),"M")</f>
        <v>M</v>
      </c>
      <c r="J43" s="27" t="str">
        <f>IFERROR(__xludf.DUMMYFUNCTION("""COMPUTED_VALUE"""),"H")</f>
        <v>H</v>
      </c>
      <c r="K43" s="27">
        <f>IFERROR(__xludf.DUMMYFUNCTION("""COMPUTED_VALUE"""),31.0)</f>
        <v>31</v>
      </c>
      <c r="L43" s="27" t="str">
        <f>IFERROR(__xludf.DUMMYFUNCTION("""COMPUTED_VALUE"""),"None")</f>
        <v>None</v>
      </c>
      <c r="M43" s="27" t="str">
        <f>IFERROR(__xludf.DUMMYFUNCTION("""COMPUTED_VALUE"""),"Y")</f>
        <v>Y</v>
      </c>
      <c r="N43" s="24" t="str">
        <f>IFERROR(__xludf.DUMMYFUNCTION("""COMPUTED_VALUE"""),"Emergency Call")</f>
        <v>Emergency Call</v>
      </c>
      <c r="O43" s="24"/>
      <c r="P43" s="24" t="str">
        <f>IFERROR(__xludf.DUMMYFUNCTION("""COMPUTED_VALUE"""),"Houston Police officers attempted a traffic stop but the suspect sped off. When officers finally caught up to the driver, the suspect exited his vehicle with a revolveer and started shooting towards the officers, striking one officer in the arm. All three"&amp;" officers returned fire, shooting and killing the suspect at the scene. The injured officer was treated and released from the hospital. ")</f>
        <v>Houston Police officers attempted a traffic stop but the suspect sped off. When officers finally caught up to the driver, the suspect exited his vehicle with a revolveer and started shooting towards the officers, striking one officer in the arm. All three officers returned fire, shooting and killing the suspect at the scene. The injured officer was treated and released from the hospital. </v>
      </c>
      <c r="Q43" s="24"/>
      <c r="R43" s="24"/>
      <c r="S43" s="24"/>
      <c r="T43" s="24"/>
      <c r="U43" s="24"/>
      <c r="V43" s="24"/>
      <c r="W43" s="24"/>
      <c r="X43" s="24"/>
      <c r="Y43" s="24"/>
      <c r="Z43" s="24"/>
    </row>
    <row r="44" hidden="1">
      <c r="A44" s="29"/>
      <c r="B44" s="24"/>
      <c r="C44" s="24"/>
      <c r="D44" s="26"/>
      <c r="E44" s="26"/>
      <c r="F44" s="26"/>
      <c r="G44" s="26"/>
      <c r="H44" s="26"/>
      <c r="I44" s="27" t="str">
        <f>IFERROR(__xludf.DUMMYFUNCTION("""COMPUTED_VALUE"""),"M")</f>
        <v>M</v>
      </c>
      <c r="J44" s="27" t="str">
        <f>IFERROR(__xludf.DUMMYFUNCTION("""COMPUTED_VALUE"""),"W")</f>
        <v>W</v>
      </c>
      <c r="K44" s="27">
        <f>IFERROR(__xludf.DUMMYFUNCTION("""COMPUTED_VALUE"""),27.0)</f>
        <v>27</v>
      </c>
      <c r="L44" s="27" t="str">
        <f>IFERROR(__xludf.DUMMYFUNCTION("""COMPUTED_VALUE"""),"None")</f>
        <v>None</v>
      </c>
      <c r="M44" s="27" t="str">
        <f>IFERROR(__xludf.DUMMYFUNCTION("""COMPUTED_VALUE"""),"Y")</f>
        <v>Y</v>
      </c>
      <c r="N44" s="24" t="str">
        <f>IFERROR(__xludf.DUMMYFUNCTION("""COMPUTED_VALUE"""),"Emergency Call")</f>
        <v>Emergency Call</v>
      </c>
      <c r="O44" s="24"/>
      <c r="P44" s="24"/>
      <c r="Q44" s="24"/>
      <c r="R44" s="24"/>
      <c r="S44" s="24"/>
      <c r="T44" s="24"/>
      <c r="U44" s="24"/>
      <c r="V44" s="24"/>
      <c r="W44" s="24"/>
      <c r="X44" s="24"/>
      <c r="Y44" s="24"/>
      <c r="Z44" s="24"/>
    </row>
    <row r="45" hidden="1">
      <c r="A45" s="29"/>
      <c r="B45" s="24"/>
      <c r="C45" s="24"/>
      <c r="D45" s="26"/>
      <c r="E45" s="26"/>
      <c r="F45" s="26"/>
      <c r="G45" s="26"/>
      <c r="H45" s="26"/>
      <c r="I45" s="27" t="str">
        <f>IFERROR(__xludf.DUMMYFUNCTION("""COMPUTED_VALUE"""),"F")</f>
        <v>F</v>
      </c>
      <c r="J45" s="27" t="str">
        <f>IFERROR(__xludf.DUMMYFUNCTION("""COMPUTED_VALUE"""),"H")</f>
        <v>H</v>
      </c>
      <c r="K45" s="27">
        <f>IFERROR(__xludf.DUMMYFUNCTION("""COMPUTED_VALUE"""),24.0)</f>
        <v>24</v>
      </c>
      <c r="L45" s="27" t="str">
        <f>IFERROR(__xludf.DUMMYFUNCTION("""COMPUTED_VALUE"""),"Wounded")</f>
        <v>Wounded</v>
      </c>
      <c r="M45" s="27" t="str">
        <f>IFERROR(__xludf.DUMMYFUNCTION("""COMPUTED_VALUE"""),"Y")</f>
        <v>Y</v>
      </c>
      <c r="N45" s="24" t="str">
        <f>IFERROR(__xludf.DUMMYFUNCTION("""COMPUTED_VALUE"""),"Emergency Call")</f>
        <v>Emergency Call</v>
      </c>
      <c r="O45" s="24">
        <f>IFERROR(__xludf.DUMMYFUNCTION("""COMPUTED_VALUE"""),1.0)</f>
        <v>1</v>
      </c>
      <c r="P45" s="24"/>
      <c r="Q45" s="24"/>
      <c r="R45" s="24"/>
      <c r="S45" s="24"/>
      <c r="T45" s="24"/>
      <c r="U45" s="24"/>
      <c r="V45" s="24"/>
      <c r="W45" s="24"/>
      <c r="X45" s="24"/>
      <c r="Y45" s="24"/>
      <c r="Z45" s="24"/>
    </row>
    <row r="46" hidden="1">
      <c r="A46" s="29">
        <f>IFERROR(__xludf.DUMMYFUNCTION("""COMPUTED_VALUE"""),43635.0)</f>
        <v>43635</v>
      </c>
      <c r="B46" s="24">
        <f>IFERROR(__xludf.DUMMYFUNCTION("""COMPUTED_VALUE"""),7.7867119E7)</f>
        <v>77867119</v>
      </c>
      <c r="C46" s="24" t="str">
        <f>IFERROR(__xludf.DUMMYFUNCTION("""COMPUTED_VALUE"""),"9300 BISSONNET ST")</f>
        <v>9300 BISSONNET ST</v>
      </c>
      <c r="D46" s="26" t="str">
        <f>IFERROR(__xludf.DUMMYFUNCTION("""COMPUTED_VALUE"""),"M")</f>
        <v>M</v>
      </c>
      <c r="E46" s="26" t="str">
        <f>IFERROR(__xludf.DUMMYFUNCTION("""COMPUTED_VALUE"""),"B")</f>
        <v>B</v>
      </c>
      <c r="F46" s="26">
        <f>IFERROR(__xludf.DUMMYFUNCTION("""COMPUTED_VALUE"""),23.0)</f>
        <v>23</v>
      </c>
      <c r="G46" s="26" t="str">
        <f>IFERROR(__xludf.DUMMYFUNCTION("""COMPUTED_VALUE"""),"Wounded")</f>
        <v>Wounded</v>
      </c>
      <c r="H46" s="26" t="str">
        <f>IFERROR(__xludf.DUMMYFUNCTION("""COMPUTED_VALUE"""),"Firearm")</f>
        <v>Firearm</v>
      </c>
      <c r="I46" s="27" t="str">
        <f>IFERROR(__xludf.DUMMYFUNCTION("""COMPUTED_VALUE"""),"M")</f>
        <v>M</v>
      </c>
      <c r="J46" s="27" t="str">
        <f>IFERROR(__xludf.DUMMYFUNCTION("""COMPUTED_VALUE"""),"W")</f>
        <v>W</v>
      </c>
      <c r="K46" s="27">
        <f>IFERROR(__xludf.DUMMYFUNCTION("""COMPUTED_VALUE"""),41.0)</f>
        <v>41</v>
      </c>
      <c r="L46" s="27" t="str">
        <f>IFERROR(__xludf.DUMMYFUNCTION("""COMPUTED_VALUE"""),"None")</f>
        <v>None</v>
      </c>
      <c r="M46" s="27" t="str">
        <f>IFERROR(__xludf.DUMMYFUNCTION("""COMPUTED_VALUE"""),"Y")</f>
        <v>Y</v>
      </c>
      <c r="N46" s="24" t="str">
        <f>IFERROR(__xludf.DUMMYFUNCTION("""COMPUTED_VALUE"""),"Other")</f>
        <v>Other</v>
      </c>
      <c r="O46" s="24">
        <f>IFERROR(__xludf.DUMMYFUNCTION("""COMPUTED_VALUE"""),1.0)</f>
        <v>1</v>
      </c>
      <c r="P46" s="28" t="str">
        <f>IFERROR(__xludf.DUMMYFUNCTION("""COMPUTED_VALUE"""),"Officers conducted a felony stop on two suspects driving a stolen vehicle. Officers arrested the driver, but the front passenger fled to a Burger King parking lot and tried to steal a vehicle from someone waiting in the drive through lane. A pursing offic"&amp;"er fired at the suspect when he refused to drop his weapon and instead turned towards the officers with a firearm. The officer chased the suspect through the Burger King and out the back door. Outside again, the officer ordered the suspect to drop his wea"&amp;"pon and, in fear of his life and the lives of the patrons, discharged his weapon, striking the suspect. Paramedics arrived and transported the suspect to the hospital for his injuries. ")</f>
        <v>Officers conducted a felony stop on two suspects driving a stolen vehicle. Officers arrested the driver, but the front passenger fled to a Burger King parking lot and tried to steal a vehicle from someone waiting in the drive through lane. A pursing officer fired at the suspect when he refused to drop his weapon and instead turned towards the officers with a firearm. The officer chased the suspect through the Burger King and out the back door. Outside again, the officer ordered the suspect to drop his weapon and, in fear of his life and the lives of the patrons, discharged his weapon, striking the suspect. Paramedics arrived and transported the suspect to the hospital for his injuries. </v>
      </c>
      <c r="Q46" s="24"/>
      <c r="R46" s="24"/>
      <c r="S46" s="24"/>
      <c r="T46" s="24"/>
      <c r="U46" s="24"/>
      <c r="V46" s="24"/>
      <c r="W46" s="24"/>
      <c r="X46" s="24"/>
      <c r="Y46" s="24"/>
      <c r="Z46" s="24"/>
    </row>
    <row r="47" hidden="1">
      <c r="A47" s="29"/>
      <c r="B47" s="24"/>
      <c r="C47" s="24"/>
      <c r="D47" s="26"/>
      <c r="E47" s="26"/>
      <c r="F47" s="26"/>
      <c r="G47" s="26"/>
      <c r="H47" s="26"/>
      <c r="I47" s="27" t="str">
        <f>IFERROR(__xludf.DUMMYFUNCTION("""COMPUTED_VALUE"""),"M")</f>
        <v>M</v>
      </c>
      <c r="J47" s="27" t="str">
        <f>IFERROR(__xludf.DUMMYFUNCTION("""COMPUTED_VALUE"""),"H")</f>
        <v>H</v>
      </c>
      <c r="K47" s="27">
        <f>IFERROR(__xludf.DUMMYFUNCTION("""COMPUTED_VALUE"""),30.0)</f>
        <v>30</v>
      </c>
      <c r="L47" s="27" t="str">
        <f>IFERROR(__xludf.DUMMYFUNCTION("""COMPUTED_VALUE"""),"None")</f>
        <v>None</v>
      </c>
      <c r="M47" s="27" t="str">
        <f>IFERROR(__xludf.DUMMYFUNCTION("""COMPUTED_VALUE"""),"Y")</f>
        <v>Y</v>
      </c>
      <c r="N47" s="24" t="str">
        <f>IFERROR(__xludf.DUMMYFUNCTION("""COMPUTED_VALUE"""),"Other")</f>
        <v>Other</v>
      </c>
      <c r="O47" s="24">
        <f>IFERROR(__xludf.DUMMYFUNCTION("""COMPUTED_VALUE"""),1.0)</f>
        <v>1</v>
      </c>
      <c r="P47" s="24"/>
      <c r="Q47" s="24"/>
      <c r="R47" s="24"/>
      <c r="S47" s="24"/>
      <c r="T47" s="24"/>
      <c r="U47" s="24"/>
      <c r="V47" s="24"/>
      <c r="W47" s="24"/>
      <c r="X47" s="24"/>
      <c r="Y47" s="24"/>
      <c r="Z47" s="24"/>
    </row>
    <row r="48" hidden="1">
      <c r="A48" s="29">
        <f>IFERROR(__xludf.DUMMYFUNCTION("""COMPUTED_VALUE"""),43609.0)</f>
        <v>43609</v>
      </c>
      <c r="B48" s="24">
        <f>IFERROR(__xludf.DUMMYFUNCTION("""COMPUTED_VALUE"""),6.5776819E7)</f>
        <v>65776819</v>
      </c>
      <c r="C48" s="24" t="str">
        <f>IFERROR(__xludf.DUMMYFUNCTION("""COMPUTED_VALUE"""),"5900 SELINSKY RD")</f>
        <v>5900 SELINSKY RD</v>
      </c>
      <c r="D48" s="26" t="str">
        <f>IFERROR(__xludf.DUMMYFUNCTION("""COMPUTED_VALUE"""),"M")</f>
        <v>M</v>
      </c>
      <c r="E48" s="26" t="str">
        <f>IFERROR(__xludf.DUMMYFUNCTION("""COMPUTED_VALUE"""),"B")</f>
        <v>B</v>
      </c>
      <c r="F48" s="26">
        <f>IFERROR(__xludf.DUMMYFUNCTION("""COMPUTED_VALUE"""),35.0)</f>
        <v>35</v>
      </c>
      <c r="G48" s="26" t="str">
        <f>IFERROR(__xludf.DUMMYFUNCTION("""COMPUTED_VALUE"""),"Killed")</f>
        <v>Killed</v>
      </c>
      <c r="H48" s="26" t="str">
        <f>IFERROR(__xludf.DUMMYFUNCTION("""COMPUTED_VALUE"""),"Firearm")</f>
        <v>Firearm</v>
      </c>
      <c r="I48" s="27" t="str">
        <f>IFERROR(__xludf.DUMMYFUNCTION("""COMPUTED_VALUE"""),"M")</f>
        <v>M</v>
      </c>
      <c r="J48" s="27" t="str">
        <f>IFERROR(__xludf.DUMMYFUNCTION("""COMPUTED_VALUE"""),"W")</f>
        <v>W</v>
      </c>
      <c r="K48" s="27">
        <f>IFERROR(__xludf.DUMMYFUNCTION("""COMPUTED_VALUE"""),29.0)</f>
        <v>29</v>
      </c>
      <c r="L48" s="27" t="str">
        <f>IFERROR(__xludf.DUMMYFUNCTION("""COMPUTED_VALUE"""),"None")</f>
        <v>None</v>
      </c>
      <c r="M48" s="27" t="str">
        <f>IFERROR(__xludf.DUMMYFUNCTION("""COMPUTED_VALUE"""),"Y")</f>
        <v>Y</v>
      </c>
      <c r="N48" s="24" t="str">
        <f>IFERROR(__xludf.DUMMYFUNCTION("""COMPUTED_VALUE"""),"Emergency Call")</f>
        <v>Emergency Call</v>
      </c>
      <c r="O48" s="24"/>
      <c r="P48" s="24" t="str">
        <f>IFERROR(__xludf.DUMMYFUNCTION("""COMPUTED_VALUE"""),"HPD officers responded to a suspicious person with a weapon. When the officers arrived on the scene, they observed a male matching the description of the suspect and confronted him. The officers observed that the suspect was armed with a gun and appeared "&amp;"agitated. The officers gave the suspect repeated verbal commands to drop his weapon, which he ignored. The suspect eventually pointed his gun at the officers causing one of them to shoot and kill the suspect. ")</f>
        <v>HPD officers responded to a suspicious person with a weapon. When the officers arrived on the scene, they observed a male matching the description of the suspect and confronted him. The officers observed that the suspect was armed with a gun and appeared agitated. The officers gave the suspect repeated verbal commands to drop his weapon, which he ignored. The suspect eventually pointed his gun at the officers causing one of them to shoot and kill the suspect. </v>
      </c>
      <c r="Q48" s="24"/>
      <c r="R48" s="24"/>
      <c r="S48" s="24"/>
      <c r="T48" s="24"/>
      <c r="U48" s="24"/>
      <c r="V48" s="24"/>
      <c r="W48" s="24"/>
      <c r="X48" s="24"/>
      <c r="Y48" s="24"/>
      <c r="Z48" s="24"/>
    </row>
    <row r="49" hidden="1">
      <c r="A49" s="29">
        <f>IFERROR(__xludf.DUMMYFUNCTION("""COMPUTED_VALUE"""),43568.0)</f>
        <v>43568</v>
      </c>
      <c r="B49" s="24">
        <f>IFERROR(__xludf.DUMMYFUNCTION("""COMPUTED_VALUE"""),4.6151719E7)</f>
        <v>46151719</v>
      </c>
      <c r="C49" s="24" t="str">
        <f>IFERROR(__xludf.DUMMYFUNCTION("""COMPUTED_VALUE"""),"2600 ALABAMA ST")</f>
        <v>2600 ALABAMA ST</v>
      </c>
      <c r="D49" s="26" t="str">
        <f>IFERROR(__xludf.DUMMYFUNCTION("""COMPUTED_VALUE"""),"M")</f>
        <v>M</v>
      </c>
      <c r="E49" s="26" t="str">
        <f>IFERROR(__xludf.DUMMYFUNCTION("""COMPUTED_VALUE"""),"B")</f>
        <v>B</v>
      </c>
      <c r="F49" s="26">
        <f>IFERROR(__xludf.DUMMYFUNCTION("""COMPUTED_VALUE"""),17.0)</f>
        <v>17</v>
      </c>
      <c r="G49" s="26" t="str">
        <f>IFERROR(__xludf.DUMMYFUNCTION("""COMPUTED_VALUE"""),"Wounded")</f>
        <v>Wounded</v>
      </c>
      <c r="H49" s="26" t="str">
        <f>IFERROR(__xludf.DUMMYFUNCTION("""COMPUTED_VALUE"""),"Firearm")</f>
        <v>Firearm</v>
      </c>
      <c r="I49" s="27" t="str">
        <f>IFERROR(__xludf.DUMMYFUNCTION("""COMPUTED_VALUE"""),"M")</f>
        <v>M</v>
      </c>
      <c r="J49" s="27" t="str">
        <f>IFERROR(__xludf.DUMMYFUNCTION("""COMPUTED_VALUE"""),"W")</f>
        <v>W</v>
      </c>
      <c r="K49" s="27">
        <f>IFERROR(__xludf.DUMMYFUNCTION("""COMPUTED_VALUE"""),34.0)</f>
        <v>34</v>
      </c>
      <c r="L49" s="27" t="str">
        <f>IFERROR(__xludf.DUMMYFUNCTION("""COMPUTED_VALUE"""),"None")</f>
        <v>None</v>
      </c>
      <c r="M49" s="27" t="str">
        <f>IFERROR(__xludf.DUMMYFUNCTION("""COMPUTED_VALUE"""),"Y")</f>
        <v>Y</v>
      </c>
      <c r="N49" s="24" t="str">
        <f>IFERROR(__xludf.DUMMYFUNCTION("""COMPUTED_VALUE"""),"Other")</f>
        <v>Other</v>
      </c>
      <c r="O49" s="24"/>
      <c r="P49" s="28" t="str">
        <f>IFERROR(__xludf.DUMMYFUNCTION("""COMPUTED_VALUE"""),"Officers were investigating in known drug trafficking area and approached a male who was leaning into the driver door of a vehicle in a parking lot. As the officer and sergeant exited their marked patrol vehicle and summoned the suspect to approach them, "&amp;"the suspect fled on foot. The officers pursued on foot while the sergeant pursued in the patrol car. The sergeant observed the suspect had a gun in his hand and turned towards the officer. The sergeant, in fear of the officer’s life, discharged his duty w"&amp;"eapon at the suspect multiple times. The suspect was transported by ambulance to Ben Taub Hospital for a gunshot wound to the leg. ")</f>
        <v>Officers were investigating in known drug trafficking area and approached a male who was leaning into the driver door of a vehicle in a parking lot. As the officer and sergeant exited their marked patrol vehicle and summoned the suspect to approach them, the suspect fled on foot. The officers pursued on foot while the sergeant pursued in the patrol car. The sergeant observed the suspect had a gun in his hand and turned towards the officer. The sergeant, in fear of the officer’s life, discharged his duty weapon at the suspect multiple times. The suspect was transported by ambulance to Ben Taub Hospital for a gunshot wound to the leg. </v>
      </c>
      <c r="Q49" s="24"/>
      <c r="R49" s="24"/>
      <c r="S49" s="24"/>
      <c r="T49" s="24"/>
      <c r="U49" s="24"/>
      <c r="V49" s="24"/>
      <c r="W49" s="24"/>
      <c r="X49" s="24"/>
      <c r="Y49" s="24"/>
      <c r="Z49" s="24"/>
    </row>
    <row r="50" hidden="1">
      <c r="A50" s="29">
        <f>IFERROR(__xludf.DUMMYFUNCTION("""COMPUTED_VALUE"""),43523.0)</f>
        <v>43523</v>
      </c>
      <c r="B50" s="24">
        <f>IFERROR(__xludf.DUMMYFUNCTION("""COMPUTED_VALUE"""),2.5266619E7)</f>
        <v>25266619</v>
      </c>
      <c r="C50" s="24" t="str">
        <f>IFERROR(__xludf.DUMMYFUNCTION("""COMPUTED_VALUE"""),"5200 AIRLINE DR")</f>
        <v>5200 AIRLINE DR</v>
      </c>
      <c r="D50" s="26" t="str">
        <f>IFERROR(__xludf.DUMMYFUNCTION("""COMPUTED_VALUE"""),"M")</f>
        <v>M</v>
      </c>
      <c r="E50" s="26" t="str">
        <f>IFERROR(__xludf.DUMMYFUNCTION("""COMPUTED_VALUE"""),"H")</f>
        <v>H</v>
      </c>
      <c r="F50" s="26">
        <f>IFERROR(__xludf.DUMMYFUNCTION("""COMPUTED_VALUE"""),19.0)</f>
        <v>19</v>
      </c>
      <c r="G50" s="26" t="str">
        <f>IFERROR(__xludf.DUMMYFUNCTION("""COMPUTED_VALUE"""),"Wounded")</f>
        <v>Wounded</v>
      </c>
      <c r="H50" s="26" t="str">
        <f>IFERROR(__xludf.DUMMYFUNCTION("""COMPUTED_VALUE"""),"Firearm")</f>
        <v>Firearm</v>
      </c>
      <c r="I50" s="27" t="str">
        <f>IFERROR(__xludf.DUMMYFUNCTION("""COMPUTED_VALUE"""),"M")</f>
        <v>M</v>
      </c>
      <c r="J50" s="27" t="str">
        <f>IFERROR(__xludf.DUMMYFUNCTION("""COMPUTED_VALUE"""),"W")</f>
        <v>W</v>
      </c>
      <c r="K50" s="27">
        <f>IFERROR(__xludf.DUMMYFUNCTION("""COMPUTED_VALUE"""),26.0)</f>
        <v>26</v>
      </c>
      <c r="L50" s="27" t="str">
        <f>IFERROR(__xludf.DUMMYFUNCTION("""COMPUTED_VALUE"""),"None")</f>
        <v>None</v>
      </c>
      <c r="M50" s="27" t="str">
        <f>IFERROR(__xludf.DUMMYFUNCTION("""COMPUTED_VALUE"""),"Y")</f>
        <v>Y</v>
      </c>
      <c r="N50" s="24" t="str">
        <f>IFERROR(__xludf.DUMMYFUNCTION("""COMPUTED_VALUE"""),"Emergency Call")</f>
        <v>Emergency Call</v>
      </c>
      <c r="O50" s="24"/>
      <c r="P50" s="28" t="str">
        <f>IFERROR(__xludf.DUMMYFUNCTION("""COMPUTED_VALUE"""),"HPD officers responded to a burglar alarm and noticed a large hole as well as a light moving around inside the business. As officers attempted to set up a perimeter, one of the suspect’s hands came out from the hole in the building. The officer ordered th"&amp;"e suspect to show both of his hands when the suspect produced a handgun and repeatedly shot at the officer. The suspect fled the scene and shoot at another pursuing officer who in fear of his life returned fire. The suspect continued to flee and attempted"&amp;" to hide under a nearby vehicle, but was quickly located with his handgun and arrested. The suspect sustained two gunshot wounds to his left arm and is expected to survive his injuries. ")</f>
        <v>HPD officers responded to a burglar alarm and noticed a large hole as well as a light moving around inside the business. As officers attempted to set up a perimeter, one of the suspect’s hands came out from the hole in the building. The officer ordered the suspect to show both of his hands when the suspect produced a handgun and repeatedly shot at the officer. The suspect fled the scene and shoot at another pursuing officer who in fear of his life returned fire. The suspect continued to flee and attempted to hide under a nearby vehicle, but was quickly located with his handgun and arrested. The suspect sustained two gunshot wounds to his left arm and is expected to survive his injuries. </v>
      </c>
      <c r="Q50" s="24"/>
      <c r="R50" s="24"/>
      <c r="S50" s="24"/>
      <c r="T50" s="24"/>
      <c r="U50" s="24"/>
      <c r="V50" s="24"/>
      <c r="W50" s="24"/>
      <c r="X50" s="24"/>
      <c r="Y50" s="24"/>
      <c r="Z50" s="24"/>
    </row>
    <row r="51" hidden="1">
      <c r="A51" s="29"/>
      <c r="B51" s="24"/>
      <c r="C51" s="24"/>
      <c r="D51" s="26"/>
      <c r="E51" s="26"/>
      <c r="F51" s="26"/>
      <c r="G51" s="26"/>
      <c r="H51" s="26"/>
      <c r="I51" s="27" t="str">
        <f>IFERROR(__xludf.DUMMYFUNCTION("""COMPUTED_VALUE"""),"M")</f>
        <v>M</v>
      </c>
      <c r="J51" s="27" t="str">
        <f>IFERROR(__xludf.DUMMYFUNCTION("""COMPUTED_VALUE"""),"W")</f>
        <v>W</v>
      </c>
      <c r="K51" s="27">
        <f>IFERROR(__xludf.DUMMYFUNCTION("""COMPUTED_VALUE"""),31.0)</f>
        <v>31</v>
      </c>
      <c r="L51" s="27" t="str">
        <f>IFERROR(__xludf.DUMMYFUNCTION("""COMPUTED_VALUE"""),"None")</f>
        <v>None</v>
      </c>
      <c r="M51" s="27" t="str">
        <f>IFERROR(__xludf.DUMMYFUNCTION("""COMPUTED_VALUE"""),"Y")</f>
        <v>Y</v>
      </c>
      <c r="N51" s="24" t="str">
        <f>IFERROR(__xludf.DUMMYFUNCTION("""COMPUTED_VALUE"""),"Emergency Call")</f>
        <v>Emergency Call</v>
      </c>
      <c r="O51" s="24"/>
      <c r="P51" s="24"/>
      <c r="Q51" s="24"/>
      <c r="R51" s="24"/>
      <c r="S51" s="24"/>
      <c r="T51" s="24"/>
      <c r="U51" s="24"/>
      <c r="V51" s="24"/>
      <c r="W51" s="24"/>
      <c r="X51" s="24"/>
      <c r="Y51" s="24"/>
      <c r="Z51" s="24"/>
    </row>
    <row r="52" hidden="1">
      <c r="A52" s="29">
        <f>IFERROR(__xludf.DUMMYFUNCTION("""COMPUTED_VALUE"""),43517.0)</f>
        <v>43517</v>
      </c>
      <c r="B52" s="24">
        <f>IFERROR(__xludf.DUMMYFUNCTION("""COMPUTED_VALUE"""),2.2869919E7)</f>
        <v>22869919</v>
      </c>
      <c r="C52" s="24" t="str">
        <f>IFERROR(__xludf.DUMMYFUNCTION("""COMPUTED_VALUE"""),"10600 BEECHNUT ST")</f>
        <v>10600 BEECHNUT ST</v>
      </c>
      <c r="D52" s="26" t="str">
        <f>IFERROR(__xludf.DUMMYFUNCTION("""COMPUTED_VALUE"""),"M")</f>
        <v>M</v>
      </c>
      <c r="E52" s="26" t="str">
        <f>IFERROR(__xludf.DUMMYFUNCTION("""COMPUTED_VALUE"""),"H")</f>
        <v>H</v>
      </c>
      <c r="F52" s="26">
        <f>IFERROR(__xludf.DUMMYFUNCTION("""COMPUTED_VALUE"""),17.0)</f>
        <v>17</v>
      </c>
      <c r="G52" s="26" t="str">
        <f>IFERROR(__xludf.DUMMYFUNCTION("""COMPUTED_VALUE"""),"Wounded")</f>
        <v>Wounded</v>
      </c>
      <c r="H52" s="26" t="str">
        <f>IFERROR(__xludf.DUMMYFUNCTION("""COMPUTED_VALUE"""),"Firearm")</f>
        <v>Firearm</v>
      </c>
      <c r="I52" s="27" t="str">
        <f>IFERROR(__xludf.DUMMYFUNCTION("""COMPUTED_VALUE"""),"M")</f>
        <v>M</v>
      </c>
      <c r="J52" s="27" t="str">
        <f>IFERROR(__xludf.DUMMYFUNCTION("""COMPUTED_VALUE"""),"W")</f>
        <v>W</v>
      </c>
      <c r="K52" s="27">
        <f>IFERROR(__xludf.DUMMYFUNCTION("""COMPUTED_VALUE"""),28.0)</f>
        <v>28</v>
      </c>
      <c r="L52" s="27" t="str">
        <f>IFERROR(__xludf.DUMMYFUNCTION("""COMPUTED_VALUE"""),"None")</f>
        <v>None</v>
      </c>
      <c r="M52" s="27" t="str">
        <f>IFERROR(__xludf.DUMMYFUNCTION("""COMPUTED_VALUE"""),"N")</f>
        <v>N</v>
      </c>
      <c r="N52" s="24" t="str">
        <f>IFERROR(__xludf.DUMMYFUNCTION("""COMPUTED_VALUE"""),"Other")</f>
        <v>Other</v>
      </c>
      <c r="O52" s="24"/>
      <c r="P52" s="28" t="str">
        <f>IFERROR(__xludf.DUMMYFUNCTION("""COMPUTED_VALUE"""),"Two officers working an extra-job confronted a suspect firing at vehicle in an apartment complex. The shooter turned and ran towards a group of people who were in the area. In fear of the safety of those citizens, the officer discharged his duty weapon mu"&amp;"ltiple times, striking the suspect once in the back. The suspect was transported to SW Memorial in stable condition. ")</f>
        <v>Two officers working an extra-job confronted a suspect firing at vehicle in an apartment complex. The shooter turned and ran towards a group of people who were in the area. In fear of the safety of those citizens, the officer discharged his duty weapon multiple times, striking the suspect once in the back. The suspect was transported to SW Memorial in stable condition. </v>
      </c>
      <c r="Q52" s="24"/>
      <c r="R52" s="24"/>
      <c r="S52" s="24"/>
      <c r="T52" s="24"/>
      <c r="U52" s="24"/>
      <c r="V52" s="24"/>
      <c r="W52" s="24"/>
      <c r="X52" s="24"/>
      <c r="Y52" s="24"/>
      <c r="Z52" s="24"/>
    </row>
    <row r="53">
      <c r="A53" s="29">
        <f>IFERROR(__xludf.DUMMYFUNCTION("""COMPUTED_VALUE"""),43496.0)</f>
        <v>43496</v>
      </c>
      <c r="B53" s="24">
        <f>IFERROR(__xludf.DUMMYFUNCTION("""COMPUTED_VALUE"""),1.3527619E7)</f>
        <v>13527619</v>
      </c>
      <c r="C53" s="24" t="str">
        <f>IFERROR(__xludf.DUMMYFUNCTION("""COMPUTED_VALUE"""),"12200 BISSONNET ST")</f>
        <v>12200 BISSONNET ST</v>
      </c>
      <c r="D53" s="26" t="str">
        <f>IFERROR(__xludf.DUMMYFUNCTION("""COMPUTED_VALUE"""),"M")</f>
        <v>M</v>
      </c>
      <c r="E53" s="26" t="str">
        <f>IFERROR(__xludf.DUMMYFUNCTION("""COMPUTED_VALUE"""),"B")</f>
        <v>B</v>
      </c>
      <c r="F53" s="26">
        <f>IFERROR(__xludf.DUMMYFUNCTION("""COMPUTED_VALUE"""),26.0)</f>
        <v>26</v>
      </c>
      <c r="G53" s="26" t="str">
        <f>IFERROR(__xludf.DUMMYFUNCTION("""COMPUTED_VALUE"""),"None")</f>
        <v>None</v>
      </c>
      <c r="H53" s="26" t="str">
        <f>IFERROR(__xludf.DUMMYFUNCTION("""COMPUTED_VALUE"""),"None")</f>
        <v>None</v>
      </c>
      <c r="I53" s="27" t="str">
        <f>IFERROR(__xludf.DUMMYFUNCTION("""COMPUTED_VALUE"""),"M")</f>
        <v>M</v>
      </c>
      <c r="J53" s="27" t="str">
        <f>IFERROR(__xludf.DUMMYFUNCTION("""COMPUTED_VALUE"""),"W")</f>
        <v>W</v>
      </c>
      <c r="K53" s="27">
        <f>IFERROR(__xludf.DUMMYFUNCTION("""COMPUTED_VALUE"""),33.0)</f>
        <v>33</v>
      </c>
      <c r="L53" s="27" t="str">
        <f>IFERROR(__xludf.DUMMYFUNCTION("""COMPUTED_VALUE"""),"None")</f>
        <v>None</v>
      </c>
      <c r="M53" s="27" t="str">
        <f>IFERROR(__xludf.DUMMYFUNCTION("""COMPUTED_VALUE"""),"Y")</f>
        <v>Y</v>
      </c>
      <c r="N53" s="24" t="str">
        <f>IFERROR(__xludf.DUMMYFUNCTION("""COMPUTED_VALUE"""),"Other")</f>
        <v>Other</v>
      </c>
      <c r="O53" s="24"/>
      <c r="P53" s="28" t="str">
        <f>IFERROR(__xludf.DUMMYFUNCTION("""COMPUTED_VALUE"""),"HPD officers were following a vehicle with suspects believed to be involved in numerous robberies in the area. Officers observed several of the suspects exit the vehicle and rush into a game room and commit an aggravated robbery. The suspects fled in two "&amp;"separate vehicles. As they fled, an officer in the lead vehicle tried to stop the suspects from passing him up, at which time one of the suspects shot at the officer. The officer in vehicle following behind the suspect discharged his weapon at the suspect"&amp;" but only struck the vehicle. The suspects’ vehicle ultimately stopped, they fled on foot, and officers were able to apprehend them. No persons were shot during the incident. ")</f>
        <v>HPD officers were following a vehicle with suspects believed to be involved in numerous robberies in the area. Officers observed several of the suspects exit the vehicle and rush into a game room and commit an aggravated robbery. The suspects fled in two separate vehicles. As they fled, an officer in the lead vehicle tried to stop the suspects from passing him up, at which time one of the suspects shot at the officer. The officer in vehicle following behind the suspect discharged his weapon at the suspect but only struck the vehicle. The suspects’ vehicle ultimately stopped, they fled on foot, and officers were able to apprehend them. No persons were shot during the incident. </v>
      </c>
      <c r="Q53" s="24"/>
      <c r="R53" s="24"/>
      <c r="S53" s="24"/>
      <c r="T53" s="24"/>
      <c r="U53" s="24"/>
      <c r="V53" s="24"/>
      <c r="W53" s="24"/>
      <c r="X53" s="24"/>
      <c r="Y53" s="24"/>
      <c r="Z53" s="24"/>
    </row>
    <row r="54">
      <c r="A54" s="29"/>
      <c r="B54" s="24"/>
      <c r="C54" s="24"/>
      <c r="D54" s="26" t="str">
        <f>IFERROR(__xludf.DUMMYFUNCTION("""COMPUTED_VALUE"""),"M")</f>
        <v>M</v>
      </c>
      <c r="E54" s="26" t="str">
        <f>IFERROR(__xludf.DUMMYFUNCTION("""COMPUTED_VALUE"""),"B")</f>
        <v>B</v>
      </c>
      <c r="F54" s="26">
        <f>IFERROR(__xludf.DUMMYFUNCTION("""COMPUTED_VALUE"""),24.0)</f>
        <v>24</v>
      </c>
      <c r="G54" s="26" t="str">
        <f>IFERROR(__xludf.DUMMYFUNCTION("""COMPUTED_VALUE"""),"None")</f>
        <v>None</v>
      </c>
      <c r="H54" s="26" t="str">
        <f>IFERROR(__xludf.DUMMYFUNCTION("""COMPUTED_VALUE"""),"None")</f>
        <v>None</v>
      </c>
      <c r="I54" s="27"/>
      <c r="J54" s="27"/>
      <c r="K54" s="27"/>
      <c r="L54" s="27"/>
      <c r="M54" s="27"/>
      <c r="N54" s="24"/>
      <c r="O54" s="24"/>
      <c r="P54" s="28"/>
      <c r="Q54" s="24"/>
      <c r="R54" s="24"/>
      <c r="S54" s="24"/>
      <c r="T54" s="24"/>
      <c r="U54" s="24"/>
      <c r="V54" s="24"/>
      <c r="W54" s="24"/>
      <c r="X54" s="24"/>
      <c r="Y54" s="24"/>
      <c r="Z54" s="24"/>
    </row>
    <row r="55" hidden="1">
      <c r="A55" s="29">
        <f>IFERROR(__xludf.DUMMYFUNCTION("""COMPUTED_VALUE"""),43493.0)</f>
        <v>43493</v>
      </c>
      <c r="B55" s="24">
        <f>IFERROR(__xludf.DUMMYFUNCTION("""COMPUTED_VALUE"""),1.2191319E7)</f>
        <v>12191319</v>
      </c>
      <c r="C55" s="24" t="str">
        <f>IFERROR(__xludf.DUMMYFUNCTION("""COMPUTED_VALUE"""),"200 TURNER DR")</f>
        <v>200 TURNER DR</v>
      </c>
      <c r="D55" s="26" t="str">
        <f>IFERROR(__xludf.DUMMYFUNCTION("""COMPUTED_VALUE"""),"M")</f>
        <v>M</v>
      </c>
      <c r="E55" s="26" t="str">
        <f>IFERROR(__xludf.DUMMYFUNCTION("""COMPUTED_VALUE"""),"H")</f>
        <v>H</v>
      </c>
      <c r="F55" s="26">
        <f>IFERROR(__xludf.DUMMYFUNCTION("""COMPUTED_VALUE"""),30.0)</f>
        <v>30</v>
      </c>
      <c r="G55" s="26" t="str">
        <f>IFERROR(__xludf.DUMMYFUNCTION("""COMPUTED_VALUE"""),"Wounded")</f>
        <v>Wounded</v>
      </c>
      <c r="H55" s="26" t="str">
        <f>IFERROR(__xludf.DUMMYFUNCTION("""COMPUTED_VALUE"""),"Hands and/or Feet")</f>
        <v>Hands and/or Feet</v>
      </c>
      <c r="I55" s="27" t="str">
        <f>IFERROR(__xludf.DUMMYFUNCTION("""COMPUTED_VALUE"""),"M")</f>
        <v>M</v>
      </c>
      <c r="J55" s="27" t="str">
        <f>IFERROR(__xludf.DUMMYFUNCTION("""COMPUTED_VALUE"""),"H")</f>
        <v>H</v>
      </c>
      <c r="K55" s="27">
        <f>IFERROR(__xludf.DUMMYFUNCTION("""COMPUTED_VALUE"""),28.0)</f>
        <v>28</v>
      </c>
      <c r="L55" s="27" t="str">
        <f>IFERROR(__xludf.DUMMYFUNCTION("""COMPUTED_VALUE"""),"None")</f>
        <v>None</v>
      </c>
      <c r="M55" s="27" t="str">
        <f>IFERROR(__xludf.DUMMYFUNCTION("""COMPUTED_VALUE"""),"Y")</f>
        <v>Y</v>
      </c>
      <c r="N55" s="24" t="str">
        <f>IFERROR(__xludf.DUMMYFUNCTION("""COMPUTED_VALUE"""),"Other")</f>
        <v>Other</v>
      </c>
      <c r="O55" s="24">
        <f>IFERROR(__xludf.DUMMYFUNCTION("""COMPUTED_VALUE"""),1.0)</f>
        <v>1</v>
      </c>
      <c r="P55" s="28" t="str">
        <f>IFERROR(__xludf.DUMMYFUNCTION("""COMPUTED_VALUE"""),"An officer observed a suspect who had recently fled a scene. The suspect exited his vehicle, ignored the officer’s commands, and charged him while reaching into his waistband. In fear of his life, the officer discharged his firearm, missed, and struggled "&amp;"with the suspect who was attempting to disarm him. The suspect entered the officer’s patrol vehicle and began to drive off. Fearing the suspect was attempting to take possession of the officer’s firearm inside the vehicle, the officer shot multiple times "&amp;"and struck the suspect. The suspect crashed the patrol vehicle into a ditch and attempted to flee on foot, but responding officers were able to apprehend the suspect who was transported to a hospital with a gunshot wound to the shoulder. ")</f>
        <v>An officer observed a suspect who had recently fled a scene. The suspect exited his vehicle, ignored the officer’s commands, and charged him while reaching into his waistband. In fear of his life, the officer discharged his firearm, missed, and struggled with the suspect who was attempting to disarm him. The suspect entered the officer’s patrol vehicle and began to drive off. Fearing the suspect was attempting to take possession of the officer’s firearm inside the vehicle, the officer shot multiple times and struck the suspect. The suspect crashed the patrol vehicle into a ditch and attempted to flee on foot, but responding officers were able to apprehend the suspect who was transported to a hospital with a gunshot wound to the shoulder. </v>
      </c>
      <c r="Q55" s="24"/>
      <c r="R55" s="24"/>
      <c r="S55" s="24"/>
      <c r="T55" s="24"/>
      <c r="U55" s="24"/>
      <c r="V55" s="24"/>
      <c r="W55" s="24"/>
      <c r="X55" s="24"/>
      <c r="Y55" s="24"/>
      <c r="Z55" s="24"/>
    </row>
    <row r="56" hidden="1">
      <c r="A56" s="29">
        <f>IFERROR(__xludf.DUMMYFUNCTION("""COMPUTED_VALUE"""),43493.0)</f>
        <v>43493</v>
      </c>
      <c r="B56" s="24">
        <f>IFERROR(__xludf.DUMMYFUNCTION("""COMPUTED_VALUE"""),1.2133719E7)</f>
        <v>12133719</v>
      </c>
      <c r="C56" s="24" t="str">
        <f>IFERROR(__xludf.DUMMYFUNCTION("""COMPUTED_VALUE"""),"7800 HARDING ST")</f>
        <v>7800 HARDING ST</v>
      </c>
      <c r="D56" s="26" t="str">
        <f>IFERROR(__xludf.DUMMYFUNCTION("""COMPUTED_VALUE"""),"M")</f>
        <v>M</v>
      </c>
      <c r="E56" s="26" t="str">
        <f>IFERROR(__xludf.DUMMYFUNCTION("""COMPUTED_VALUE"""),"W")</f>
        <v>W</v>
      </c>
      <c r="F56" s="26">
        <f>IFERROR(__xludf.DUMMYFUNCTION("""COMPUTED_VALUE"""),59.0)</f>
        <v>59</v>
      </c>
      <c r="G56" s="26" t="str">
        <f>IFERROR(__xludf.DUMMYFUNCTION("""COMPUTED_VALUE"""),"Killed")</f>
        <v>Killed</v>
      </c>
      <c r="H56" s="26" t="str">
        <f>IFERROR(__xludf.DUMMYFUNCTION("""COMPUTED_VALUE"""),"Firearm")</f>
        <v>Firearm</v>
      </c>
      <c r="I56" s="27" t="str">
        <f>IFERROR(__xludf.DUMMYFUNCTION("""COMPUTED_VALUE"""),"M")</f>
        <v>M</v>
      </c>
      <c r="J56" s="27" t="str">
        <f>IFERROR(__xludf.DUMMYFUNCTION("""COMPUTED_VALUE"""),"H")</f>
        <v>H</v>
      </c>
      <c r="K56" s="27">
        <f>IFERROR(__xludf.DUMMYFUNCTION("""COMPUTED_VALUE"""),31.0)</f>
        <v>31</v>
      </c>
      <c r="L56" s="27" t="str">
        <f>IFERROR(__xludf.DUMMYFUNCTION("""COMPUTED_VALUE"""),"None")</f>
        <v>None</v>
      </c>
      <c r="M56" s="27" t="str">
        <f>IFERROR(__xludf.DUMMYFUNCTION("""COMPUTED_VALUE"""),"Y")</f>
        <v>Y</v>
      </c>
      <c r="N56" s="24" t="str">
        <f>IFERROR(__xludf.DUMMYFUNCTION("""COMPUTED_VALUE"""),"Warrant")</f>
        <v>Warrant</v>
      </c>
      <c r="O56" s="24"/>
      <c r="P56" s="24" t="str">
        <f>IFERROR(__xludf.DUMMYFUNCTION("""COMPUTED_VALUE"""),"Narcotics officers, with patrol officers on the scene to provide support, announced themselves at the suspects' home and immediately upon breaching the door came under fire from one or two suspects inside the home. Four Houston police officers were shot a"&amp;"nd another suffered a knee injury. Two suspects were killed in the exchange of gunfire. ")</f>
        <v>Narcotics officers, with patrol officers on the scene to provide support, announced themselves at the suspects' home and immediately upon breaching the door came under fire from one or two suspects inside the home. Four Houston police officers were shot and another suffered a knee injury. Two suspects were killed in the exchange of gunfire. </v>
      </c>
      <c r="Q56" s="24"/>
      <c r="R56" s="24"/>
      <c r="S56" s="24"/>
      <c r="T56" s="24"/>
      <c r="U56" s="24"/>
      <c r="V56" s="24"/>
      <c r="W56" s="24"/>
      <c r="X56" s="24"/>
      <c r="Y56" s="24"/>
      <c r="Z56" s="24"/>
    </row>
    <row r="57" hidden="1">
      <c r="A57" s="29"/>
      <c r="B57" s="24"/>
      <c r="C57" s="24"/>
      <c r="D57" s="26"/>
      <c r="E57" s="26"/>
      <c r="F57" s="26"/>
      <c r="G57" s="26"/>
      <c r="H57" s="26"/>
      <c r="I57" s="27" t="str">
        <f>IFERROR(__xludf.DUMMYFUNCTION("""COMPUTED_VALUE"""),"M")</f>
        <v>M</v>
      </c>
      <c r="J57" s="27" t="str">
        <f>IFERROR(__xludf.DUMMYFUNCTION("""COMPUTED_VALUE"""),"H")</f>
        <v>H</v>
      </c>
      <c r="K57" s="27">
        <f>IFERROR(__xludf.DUMMYFUNCTION("""COMPUTED_VALUE"""),37.0)</f>
        <v>37</v>
      </c>
      <c r="L57" s="27" t="str">
        <f>IFERROR(__xludf.DUMMYFUNCTION("""COMPUTED_VALUE"""),"None")</f>
        <v>None</v>
      </c>
      <c r="M57" s="27" t="str">
        <f>IFERROR(__xludf.DUMMYFUNCTION("""COMPUTED_VALUE"""),"Y")</f>
        <v>Y</v>
      </c>
      <c r="N57" s="24" t="str">
        <f>IFERROR(__xludf.DUMMYFUNCTION("""COMPUTED_VALUE"""),"Warrant")</f>
        <v>Warrant</v>
      </c>
      <c r="O57" s="24">
        <f>IFERROR(__xludf.DUMMYFUNCTION("""COMPUTED_VALUE"""),1.0)</f>
        <v>1</v>
      </c>
      <c r="P57" s="24"/>
      <c r="Q57" s="24"/>
      <c r="R57" s="24"/>
      <c r="S57" s="24"/>
      <c r="T57" s="24"/>
      <c r="U57" s="24"/>
      <c r="V57" s="24"/>
      <c r="W57" s="24"/>
      <c r="X57" s="24"/>
      <c r="Y57" s="24"/>
      <c r="Z57" s="24"/>
    </row>
    <row r="58" hidden="1">
      <c r="A58" s="29"/>
      <c r="B58" s="24"/>
      <c r="C58" s="24"/>
      <c r="D58" s="26" t="str">
        <f>IFERROR(__xludf.DUMMYFUNCTION("""COMPUTED_VALUE"""),"F")</f>
        <v>F</v>
      </c>
      <c r="E58" s="26" t="str">
        <f>IFERROR(__xludf.DUMMYFUNCTION("""COMPUTED_VALUE"""),"W")</f>
        <v>W</v>
      </c>
      <c r="F58" s="26">
        <f>IFERROR(__xludf.DUMMYFUNCTION("""COMPUTED_VALUE"""),58.0)</f>
        <v>58</v>
      </c>
      <c r="G58" s="26" t="str">
        <f>IFERROR(__xludf.DUMMYFUNCTION("""COMPUTED_VALUE"""),"Killed")</f>
        <v>Killed</v>
      </c>
      <c r="H58" s="26" t="str">
        <f>IFERROR(__xludf.DUMMYFUNCTION("""COMPUTED_VALUE"""),"None")</f>
        <v>None</v>
      </c>
      <c r="I58" s="27" t="str">
        <f>IFERROR(__xludf.DUMMYFUNCTION("""COMPUTED_VALUE"""),"M")</f>
        <v>M</v>
      </c>
      <c r="J58" s="27" t="str">
        <f>IFERROR(__xludf.DUMMYFUNCTION("""COMPUTED_VALUE"""),"H")</f>
        <v>H</v>
      </c>
      <c r="K58" s="27">
        <f>IFERROR(__xludf.DUMMYFUNCTION("""COMPUTED_VALUE"""),33.0)</f>
        <v>33</v>
      </c>
      <c r="L58" s="27" t="str">
        <f>IFERROR(__xludf.DUMMYFUNCTION("""COMPUTED_VALUE"""),"None")</f>
        <v>None</v>
      </c>
      <c r="M58" s="27" t="str">
        <f>IFERROR(__xludf.DUMMYFUNCTION("""COMPUTED_VALUE"""),"Y")</f>
        <v>Y</v>
      </c>
      <c r="N58" s="24" t="str">
        <f>IFERROR(__xludf.DUMMYFUNCTION("""COMPUTED_VALUE"""),"Warrant")</f>
        <v>Warrant</v>
      </c>
      <c r="O58" s="24">
        <f>IFERROR(__xludf.DUMMYFUNCTION("""COMPUTED_VALUE"""),1.0)</f>
        <v>1</v>
      </c>
      <c r="P58" s="24"/>
      <c r="Q58" s="24"/>
      <c r="R58" s="24"/>
      <c r="S58" s="24"/>
      <c r="T58" s="24"/>
      <c r="U58" s="24"/>
      <c r="V58" s="24"/>
      <c r="W58" s="24"/>
      <c r="X58" s="24"/>
      <c r="Y58" s="24"/>
      <c r="Z58" s="24"/>
    </row>
    <row r="59" hidden="1">
      <c r="A59" s="29"/>
      <c r="B59" s="24"/>
      <c r="C59" s="24"/>
      <c r="D59" s="26"/>
      <c r="E59" s="26"/>
      <c r="F59" s="26"/>
      <c r="G59" s="26"/>
      <c r="H59" s="26"/>
      <c r="I59" s="27" t="str">
        <f>IFERROR(__xludf.DUMMYFUNCTION("""COMPUTED_VALUE"""),"M")</f>
        <v>M</v>
      </c>
      <c r="J59" s="27" t="str">
        <f>IFERROR(__xludf.DUMMYFUNCTION("""COMPUTED_VALUE"""),"H")</f>
        <v>H</v>
      </c>
      <c r="K59" s="27">
        <f>IFERROR(__xludf.DUMMYFUNCTION("""COMPUTED_VALUE"""),38.0)</f>
        <v>38</v>
      </c>
      <c r="L59" s="27" t="str">
        <f>IFERROR(__xludf.DUMMYFUNCTION("""COMPUTED_VALUE"""),"None")</f>
        <v>None</v>
      </c>
      <c r="M59" s="27" t="str">
        <f>IFERROR(__xludf.DUMMYFUNCTION("""COMPUTED_VALUE"""),"Y")</f>
        <v>Y</v>
      </c>
      <c r="N59" s="24" t="str">
        <f>IFERROR(__xludf.DUMMYFUNCTION("""COMPUTED_VALUE"""),"Warrant")</f>
        <v>Warrant</v>
      </c>
      <c r="O59" s="24"/>
      <c r="P59" s="24"/>
      <c r="Q59" s="24"/>
      <c r="R59" s="24"/>
      <c r="S59" s="24"/>
      <c r="T59" s="24"/>
      <c r="U59" s="24"/>
      <c r="V59" s="24"/>
      <c r="W59" s="24"/>
      <c r="X59" s="24"/>
      <c r="Y59" s="24"/>
      <c r="Z59" s="24"/>
    </row>
    <row r="60" hidden="1">
      <c r="A60" s="29">
        <f>IFERROR(__xludf.DUMMYFUNCTION("""COMPUTED_VALUE"""),43493.0)</f>
        <v>43493</v>
      </c>
      <c r="B60" s="24">
        <f>IFERROR(__xludf.DUMMYFUNCTION("""COMPUTED_VALUE"""),1.2191319E7)</f>
        <v>12191319</v>
      </c>
      <c r="C60" s="24" t="str">
        <f>IFERROR(__xludf.DUMMYFUNCTION("""COMPUTED_VALUE"""),"200 TURNER DR")</f>
        <v>200 TURNER DR</v>
      </c>
      <c r="D60" s="26" t="str">
        <f>IFERROR(__xludf.DUMMYFUNCTION("""COMPUTED_VALUE"""),"M")</f>
        <v>M</v>
      </c>
      <c r="E60" s="26" t="str">
        <f>IFERROR(__xludf.DUMMYFUNCTION("""COMPUTED_VALUE"""),"H")</f>
        <v>H</v>
      </c>
      <c r="F60" s="26">
        <f>IFERROR(__xludf.DUMMYFUNCTION("""COMPUTED_VALUE"""),30.0)</f>
        <v>30</v>
      </c>
      <c r="G60" s="26" t="str">
        <f>IFERROR(__xludf.DUMMYFUNCTION("""COMPUTED_VALUE"""),"Wounded")</f>
        <v>Wounded</v>
      </c>
      <c r="H60" s="26" t="str">
        <f>IFERROR(__xludf.DUMMYFUNCTION("""COMPUTED_VALUE"""),"Hands and/or Feet")</f>
        <v>Hands and/or Feet</v>
      </c>
      <c r="I60" s="27" t="str">
        <f>IFERROR(__xludf.DUMMYFUNCTION("""COMPUTED_VALUE"""),"M")</f>
        <v>M</v>
      </c>
      <c r="J60" s="27" t="str">
        <f>IFERROR(__xludf.DUMMYFUNCTION("""COMPUTED_VALUE"""),"H")</f>
        <v>H</v>
      </c>
      <c r="K60" s="27">
        <f>IFERROR(__xludf.DUMMYFUNCTION("""COMPUTED_VALUE"""),28.0)</f>
        <v>28</v>
      </c>
      <c r="L60" s="27" t="str">
        <f>IFERROR(__xludf.DUMMYFUNCTION("""COMPUTED_VALUE"""),"None")</f>
        <v>None</v>
      </c>
      <c r="M60" s="27" t="str">
        <f>IFERROR(__xludf.DUMMYFUNCTION("""COMPUTED_VALUE"""),"Y")</f>
        <v>Y</v>
      </c>
      <c r="N60" s="24" t="str">
        <f>IFERROR(__xludf.DUMMYFUNCTION("""COMPUTED_VALUE"""),"Other")</f>
        <v>Other</v>
      </c>
      <c r="O60" s="24">
        <f>IFERROR(__xludf.DUMMYFUNCTION("""COMPUTED_VALUE"""),1.0)</f>
        <v>1</v>
      </c>
      <c r="P60" s="28" t="str">
        <f>IFERROR(__xludf.DUMMYFUNCTION("""COMPUTED_VALUE"""),"An officer observed a suspect who had recently fled a scene. The suspect exited his vehicle, ignored the officer’s commands, and charged him while reaching into his waistband. In fear of his life, the officer discharged his firearm, missed, and struggled "&amp;"with the suspect who was attempting to disarm him. The suspect entered the officer’s patrol vehicle and began to drive off. Fearing the suspect was attempting to take possession of the officer’s firearm inside the vehicle, the officer shot multiple times "&amp;"and struck the suspect. The suspect crashed the patrol vehicle into a ditch and attempted to flee on foot, but responding officers were able to apprehend the suspect who was transported to a hospital with a gunshot wound to the shoulder. ")</f>
        <v>An officer observed a suspect who had recently fled a scene. The suspect exited his vehicle, ignored the officer’s commands, and charged him while reaching into his waistband. In fear of his life, the officer discharged his firearm, missed, and struggled with the suspect who was attempting to disarm him. The suspect entered the officer’s patrol vehicle and began to drive off. Fearing the suspect was attempting to take possession of the officer’s firearm inside the vehicle, the officer shot multiple times and struck the suspect. The suspect crashed the patrol vehicle into a ditch and attempted to flee on foot, but responding officers were able to apprehend the suspect who was transported to a hospital with a gunshot wound to the shoulder. </v>
      </c>
      <c r="Q60" s="24"/>
      <c r="R60" s="24"/>
      <c r="S60" s="24"/>
      <c r="T60" s="24"/>
      <c r="U60" s="24"/>
      <c r="V60" s="24"/>
      <c r="W60" s="24"/>
      <c r="X60" s="24"/>
      <c r="Y60" s="24"/>
      <c r="Z60" s="24"/>
    </row>
    <row r="61" hidden="1">
      <c r="A61" s="29">
        <f>IFERROR(__xludf.DUMMYFUNCTION("""COMPUTED_VALUE"""),43473.0)</f>
        <v>43473</v>
      </c>
      <c r="B61" s="24">
        <f>IFERROR(__xludf.DUMMYFUNCTION("""COMPUTED_VALUE"""),3169319.0)</f>
        <v>3169319</v>
      </c>
      <c r="C61" s="24" t="str">
        <f>IFERROR(__xludf.DUMMYFUNCTION("""COMPUTED_VALUE"""),"11000 SOUTHWEST FWY OB")</f>
        <v>11000 SOUTHWEST FWY OB</v>
      </c>
      <c r="D61" s="26" t="str">
        <f>IFERROR(__xludf.DUMMYFUNCTION("""COMPUTED_VALUE"""),"M")</f>
        <v>M</v>
      </c>
      <c r="E61" s="26" t="str">
        <f>IFERROR(__xludf.DUMMYFUNCTION("""COMPUTED_VALUE"""),"B")</f>
        <v>B</v>
      </c>
      <c r="F61" s="26">
        <f>IFERROR(__xludf.DUMMYFUNCTION("""COMPUTED_VALUE"""),26.0)</f>
        <v>26</v>
      </c>
      <c r="G61" s="26" t="str">
        <f>IFERROR(__xludf.DUMMYFUNCTION("""COMPUTED_VALUE"""),"Wounded")</f>
        <v>Wounded</v>
      </c>
      <c r="H61" s="26" t="str">
        <f>IFERROR(__xludf.DUMMYFUNCTION("""COMPUTED_VALUE"""),"Firearm")</f>
        <v>Firearm</v>
      </c>
      <c r="I61" s="27" t="str">
        <f>IFERROR(__xludf.DUMMYFUNCTION("""COMPUTED_VALUE"""),"M")</f>
        <v>M</v>
      </c>
      <c r="J61" s="27" t="str">
        <f>IFERROR(__xludf.DUMMYFUNCTION("""COMPUTED_VALUE"""),"W")</f>
        <v>W</v>
      </c>
      <c r="K61" s="27">
        <f>IFERROR(__xludf.DUMMYFUNCTION("""COMPUTED_VALUE"""),41.0)</f>
        <v>41</v>
      </c>
      <c r="L61" s="27" t="str">
        <f>IFERROR(__xludf.DUMMYFUNCTION("""COMPUTED_VALUE"""),"None")</f>
        <v>None</v>
      </c>
      <c r="M61" s="27" t="str">
        <f>IFERROR(__xludf.DUMMYFUNCTION("""COMPUTED_VALUE"""),"Y")</f>
        <v>Y</v>
      </c>
      <c r="N61" s="24" t="str">
        <f>IFERROR(__xludf.DUMMYFUNCTION("""COMPUTED_VALUE"""),"Emergency Call")</f>
        <v>Emergency Call</v>
      </c>
      <c r="O61" s="24"/>
      <c r="P61" s="28" t="str">
        <f>IFERROR(__xludf.DUMMYFUNCTION("""COMPUTED_VALUE"""),"Houston Police officers were dispatched to a call regarding a suspicious male with a gun. The caller stated the suspect was walking inside the hotel with a gun in his hand. Officers arrived and made contact with the suspect. The suspect ran from police, a"&amp;"ttempted to flag down motorists, and pointed his gun at one of the officers. The officers, fearing for their lives and the lives of others, shot the suspect. No officers were injured. The suspect was taken to an area hospital and is listed in critical con"&amp;"dition. ")</f>
        <v>Houston Police officers were dispatched to a call regarding a suspicious male with a gun. The caller stated the suspect was walking inside the hotel with a gun in his hand. Officers arrived and made contact with the suspect. The suspect ran from police, attempted to flag down motorists, and pointed his gun at one of the officers. The officers, fearing for their lives and the lives of others, shot the suspect. No officers were injured. The suspect was taken to an area hospital and is listed in critical condition. </v>
      </c>
      <c r="Q61" s="24"/>
      <c r="R61" s="24"/>
      <c r="S61" s="24"/>
      <c r="T61" s="24"/>
      <c r="U61" s="24"/>
      <c r="V61" s="24"/>
      <c r="W61" s="24"/>
      <c r="X61" s="24"/>
      <c r="Y61" s="24"/>
      <c r="Z61" s="24"/>
    </row>
    <row r="62" hidden="1">
      <c r="A62" s="29"/>
      <c r="B62" s="24"/>
      <c r="C62" s="24"/>
      <c r="D62" s="26"/>
      <c r="E62" s="26"/>
      <c r="F62" s="26"/>
      <c r="G62" s="26"/>
      <c r="H62" s="26"/>
      <c r="I62" s="27" t="str">
        <f>IFERROR(__xludf.DUMMYFUNCTION("""COMPUTED_VALUE"""),"M")</f>
        <v>M</v>
      </c>
      <c r="J62" s="27" t="str">
        <f>IFERROR(__xludf.DUMMYFUNCTION("""COMPUTED_VALUE"""),"W")</f>
        <v>W</v>
      </c>
      <c r="K62" s="27">
        <f>IFERROR(__xludf.DUMMYFUNCTION("""COMPUTED_VALUE"""),41.0)</f>
        <v>41</v>
      </c>
      <c r="L62" s="27" t="str">
        <f>IFERROR(__xludf.DUMMYFUNCTION("""COMPUTED_VALUE"""),"None")</f>
        <v>None</v>
      </c>
      <c r="M62" s="27" t="str">
        <f>IFERROR(__xludf.DUMMYFUNCTION("""COMPUTED_VALUE"""),"Y")</f>
        <v>Y</v>
      </c>
      <c r="N62" s="24" t="str">
        <f>IFERROR(__xludf.DUMMYFUNCTION("""COMPUTED_VALUE"""),"Emergency Call")</f>
        <v>Emergency Call</v>
      </c>
      <c r="O62" s="24">
        <f>IFERROR(__xludf.DUMMYFUNCTION("""COMPUTED_VALUE"""),1.0)</f>
        <v>1</v>
      </c>
      <c r="P62" s="24"/>
      <c r="Q62" s="24"/>
      <c r="R62" s="24"/>
      <c r="S62" s="24"/>
      <c r="T62" s="24"/>
      <c r="U62" s="24"/>
      <c r="V62" s="24"/>
      <c r="W62" s="24"/>
      <c r="X62" s="24"/>
      <c r="Y62" s="24"/>
      <c r="Z62" s="24"/>
    </row>
    <row r="63" hidden="1">
      <c r="A63" s="29">
        <f>IFERROR(__xludf.DUMMYFUNCTION("""COMPUTED_VALUE"""),43469.0)</f>
        <v>43469</v>
      </c>
      <c r="B63" s="24">
        <f>IFERROR(__xludf.DUMMYFUNCTION("""COMPUTED_VALUE"""),1599519.0)</f>
        <v>1599519</v>
      </c>
      <c r="C63" s="24" t="str">
        <f>IFERROR(__xludf.DUMMYFUNCTION("""COMPUTED_VALUE"""),"100 E 44TH ST")</f>
        <v>100 E 44TH ST</v>
      </c>
      <c r="D63" s="26" t="str">
        <f>IFERROR(__xludf.DUMMYFUNCTION("""COMPUTED_VALUE"""),"M")</f>
        <v>M</v>
      </c>
      <c r="E63" s="26" t="str">
        <f>IFERROR(__xludf.DUMMYFUNCTION("""COMPUTED_VALUE"""),"B")</f>
        <v>B</v>
      </c>
      <c r="F63" s="26">
        <f>IFERROR(__xludf.DUMMYFUNCTION("""COMPUTED_VALUE"""),32.0)</f>
        <v>32</v>
      </c>
      <c r="G63" s="26" t="str">
        <f>IFERROR(__xludf.DUMMYFUNCTION("""COMPUTED_VALUE"""),"Killed")</f>
        <v>Killed</v>
      </c>
      <c r="H63" s="26" t="str">
        <f>IFERROR(__xludf.DUMMYFUNCTION("""COMPUTED_VALUE"""),"Firearm")</f>
        <v>Firearm</v>
      </c>
      <c r="I63" s="27" t="str">
        <f>IFERROR(__xludf.DUMMYFUNCTION("""COMPUTED_VALUE"""),"M")</f>
        <v>M</v>
      </c>
      <c r="J63" s="27" t="str">
        <f>IFERROR(__xludf.DUMMYFUNCTION("""COMPUTED_VALUE"""),"B")</f>
        <v>B</v>
      </c>
      <c r="K63" s="27">
        <f>IFERROR(__xludf.DUMMYFUNCTION("""COMPUTED_VALUE"""),27.0)</f>
        <v>27</v>
      </c>
      <c r="L63" s="27" t="str">
        <f>IFERROR(__xludf.DUMMYFUNCTION("""COMPUTED_VALUE"""),"None")</f>
        <v>None</v>
      </c>
      <c r="M63" s="27" t="str">
        <f>IFERROR(__xludf.DUMMYFUNCTION("""COMPUTED_VALUE"""),"Y")</f>
        <v>Y</v>
      </c>
      <c r="N63" s="24" t="str">
        <f>IFERROR(__xludf.DUMMYFUNCTION("""COMPUTED_VALUE"""),"Other")</f>
        <v>Other</v>
      </c>
      <c r="O63" s="24">
        <f>IFERROR(__xludf.DUMMYFUNCTION("""COMPUTED_VALUE"""),1.0)</f>
        <v>1</v>
      </c>
      <c r="P63" s="24" t="str">
        <f>IFERROR(__xludf.DUMMYFUNCTION("""COMPUTED_VALUE"""),"Houston Police Officers were dispatched to a shooting that just occurred. Three individuals were shot by the suspect at that location. Officers located the suspect and approached him as he was struggling with a female. One officer gave the suspect verbal "&amp;"commands to get on the ground. The suspect turned toward the officers with a pistol in front of his body. One HPD officer, in fear of his life, shot the suspect. Officers immediately attempted to administer first aid but the suspect died at the scene. ")</f>
        <v>Houston Police Officers were dispatched to a shooting that just occurred. Three individuals were shot by the suspect at that location. Officers located the suspect and approached him as he was struggling with a female. One officer gave the suspect verbal commands to get on the ground. The suspect turned toward the officers with a pistol in front of his body. One HPD officer, in fear of his life, shot the suspect. Officers immediately attempted to administer first aid but the suspect died at the scene. </v>
      </c>
      <c r="Q63" s="24"/>
      <c r="R63" s="24"/>
      <c r="S63" s="24"/>
      <c r="T63" s="24"/>
      <c r="U63" s="24"/>
      <c r="V63" s="24"/>
      <c r="W63" s="24"/>
      <c r="X63" s="24"/>
      <c r="Y63" s="24"/>
      <c r="Z63" s="24"/>
    </row>
    <row r="64">
      <c r="A64" s="29">
        <f>IFERROR(__xludf.DUMMYFUNCTION("""COMPUTED_VALUE"""),43156.0)</f>
        <v>43156</v>
      </c>
      <c r="B64" s="24">
        <f>IFERROR(__xludf.DUMMYFUNCTION("""COMPUTED_VALUE"""),1.62241918E8)</f>
        <v>162241918</v>
      </c>
      <c r="C64" s="24" t="str">
        <f>IFERROR(__xludf.DUMMYFUNCTION("""COMPUTED_VALUE"""),"13300 ALMEDA RD")</f>
        <v>13300 ALMEDA RD</v>
      </c>
      <c r="D64" s="26" t="str">
        <f>IFERROR(__xludf.DUMMYFUNCTION("""COMPUTED_VALUE"""),"M")</f>
        <v>M</v>
      </c>
      <c r="E64" s="26" t="str">
        <f>IFERROR(__xludf.DUMMYFUNCTION("""COMPUTED_VALUE"""),"W")</f>
        <v>W</v>
      </c>
      <c r="F64" s="26">
        <f>IFERROR(__xludf.DUMMYFUNCTION("""COMPUTED_VALUE"""),39.0)</f>
        <v>39</v>
      </c>
      <c r="G64" s="26" t="str">
        <f>IFERROR(__xludf.DUMMYFUNCTION("""COMPUTED_VALUE"""),"None")</f>
        <v>None</v>
      </c>
      <c r="H64" s="26" t="str">
        <f>IFERROR(__xludf.DUMMYFUNCTION("""COMPUTED_VALUE"""),"None")</f>
        <v>None</v>
      </c>
      <c r="I64" s="27" t="str">
        <f>IFERROR(__xludf.DUMMYFUNCTION("""COMPUTED_VALUE"""),"M")</f>
        <v>M</v>
      </c>
      <c r="J64" s="27" t="str">
        <f>IFERROR(__xludf.DUMMYFUNCTION("""COMPUTED_VALUE"""),"A")</f>
        <v>A</v>
      </c>
      <c r="K64" s="27">
        <f>IFERROR(__xludf.DUMMYFUNCTION("""COMPUTED_VALUE"""),25.0)</f>
        <v>25</v>
      </c>
      <c r="L64" s="27" t="str">
        <f>IFERROR(__xludf.DUMMYFUNCTION("""COMPUTED_VALUE"""),"None")</f>
        <v>None</v>
      </c>
      <c r="M64" s="27" t="str">
        <f>IFERROR(__xludf.DUMMYFUNCTION("""COMPUTED_VALUE"""),"Y")</f>
        <v>Y</v>
      </c>
      <c r="N64" s="24" t="str">
        <f>IFERROR(__xludf.DUMMYFUNCTION("""COMPUTED_VALUE"""),"Emergency Call")</f>
        <v>Emergency Call</v>
      </c>
      <c r="O64" s="24">
        <f>IFERROR(__xludf.DUMMYFUNCTION("""COMPUTED_VALUE"""),1.0)</f>
        <v>1</v>
      </c>
      <c r="P64" s="28" t="str">
        <f>IFERROR(__xludf.DUMMYFUNCTION("""COMPUTED_VALUE"""),"An individual flagged down an HPD officer and told him a man had a knife and was sitting in a car that did not belong to him. The officer observed the suspect exit the vehicle and charge toward him with the knife. In fear of his, the officer discharged hi"&amp;"s weapon, missed, and attempted to fire again but the weapon malfunctioned. The suspect fled across several lanes of moving traffic and attempted to open the doors of passing vehicles. The officer discharged his tazer twice, both times with no effect, but"&amp;" eventually apprehended the suspect without further incident. ")</f>
        <v>An individual flagged down an HPD officer and told him a man had a knife and was sitting in a car that did not belong to him. The officer observed the suspect exit the vehicle and charge toward him with the knife. In fear of his, the officer discharged his weapon, missed, and attempted to fire again but the weapon malfunctioned. The suspect fled across several lanes of moving traffic and attempted to open the doors of passing vehicles. The officer discharged his tazer twice, both times with no effect, but eventually apprehended the suspect without further incident. </v>
      </c>
      <c r="Q64" s="24"/>
      <c r="R64" s="24"/>
      <c r="S64" s="24"/>
      <c r="T64" s="24"/>
      <c r="U64" s="24"/>
      <c r="V64" s="24"/>
      <c r="W64" s="24"/>
      <c r="X64" s="24"/>
      <c r="Y64" s="24"/>
      <c r="Z64" s="24"/>
    </row>
    <row r="65" hidden="1">
      <c r="A65" s="29">
        <f>IFERROR(__xludf.DUMMYFUNCTION("""COMPUTED_VALUE"""),43432.0)</f>
        <v>43432</v>
      </c>
      <c r="B65" s="24">
        <f>IFERROR(__xludf.DUMMYFUNCTION("""COMPUTED_VALUE"""),1.50372018E8)</f>
        <v>150372018</v>
      </c>
      <c r="C65" s="24" t="str">
        <f>IFERROR(__xludf.DUMMYFUNCTION("""COMPUTED_VALUE"""),"7600 HARRISBURG BLVD")</f>
        <v>7600 HARRISBURG BLVD</v>
      </c>
      <c r="D65" s="26" t="str">
        <f>IFERROR(__xludf.DUMMYFUNCTION("""COMPUTED_VALUE"""),"M")</f>
        <v>M</v>
      </c>
      <c r="E65" s="26" t="str">
        <f>IFERROR(__xludf.DUMMYFUNCTION("""COMPUTED_VALUE"""),"B")</f>
        <v>B</v>
      </c>
      <c r="F65" s="26">
        <f>IFERROR(__xludf.DUMMYFUNCTION("""COMPUTED_VALUE"""),28.0)</f>
        <v>28</v>
      </c>
      <c r="G65" s="26" t="str">
        <f>IFERROR(__xludf.DUMMYFUNCTION("""COMPUTED_VALUE"""),"Killed")</f>
        <v>Killed</v>
      </c>
      <c r="H65" s="26" t="str">
        <f>IFERROR(__xludf.DUMMYFUNCTION("""COMPUTED_VALUE"""),"None")</f>
        <v>None</v>
      </c>
      <c r="I65" s="27" t="str">
        <f>IFERROR(__xludf.DUMMYFUNCTION("""COMPUTED_VALUE"""),"M")</f>
        <v>M</v>
      </c>
      <c r="J65" s="27" t="str">
        <f>IFERROR(__xludf.DUMMYFUNCTION("""COMPUTED_VALUE"""),"W")</f>
        <v>W</v>
      </c>
      <c r="K65" s="27">
        <f>IFERROR(__xludf.DUMMYFUNCTION("""COMPUTED_VALUE"""),35.0)</f>
        <v>35</v>
      </c>
      <c r="L65" s="27" t="str">
        <f>IFERROR(__xludf.DUMMYFUNCTION("""COMPUTED_VALUE"""),"None")</f>
        <v>None</v>
      </c>
      <c r="M65" s="27" t="str">
        <f>IFERROR(__xludf.DUMMYFUNCTION("""COMPUTED_VALUE"""),"Y")</f>
        <v>Y</v>
      </c>
      <c r="N65" s="24" t="str">
        <f>IFERROR(__xludf.DUMMYFUNCTION("""COMPUTED_VALUE"""),"Other")</f>
        <v>Other</v>
      </c>
      <c r="O65" s="24">
        <f>IFERROR(__xludf.DUMMYFUNCTION("""COMPUTED_VALUE"""),1.0)</f>
        <v>1</v>
      </c>
      <c r="P65" s="24" t="str">
        <f>IFERROR(__xludf.DUMMYFUNCTION("""COMPUTED_VALUE"""),"While HPD SWAT officers were attempting to affect an arrest, a suspect fired a handgun at least two times at the SWAT officers. One of the SWAT officers defended himself and the other officers on the scene by returning fire, killing the suspect. A second "&amp;"suspect fled the scene but was later apprehended with the help of a canine officer. The suspect was transported back to the original scene where he then became unresponsive and died. ")</f>
        <v>While HPD SWAT officers were attempting to affect an arrest, a suspect fired a handgun at least two times at the SWAT officers. One of the SWAT officers defended himself and the other officers on the scene by returning fire, killing the suspect. A second suspect fled the scene but was later apprehended with the help of a canine officer. The suspect was transported back to the original scene where he then became unresponsive and died. </v>
      </c>
      <c r="Q65" s="24"/>
      <c r="R65" s="24"/>
      <c r="S65" s="24"/>
      <c r="T65" s="24"/>
      <c r="U65" s="24"/>
      <c r="V65" s="24"/>
      <c r="W65" s="24"/>
      <c r="X65" s="24"/>
      <c r="Y65" s="24"/>
      <c r="Z65" s="24"/>
    </row>
    <row r="66" hidden="1">
      <c r="A66" s="29"/>
      <c r="B66" s="24"/>
      <c r="C66" s="24"/>
      <c r="D66" s="26" t="str">
        <f>IFERROR(__xludf.DUMMYFUNCTION("""COMPUTED_VALUE"""),"M")</f>
        <v>M</v>
      </c>
      <c r="E66" s="26" t="str">
        <f>IFERROR(__xludf.DUMMYFUNCTION("""COMPUTED_VALUE"""),"B")</f>
        <v>B</v>
      </c>
      <c r="F66" s="26">
        <f>IFERROR(__xludf.DUMMYFUNCTION("""COMPUTED_VALUE"""),30.0)</f>
        <v>30</v>
      </c>
      <c r="G66" s="26" t="str">
        <f>IFERROR(__xludf.DUMMYFUNCTION("""COMPUTED_VALUE"""),"Killed")</f>
        <v>Killed</v>
      </c>
      <c r="H66" s="26" t="str">
        <f>IFERROR(__xludf.DUMMYFUNCTION("""COMPUTED_VALUE"""),"Firearm")</f>
        <v>Firearm</v>
      </c>
      <c r="I66" s="27"/>
      <c r="J66" s="27"/>
      <c r="K66" s="27"/>
      <c r="L66" s="27"/>
      <c r="M66" s="27"/>
      <c r="N66" s="24"/>
      <c r="O66" s="24"/>
      <c r="P66" s="24"/>
      <c r="Q66" s="24"/>
      <c r="R66" s="24"/>
      <c r="S66" s="24"/>
      <c r="T66" s="24"/>
      <c r="U66" s="24"/>
      <c r="V66" s="24"/>
      <c r="W66" s="24"/>
      <c r="X66" s="24"/>
      <c r="Y66" s="24"/>
      <c r="Z66" s="24"/>
    </row>
    <row r="67" hidden="1">
      <c r="A67" s="29">
        <f>IFERROR(__xludf.DUMMYFUNCTION("""COMPUTED_VALUE"""),43431.0)</f>
        <v>43431</v>
      </c>
      <c r="B67" s="24">
        <f>IFERROR(__xludf.DUMMYFUNCTION("""COMPUTED_VALUE"""),1.49476218E8)</f>
        <v>149476218</v>
      </c>
      <c r="C67" s="24" t="str">
        <f>IFERROR(__xludf.DUMMYFUNCTION("""COMPUTED_VALUE"""),"12300 BELLAIRE BLVD")</f>
        <v>12300 BELLAIRE BLVD</v>
      </c>
      <c r="D67" s="26" t="str">
        <f>IFERROR(__xludf.DUMMYFUNCTION("""COMPUTED_VALUE"""),"M")</f>
        <v>M</v>
      </c>
      <c r="E67" s="26" t="str">
        <f>IFERROR(__xludf.DUMMYFUNCTION("""COMPUTED_VALUE"""),"A")</f>
        <v>A</v>
      </c>
      <c r="F67" s="26">
        <f>IFERROR(__xludf.DUMMYFUNCTION("""COMPUTED_VALUE"""),41.0)</f>
        <v>41</v>
      </c>
      <c r="G67" s="26" t="str">
        <f>IFERROR(__xludf.DUMMYFUNCTION("""COMPUTED_VALUE"""),"Killed")</f>
        <v>Killed</v>
      </c>
      <c r="H67" s="26" t="str">
        <f>IFERROR(__xludf.DUMMYFUNCTION("""COMPUTED_VALUE"""),"Firearm")</f>
        <v>Firearm</v>
      </c>
      <c r="I67" s="27" t="str">
        <f>IFERROR(__xludf.DUMMYFUNCTION("""COMPUTED_VALUE"""),"M")</f>
        <v>M</v>
      </c>
      <c r="J67" s="27" t="str">
        <f>IFERROR(__xludf.DUMMYFUNCTION("""COMPUTED_VALUE"""),"H")</f>
        <v>H</v>
      </c>
      <c r="K67" s="27">
        <f>IFERROR(__xludf.DUMMYFUNCTION("""COMPUTED_VALUE"""),34.0)</f>
        <v>34</v>
      </c>
      <c r="L67" s="27" t="str">
        <f>IFERROR(__xludf.DUMMYFUNCTION("""COMPUTED_VALUE"""),"None")</f>
        <v>None</v>
      </c>
      <c r="M67" s="27" t="str">
        <f>IFERROR(__xludf.DUMMYFUNCTION("""COMPUTED_VALUE"""),"Y")</f>
        <v>Y</v>
      </c>
      <c r="N67" s="24" t="str">
        <f>IFERROR(__xludf.DUMMYFUNCTION("""COMPUTED_VALUE"""),"Emergency Call")</f>
        <v>Emergency Call</v>
      </c>
      <c r="O67" s="24"/>
      <c r="P67" s="24" t="str">
        <f>IFERROR(__xludf.DUMMYFUNCTION("""COMPUTED_VALUE"""),"Patrol officers responded to a shooting call where a suspect had fled a café to an adjacent gameroom. An officer saw the suspect and ordered him to drop his weapon but the suspect fired a single shot which prompted the officer to return fire. When SWAT ar"&amp;"rived, they found the gunman dead from what appears to be a suicide. ")</f>
        <v>Patrol officers responded to a shooting call where a suspect had fled a café to an adjacent gameroom. An officer saw the suspect and ordered him to drop his weapon but the suspect fired a single shot which prompted the officer to return fire. When SWAT arrived, they found the gunman dead from what appears to be a suicide. </v>
      </c>
      <c r="Q67" s="24"/>
      <c r="R67" s="24"/>
      <c r="S67" s="24"/>
      <c r="T67" s="24"/>
      <c r="U67" s="24"/>
      <c r="V67" s="24"/>
      <c r="W67" s="24"/>
      <c r="X67" s="24"/>
      <c r="Y67" s="24"/>
      <c r="Z67" s="24"/>
    </row>
    <row r="68" hidden="1">
      <c r="A68" s="29">
        <f>IFERROR(__xludf.DUMMYFUNCTION("""COMPUTED_VALUE"""),43418.0)</f>
        <v>43418</v>
      </c>
      <c r="B68" s="24">
        <f>IFERROR(__xludf.DUMMYFUNCTION("""COMPUTED_VALUE"""),1.44320018E8)</f>
        <v>144320018</v>
      </c>
      <c r="C68" s="24" t="str">
        <f>IFERROR(__xludf.DUMMYFUNCTION("""COMPUTED_VALUE"""),"7100 Beechnut")</f>
        <v>7100 Beechnut</v>
      </c>
      <c r="D68" s="26" t="str">
        <f>IFERROR(__xludf.DUMMYFUNCTION("""COMPUTED_VALUE"""),"M")</f>
        <v>M</v>
      </c>
      <c r="E68" s="26" t="str">
        <f>IFERROR(__xludf.DUMMYFUNCTION("""COMPUTED_VALUE"""),"H")</f>
        <v>H</v>
      </c>
      <c r="F68" s="26">
        <f>IFERROR(__xludf.DUMMYFUNCTION("""COMPUTED_VALUE"""),61.0)</f>
        <v>61</v>
      </c>
      <c r="G68" s="26" t="str">
        <f>IFERROR(__xludf.DUMMYFUNCTION("""COMPUTED_VALUE"""),"Killed")</f>
        <v>Killed</v>
      </c>
      <c r="H68" s="26" t="str">
        <f>IFERROR(__xludf.DUMMYFUNCTION("""COMPUTED_VALUE"""),"Hands and/or Feet")</f>
        <v>Hands and/or Feet</v>
      </c>
      <c r="I68" s="27" t="str">
        <f>IFERROR(__xludf.DUMMYFUNCTION("""COMPUTED_VALUE"""),"F")</f>
        <v>F</v>
      </c>
      <c r="J68" s="27" t="str">
        <f>IFERROR(__xludf.DUMMYFUNCTION("""COMPUTED_VALUE"""),"W")</f>
        <v>W</v>
      </c>
      <c r="K68" s="27">
        <f>IFERROR(__xludf.DUMMYFUNCTION("""COMPUTED_VALUE"""),25.0)</f>
        <v>25</v>
      </c>
      <c r="L68" s="27" t="str">
        <f>IFERROR(__xludf.DUMMYFUNCTION("""COMPUTED_VALUE"""),"None")</f>
        <v>None</v>
      </c>
      <c r="M68" s="27" t="str">
        <f>IFERROR(__xludf.DUMMYFUNCTION("""COMPUTED_VALUE"""),"Y")</f>
        <v>Y</v>
      </c>
      <c r="N68" s="24" t="str">
        <f>IFERROR(__xludf.DUMMYFUNCTION("""COMPUTED_VALUE"""),"Other")</f>
        <v>Other</v>
      </c>
      <c r="O68" s="24">
        <f>IFERROR(__xludf.DUMMYFUNCTION("""COMPUTED_VALUE"""),1.0)</f>
        <v>1</v>
      </c>
      <c r="P68" s="24" t="str">
        <f>IFERROR(__xludf.DUMMYFUNCTION("""COMPUTED_VALUE"""),"An officer was dispatched regarding an unknown white male walking around in the street and striking passing cars with a flag pole. The officer approached the male on foot who then attacked the officer and knocked her down. The male was able to wrap his ar"&amp;"m around the officer’s neck and began choking her. The officer regained her stance and tazed the male with negative results. The male continued to charge the officer and ignored her commands to stop. After attempting to create distance, the officer, in fe"&amp;"ar for her life, discharged her duty weapon once at the suspect, striking and killing the suspect. ")</f>
        <v>An officer was dispatched regarding an unknown white male walking around in the street and striking passing cars with a flag pole. The officer approached the male on foot who then attacked the officer and knocked her down. The male was able to wrap his arm around the officer’s neck and began choking her. The officer regained her stance and tazed the male with negative results. The male continued to charge the officer and ignored her commands to stop. After attempting to create distance, the officer, in fear for her life, discharged her duty weapon once at the suspect, striking and killing the suspect. </v>
      </c>
      <c r="Q68" s="24"/>
      <c r="R68" s="24"/>
      <c r="S68" s="24"/>
      <c r="T68" s="24"/>
      <c r="U68" s="24"/>
      <c r="V68" s="24"/>
      <c r="W68" s="24"/>
      <c r="X68" s="24"/>
      <c r="Y68" s="24"/>
      <c r="Z68" s="24"/>
    </row>
    <row r="69" hidden="1">
      <c r="A69" s="29">
        <f>IFERROR(__xludf.DUMMYFUNCTION("""COMPUTED_VALUE"""),43400.0)</f>
        <v>43400</v>
      </c>
      <c r="B69" s="24">
        <f>IFERROR(__xludf.DUMMYFUNCTION("""COMPUTED_VALUE"""),1.35922718E8)</f>
        <v>135922718</v>
      </c>
      <c r="C69" s="24" t="str">
        <f>IFERROR(__xludf.DUMMYFUNCTION("""COMPUTED_VALUE"""),"2800 Eagle Creek")</f>
        <v>2800 Eagle Creek</v>
      </c>
      <c r="D69" s="26" t="str">
        <f>IFERROR(__xludf.DUMMYFUNCTION("""COMPUTED_VALUE"""),"M")</f>
        <v>M</v>
      </c>
      <c r="E69" s="26" t="str">
        <f>IFERROR(__xludf.DUMMYFUNCTION("""COMPUTED_VALUE"""),"W")</f>
        <v>W</v>
      </c>
      <c r="F69" s="26">
        <f>IFERROR(__xludf.DUMMYFUNCTION("""COMPUTED_VALUE"""),30.0)</f>
        <v>30</v>
      </c>
      <c r="G69" s="26" t="str">
        <f>IFERROR(__xludf.DUMMYFUNCTION("""COMPUTED_VALUE"""),"Killed")</f>
        <v>Killed</v>
      </c>
      <c r="H69" s="26" t="str">
        <f>IFERROR(__xludf.DUMMYFUNCTION("""COMPUTED_VALUE"""),"Firearm")</f>
        <v>Firearm</v>
      </c>
      <c r="I69" s="27" t="str">
        <f>IFERROR(__xludf.DUMMYFUNCTION("""COMPUTED_VALUE"""),"M")</f>
        <v>M</v>
      </c>
      <c r="J69" s="27" t="str">
        <f>IFERROR(__xludf.DUMMYFUNCTION("""COMPUTED_VALUE"""),"W")</f>
        <v>W</v>
      </c>
      <c r="K69" s="27">
        <f>IFERROR(__xludf.DUMMYFUNCTION("""COMPUTED_VALUE"""),54.0)</f>
        <v>54</v>
      </c>
      <c r="L69" s="27" t="str">
        <f>IFERROR(__xludf.DUMMYFUNCTION("""COMPUTED_VALUE"""),"None")</f>
        <v>None</v>
      </c>
      <c r="M69" s="27" t="str">
        <f>IFERROR(__xludf.DUMMYFUNCTION("""COMPUTED_VALUE"""),"Y")</f>
        <v>Y</v>
      </c>
      <c r="N69" s="24" t="str">
        <f>IFERROR(__xludf.DUMMYFUNCTION("""COMPUTED_VALUE"""),"Other")</f>
        <v>Other</v>
      </c>
      <c r="O69" s="24">
        <f>IFERROR(__xludf.DUMMYFUNCTION("""COMPUTED_VALUE"""),1.0)</f>
        <v>1</v>
      </c>
      <c r="P69" s="24" t="str">
        <f>IFERROR(__xludf.DUMMYFUNCTION("""COMPUTED_VALUE"""),"Houston Police officers were dispatched to a welfare check because a suspect was armed and was reported to have cut himself. Upon arrival, patrol officers made contact with a family member of the suspect who stated he was suffering from a psychological cr"&amp;"isis. Officers located the suspect hiding behind bushes in the backyard of the residence. At the time of his discovery, the suspect had no clothing on and was armed with a handgun. Officers made multiple attempts to convince the suspect to drop his weapon"&amp;" but he refused to comply and raised the handgun towards the officers. One of the officers, in fear of his life, fired one time striking and killing the suspect. ")</f>
        <v>Houston Police officers were dispatched to a welfare check because a suspect was armed and was reported to have cut himself. Upon arrival, patrol officers made contact with a family member of the suspect who stated he was suffering from a psychological crisis. Officers located the suspect hiding behind bushes in the backyard of the residence. At the time of his discovery, the suspect had no clothing on and was armed with a handgun. Officers made multiple attempts to convince the suspect to drop his weapon but he refused to comply and raised the handgun towards the officers. One of the officers, in fear of his life, fired one time striking and killing the suspect. </v>
      </c>
      <c r="Q69" s="24"/>
      <c r="R69" s="24"/>
      <c r="S69" s="24"/>
      <c r="T69" s="24"/>
      <c r="U69" s="24"/>
      <c r="V69" s="24"/>
      <c r="W69" s="24"/>
      <c r="X69" s="24"/>
      <c r="Y69" s="24"/>
      <c r="Z69" s="24"/>
    </row>
    <row r="70" hidden="1">
      <c r="A70" s="29">
        <f>IFERROR(__xludf.DUMMYFUNCTION("""COMPUTED_VALUE"""),43371.0)</f>
        <v>43371</v>
      </c>
      <c r="B70" s="24">
        <f>IFERROR(__xludf.DUMMYFUNCTION("""COMPUTED_VALUE"""),1.22990318E8)</f>
        <v>122990318</v>
      </c>
      <c r="C70" s="24" t="str">
        <f>IFERROR(__xludf.DUMMYFUNCTION("""COMPUTED_VALUE"""),"2500 WINROCK BLVD")</f>
        <v>2500 WINROCK BLVD</v>
      </c>
      <c r="D70" s="26" t="str">
        <f>IFERROR(__xludf.DUMMYFUNCTION("""COMPUTED_VALUE"""),"M")</f>
        <v>M</v>
      </c>
      <c r="E70" s="26" t="str">
        <f>IFERROR(__xludf.DUMMYFUNCTION("""COMPUTED_VALUE"""),"B")</f>
        <v>B</v>
      </c>
      <c r="F70" s="26">
        <f>IFERROR(__xludf.DUMMYFUNCTION("""COMPUTED_VALUE"""),23.0)</f>
        <v>23</v>
      </c>
      <c r="G70" s="26" t="str">
        <f>IFERROR(__xludf.DUMMYFUNCTION("""COMPUTED_VALUE"""),"Killed")</f>
        <v>Killed</v>
      </c>
      <c r="H70" s="26" t="str">
        <f>IFERROR(__xludf.DUMMYFUNCTION("""COMPUTED_VALUE"""),"Firearm")</f>
        <v>Firearm</v>
      </c>
      <c r="I70" s="27" t="str">
        <f>IFERROR(__xludf.DUMMYFUNCTION("""COMPUTED_VALUE"""),"M")</f>
        <v>M</v>
      </c>
      <c r="J70" s="27" t="str">
        <f>IFERROR(__xludf.DUMMYFUNCTION("""COMPUTED_VALUE"""),"W")</f>
        <v>W</v>
      </c>
      <c r="K70" s="27">
        <f>IFERROR(__xludf.DUMMYFUNCTION("""COMPUTED_VALUE"""),37.0)</f>
        <v>37</v>
      </c>
      <c r="L70" s="27" t="str">
        <f>IFERROR(__xludf.DUMMYFUNCTION("""COMPUTED_VALUE"""),"None")</f>
        <v>None</v>
      </c>
      <c r="M70" s="27" t="str">
        <f>IFERROR(__xludf.DUMMYFUNCTION("""COMPUTED_VALUE"""),"Y")</f>
        <v>Y</v>
      </c>
      <c r="N70" s="24" t="str">
        <f>IFERROR(__xludf.DUMMYFUNCTION("""COMPUTED_VALUE"""),"Emergency Call")</f>
        <v>Emergency Call</v>
      </c>
      <c r="O70" s="24">
        <f>IFERROR(__xludf.DUMMYFUNCTION("""COMPUTED_VALUE"""),1.0)</f>
        <v>1</v>
      </c>
      <c r="P70" s="24" t="str">
        <f>IFERROR(__xludf.DUMMYFUNCTION("""COMPUTED_VALUE"""),"Officers were dispatched to a possible hostage situation at an apartment. After they arrived, they knocked on the front door and heard a gunshot inside and a woman scream. After the officers forced entry, the suspect fired multiple times at them and misse"&amp;"d but did successfully shoot the female complainant. The suspect fled out of the back door and encountered officers who ordered him to drop his pistol. The suspect did not comply and was fired upon, dropped his pistol, and initially retreated into the apa"&amp;"rtment. However, after officers pursued him, he advanced on them with a large knife. In fear of their lives, officers shot and killed the suspect. The female complainant is in stable condition. No officers were injured as a result of the suspect shooting "&amp;"at them. ")</f>
        <v>Officers were dispatched to a possible hostage situation at an apartment. After they arrived, they knocked on the front door and heard a gunshot inside and a woman scream. After the officers forced entry, the suspect fired multiple times at them and missed but did successfully shoot the female complainant. The suspect fled out of the back door and encountered officers who ordered him to drop his pistol. The suspect did not comply and was fired upon, dropped his pistol, and initially retreated into the apartment. However, after officers pursued him, he advanced on them with a large knife. In fear of their lives, officers shot and killed the suspect. The female complainant is in stable condition. No officers were injured as a result of the suspect shooting at them. </v>
      </c>
      <c r="Q70" s="24"/>
      <c r="R70" s="24"/>
      <c r="S70" s="24"/>
      <c r="T70" s="24"/>
      <c r="U70" s="24"/>
      <c r="V70" s="24"/>
      <c r="W70" s="24"/>
      <c r="X70" s="24"/>
      <c r="Y70" s="24"/>
      <c r="Z70" s="24"/>
    </row>
    <row r="71" hidden="1">
      <c r="A71" s="29"/>
      <c r="B71" s="24"/>
      <c r="C71" s="24"/>
      <c r="D71" s="26"/>
      <c r="E71" s="26"/>
      <c r="F71" s="26"/>
      <c r="G71" s="26"/>
      <c r="H71" s="26"/>
      <c r="I71" s="27" t="str">
        <f>IFERROR(__xludf.DUMMYFUNCTION("""COMPUTED_VALUE"""),"M")</f>
        <v>M</v>
      </c>
      <c r="J71" s="27" t="str">
        <f>IFERROR(__xludf.DUMMYFUNCTION("""COMPUTED_VALUE"""),"W")</f>
        <v>W</v>
      </c>
      <c r="K71" s="27">
        <f>IFERROR(__xludf.DUMMYFUNCTION("""COMPUTED_VALUE"""),30.0)</f>
        <v>30</v>
      </c>
      <c r="L71" s="27" t="str">
        <f>IFERROR(__xludf.DUMMYFUNCTION("""COMPUTED_VALUE"""),"None")</f>
        <v>None</v>
      </c>
      <c r="M71" s="27" t="str">
        <f>IFERROR(__xludf.DUMMYFUNCTION("""COMPUTED_VALUE"""),"Y")</f>
        <v>Y</v>
      </c>
      <c r="N71" s="24" t="str">
        <f>IFERROR(__xludf.DUMMYFUNCTION("""COMPUTED_VALUE"""),"Emergency Call")</f>
        <v>Emergency Call</v>
      </c>
      <c r="O71" s="24"/>
      <c r="P71" s="24"/>
      <c r="Q71" s="24"/>
      <c r="R71" s="24"/>
      <c r="S71" s="24"/>
      <c r="T71" s="24"/>
      <c r="U71" s="24"/>
      <c r="V71" s="24"/>
      <c r="W71" s="24"/>
      <c r="X71" s="24"/>
      <c r="Y71" s="24"/>
      <c r="Z71" s="24"/>
    </row>
    <row r="72" hidden="1">
      <c r="A72" s="29"/>
      <c r="B72" s="24"/>
      <c r="C72" s="24"/>
      <c r="D72" s="26"/>
      <c r="E72" s="26"/>
      <c r="F72" s="26"/>
      <c r="G72" s="26"/>
      <c r="H72" s="26"/>
      <c r="I72" s="27" t="str">
        <f>IFERROR(__xludf.DUMMYFUNCTION("""COMPUTED_VALUE"""),"M")</f>
        <v>M</v>
      </c>
      <c r="J72" s="27" t="str">
        <f>IFERROR(__xludf.DUMMYFUNCTION("""COMPUTED_VALUE"""),"W")</f>
        <v>W</v>
      </c>
      <c r="K72" s="27">
        <f>IFERROR(__xludf.DUMMYFUNCTION("""COMPUTED_VALUE"""),31.0)</f>
        <v>31</v>
      </c>
      <c r="L72" s="27" t="str">
        <f>IFERROR(__xludf.DUMMYFUNCTION("""COMPUTED_VALUE"""),"None")</f>
        <v>None</v>
      </c>
      <c r="M72" s="27" t="str">
        <f>IFERROR(__xludf.DUMMYFUNCTION("""COMPUTED_VALUE"""),"Y")</f>
        <v>Y</v>
      </c>
      <c r="N72" s="24" t="str">
        <f>IFERROR(__xludf.DUMMYFUNCTION("""COMPUTED_VALUE"""),"Emergency Call")</f>
        <v>Emergency Call</v>
      </c>
      <c r="O72" s="24"/>
      <c r="P72" s="24"/>
      <c r="Q72" s="24"/>
      <c r="R72" s="24"/>
      <c r="S72" s="24"/>
      <c r="T72" s="24"/>
      <c r="U72" s="24"/>
      <c r="V72" s="24"/>
      <c r="W72" s="24"/>
      <c r="X72" s="24"/>
      <c r="Y72" s="24"/>
      <c r="Z72" s="24"/>
    </row>
    <row r="73">
      <c r="A73" s="29">
        <f>IFERROR(__xludf.DUMMYFUNCTION("""COMPUTED_VALUE"""),43371.0)</f>
        <v>43371</v>
      </c>
      <c r="B73" s="24">
        <f>IFERROR(__xludf.DUMMYFUNCTION("""COMPUTED_VALUE"""),1.23798518E8)</f>
        <v>123798518</v>
      </c>
      <c r="C73" s="24" t="str">
        <f>IFERROR(__xludf.DUMMYFUNCTION("""COMPUTED_VALUE"""),"3000 ELGIN ST")</f>
        <v>3000 ELGIN ST</v>
      </c>
      <c r="D73" s="26" t="str">
        <f>IFERROR(__xludf.DUMMYFUNCTION("""COMPUTED_VALUE"""),"M")</f>
        <v>M</v>
      </c>
      <c r="E73" s="26" t="str">
        <f>IFERROR(__xludf.DUMMYFUNCTION("""COMPUTED_VALUE"""),"B")</f>
        <v>B</v>
      </c>
      <c r="F73" s="26">
        <f>IFERROR(__xludf.DUMMYFUNCTION("""COMPUTED_VALUE"""),26.0)</f>
        <v>26</v>
      </c>
      <c r="G73" s="26" t="str">
        <f>IFERROR(__xludf.DUMMYFUNCTION("""COMPUTED_VALUE"""),"None")</f>
        <v>None</v>
      </c>
      <c r="H73" s="26" t="str">
        <f>IFERROR(__xludf.DUMMYFUNCTION("""COMPUTED_VALUE"""),"Other")</f>
        <v>Other</v>
      </c>
      <c r="I73" s="27" t="str">
        <f>IFERROR(__xludf.DUMMYFUNCTION("""COMPUTED_VALUE"""),"M")</f>
        <v>M</v>
      </c>
      <c r="J73" s="27" t="str">
        <f>IFERROR(__xludf.DUMMYFUNCTION("""COMPUTED_VALUE"""),"H")</f>
        <v>H</v>
      </c>
      <c r="K73" s="27">
        <f>IFERROR(__xludf.DUMMYFUNCTION("""COMPUTED_VALUE"""),29.0)</f>
        <v>29</v>
      </c>
      <c r="L73" s="27" t="str">
        <f>IFERROR(__xludf.DUMMYFUNCTION("""COMPUTED_VALUE"""),"None")</f>
        <v>None</v>
      </c>
      <c r="M73" s="27" t="str">
        <f>IFERROR(__xludf.DUMMYFUNCTION("""COMPUTED_VALUE"""),"Y")</f>
        <v>Y</v>
      </c>
      <c r="N73" s="24" t="str">
        <f>IFERROR(__xludf.DUMMYFUNCTION("""COMPUTED_VALUE"""),"Other")</f>
        <v>Other</v>
      </c>
      <c r="O73" s="24">
        <f>IFERROR(__xludf.DUMMYFUNCTION("""COMPUTED_VALUE"""),1.0)</f>
        <v>1</v>
      </c>
      <c r="P73" s="28" t="str">
        <f>IFERROR(__xludf.DUMMYFUNCTION("""COMPUTED_VALUE"""),"While patrolling, an HPD officer observed an individual standing in a parking lot holding a handgun and pointing it at individuals. Officer Solis exited his patrol vehicle, drew his duty weapon, and pointed it at the suspect while giving verbal commands. "&amp;"The suspect ignored the officer, quickly turned and pointed the handgun at him. The officer, in fear for his safety and those around him, shot at the suspect but missed. The suspect dropped his handgun and surrendered. There were no injuries. ")</f>
        <v>While patrolling, an HPD officer observed an individual standing in a parking lot holding a handgun and pointing it at individuals. Officer Solis exited his patrol vehicle, drew his duty weapon, and pointed it at the suspect while giving verbal commands. The suspect ignored the officer, quickly turned and pointed the handgun at him. The officer, in fear for his safety and those around him, shot at the suspect but missed. The suspect dropped his handgun and surrendered. There were no injuries. </v>
      </c>
      <c r="Q73" s="24"/>
      <c r="R73" s="24"/>
      <c r="S73" s="24"/>
      <c r="T73" s="24"/>
      <c r="U73" s="24"/>
      <c r="V73" s="24"/>
      <c r="W73" s="24"/>
      <c r="X73" s="24"/>
      <c r="Y73" s="24"/>
      <c r="Z73" s="24"/>
    </row>
    <row r="74" hidden="1">
      <c r="A74" s="29">
        <f>IFERROR(__xludf.DUMMYFUNCTION("""COMPUTED_VALUE"""),43351.0)</f>
        <v>43351</v>
      </c>
      <c r="B74" s="24">
        <f>IFERROR(__xludf.DUMMYFUNCTION("""COMPUTED_VALUE"""),1.14287818E8)</f>
        <v>114287818</v>
      </c>
      <c r="C74" s="24" t="str">
        <f>IFERROR(__xludf.DUMMYFUNCTION("""COMPUTED_VALUE"""),"16500 Tiffany Court")</f>
        <v>16500 Tiffany Court</v>
      </c>
      <c r="D74" s="26" t="str">
        <f>IFERROR(__xludf.DUMMYFUNCTION("""COMPUTED_VALUE"""),"M")</f>
        <v>M</v>
      </c>
      <c r="E74" s="26" t="str">
        <f>IFERROR(__xludf.DUMMYFUNCTION("""COMPUTED_VALUE"""),"B")</f>
        <v>B</v>
      </c>
      <c r="F74" s="26">
        <f>IFERROR(__xludf.DUMMYFUNCTION("""COMPUTED_VALUE"""),43.0)</f>
        <v>43</v>
      </c>
      <c r="G74" s="26" t="str">
        <f>IFERROR(__xludf.DUMMYFUNCTION("""COMPUTED_VALUE"""),"Killed")</f>
        <v>Killed</v>
      </c>
      <c r="H74" s="26" t="str">
        <f>IFERROR(__xludf.DUMMYFUNCTION("""COMPUTED_VALUE"""),"Firearm")</f>
        <v>Firearm</v>
      </c>
      <c r="I74" s="27" t="str">
        <f>IFERROR(__xludf.DUMMYFUNCTION("""COMPUTED_VALUE"""),"M")</f>
        <v>M</v>
      </c>
      <c r="J74" s="27" t="str">
        <f>IFERROR(__xludf.DUMMYFUNCTION("""COMPUTED_VALUE"""),"W")</f>
        <v>W</v>
      </c>
      <c r="K74" s="27">
        <f>IFERROR(__xludf.DUMMYFUNCTION("""COMPUTED_VALUE"""),50.0)</f>
        <v>50</v>
      </c>
      <c r="L74" s="27" t="str">
        <f>IFERROR(__xludf.DUMMYFUNCTION("""COMPUTED_VALUE"""),"None")</f>
        <v>None</v>
      </c>
      <c r="M74" s="27" t="str">
        <f>IFERROR(__xludf.DUMMYFUNCTION("""COMPUTED_VALUE"""),"Y")</f>
        <v>Y</v>
      </c>
      <c r="N74" s="24" t="str">
        <f>IFERROR(__xludf.DUMMYFUNCTION("""COMPUTED_VALUE"""),"Emergency Call")</f>
        <v>Emergency Call</v>
      </c>
      <c r="O74" s="24">
        <f>IFERROR(__xludf.DUMMYFUNCTION("""COMPUTED_VALUE"""),1.0)</f>
        <v>1</v>
      </c>
      <c r="P74" s="24" t="str">
        <f>IFERROR(__xludf.DUMMYFUNCTION("""COMPUTED_VALUE"""),"Officers were dispatched to a suspicious person with a weapon call. Upon arrival at the scene, the officers learned where the gunshots were coming from, approached, and heard the suspect yelling at the officers. The officers requested the suspect to come "&amp;"outside and talk to them, but he refused, discharged his firearm, and barricaded himself in the apartment. The suspect came out through the back door shooting at the officers causing one officer to return fire. ")</f>
        <v>Officers were dispatched to a suspicious person with a weapon call. Upon arrival at the scene, the officers learned where the gunshots were coming from, approached, and heard the suspect yelling at the officers. The officers requested the suspect to come outside and talk to them, but he refused, discharged his firearm, and barricaded himself in the apartment. The suspect came out through the back door shooting at the officers causing one officer to return fire. </v>
      </c>
      <c r="Q74" s="24"/>
      <c r="R74" s="24"/>
      <c r="S74" s="24"/>
      <c r="T74" s="24"/>
      <c r="U74" s="24"/>
      <c r="V74" s="24"/>
      <c r="W74" s="24"/>
      <c r="X74" s="24"/>
      <c r="Y74" s="24"/>
      <c r="Z74" s="24"/>
    </row>
    <row r="75">
      <c r="A75" s="29">
        <f>IFERROR(__xludf.DUMMYFUNCTION("""COMPUTED_VALUE"""),43307.0)</f>
        <v>43307</v>
      </c>
      <c r="B75" s="24">
        <f>IFERROR(__xludf.DUMMYFUNCTION("""COMPUTED_VALUE"""),9.5218318E7)</f>
        <v>95218318</v>
      </c>
      <c r="C75" s="24" t="str">
        <f>IFERROR(__xludf.DUMMYFUNCTION("""COMPUTED_VALUE"""),"4600 Tidwell")</f>
        <v>4600 Tidwell</v>
      </c>
      <c r="D75" s="26" t="str">
        <f>IFERROR(__xludf.DUMMYFUNCTION("""COMPUTED_VALUE"""),"M")</f>
        <v>M</v>
      </c>
      <c r="E75" s="26" t="str">
        <f>IFERROR(__xludf.DUMMYFUNCTION("""COMPUTED_VALUE"""),"B")</f>
        <v>B</v>
      </c>
      <c r="F75" s="26">
        <f>IFERROR(__xludf.DUMMYFUNCTION("""COMPUTED_VALUE"""),17.0)</f>
        <v>17</v>
      </c>
      <c r="G75" s="26" t="str">
        <f>IFERROR(__xludf.DUMMYFUNCTION("""COMPUTED_VALUE"""),"None")</f>
        <v>None</v>
      </c>
      <c r="H75" s="26" t="str">
        <f>IFERROR(__xludf.DUMMYFUNCTION("""COMPUTED_VALUE"""),"Firearm")</f>
        <v>Firearm</v>
      </c>
      <c r="I75" s="27" t="str">
        <f>IFERROR(__xludf.DUMMYFUNCTION("""COMPUTED_VALUE"""),"M")</f>
        <v>M</v>
      </c>
      <c r="J75" s="27" t="str">
        <f>IFERROR(__xludf.DUMMYFUNCTION("""COMPUTED_VALUE"""),"H")</f>
        <v>H</v>
      </c>
      <c r="K75" s="27">
        <f>IFERROR(__xludf.DUMMYFUNCTION("""COMPUTED_VALUE"""),29.0)</f>
        <v>29</v>
      </c>
      <c r="L75" s="27" t="str">
        <f>IFERROR(__xludf.DUMMYFUNCTION("""COMPUTED_VALUE"""),"None")</f>
        <v>None</v>
      </c>
      <c r="M75" s="27" t="str">
        <f>IFERROR(__xludf.DUMMYFUNCTION("""COMPUTED_VALUE"""),"Y")</f>
        <v>Y</v>
      </c>
      <c r="N75" s="24" t="str">
        <f>IFERROR(__xludf.DUMMYFUNCTION("""COMPUTED_VALUE"""),"Other")</f>
        <v>Other</v>
      </c>
      <c r="O75" s="24"/>
      <c r="P75" s="28" t="str">
        <f>IFERROR(__xludf.DUMMYFUNCTION("""COMPUTED_VALUE"""),"Officers were patrolling the area when they spotted two masked suspects entering a Family Dollar store. The officers believed this to be a possible robbery in progress so they set up a perimeter outside the front of the store. The two suspects entered the"&amp;" store and attempted to rob the store’s cashiers at gun point. One of the suspects exited the front door of the store charging towards one of the officers who, in fear for his life and for the life of his partner, fired his duty weapon twice at the suspec"&amp;"t, striking the suspect’s left leg. The second suspect was found hiding behind the store, a firearm that was found near the hiding suspect was also recovered. ")</f>
        <v>Officers were patrolling the area when they spotted two masked suspects entering a Family Dollar store. The officers believed this to be a possible robbery in progress so they set up a perimeter outside the front of the store. The two suspects entered the store and attempted to rob the store’s cashiers at gun point. One of the suspects exited the front door of the store charging towards one of the officers who, in fear for his life and for the life of his partner, fired his duty weapon twice at the suspect, striking the suspect’s left leg. The second suspect was found hiding behind the store, a firearm that was found near the hiding suspect was also recovered. </v>
      </c>
      <c r="Q75" s="24"/>
      <c r="R75" s="24"/>
      <c r="S75" s="24"/>
      <c r="T75" s="24"/>
      <c r="U75" s="24"/>
      <c r="V75" s="24"/>
      <c r="W75" s="24"/>
      <c r="X75" s="24"/>
      <c r="Y75" s="24"/>
      <c r="Z75" s="24"/>
    </row>
    <row r="76" hidden="1">
      <c r="A76" s="29"/>
      <c r="B76" s="24"/>
      <c r="C76" s="24"/>
      <c r="D76" s="26" t="str">
        <f>IFERROR(__xludf.DUMMYFUNCTION("""COMPUTED_VALUE"""),"M")</f>
        <v>M</v>
      </c>
      <c r="E76" s="26" t="str">
        <f>IFERROR(__xludf.DUMMYFUNCTION("""COMPUTED_VALUE"""),"B")</f>
        <v>B</v>
      </c>
      <c r="F76" s="26">
        <f>IFERROR(__xludf.DUMMYFUNCTION("""COMPUTED_VALUE"""),19.0)</f>
        <v>19</v>
      </c>
      <c r="G76" s="26" t="str">
        <f>IFERROR(__xludf.DUMMYFUNCTION("""COMPUTED_VALUE"""),"Wounded")</f>
        <v>Wounded</v>
      </c>
      <c r="H76" s="26" t="str">
        <f>IFERROR(__xludf.DUMMYFUNCTION("""COMPUTED_VALUE"""),"Firearm")</f>
        <v>Firearm</v>
      </c>
      <c r="I76" s="27" t="str">
        <f>IFERROR(__xludf.DUMMYFUNCTION("""COMPUTED_VALUE"""),"M")</f>
        <v>M</v>
      </c>
      <c r="J76" s="27" t="str">
        <f>IFERROR(__xludf.DUMMYFUNCTION("""COMPUTED_VALUE"""),"H")</f>
        <v>H</v>
      </c>
      <c r="K76" s="27">
        <f>IFERROR(__xludf.DUMMYFUNCTION("""COMPUTED_VALUE"""),29.0)</f>
        <v>29</v>
      </c>
      <c r="L76" s="27" t="str">
        <f>IFERROR(__xludf.DUMMYFUNCTION("""COMPUTED_VALUE"""),"None")</f>
        <v>None</v>
      </c>
      <c r="M76" s="27" t="str">
        <f>IFERROR(__xludf.DUMMYFUNCTION("""COMPUTED_VALUE"""),"Y")</f>
        <v>Y</v>
      </c>
      <c r="N76" s="24" t="str">
        <f>IFERROR(__xludf.DUMMYFUNCTION("""COMPUTED_VALUE"""),"Other")</f>
        <v>Other</v>
      </c>
      <c r="O76" s="24"/>
      <c r="P76" s="28"/>
      <c r="Q76" s="24"/>
      <c r="R76" s="24"/>
      <c r="S76" s="24"/>
      <c r="T76" s="24"/>
      <c r="U76" s="24"/>
      <c r="V76" s="24"/>
      <c r="W76" s="24"/>
      <c r="X76" s="24"/>
      <c r="Y76" s="24"/>
      <c r="Z76" s="24"/>
    </row>
    <row r="77">
      <c r="A77" s="29">
        <f>IFERROR(__xludf.DUMMYFUNCTION("""COMPUTED_VALUE"""),43304.0)</f>
        <v>43304</v>
      </c>
      <c r="B77" s="24">
        <f>IFERROR(__xludf.DUMMYFUNCTION("""COMPUTED_VALUE"""),9.3701118E7)</f>
        <v>93701118</v>
      </c>
      <c r="C77" s="24" t="str">
        <f>IFERROR(__xludf.DUMMYFUNCTION("""COMPUTED_VALUE"""),"7800 W BELLFORT AVE")</f>
        <v>7800 W BELLFORT AVE</v>
      </c>
      <c r="D77" s="26" t="str">
        <f>IFERROR(__xludf.DUMMYFUNCTION("""COMPUTED_VALUE"""),"M")</f>
        <v>M</v>
      </c>
      <c r="E77" s="26" t="str">
        <f>IFERROR(__xludf.DUMMYFUNCTION("""COMPUTED_VALUE"""),"H")</f>
        <v>H</v>
      </c>
      <c r="F77" s="26">
        <f>IFERROR(__xludf.DUMMYFUNCTION("""COMPUTED_VALUE"""),16.0)</f>
        <v>16</v>
      </c>
      <c r="G77" s="26" t="str">
        <f>IFERROR(__xludf.DUMMYFUNCTION("""COMPUTED_VALUE"""),"None")</f>
        <v>None</v>
      </c>
      <c r="H77" s="26" t="str">
        <f>IFERROR(__xludf.DUMMYFUNCTION("""COMPUTED_VALUE"""),"Other")</f>
        <v>Other</v>
      </c>
      <c r="I77" s="27" t="str">
        <f>IFERROR(__xludf.DUMMYFUNCTION("""COMPUTED_VALUE"""),"M")</f>
        <v>M</v>
      </c>
      <c r="J77" s="27" t="str">
        <f>IFERROR(__xludf.DUMMYFUNCTION("""COMPUTED_VALUE"""),"W")</f>
        <v>W</v>
      </c>
      <c r="K77" s="27">
        <f>IFERROR(__xludf.DUMMYFUNCTION("""COMPUTED_VALUE"""),30.0)</f>
        <v>30</v>
      </c>
      <c r="L77" s="27" t="str">
        <f>IFERROR(__xludf.DUMMYFUNCTION("""COMPUTED_VALUE"""),"None")</f>
        <v>None</v>
      </c>
      <c r="M77" s="27" t="str">
        <f>IFERROR(__xludf.DUMMYFUNCTION("""COMPUTED_VALUE"""),"Y")</f>
        <v>Y</v>
      </c>
      <c r="N77" s="24" t="str">
        <f>IFERROR(__xludf.DUMMYFUNCTION("""COMPUTED_VALUE"""),"Other")</f>
        <v>Other</v>
      </c>
      <c r="O77" s="24"/>
      <c r="P77" s="28" t="str">
        <f>IFERROR(__xludf.DUMMYFUNCTION("""COMPUTED_VALUE"""),"An HPD officer was assisting in an investigation, regarding a vehicle that was stolen during an Aggravated-Robbery. The officer approached the driver of the vehicle at which point the driver sped towards the direction of the officer. The officer, in fear "&amp;"of his life, fired his duty weapon once at the suspect, striking the front windshield. The suspect fled the location in the vehicle but crashed, striking a tree at a near-by residence. The suspect fled on foot but was arrested and charged for unauthorized"&amp;" use of a motor vehicle. ")</f>
        <v>An HPD officer was assisting in an investigation, regarding a vehicle that was stolen during an Aggravated-Robbery. The officer approached the driver of the vehicle at which point the driver sped towards the direction of the officer. The officer, in fear of his life, fired his duty weapon once at the suspect, striking the front windshield. The suspect fled the location in the vehicle but crashed, striking a tree at a near-by residence. The suspect fled on foot but was arrested and charged for unauthorized use of a motor vehicle. </v>
      </c>
      <c r="Q77" s="24"/>
      <c r="R77" s="24"/>
      <c r="S77" s="24"/>
      <c r="T77" s="24"/>
      <c r="U77" s="24"/>
      <c r="V77" s="24"/>
      <c r="W77" s="24"/>
      <c r="X77" s="24"/>
      <c r="Y77" s="24"/>
      <c r="Z77" s="24"/>
    </row>
    <row r="78" hidden="1">
      <c r="A78" s="29">
        <f>IFERROR(__xludf.DUMMYFUNCTION("""COMPUTED_VALUE"""),43296.0)</f>
        <v>43296</v>
      </c>
      <c r="B78" s="24">
        <f>IFERROR(__xludf.DUMMYFUNCTION("""COMPUTED_VALUE"""),9.0024918E7)</f>
        <v>90024918</v>
      </c>
      <c r="C78" s="24" t="str">
        <f>IFERROR(__xludf.DUMMYFUNCTION("""COMPUTED_VALUE"""),"8600 Helmers St")</f>
        <v>8600 Helmers St</v>
      </c>
      <c r="D78" s="26" t="str">
        <f>IFERROR(__xludf.DUMMYFUNCTION("""COMPUTED_VALUE"""),"M")</f>
        <v>M</v>
      </c>
      <c r="E78" s="26" t="str">
        <f>IFERROR(__xludf.DUMMYFUNCTION("""COMPUTED_VALUE"""),"H")</f>
        <v>H</v>
      </c>
      <c r="F78" s="26">
        <f>IFERROR(__xludf.DUMMYFUNCTION("""COMPUTED_VALUE"""),18.0)</f>
        <v>18</v>
      </c>
      <c r="G78" s="26" t="str">
        <f>IFERROR(__xludf.DUMMYFUNCTION("""COMPUTED_VALUE"""),"Wounded")</f>
        <v>Wounded</v>
      </c>
      <c r="H78" s="26" t="str">
        <f>IFERROR(__xludf.DUMMYFUNCTION("""COMPUTED_VALUE"""),"Firearm")</f>
        <v>Firearm</v>
      </c>
      <c r="I78" s="27" t="str">
        <f>IFERROR(__xludf.DUMMYFUNCTION("""COMPUTED_VALUE"""),"M")</f>
        <v>M</v>
      </c>
      <c r="J78" s="27" t="str">
        <f>IFERROR(__xludf.DUMMYFUNCTION("""COMPUTED_VALUE"""),"W")</f>
        <v>W</v>
      </c>
      <c r="K78" s="27">
        <f>IFERROR(__xludf.DUMMYFUNCTION("""COMPUTED_VALUE"""),29.0)</f>
        <v>29</v>
      </c>
      <c r="L78" s="27" t="str">
        <f>IFERROR(__xludf.DUMMYFUNCTION("""COMPUTED_VALUE"""),"None")</f>
        <v>None</v>
      </c>
      <c r="M78" s="27" t="str">
        <f>IFERROR(__xludf.DUMMYFUNCTION("""COMPUTED_VALUE"""),"Y")</f>
        <v>Y</v>
      </c>
      <c r="N78" s="24" t="str">
        <f>IFERROR(__xludf.DUMMYFUNCTION("""COMPUTED_VALUE"""),"Emergency Call")</f>
        <v>Emergency Call</v>
      </c>
      <c r="O78" s="24"/>
      <c r="P78" s="28" t="str">
        <f>IFERROR(__xludf.DUMMYFUNCTION("""COMPUTED_VALUE"""),"The officer responded to a call regarding an aggravated robbery. The officer was informsed that the suspect was armed with a firearm and was given a description of the suspect. The officers searched for and located the suspect and when they confronted him"&amp;" the suspect pulled out a handgun causing the officer to shoot him. ")</f>
        <v>The officer responded to a call regarding an aggravated robbery. The officer was informsed that the suspect was armed with a firearm and was given a description of the suspect. The officers searched for and located the suspect and when they confronted him the suspect pulled out a handgun causing the officer to shoot him. </v>
      </c>
      <c r="Q78" s="24"/>
      <c r="R78" s="24"/>
      <c r="S78" s="24"/>
      <c r="T78" s="24"/>
      <c r="U78" s="24"/>
      <c r="V78" s="24"/>
      <c r="W78" s="24"/>
      <c r="X78" s="24"/>
      <c r="Y78" s="24"/>
      <c r="Z78" s="24"/>
    </row>
    <row r="79">
      <c r="A79" s="29">
        <f>IFERROR(__xludf.DUMMYFUNCTION("""COMPUTED_VALUE"""),43273.0)</f>
        <v>43273</v>
      </c>
      <c r="B79" s="24">
        <f>IFERROR(__xludf.DUMMYFUNCTION("""COMPUTED_VALUE"""),7.9427318E7)</f>
        <v>79427318</v>
      </c>
      <c r="C79" s="24" t="str">
        <f>IFERROR(__xludf.DUMMYFUNCTION("""COMPUTED_VALUE"""),"3434 Tidwell Rd")</f>
        <v>3434 Tidwell Rd</v>
      </c>
      <c r="D79" s="26" t="str">
        <f>IFERROR(__xludf.DUMMYFUNCTION("""COMPUTED_VALUE"""),"M")</f>
        <v>M</v>
      </c>
      <c r="E79" s="26" t="str">
        <f>IFERROR(__xludf.DUMMYFUNCTION("""COMPUTED_VALUE"""),"H")</f>
        <v>H</v>
      </c>
      <c r="F79" s="26">
        <f>IFERROR(__xludf.DUMMYFUNCTION("""COMPUTED_VALUE"""),33.0)</f>
        <v>33</v>
      </c>
      <c r="G79" s="26" t="str">
        <f>IFERROR(__xludf.DUMMYFUNCTION("""COMPUTED_VALUE"""),"None")</f>
        <v>None</v>
      </c>
      <c r="H79" s="26" t="str">
        <f>IFERROR(__xludf.DUMMYFUNCTION("""COMPUTED_VALUE"""),"Firearm")</f>
        <v>Firearm</v>
      </c>
      <c r="I79" s="27" t="str">
        <f>IFERROR(__xludf.DUMMYFUNCTION("""COMPUTED_VALUE"""),"M")</f>
        <v>M</v>
      </c>
      <c r="J79" s="27" t="str">
        <f>IFERROR(__xludf.DUMMYFUNCTION("""COMPUTED_VALUE"""),"B")</f>
        <v>B</v>
      </c>
      <c r="K79" s="27">
        <f>IFERROR(__xludf.DUMMYFUNCTION("""COMPUTED_VALUE"""),44.0)</f>
        <v>44</v>
      </c>
      <c r="L79" s="27" t="str">
        <f>IFERROR(__xludf.DUMMYFUNCTION("""COMPUTED_VALUE"""),"None")</f>
        <v>None</v>
      </c>
      <c r="M79" s="27" t="str">
        <f>IFERROR(__xludf.DUMMYFUNCTION("""COMPUTED_VALUE"""),"N")</f>
        <v>N</v>
      </c>
      <c r="N79" s="24" t="str">
        <f>IFERROR(__xludf.DUMMYFUNCTION("""COMPUTED_VALUE"""),"Emergency Call")</f>
        <v>Emergency Call</v>
      </c>
      <c r="O79" s="24">
        <f>IFERROR(__xludf.DUMMYFUNCTION("""COMPUTED_VALUE"""),1.0)</f>
        <v>1</v>
      </c>
      <c r="P79" s="28" t="str">
        <f>IFERROR(__xludf.DUMMYFUNCTION("""COMPUTED_VALUE"""),"Officer was at a Wells Fargo bank when he spotted a masked suspect attempting to steal a woman's purse from her hands. The officer ordered him to stop at which point the suspect reached for a weapon as he jumped into a waiting vehicle. The officer then sa"&amp;"w the suspect look back as if he was going to shoot at the officer so the officer discharged his firearm. ")</f>
        <v>Officer was at a Wells Fargo bank when he spotted a masked suspect attempting to steal a woman's purse from her hands. The officer ordered him to stop at which point the suspect reached for a weapon as he jumped into a waiting vehicle. The officer then saw the suspect look back as if he was going to shoot at the officer so the officer discharged his firearm. </v>
      </c>
      <c r="Q79" s="24"/>
      <c r="R79" s="24"/>
      <c r="S79" s="24"/>
      <c r="T79" s="24"/>
      <c r="U79" s="24"/>
      <c r="V79" s="24"/>
      <c r="W79" s="24"/>
      <c r="X79" s="24"/>
      <c r="Y79" s="24"/>
      <c r="Z79" s="24"/>
    </row>
    <row r="80">
      <c r="A80" s="29">
        <f>IFERROR(__xludf.DUMMYFUNCTION("""COMPUTED_VALUE"""),43269.0)</f>
        <v>43269</v>
      </c>
      <c r="B80" s="24">
        <f>IFERROR(__xludf.DUMMYFUNCTION("""COMPUTED_VALUE"""),7.7476418E7)</f>
        <v>77476418</v>
      </c>
      <c r="C80" s="24" t="str">
        <f>IFERROR(__xludf.DUMMYFUNCTION("""COMPUTED_VALUE"""),"10800 Sabo Rd")</f>
        <v>10800 Sabo Rd</v>
      </c>
      <c r="D80" s="26" t="str">
        <f>IFERROR(__xludf.DUMMYFUNCTION("""COMPUTED_VALUE"""),"M")</f>
        <v>M</v>
      </c>
      <c r="E80" s="26" t="str">
        <f>IFERROR(__xludf.DUMMYFUNCTION("""COMPUTED_VALUE"""),"H")</f>
        <v>H</v>
      </c>
      <c r="F80" s="26">
        <f>IFERROR(__xludf.DUMMYFUNCTION("""COMPUTED_VALUE"""),37.0)</f>
        <v>37</v>
      </c>
      <c r="G80" s="26" t="str">
        <f>IFERROR(__xludf.DUMMYFUNCTION("""COMPUTED_VALUE"""),"None")</f>
        <v>None</v>
      </c>
      <c r="H80" s="26" t="str">
        <f>IFERROR(__xludf.DUMMYFUNCTION("""COMPUTED_VALUE"""),"Other")</f>
        <v>Other</v>
      </c>
      <c r="I80" s="27" t="str">
        <f>IFERROR(__xludf.DUMMYFUNCTION("""COMPUTED_VALUE"""),"M")</f>
        <v>M</v>
      </c>
      <c r="J80" s="27" t="str">
        <f>IFERROR(__xludf.DUMMYFUNCTION("""COMPUTED_VALUE"""),"W")</f>
        <v>W</v>
      </c>
      <c r="K80" s="27">
        <f>IFERROR(__xludf.DUMMYFUNCTION("""COMPUTED_VALUE"""),56.0)</f>
        <v>56</v>
      </c>
      <c r="L80" s="27" t="str">
        <f>IFERROR(__xludf.DUMMYFUNCTION("""COMPUTED_VALUE"""),"None")</f>
        <v>None</v>
      </c>
      <c r="M80" s="27" t="str">
        <f>IFERROR(__xludf.DUMMYFUNCTION("""COMPUTED_VALUE"""),"Y")</f>
        <v>Y</v>
      </c>
      <c r="N80" s="24" t="str">
        <f>IFERROR(__xludf.DUMMYFUNCTION("""COMPUTED_VALUE"""),"Emergency Call")</f>
        <v>Emergency Call</v>
      </c>
      <c r="O80" s="24">
        <f>IFERROR(__xludf.DUMMYFUNCTION("""COMPUTED_VALUE"""),1.0)</f>
        <v>1</v>
      </c>
      <c r="P80" s="28" t="str">
        <f>IFERROR(__xludf.DUMMYFUNCTION("""COMPUTED_VALUE"""),"Officers were dispatched to a call regarding a citizen folloing a vehicle that was reported stolen. The officer located the vehicle at a loacal gas station and attempted to keep the vehicle in the parking lot by blocking it in. The suspect then began to d"&amp;"rive at the officer causing the officer to discharge his weapon several times. ")</f>
        <v>Officers were dispatched to a call regarding a citizen folloing a vehicle that was reported stolen. The officer located the vehicle at a loacal gas station and attempted to keep the vehicle in the parking lot by blocking it in. The suspect then began to drive at the officer causing the officer to discharge his weapon several times. </v>
      </c>
      <c r="Q80" s="24"/>
      <c r="R80" s="24"/>
      <c r="S80" s="24"/>
      <c r="T80" s="24"/>
      <c r="U80" s="24"/>
      <c r="V80" s="24"/>
      <c r="W80" s="24"/>
      <c r="X80" s="24"/>
      <c r="Y80" s="24"/>
      <c r="Z80" s="24"/>
    </row>
    <row r="81">
      <c r="A81" s="29">
        <f>IFERROR(__xludf.DUMMYFUNCTION("""COMPUTED_VALUE"""),43256.0)</f>
        <v>43256</v>
      </c>
      <c r="B81" s="24">
        <f>IFERROR(__xludf.DUMMYFUNCTION("""COMPUTED_VALUE"""),7.1389218E7)</f>
        <v>71389218</v>
      </c>
      <c r="C81" s="24" t="str">
        <f>IFERROR(__xludf.DUMMYFUNCTION("""COMPUTED_VALUE"""),"10898 Beechnut Street")</f>
        <v>10898 Beechnut Street</v>
      </c>
      <c r="D81" s="26" t="str">
        <f>IFERROR(__xludf.DUMMYFUNCTION("""COMPUTED_VALUE"""),"M")</f>
        <v>M</v>
      </c>
      <c r="E81" s="26" t="str">
        <f>IFERROR(__xludf.DUMMYFUNCTION("""COMPUTED_VALUE"""),"U")</f>
        <v>U</v>
      </c>
      <c r="F81" s="26"/>
      <c r="G81" s="26" t="str">
        <f>IFERROR(__xludf.DUMMYFUNCTION("""COMPUTED_VALUE"""),"None")</f>
        <v>None</v>
      </c>
      <c r="H81" s="26" t="str">
        <f>IFERROR(__xludf.DUMMYFUNCTION("""COMPUTED_VALUE"""),"Firearm")</f>
        <v>Firearm</v>
      </c>
      <c r="I81" s="27" t="str">
        <f>IFERROR(__xludf.DUMMYFUNCTION("""COMPUTED_VALUE"""),"M")</f>
        <v>M</v>
      </c>
      <c r="J81" s="27" t="str">
        <f>IFERROR(__xludf.DUMMYFUNCTION("""COMPUTED_VALUE"""),"W")</f>
        <v>W</v>
      </c>
      <c r="K81" s="27">
        <f>IFERROR(__xludf.DUMMYFUNCTION("""COMPUTED_VALUE"""),34.0)</f>
        <v>34</v>
      </c>
      <c r="L81" s="27" t="str">
        <f>IFERROR(__xludf.DUMMYFUNCTION("""COMPUTED_VALUE"""),"None")</f>
        <v>None</v>
      </c>
      <c r="M81" s="27" t="str">
        <f>IFERROR(__xludf.DUMMYFUNCTION("""COMPUTED_VALUE"""),"Y")</f>
        <v>Y</v>
      </c>
      <c r="N81" s="24" t="str">
        <f>IFERROR(__xludf.DUMMYFUNCTION("""COMPUTED_VALUE"""),"Other")</f>
        <v>Other</v>
      </c>
      <c r="O81" s="24">
        <f>IFERROR(__xludf.DUMMYFUNCTION("""COMPUTED_VALUE"""),1.0)</f>
        <v>1</v>
      </c>
      <c r="P81" s="28" t="str">
        <f>IFERROR(__xludf.DUMMYFUNCTION("""COMPUTED_VALUE"""),"An officer was rendering aid to a person down at a Walgreens. The officer heard several gunshots across the street and went to investigate. The officer located the suspect and ordered him to stop. The suspect then turned around quickly and began to raise "&amp;"his weapon toward the officer. Consequently, the officer drew his duty weapon and discharged it one time at the suspect. The suspect showed no indication of being struck and fled northbound from the location on foot. The suspect was not located. ")</f>
        <v>An officer was rendering aid to a person down at a Walgreens. The officer heard several gunshots across the street and went to investigate. The officer located the suspect and ordered him to stop. The suspect then turned around quickly and began to raise his weapon toward the officer. Consequently, the officer drew his duty weapon and discharged it one time at the suspect. The suspect showed no indication of being struck and fled northbound from the location on foot. The suspect was not located. </v>
      </c>
      <c r="Q81" s="24"/>
      <c r="R81" s="24"/>
      <c r="S81" s="24"/>
      <c r="T81" s="24"/>
      <c r="U81" s="24"/>
      <c r="V81" s="24"/>
      <c r="W81" s="24"/>
      <c r="X81" s="24"/>
      <c r="Y81" s="24"/>
      <c r="Z81" s="24"/>
    </row>
    <row r="82" hidden="1">
      <c r="A82" s="29">
        <f>IFERROR(__xludf.DUMMYFUNCTION("""COMPUTED_VALUE"""),43246.0)</f>
        <v>43246</v>
      </c>
      <c r="B82" s="24">
        <f>IFERROR(__xludf.DUMMYFUNCTION("""COMPUTED_VALUE"""),6.6457618E7)</f>
        <v>66457618</v>
      </c>
      <c r="C82" s="24" t="str">
        <f>IFERROR(__xludf.DUMMYFUNCTION("""COMPUTED_VALUE"""),"9421 Cullen Blvd")</f>
        <v>9421 Cullen Blvd</v>
      </c>
      <c r="D82" s="26" t="str">
        <f>IFERROR(__xludf.DUMMYFUNCTION("""COMPUTED_VALUE"""),"M")</f>
        <v>M</v>
      </c>
      <c r="E82" s="26" t="str">
        <f>IFERROR(__xludf.DUMMYFUNCTION("""COMPUTED_VALUE"""),"B")</f>
        <v>B</v>
      </c>
      <c r="F82" s="26">
        <f>IFERROR(__xludf.DUMMYFUNCTION("""COMPUTED_VALUE"""),6.0)</f>
        <v>6</v>
      </c>
      <c r="G82" s="26" t="str">
        <f>IFERROR(__xludf.DUMMYFUNCTION("""COMPUTED_VALUE"""),"Wounded")</f>
        <v>Wounded</v>
      </c>
      <c r="H82" s="26" t="str">
        <f>IFERROR(__xludf.DUMMYFUNCTION("""COMPUTED_VALUE"""),"ther")</f>
        <v>ther</v>
      </c>
      <c r="I82" s="27" t="str">
        <f>IFERROR(__xludf.DUMMYFUNCTION("""COMPUTED_VALUE"""),"M")</f>
        <v>M</v>
      </c>
      <c r="J82" s="27" t="str">
        <f>IFERROR(__xludf.DUMMYFUNCTION("""COMPUTED_VALUE"""),"B")</f>
        <v>B</v>
      </c>
      <c r="K82" s="27">
        <f>IFERROR(__xludf.DUMMYFUNCTION("""COMPUTED_VALUE"""),5.0)</f>
        <v>5</v>
      </c>
      <c r="L82" s="27" t="str">
        <f>IFERROR(__xludf.DUMMYFUNCTION("""COMPUTED_VALUE"""),"None")</f>
        <v>None</v>
      </c>
      <c r="M82" s="27" t="str">
        <f>IFERROR(__xludf.DUMMYFUNCTION("""COMPUTED_VALUE"""),"Y")</f>
        <v>Y</v>
      </c>
      <c r="N82" s="24" t="str">
        <f>IFERROR(__xludf.DUMMYFUNCTION("""COMPUTED_VALUE"""),"Other")</f>
        <v>Other</v>
      </c>
      <c r="O82" s="24"/>
      <c r="P82" s="28" t="str">
        <f>IFERROR(__xludf.DUMMYFUNCTION("""COMPUTED_VALUE"""),"Officers were in the course of conducting an investigation when a black vehicle backed up towards them at a high rate of speed. The vehicle struck a female who had been detained by the officers as well as the officer’s patrol vehicle. The vehicle then beg"&amp;"an driving off at a low rate of speed. One officer pursued the vehicle on foot through the parking lot while continuously telling the driver to stop. The driver refused all verbal commands and when it appeared to the officer that the driver was going to f"&amp;"lee the area and potentially pose a risk to others, he discharged his weapon several times striking the suspect. The suspect was transported to Ben Taub General Hospital. The suspect is expected to survive his injuries and will be charged with Failure to "&amp;"Stop and Render Aid. ")</f>
        <v>Officers were in the course of conducting an investigation when a black vehicle backed up towards them at a high rate of speed. The vehicle struck a female who had been detained by the officers as well as the officer’s patrol vehicle. The vehicle then began driving off at a low rate of speed. One officer pursued the vehicle on foot through the parking lot while continuously telling the driver to stop. The driver refused all verbal commands and when it appeared to the officer that the driver was going to flee the area and potentially pose a risk to others, he discharged his weapon several times striking the suspect. The suspect was transported to Ben Taub General Hospital. The suspect is expected to survive his injuries and will be charged with Failure to Stop and Render Aid. </v>
      </c>
      <c r="Q82" s="24"/>
      <c r="R82" s="24"/>
      <c r="S82" s="24"/>
      <c r="T82" s="24"/>
      <c r="U82" s="24"/>
      <c r="V82" s="24"/>
      <c r="W82" s="24"/>
      <c r="X82" s="24"/>
      <c r="Y82" s="24"/>
      <c r="Z82" s="24"/>
    </row>
    <row r="83" hidden="1">
      <c r="A83" s="29">
        <f>IFERROR(__xludf.DUMMYFUNCTION("""COMPUTED_VALUE"""),43147.0)</f>
        <v>43147</v>
      </c>
      <c r="B83" s="24">
        <f>IFERROR(__xludf.DUMMYFUNCTION("""COMPUTED_VALUE"""),2.0235418E7)</f>
        <v>20235418</v>
      </c>
      <c r="C83" s="24" t="str">
        <f>IFERROR(__xludf.DUMMYFUNCTION("""COMPUTED_VALUE"""),"16800 Imperial Valley")</f>
        <v>16800 Imperial Valley</v>
      </c>
      <c r="D83" s="26" t="str">
        <f>IFERROR(__xludf.DUMMYFUNCTION("""COMPUTED_VALUE"""),"M")</f>
        <v>M</v>
      </c>
      <c r="E83" s="26" t="str">
        <f>IFERROR(__xludf.DUMMYFUNCTION("""COMPUTED_VALUE"""),"B")</f>
        <v>B</v>
      </c>
      <c r="F83" s="26">
        <f>IFERROR(__xludf.DUMMYFUNCTION("""COMPUTED_VALUE"""),56.0)</f>
        <v>56</v>
      </c>
      <c r="G83" s="26" t="str">
        <f>IFERROR(__xludf.DUMMYFUNCTION("""COMPUTED_VALUE"""),"Wounded")</f>
        <v>Wounded</v>
      </c>
      <c r="H83" s="26" t="str">
        <f>IFERROR(__xludf.DUMMYFUNCTION("""COMPUTED_VALUE"""),"Firearm")</f>
        <v>Firearm</v>
      </c>
      <c r="I83" s="27" t="str">
        <f>IFERROR(__xludf.DUMMYFUNCTION("""COMPUTED_VALUE"""),"M")</f>
        <v>M</v>
      </c>
      <c r="J83" s="27" t="str">
        <f>IFERROR(__xludf.DUMMYFUNCTION("""COMPUTED_VALUE"""),"W")</f>
        <v>W</v>
      </c>
      <c r="K83" s="27">
        <f>IFERROR(__xludf.DUMMYFUNCTION("""COMPUTED_VALUE"""),53.0)</f>
        <v>53</v>
      </c>
      <c r="L83" s="27" t="str">
        <f>IFERROR(__xludf.DUMMYFUNCTION("""COMPUTED_VALUE"""),"None")</f>
        <v>None</v>
      </c>
      <c r="M83" s="27" t="str">
        <f>IFERROR(__xludf.DUMMYFUNCTION("""COMPUTED_VALUE"""),"Y")</f>
        <v>Y</v>
      </c>
      <c r="N83" s="24" t="str">
        <f>IFERROR(__xludf.DUMMYFUNCTION("""COMPUTED_VALUE"""),"Emergency Call")</f>
        <v>Emergency Call</v>
      </c>
      <c r="O83" s="24">
        <f>IFERROR(__xludf.DUMMYFUNCTION("""COMPUTED_VALUE"""),1.0)</f>
        <v>1</v>
      </c>
      <c r="P83" s="28" t="str">
        <f>IFERROR(__xludf.DUMMYFUNCTION("""COMPUTED_VALUE"""),"After refusing to obey officers’ commands to drop his firearm, the suspect turned towards officers and pointed it at them. In fear of their lives, HPD officers shot at the suspect injuring him. The suspect survived his injury.
")</f>
        <v>After refusing to obey officers’ commands to drop his firearm, the suspect turned towards officers and pointed it at them. In fear of their lives, HPD officers shot at the suspect injuring him. The suspect survived his injury.
</v>
      </c>
      <c r="Q83" s="24"/>
      <c r="R83" s="24"/>
      <c r="S83" s="24"/>
      <c r="T83" s="24"/>
      <c r="U83" s="24"/>
      <c r="V83" s="24"/>
      <c r="W83" s="24"/>
      <c r="X83" s="24"/>
      <c r="Y83" s="24"/>
      <c r="Z83" s="24"/>
    </row>
    <row r="84" hidden="1">
      <c r="A84" s="29"/>
      <c r="B84" s="24"/>
      <c r="C84" s="24"/>
      <c r="D84" s="26"/>
      <c r="E84" s="26"/>
      <c r="F84" s="26"/>
      <c r="G84" s="26"/>
      <c r="H84" s="26"/>
      <c r="I84" s="27" t="str">
        <f>IFERROR(__xludf.DUMMYFUNCTION("""COMPUTED_VALUE"""),"M")</f>
        <v>M</v>
      </c>
      <c r="J84" s="27" t="str">
        <f>IFERROR(__xludf.DUMMYFUNCTION("""COMPUTED_VALUE"""),"W")</f>
        <v>W</v>
      </c>
      <c r="K84" s="27">
        <f>IFERROR(__xludf.DUMMYFUNCTION("""COMPUTED_VALUE"""),53.0)</f>
        <v>53</v>
      </c>
      <c r="L84" s="27" t="str">
        <f>IFERROR(__xludf.DUMMYFUNCTION("""COMPUTED_VALUE"""),"None")</f>
        <v>None</v>
      </c>
      <c r="M84" s="27" t="str">
        <f>IFERROR(__xludf.DUMMYFUNCTION("""COMPUTED_VALUE"""),"Y")</f>
        <v>Y</v>
      </c>
      <c r="N84" s="24" t="str">
        <f>IFERROR(__xludf.DUMMYFUNCTION("""COMPUTED_VALUE"""),"Emergency Call")</f>
        <v>Emergency Call</v>
      </c>
      <c r="O84" s="24">
        <f>IFERROR(__xludf.DUMMYFUNCTION("""COMPUTED_VALUE"""),1.0)</f>
        <v>1</v>
      </c>
      <c r="P84" s="24"/>
      <c r="Q84" s="24"/>
      <c r="R84" s="24"/>
      <c r="S84" s="24"/>
      <c r="T84" s="24"/>
      <c r="U84" s="24"/>
      <c r="V84" s="24"/>
      <c r="W84" s="24"/>
      <c r="X84" s="24"/>
      <c r="Y84" s="24"/>
      <c r="Z84" s="24"/>
    </row>
    <row r="85" hidden="1">
      <c r="A85" s="29"/>
      <c r="B85" s="24"/>
      <c r="C85" s="24"/>
      <c r="D85" s="26"/>
      <c r="E85" s="26"/>
      <c r="F85" s="26"/>
      <c r="G85" s="26"/>
      <c r="H85" s="26"/>
      <c r="I85" s="27" t="str">
        <f>IFERROR(__xludf.DUMMYFUNCTION("""COMPUTED_VALUE"""),"M")</f>
        <v>M</v>
      </c>
      <c r="J85" s="27" t="str">
        <f>IFERROR(__xludf.DUMMYFUNCTION("""COMPUTED_VALUE"""),"W")</f>
        <v>W</v>
      </c>
      <c r="K85" s="27">
        <f>IFERROR(__xludf.DUMMYFUNCTION("""COMPUTED_VALUE"""),41.0)</f>
        <v>41</v>
      </c>
      <c r="L85" s="27" t="str">
        <f>IFERROR(__xludf.DUMMYFUNCTION("""COMPUTED_VALUE"""),"None")</f>
        <v>None</v>
      </c>
      <c r="M85" s="27" t="str">
        <f>IFERROR(__xludf.DUMMYFUNCTION("""COMPUTED_VALUE"""),"Y")</f>
        <v>Y</v>
      </c>
      <c r="N85" s="24" t="str">
        <f>IFERROR(__xludf.DUMMYFUNCTION("""COMPUTED_VALUE"""),"Emergency Call")</f>
        <v>Emergency Call</v>
      </c>
      <c r="O85" s="24">
        <f>IFERROR(__xludf.DUMMYFUNCTION("""COMPUTED_VALUE"""),1.0)</f>
        <v>1</v>
      </c>
      <c r="P85" s="24"/>
      <c r="Q85" s="24"/>
      <c r="R85" s="24"/>
      <c r="S85" s="24"/>
      <c r="T85" s="24"/>
      <c r="U85" s="24"/>
      <c r="V85" s="24"/>
      <c r="W85" s="24"/>
      <c r="X85" s="24"/>
      <c r="Y85" s="24"/>
      <c r="Z85" s="24"/>
    </row>
    <row r="86" hidden="1">
      <c r="A86" s="29"/>
      <c r="B86" s="24"/>
      <c r="C86" s="24"/>
      <c r="D86" s="26"/>
      <c r="E86" s="26"/>
      <c r="F86" s="26"/>
      <c r="G86" s="26"/>
      <c r="H86" s="26"/>
      <c r="I86" s="27" t="str">
        <f>IFERROR(__xludf.DUMMYFUNCTION("""COMPUTED_VALUE"""),"M")</f>
        <v>M</v>
      </c>
      <c r="J86" s="27" t="str">
        <f>IFERROR(__xludf.DUMMYFUNCTION("""COMPUTED_VALUE"""),"W")</f>
        <v>W</v>
      </c>
      <c r="K86" s="27">
        <f>IFERROR(__xludf.DUMMYFUNCTION("""COMPUTED_VALUE"""),41.0)</f>
        <v>41</v>
      </c>
      <c r="L86" s="27" t="str">
        <f>IFERROR(__xludf.DUMMYFUNCTION("""COMPUTED_VALUE"""),"None")</f>
        <v>None</v>
      </c>
      <c r="M86" s="27" t="str">
        <f>IFERROR(__xludf.DUMMYFUNCTION("""COMPUTED_VALUE"""),"Y")</f>
        <v>Y</v>
      </c>
      <c r="N86" s="24" t="str">
        <f>IFERROR(__xludf.DUMMYFUNCTION("""COMPUTED_VALUE"""),"Emergency Call")</f>
        <v>Emergency Call</v>
      </c>
      <c r="O86" s="24">
        <f>IFERROR(__xludf.DUMMYFUNCTION("""COMPUTED_VALUE"""),1.0)</f>
        <v>1</v>
      </c>
      <c r="P86" s="24"/>
      <c r="Q86" s="24"/>
      <c r="R86" s="24"/>
      <c r="S86" s="24"/>
      <c r="T86" s="24"/>
      <c r="U86" s="24"/>
      <c r="V86" s="24"/>
      <c r="W86" s="24"/>
      <c r="X86" s="24"/>
      <c r="Y86" s="24"/>
      <c r="Z86" s="24"/>
    </row>
    <row r="87" hidden="1">
      <c r="A87" s="29"/>
      <c r="B87" s="24"/>
      <c r="C87" s="24"/>
      <c r="D87" s="26"/>
      <c r="E87" s="26"/>
      <c r="F87" s="26"/>
      <c r="G87" s="26"/>
      <c r="H87" s="26"/>
      <c r="I87" s="27" t="str">
        <f>IFERROR(__xludf.DUMMYFUNCTION("""COMPUTED_VALUE"""),"F")</f>
        <v>F</v>
      </c>
      <c r="J87" s="27" t="str">
        <f>IFERROR(__xludf.DUMMYFUNCTION("""COMPUTED_VALUE"""),"B")</f>
        <v>B</v>
      </c>
      <c r="K87" s="27">
        <f>IFERROR(__xludf.DUMMYFUNCTION("""COMPUTED_VALUE"""),30.0)</f>
        <v>30</v>
      </c>
      <c r="L87" s="27" t="str">
        <f>IFERROR(__xludf.DUMMYFUNCTION("""COMPUTED_VALUE"""),"None")</f>
        <v>None</v>
      </c>
      <c r="M87" s="27" t="str">
        <f>IFERROR(__xludf.DUMMYFUNCTION("""COMPUTED_VALUE"""),"Y")</f>
        <v>Y</v>
      </c>
      <c r="N87" s="24" t="str">
        <f>IFERROR(__xludf.DUMMYFUNCTION("""COMPUTED_VALUE"""),"Emergency Call")</f>
        <v>Emergency Call</v>
      </c>
      <c r="O87" s="24"/>
      <c r="P87" s="24"/>
      <c r="Q87" s="24"/>
      <c r="R87" s="24"/>
      <c r="S87" s="24"/>
      <c r="T87" s="24"/>
      <c r="U87" s="24"/>
      <c r="V87" s="24"/>
      <c r="W87" s="24"/>
      <c r="X87" s="24"/>
      <c r="Y87" s="24"/>
      <c r="Z87" s="24"/>
    </row>
    <row r="88">
      <c r="A88" s="29">
        <f>IFERROR(__xludf.DUMMYFUNCTION("""COMPUTED_VALUE"""),43133.0)</f>
        <v>43133</v>
      </c>
      <c r="B88" s="24">
        <f>IFERROR(__xludf.DUMMYFUNCTION("""COMPUTED_VALUE"""),1.3903618E7)</f>
        <v>13903618</v>
      </c>
      <c r="C88" s="24" t="str">
        <f>IFERROR(__xludf.DUMMYFUNCTION("""COMPUTED_VALUE"""),"12503 Mews Cir #503C")</f>
        <v>12503 Mews Cir #503C</v>
      </c>
      <c r="D88" s="26" t="str">
        <f>IFERROR(__xludf.DUMMYFUNCTION("""COMPUTED_VALUE"""),"M")</f>
        <v>M</v>
      </c>
      <c r="E88" s="26" t="str">
        <f>IFERROR(__xludf.DUMMYFUNCTION("""COMPUTED_VALUE"""),"H")</f>
        <v>H</v>
      </c>
      <c r="F88" s="26">
        <f>IFERROR(__xludf.DUMMYFUNCTION("""COMPUTED_VALUE"""),32.0)</f>
        <v>32</v>
      </c>
      <c r="G88" s="26" t="str">
        <f>IFERROR(__xludf.DUMMYFUNCTION("""COMPUTED_VALUE"""),"None")</f>
        <v>None</v>
      </c>
      <c r="H88" s="26" t="str">
        <f>IFERROR(__xludf.DUMMYFUNCTION("""COMPUTED_VALUE"""),"Unknown")</f>
        <v>Unknown</v>
      </c>
      <c r="I88" s="27" t="str">
        <f>IFERROR(__xludf.DUMMYFUNCTION("""COMPUTED_VALUE"""),"M")</f>
        <v>M</v>
      </c>
      <c r="J88" s="27" t="str">
        <f>IFERROR(__xludf.DUMMYFUNCTION("""COMPUTED_VALUE"""),"B")</f>
        <v>B</v>
      </c>
      <c r="K88" s="27">
        <f>IFERROR(__xludf.DUMMYFUNCTION("""COMPUTED_VALUE"""),37.0)</f>
        <v>37</v>
      </c>
      <c r="L88" s="27" t="str">
        <f>IFERROR(__xludf.DUMMYFUNCTION("""COMPUTED_VALUE"""),"None")</f>
        <v>None</v>
      </c>
      <c r="M88" s="27" t="str">
        <f>IFERROR(__xludf.DUMMYFUNCTION("""COMPUTED_VALUE"""),"Y")</f>
        <v>Y</v>
      </c>
      <c r="N88" s="24" t="str">
        <f>IFERROR(__xludf.DUMMYFUNCTION("""COMPUTED_VALUE"""),"Emer Call")</f>
        <v>Emer Call</v>
      </c>
      <c r="O88" s="24">
        <f>IFERROR(__xludf.DUMMYFUNCTION("""COMPUTED_VALUE"""),1.0)</f>
        <v>1</v>
      </c>
      <c r="P88" s="28" t="str">
        <f>IFERROR(__xludf.DUMMYFUNCTION("""COMPUTED_VALUE"""),"An HPD officer was giving commands to a suspect who then reached into his waistband a produced a black object which appeared to be a weapon. While gaining distance from the suspect, the officer fired one time but missed. Neither the suspect nor the office"&amp;"r was injured. ")</f>
        <v>An HPD officer was giving commands to a suspect who then reached into his waistband a produced a black object which appeared to be a weapon. While gaining distance from the suspect, the officer fired one time but missed. Neither the suspect nor the officer was injured. </v>
      </c>
      <c r="Q88" s="24"/>
      <c r="R88" s="24"/>
      <c r="S88" s="24"/>
      <c r="T88" s="24"/>
      <c r="U88" s="24"/>
      <c r="V88" s="24"/>
      <c r="W88" s="24"/>
      <c r="X88" s="24"/>
      <c r="Y88" s="24"/>
      <c r="Z88" s="24"/>
    </row>
    <row r="89" hidden="1">
      <c r="A89" s="29">
        <f>IFERROR(__xludf.DUMMYFUNCTION("""COMPUTED_VALUE"""),43132.0)</f>
        <v>43132</v>
      </c>
      <c r="B89" s="24">
        <f>IFERROR(__xludf.DUMMYFUNCTION("""COMPUTED_VALUE"""),1.3572118E7)</f>
        <v>13572118</v>
      </c>
      <c r="C89" s="24" t="str">
        <f>IFERROR(__xludf.DUMMYFUNCTION("""COMPUTED_VALUE"""),"8700 South Braeswood")</f>
        <v>8700 South Braeswood</v>
      </c>
      <c r="D89" s="26" t="str">
        <f>IFERROR(__xludf.DUMMYFUNCTION("""COMPUTED_VALUE"""),"M")</f>
        <v>M</v>
      </c>
      <c r="E89" s="26" t="str">
        <f>IFERROR(__xludf.DUMMYFUNCTION("""COMPUTED_VALUE"""),"B")</f>
        <v>B</v>
      </c>
      <c r="F89" s="26">
        <f>IFERROR(__xludf.DUMMYFUNCTION("""COMPUTED_VALUE"""),37.0)</f>
        <v>37</v>
      </c>
      <c r="G89" s="26" t="str">
        <f>IFERROR(__xludf.DUMMYFUNCTION("""COMPUTED_VALUE"""),"Killed")</f>
        <v>Killed</v>
      </c>
      <c r="H89" s="26" t="str">
        <f>IFERROR(__xludf.DUMMYFUNCTION("""COMPUTED_VALUE"""),"Firearm")</f>
        <v>Firearm</v>
      </c>
      <c r="I89" s="27" t="str">
        <f>IFERROR(__xludf.DUMMYFUNCTION("""COMPUTED_VALUE"""),"M")</f>
        <v>M</v>
      </c>
      <c r="J89" s="27" t="str">
        <f>IFERROR(__xludf.DUMMYFUNCTION("""COMPUTED_VALUE"""),"B")</f>
        <v>B</v>
      </c>
      <c r="K89" s="27">
        <f>IFERROR(__xludf.DUMMYFUNCTION("""COMPUTED_VALUE"""),50.0)</f>
        <v>50</v>
      </c>
      <c r="L89" s="27" t="str">
        <f>IFERROR(__xludf.DUMMYFUNCTION("""COMPUTED_VALUE"""),"None")</f>
        <v>None</v>
      </c>
      <c r="M89" s="27" t="str">
        <f>IFERROR(__xludf.DUMMYFUNCTION("""COMPUTED_VALUE"""),"Y")</f>
        <v>Y</v>
      </c>
      <c r="N89" s="24" t="str">
        <f>IFERROR(__xludf.DUMMYFUNCTION("""COMPUTED_VALUE"""),"Emer Call")</f>
        <v>Emer Call</v>
      </c>
      <c r="O89" s="24">
        <f>IFERROR(__xludf.DUMMYFUNCTION("""COMPUTED_VALUE"""),1.0)</f>
        <v>1</v>
      </c>
      <c r="P89" s="24" t="str">
        <f>IFERROR(__xludf.DUMMYFUNCTION("""COMPUTED_VALUE"""),"Officers located a suspect identified in a aggravated robbery to be walking with a gun in his hand eastbound across the freeway towards businesses. The suspect refused to obey officers’ commands and fled on foot. The suspect, still holding his weapon and "&amp;"not following police commands, turned towards an HPD officer who shot and struck him. The suspect was pronounced dead at the scene. ")</f>
        <v>Officers located a suspect identified in a aggravated robbery to be walking with a gun in his hand eastbound across the freeway towards businesses. The suspect refused to obey officers’ commands and fled on foot. The suspect, still holding his weapon and not following police commands, turned towards an HPD officer who shot and struck him. The suspect was pronounced dead at the scene. </v>
      </c>
      <c r="Q89" s="24"/>
      <c r="R89" s="24"/>
      <c r="S89" s="24"/>
      <c r="T89" s="24"/>
      <c r="U89" s="24"/>
      <c r="V89" s="24"/>
      <c r="W89" s="24"/>
      <c r="X89" s="24"/>
      <c r="Y89" s="24"/>
      <c r="Z89" s="24"/>
    </row>
    <row r="90" hidden="1">
      <c r="A90" s="29">
        <f>IFERROR(__xludf.DUMMYFUNCTION("""COMPUTED_VALUE"""),43036.0)</f>
        <v>43036</v>
      </c>
      <c r="B90" s="24">
        <f>IFERROR(__xludf.DUMMYFUNCTION("""COMPUTED_VALUE"""),1.36191017E8)</f>
        <v>136191017</v>
      </c>
      <c r="C90" s="24" t="str">
        <f>IFERROR(__xludf.DUMMYFUNCTION("""COMPUTED_VALUE"""),"8700 South Braeswood")</f>
        <v>8700 South Braeswood</v>
      </c>
      <c r="D90" s="26" t="str">
        <f>IFERROR(__xludf.DUMMYFUNCTION("""COMPUTED_VALUE"""),"M")</f>
        <v>M</v>
      </c>
      <c r="E90" s="26" t="str">
        <f>IFERROR(__xludf.DUMMYFUNCTION("""COMPUTED_VALUE"""),"H")</f>
        <v>H</v>
      </c>
      <c r="F90" s="26">
        <f>IFERROR(__xludf.DUMMYFUNCTION("""COMPUTED_VALUE"""),24.0)</f>
        <v>24</v>
      </c>
      <c r="G90" s="26" t="str">
        <f>IFERROR(__xludf.DUMMYFUNCTION("""COMPUTED_VALUE"""),"Wounded")</f>
        <v>Wounded</v>
      </c>
      <c r="H90" s="26" t="str">
        <f>IFERROR(__xludf.DUMMYFUNCTION("""COMPUTED_VALUE"""),"Firearm")</f>
        <v>Firearm</v>
      </c>
      <c r="I90" s="27" t="str">
        <f>IFERROR(__xludf.DUMMYFUNCTION("""COMPUTED_VALUE"""),"M")</f>
        <v>M</v>
      </c>
      <c r="J90" s="27" t="str">
        <f>IFERROR(__xludf.DUMMYFUNCTION("""COMPUTED_VALUE"""),"H")</f>
        <v>H</v>
      </c>
      <c r="K90" s="27">
        <f>IFERROR(__xludf.DUMMYFUNCTION("""COMPUTED_VALUE"""),27.0)</f>
        <v>27</v>
      </c>
      <c r="L90" s="27" t="str">
        <f>IFERROR(__xludf.DUMMYFUNCTION("""COMPUTED_VALUE"""),"None")</f>
        <v>None</v>
      </c>
      <c r="M90" s="27" t="str">
        <f>IFERROR(__xludf.DUMMYFUNCTION("""COMPUTED_VALUE"""),"Y")</f>
        <v>Y</v>
      </c>
      <c r="N90" s="24"/>
      <c r="O90" s="24"/>
      <c r="P90" s="28" t="str">
        <f>IFERROR(__xludf.DUMMYFUNCTION("""COMPUTED_VALUE"""),"Patrol Officers were responding to a disturbance with a weapon call regarding a male pointing a gun. Officers located a male that matched the description walking who ignored several verbal commands to get on the ground. The suspect reached behind his back"&amp;" into his waistband at which time one of the officers observed a firearm in his hand and discharged his weapon hitting the male multiple times.")</f>
        <v>Patrol Officers were responding to a disturbance with a weapon call regarding a male pointing a gun. Officers located a male that matched the description walking who ignored several verbal commands to get on the ground. The suspect reached behind his back into his waistband at which time one of the officers observed a firearm in his hand and discharged his weapon hitting the male multiple times.</v>
      </c>
      <c r="Q90" s="24"/>
      <c r="R90" s="24"/>
      <c r="S90" s="24"/>
      <c r="T90" s="24"/>
      <c r="U90" s="24"/>
      <c r="V90" s="24"/>
      <c r="W90" s="24"/>
      <c r="X90" s="24"/>
      <c r="Y90" s="24"/>
      <c r="Z90" s="24"/>
    </row>
    <row r="91" hidden="1">
      <c r="A91" s="29">
        <f>IFERROR(__xludf.DUMMYFUNCTION("""COMPUTED_VALUE"""),43032.0)</f>
        <v>43032</v>
      </c>
      <c r="B91" s="24">
        <f>IFERROR(__xludf.DUMMYFUNCTION("""COMPUTED_VALUE"""),1.34253217E8)</f>
        <v>134253217</v>
      </c>
      <c r="C91" s="24" t="str">
        <f>IFERROR(__xludf.DUMMYFUNCTION("""COMPUTED_VALUE"""),"5400 Bellaire Blvd")</f>
        <v>5400 Bellaire Blvd</v>
      </c>
      <c r="D91" s="26" t="str">
        <f>IFERROR(__xludf.DUMMYFUNCTION("""COMPUTED_VALUE"""),"M")</f>
        <v>M</v>
      </c>
      <c r="E91" s="26" t="str">
        <f>IFERROR(__xludf.DUMMYFUNCTION("""COMPUTED_VALUE"""),"H")</f>
        <v>H</v>
      </c>
      <c r="F91" s="26">
        <f>IFERROR(__xludf.DUMMYFUNCTION("""COMPUTED_VALUE"""),33.0)</f>
        <v>33</v>
      </c>
      <c r="G91" s="26" t="str">
        <f>IFERROR(__xludf.DUMMYFUNCTION("""COMPUTED_VALUE"""),"Killed")</f>
        <v>Killed</v>
      </c>
      <c r="H91" s="26" t="str">
        <f>IFERROR(__xludf.DUMMYFUNCTION("""COMPUTED_VALUE"""),"Scissors and screwdriver")</f>
        <v>Scissors and screwdriver</v>
      </c>
      <c r="I91" s="27" t="str">
        <f>IFERROR(__xludf.DUMMYFUNCTION("""COMPUTED_VALUE"""),"M")</f>
        <v>M</v>
      </c>
      <c r="J91" s="27" t="str">
        <f>IFERROR(__xludf.DUMMYFUNCTION("""COMPUTED_VALUE"""),"W")</f>
        <v>W</v>
      </c>
      <c r="K91" s="27">
        <f>IFERROR(__xludf.DUMMYFUNCTION("""COMPUTED_VALUE"""),51.0)</f>
        <v>51</v>
      </c>
      <c r="L91" s="27" t="str">
        <f>IFERROR(__xludf.DUMMYFUNCTION("""COMPUTED_VALUE"""),"None")</f>
        <v>None</v>
      </c>
      <c r="M91" s="27" t="str">
        <f>IFERROR(__xludf.DUMMYFUNCTION("""COMPUTED_VALUE"""),"Y")</f>
        <v>Y</v>
      </c>
      <c r="N91" s="24"/>
      <c r="O91" s="24"/>
      <c r="P91" s="24" t="str">
        <f>IFERROR(__xludf.DUMMYFUNCTION("""COMPUTED_VALUE"""),"Officers were dispatched to a robbery in progress and upon arrival at the location observed a suspect matching the description of the robbery suspect. The suspect was observed to have a weapon, thought to be a knife, in each hand (later identifed as a scr"&amp;"ewdriver and scissors). The suspect refused to obey commands to drop his weapons and to lie on the ground. A Conductive Electronic Device was deployed but did not affect the suspect. The suspect charged toward an officer with weapons in hand and the offic"&amp;"er, in fear of his life, discharged his weapon, killing the suspect.")</f>
        <v>Officers were dispatched to a robbery in progress and upon arrival at the location observed a suspect matching the description of the robbery suspect. The suspect was observed to have a weapon, thought to be a knife, in each hand (later identifed as a screwdriver and scissors). The suspect refused to obey commands to drop his weapons and to lie on the ground. A Conductive Electronic Device was deployed but did not affect the suspect. The suspect charged toward an officer with weapons in hand and the officer, in fear of his life, discharged his weapon, killing the suspect.</v>
      </c>
      <c r="Q91" s="24"/>
      <c r="R91" s="24"/>
      <c r="S91" s="24"/>
      <c r="T91" s="24"/>
      <c r="U91" s="24"/>
      <c r="V91" s="24"/>
      <c r="W91" s="24"/>
      <c r="X91" s="24"/>
      <c r="Y91" s="24"/>
      <c r="Z91" s="24"/>
    </row>
    <row r="92" hidden="1">
      <c r="A92" s="29">
        <f>IFERROR(__xludf.DUMMYFUNCTION("""COMPUTED_VALUE"""),43028.0)</f>
        <v>43028</v>
      </c>
      <c r="B92" s="24">
        <f>IFERROR(__xludf.DUMMYFUNCTION("""COMPUTED_VALUE"""),1.32830217E8)</f>
        <v>132830217</v>
      </c>
      <c r="C92" s="24" t="str">
        <f>IFERROR(__xludf.DUMMYFUNCTION("""COMPUTED_VALUE"""),"5801 N. Houston Rosslyn Road #101")</f>
        <v>5801 N. Houston Rosslyn Road #101</v>
      </c>
      <c r="D92" s="26" t="str">
        <f>IFERROR(__xludf.DUMMYFUNCTION("""COMPUTED_VALUE"""),"M")</f>
        <v>M</v>
      </c>
      <c r="E92" s="26" t="str">
        <f>IFERROR(__xludf.DUMMYFUNCTION("""COMPUTED_VALUE"""),"H")</f>
        <v>H</v>
      </c>
      <c r="F92" s="26">
        <f>IFERROR(__xludf.DUMMYFUNCTION("""COMPUTED_VALUE"""),54.0)</f>
        <v>54</v>
      </c>
      <c r="G92" s="26" t="str">
        <f>IFERROR(__xludf.DUMMYFUNCTION("""COMPUTED_VALUE"""),"Killed")</f>
        <v>Killed</v>
      </c>
      <c r="H92" s="26" t="str">
        <f>IFERROR(__xludf.DUMMYFUNCTION("""COMPUTED_VALUE"""),"Knife")</f>
        <v>Knife</v>
      </c>
      <c r="I92" s="27" t="str">
        <f>IFERROR(__xludf.DUMMYFUNCTION("""COMPUTED_VALUE"""),"M")</f>
        <v>M</v>
      </c>
      <c r="J92" s="27" t="str">
        <f>IFERROR(__xludf.DUMMYFUNCTION("""COMPUTED_VALUE"""),"H")</f>
        <v>H</v>
      </c>
      <c r="K92" s="27">
        <f>IFERROR(__xludf.DUMMYFUNCTION("""COMPUTED_VALUE"""),34.0)</f>
        <v>34</v>
      </c>
      <c r="L92" s="27" t="str">
        <f>IFERROR(__xludf.DUMMYFUNCTION("""COMPUTED_VALUE"""),"None")</f>
        <v>None</v>
      </c>
      <c r="M92" s="27" t="str">
        <f>IFERROR(__xludf.DUMMYFUNCTION("""COMPUTED_VALUE"""),"Y")</f>
        <v>Y</v>
      </c>
      <c r="N92" s="24"/>
      <c r="O92" s="24"/>
      <c r="P92" s="24" t="str">
        <f>IFERROR(__xludf.DUMMYFUNCTION("""COMPUTED_VALUE"""),"HPD officers encountered a suspect armed with a machete and chasing a complainant in the roadway. The suspect ignored the officers’ commands and approached with the machete towards the officers who attempted to back away. When the suspect raised the weapo"&amp;"n in a threatening manner and continued to advance on the officers, two officers shot the suspect multiple times. The suspect sustained non-life threatening injuries.")</f>
        <v>HPD officers encountered a suspect armed with a machete and chasing a complainant in the roadway. The suspect ignored the officers’ commands and approached with the machete towards the officers who attempted to back away. When the suspect raised the weapon in a threatening manner and continued to advance on the officers, two officers shot the suspect multiple times. The suspect sustained non-life threatening injuries.</v>
      </c>
      <c r="Q92" s="24"/>
      <c r="R92" s="24"/>
      <c r="S92" s="24"/>
      <c r="T92" s="24"/>
      <c r="U92" s="24"/>
      <c r="V92" s="24"/>
      <c r="W92" s="24"/>
      <c r="X92" s="24"/>
      <c r="Y92" s="24"/>
      <c r="Z92" s="24"/>
    </row>
    <row r="93" hidden="1">
      <c r="A93" s="29"/>
      <c r="B93" s="24"/>
      <c r="C93" s="24"/>
      <c r="D93" s="26"/>
      <c r="E93" s="26"/>
      <c r="F93" s="26"/>
      <c r="G93" s="26"/>
      <c r="H93" s="26"/>
      <c r="I93" s="27" t="str">
        <f>IFERROR(__xludf.DUMMYFUNCTION("""COMPUTED_VALUE"""),"M")</f>
        <v>M</v>
      </c>
      <c r="J93" s="27" t="str">
        <f>IFERROR(__xludf.DUMMYFUNCTION("""COMPUTED_VALUE"""),"W")</f>
        <v>W</v>
      </c>
      <c r="K93" s="27">
        <f>IFERROR(__xludf.DUMMYFUNCTION("""COMPUTED_VALUE"""),35.0)</f>
        <v>35</v>
      </c>
      <c r="L93" s="27" t="str">
        <f>IFERROR(__xludf.DUMMYFUNCTION("""COMPUTED_VALUE"""),"None")</f>
        <v>None</v>
      </c>
      <c r="M93" s="27" t="str">
        <f>IFERROR(__xludf.DUMMYFUNCTION("""COMPUTED_VALUE"""),"Y")</f>
        <v>Y</v>
      </c>
      <c r="N93" s="24"/>
      <c r="O93" s="24">
        <f>IFERROR(__xludf.DUMMYFUNCTION("""COMPUTED_VALUE"""),1.0)</f>
        <v>1</v>
      </c>
      <c r="P93" s="24"/>
      <c r="Q93" s="24"/>
      <c r="R93" s="24"/>
      <c r="S93" s="24"/>
      <c r="T93" s="24"/>
      <c r="U93" s="24"/>
      <c r="V93" s="24"/>
      <c r="W93" s="24"/>
      <c r="X93" s="24"/>
      <c r="Y93" s="24"/>
      <c r="Z93" s="24"/>
    </row>
    <row r="94" hidden="1">
      <c r="A94" s="29"/>
      <c r="B94" s="24"/>
      <c r="C94" s="24"/>
      <c r="D94" s="26"/>
      <c r="E94" s="26"/>
      <c r="F94" s="26"/>
      <c r="G94" s="26"/>
      <c r="H94" s="26"/>
      <c r="I94" s="27" t="str">
        <f>IFERROR(__xludf.DUMMYFUNCTION("""COMPUTED_VALUE"""),"M")</f>
        <v>M</v>
      </c>
      <c r="J94" s="27" t="str">
        <f>IFERROR(__xludf.DUMMYFUNCTION("""COMPUTED_VALUE"""),"W")</f>
        <v>W</v>
      </c>
      <c r="K94" s="27">
        <f>IFERROR(__xludf.DUMMYFUNCTION("""COMPUTED_VALUE"""),24.0)</f>
        <v>24</v>
      </c>
      <c r="L94" s="27" t="str">
        <f>IFERROR(__xludf.DUMMYFUNCTION("""COMPUTED_VALUE"""),"None")</f>
        <v>None</v>
      </c>
      <c r="M94" s="27" t="str">
        <f>IFERROR(__xludf.DUMMYFUNCTION("""COMPUTED_VALUE"""),"Y")</f>
        <v>Y</v>
      </c>
      <c r="N94" s="24"/>
      <c r="O94" s="24">
        <f>IFERROR(__xludf.DUMMYFUNCTION("""COMPUTED_VALUE"""),1.0)</f>
        <v>1</v>
      </c>
      <c r="P94" s="24"/>
      <c r="Q94" s="24"/>
      <c r="R94" s="24"/>
      <c r="S94" s="24"/>
      <c r="T94" s="24"/>
      <c r="U94" s="24"/>
      <c r="V94" s="24"/>
      <c r="W94" s="24"/>
      <c r="X94" s="24"/>
      <c r="Y94" s="24"/>
      <c r="Z94" s="24"/>
    </row>
    <row r="95" hidden="1">
      <c r="A95" s="29"/>
      <c r="B95" s="24"/>
      <c r="C95" s="24"/>
      <c r="D95" s="26"/>
      <c r="E95" s="26"/>
      <c r="F95" s="26"/>
      <c r="G95" s="26"/>
      <c r="H95" s="26"/>
      <c r="I95" s="27" t="str">
        <f>IFERROR(__xludf.DUMMYFUNCTION("""COMPUTED_VALUE"""),"M")</f>
        <v>M</v>
      </c>
      <c r="J95" s="27" t="str">
        <f>IFERROR(__xludf.DUMMYFUNCTION("""COMPUTED_VALUE"""),"H")</f>
        <v>H</v>
      </c>
      <c r="K95" s="27">
        <f>IFERROR(__xludf.DUMMYFUNCTION("""COMPUTED_VALUE"""),24.0)</f>
        <v>24</v>
      </c>
      <c r="L95" s="27" t="str">
        <f>IFERROR(__xludf.DUMMYFUNCTION("""COMPUTED_VALUE"""),"None")</f>
        <v>None</v>
      </c>
      <c r="M95" s="27" t="str">
        <f>IFERROR(__xludf.DUMMYFUNCTION("""COMPUTED_VALUE"""),"Y")</f>
        <v>Y</v>
      </c>
      <c r="N95" s="24"/>
      <c r="O95" s="24"/>
      <c r="P95" s="24"/>
      <c r="Q95" s="24"/>
      <c r="R95" s="24"/>
      <c r="S95" s="24"/>
      <c r="T95" s="24"/>
      <c r="U95" s="24"/>
      <c r="V95" s="24"/>
      <c r="W95" s="24"/>
      <c r="X95" s="24"/>
      <c r="Y95" s="24"/>
      <c r="Z95" s="24"/>
    </row>
    <row r="96" hidden="1">
      <c r="A96" s="29">
        <f>IFERROR(__xludf.DUMMYFUNCTION("""COMPUTED_VALUE"""),42982.0)</f>
        <v>42982</v>
      </c>
      <c r="B96" s="24">
        <f>IFERROR(__xludf.DUMMYFUNCTION("""COMPUTED_VALUE"""),1.12738517E8)</f>
        <v>112738517</v>
      </c>
      <c r="C96" s="24" t="str">
        <f>IFERROR(__xludf.DUMMYFUNCTION("""COMPUTED_VALUE"""),"4500 Sunburst")</f>
        <v>4500 Sunburst</v>
      </c>
      <c r="D96" s="26" t="str">
        <f>IFERROR(__xludf.DUMMYFUNCTION("""COMPUTED_VALUE"""),"F")</f>
        <v>F</v>
      </c>
      <c r="E96" s="26" t="str">
        <f>IFERROR(__xludf.DUMMYFUNCTION("""COMPUTED_VALUE"""),"W")</f>
        <v>W</v>
      </c>
      <c r="F96" s="26">
        <f>IFERROR(__xludf.DUMMYFUNCTION("""COMPUTED_VALUE"""),28.0)</f>
        <v>28</v>
      </c>
      <c r="G96" s="26" t="str">
        <f>IFERROR(__xludf.DUMMYFUNCTION("""COMPUTED_VALUE"""),"Wounded")</f>
        <v>Wounded</v>
      </c>
      <c r="H96" s="26" t="str">
        <f>IFERROR(__xludf.DUMMYFUNCTION("""COMPUTED_VALUE"""),"None")</f>
        <v>None</v>
      </c>
      <c r="I96" s="27" t="str">
        <f>IFERROR(__xludf.DUMMYFUNCTION("""COMPUTED_VALUE"""),"M")</f>
        <v>M</v>
      </c>
      <c r="J96" s="27" t="str">
        <f>IFERROR(__xludf.DUMMYFUNCTION("""COMPUTED_VALUE"""),"H")</f>
        <v>H</v>
      </c>
      <c r="K96" s="27">
        <f>IFERROR(__xludf.DUMMYFUNCTION("""COMPUTED_VALUE"""),29.0)</f>
        <v>29</v>
      </c>
      <c r="L96" s="27" t="str">
        <f>IFERROR(__xludf.DUMMYFUNCTION("""COMPUTED_VALUE"""),"None")</f>
        <v>None</v>
      </c>
      <c r="M96" s="27" t="str">
        <f>IFERROR(__xludf.DUMMYFUNCTION("""COMPUTED_VALUE"""),"Y")</f>
        <v>Y</v>
      </c>
      <c r="N96" s="24"/>
      <c r="O96" s="24"/>
      <c r="P96" s="28"/>
      <c r="Q96" s="24"/>
      <c r="R96" s="24"/>
      <c r="S96" s="24"/>
      <c r="T96" s="24"/>
      <c r="U96" s="24"/>
      <c r="V96" s="24"/>
      <c r="W96" s="24"/>
      <c r="X96" s="24"/>
      <c r="Y96" s="24"/>
      <c r="Z96" s="24"/>
    </row>
    <row r="97" hidden="1">
      <c r="A97" s="29"/>
      <c r="B97" s="24"/>
      <c r="C97" s="24"/>
      <c r="D97" s="26" t="str">
        <f>IFERROR(__xludf.DUMMYFUNCTION("""COMPUTED_VALUE"""),"F")</f>
        <v>F</v>
      </c>
      <c r="E97" s="26" t="str">
        <f>IFERROR(__xludf.DUMMYFUNCTION("""COMPUTED_VALUE"""),"W")</f>
        <v>W</v>
      </c>
      <c r="F97" s="26">
        <f>IFERROR(__xludf.DUMMYFUNCTION("""COMPUTED_VALUE"""),32.0)</f>
        <v>32</v>
      </c>
      <c r="G97" s="26" t="str">
        <f>IFERROR(__xludf.DUMMYFUNCTION("""COMPUTED_VALUE"""),"Wounded")</f>
        <v>Wounded</v>
      </c>
      <c r="H97" s="26" t="str">
        <f>IFERROR(__xludf.DUMMYFUNCTION("""COMPUTED_VALUE"""),"Vehicle")</f>
        <v>Vehicle</v>
      </c>
      <c r="I97" s="27" t="str">
        <f>IFERROR(__xludf.DUMMYFUNCTION("""COMPUTED_VALUE"""),"M")</f>
        <v>M</v>
      </c>
      <c r="J97" s="27" t="str">
        <f>IFERROR(__xludf.DUMMYFUNCTION("""COMPUTED_VALUE"""),"H")</f>
        <v>H</v>
      </c>
      <c r="K97" s="27">
        <f>IFERROR(__xludf.DUMMYFUNCTION("""COMPUTED_VALUE"""),35.0)</f>
        <v>35</v>
      </c>
      <c r="L97" s="27" t="str">
        <f>IFERROR(__xludf.DUMMYFUNCTION("""COMPUTED_VALUE"""),"None")</f>
        <v>None</v>
      </c>
      <c r="M97" s="27" t="str">
        <f>IFERROR(__xludf.DUMMYFUNCTION("""COMPUTED_VALUE"""),"Y")</f>
        <v>Y</v>
      </c>
      <c r="N97" s="24"/>
      <c r="O97" s="24"/>
      <c r="P97" s="28" t="str">
        <f>IFERROR(__xludf.DUMMYFUNCTION("""COMPUTED_VALUE"""),"During a car chase, a suspect pointed a firearm at the officer. The officer in fear of his life discharged his firearm at the suspect. As the car chase continued, the same suspect on several occasions fired upon the officer resulting in the officer discha"&amp;"rging his weapon. The officer eventually was able to stop the vehicle and take the suspects into custody. Neither the suspects nor the officer were injured.")</f>
        <v>During a car chase, a suspect pointed a firearm at the officer. The officer in fear of his life discharged his firearm at the suspect. As the car chase continued, the same suspect on several occasions fired upon the officer resulting in the officer discharging his weapon. The officer eventually was able to stop the vehicle and take the suspects into custody. Neither the suspects nor the officer were injured.</v>
      </c>
      <c r="Q97" s="24"/>
      <c r="R97" s="24"/>
      <c r="S97" s="24"/>
      <c r="T97" s="24"/>
      <c r="U97" s="24"/>
      <c r="V97" s="24"/>
      <c r="W97" s="24"/>
      <c r="X97" s="24"/>
      <c r="Y97" s="24"/>
      <c r="Z97" s="24"/>
    </row>
    <row r="98" hidden="1">
      <c r="A98" s="29"/>
      <c r="B98" s="24"/>
      <c r="C98" s="24"/>
      <c r="D98" s="26"/>
      <c r="E98" s="26"/>
      <c r="F98" s="26"/>
      <c r="G98" s="26"/>
      <c r="H98" s="26"/>
      <c r="I98" s="27" t="str">
        <f>IFERROR(__xludf.DUMMYFUNCTION("""COMPUTED_VALUE"""),"M")</f>
        <v>M</v>
      </c>
      <c r="J98" s="27" t="str">
        <f>IFERROR(__xludf.DUMMYFUNCTION("""COMPUTED_VALUE"""),"W")</f>
        <v>W</v>
      </c>
      <c r="K98" s="27">
        <f>IFERROR(__xludf.DUMMYFUNCTION("""COMPUTED_VALUE"""),49.0)</f>
        <v>49</v>
      </c>
      <c r="L98" s="27" t="str">
        <f>IFERROR(__xludf.DUMMYFUNCTION("""COMPUTED_VALUE"""),"None")</f>
        <v>None</v>
      </c>
      <c r="M98" s="27" t="str">
        <f>IFERROR(__xludf.DUMMYFUNCTION("""COMPUTED_VALUE"""),"Y")</f>
        <v>Y</v>
      </c>
      <c r="N98" s="24"/>
      <c r="O98" s="24"/>
      <c r="P98" s="24"/>
      <c r="Q98" s="24"/>
      <c r="R98" s="24"/>
      <c r="S98" s="24"/>
      <c r="T98" s="24"/>
      <c r="U98" s="24"/>
      <c r="V98" s="24"/>
      <c r="W98" s="24"/>
      <c r="X98" s="24"/>
      <c r="Y98" s="24"/>
      <c r="Z98" s="24"/>
    </row>
    <row r="99" hidden="1">
      <c r="A99" s="29"/>
      <c r="B99" s="24"/>
      <c r="C99" s="24"/>
      <c r="D99" s="26"/>
      <c r="E99" s="26"/>
      <c r="F99" s="26"/>
      <c r="G99" s="26"/>
      <c r="H99" s="26"/>
      <c r="I99" s="27" t="str">
        <f>IFERROR(__xludf.DUMMYFUNCTION("""COMPUTED_VALUE"""),"M")</f>
        <v>M</v>
      </c>
      <c r="J99" s="27" t="str">
        <f>IFERROR(__xludf.DUMMYFUNCTION("""COMPUTED_VALUE"""),"W")</f>
        <v>W</v>
      </c>
      <c r="K99" s="27">
        <f>IFERROR(__xludf.DUMMYFUNCTION("""COMPUTED_VALUE"""),30.0)</f>
        <v>30</v>
      </c>
      <c r="L99" s="27" t="str">
        <f>IFERROR(__xludf.DUMMYFUNCTION("""COMPUTED_VALUE"""),"None")</f>
        <v>None</v>
      </c>
      <c r="M99" s="27" t="str">
        <f>IFERROR(__xludf.DUMMYFUNCTION("""COMPUTED_VALUE"""),"Y")</f>
        <v>Y</v>
      </c>
      <c r="N99" s="24"/>
      <c r="O99" s="24"/>
      <c r="P99" s="24"/>
      <c r="Q99" s="24"/>
      <c r="R99" s="24"/>
      <c r="S99" s="24"/>
      <c r="T99" s="24"/>
      <c r="U99" s="24"/>
      <c r="V99" s="24"/>
      <c r="W99" s="24"/>
      <c r="X99" s="24"/>
      <c r="Y99" s="24"/>
      <c r="Z99" s="24"/>
    </row>
    <row r="100" hidden="1">
      <c r="A100" s="29"/>
      <c r="B100" s="24"/>
      <c r="C100" s="24"/>
      <c r="D100" s="26"/>
      <c r="E100" s="26"/>
      <c r="F100" s="26"/>
      <c r="G100" s="26"/>
      <c r="H100" s="26"/>
      <c r="I100" s="27" t="str">
        <f>IFERROR(__xludf.DUMMYFUNCTION("""COMPUTED_VALUE"""),"M")</f>
        <v>M</v>
      </c>
      <c r="J100" s="27" t="str">
        <f>IFERROR(__xludf.DUMMYFUNCTION("""COMPUTED_VALUE"""),"H")</f>
        <v>H</v>
      </c>
      <c r="K100" s="27">
        <f>IFERROR(__xludf.DUMMYFUNCTION("""COMPUTED_VALUE"""),26.0)</f>
        <v>26</v>
      </c>
      <c r="L100" s="27" t="str">
        <f>IFERROR(__xludf.DUMMYFUNCTION("""COMPUTED_VALUE"""),"None")</f>
        <v>None</v>
      </c>
      <c r="M100" s="27" t="str">
        <f>IFERROR(__xludf.DUMMYFUNCTION("""COMPUTED_VALUE"""),"Y")</f>
        <v>Y</v>
      </c>
      <c r="N100" s="24"/>
      <c r="O100" s="24"/>
      <c r="P100" s="24"/>
      <c r="Q100" s="24"/>
      <c r="R100" s="24"/>
      <c r="S100" s="24"/>
      <c r="T100" s="24"/>
      <c r="U100" s="24"/>
      <c r="V100" s="24"/>
      <c r="W100" s="24"/>
      <c r="X100" s="24"/>
      <c r="Y100" s="24"/>
      <c r="Z100" s="24"/>
    </row>
    <row r="101" hidden="1">
      <c r="A101" s="29"/>
      <c r="B101" s="24"/>
      <c r="C101" s="24"/>
      <c r="D101" s="26"/>
      <c r="E101" s="26"/>
      <c r="F101" s="26"/>
      <c r="G101" s="26"/>
      <c r="H101" s="26"/>
      <c r="I101" s="27" t="str">
        <f>IFERROR(__xludf.DUMMYFUNCTION("""COMPUTED_VALUE"""),"M")</f>
        <v>M</v>
      </c>
      <c r="J101" s="27" t="str">
        <f>IFERROR(__xludf.DUMMYFUNCTION("""COMPUTED_VALUE"""),"H")</f>
        <v>H</v>
      </c>
      <c r="K101" s="27">
        <f>IFERROR(__xludf.DUMMYFUNCTION("""COMPUTED_VALUE"""),29.0)</f>
        <v>29</v>
      </c>
      <c r="L101" s="27" t="str">
        <f>IFERROR(__xludf.DUMMYFUNCTION("""COMPUTED_VALUE"""),"None")</f>
        <v>None</v>
      </c>
      <c r="M101" s="27" t="str">
        <f>IFERROR(__xludf.DUMMYFUNCTION("""COMPUTED_VALUE"""),"Y")</f>
        <v>Y</v>
      </c>
      <c r="N101" s="24"/>
      <c r="O101" s="24"/>
      <c r="P101" s="24"/>
      <c r="Q101" s="24"/>
      <c r="R101" s="24"/>
      <c r="S101" s="24"/>
      <c r="T101" s="24"/>
      <c r="U101" s="24"/>
      <c r="V101" s="24"/>
      <c r="W101" s="24"/>
      <c r="X101" s="24"/>
      <c r="Y101" s="24"/>
      <c r="Z101" s="24"/>
    </row>
    <row r="102" hidden="1">
      <c r="A102" s="29"/>
      <c r="B102" s="24"/>
      <c r="C102" s="24"/>
      <c r="D102" s="26"/>
      <c r="E102" s="26"/>
      <c r="F102" s="26"/>
      <c r="G102" s="26"/>
      <c r="H102" s="26"/>
      <c r="I102" s="27" t="str">
        <f>IFERROR(__xludf.DUMMYFUNCTION("""COMPUTED_VALUE"""),"M")</f>
        <v>M</v>
      </c>
      <c r="J102" s="27" t="str">
        <f>IFERROR(__xludf.DUMMYFUNCTION("""COMPUTED_VALUE"""),"W")</f>
        <v>W</v>
      </c>
      <c r="K102" s="27">
        <f>IFERROR(__xludf.DUMMYFUNCTION("""COMPUTED_VALUE"""),25.0)</f>
        <v>25</v>
      </c>
      <c r="L102" s="27" t="str">
        <f>IFERROR(__xludf.DUMMYFUNCTION("""COMPUTED_VALUE"""),"None")</f>
        <v>None</v>
      </c>
      <c r="M102" s="27" t="str">
        <f>IFERROR(__xludf.DUMMYFUNCTION("""COMPUTED_VALUE"""),"Y")</f>
        <v>Y</v>
      </c>
      <c r="N102" s="24"/>
      <c r="O102" s="24"/>
      <c r="P102" s="24"/>
      <c r="Q102" s="24"/>
      <c r="R102" s="24"/>
      <c r="S102" s="24"/>
      <c r="T102" s="24"/>
      <c r="U102" s="24"/>
      <c r="V102" s="24"/>
      <c r="W102" s="24"/>
      <c r="X102" s="24"/>
      <c r="Y102" s="24"/>
      <c r="Z102" s="24"/>
    </row>
    <row r="103" hidden="1">
      <c r="A103" s="29">
        <f>IFERROR(__xludf.DUMMYFUNCTION("""COMPUTED_VALUE"""),42872.0)</f>
        <v>42872</v>
      </c>
      <c r="B103" s="24">
        <f>IFERROR(__xludf.DUMMYFUNCTION("""COMPUTED_VALUE"""),6.1603917E7)</f>
        <v>61603917</v>
      </c>
      <c r="C103" s="24" t="str">
        <f>IFERROR(__xludf.DUMMYFUNCTION("""COMPUTED_VALUE"""),"5104 Almeda")</f>
        <v>5104 Almeda</v>
      </c>
      <c r="D103" s="26" t="str">
        <f>IFERROR(__xludf.DUMMYFUNCTION("""COMPUTED_VALUE"""),"M")</f>
        <v>M</v>
      </c>
      <c r="E103" s="26" t="str">
        <f>IFERROR(__xludf.DUMMYFUNCTION("""COMPUTED_VALUE"""),"B")</f>
        <v>B</v>
      </c>
      <c r="F103" s="26">
        <f>IFERROR(__xludf.DUMMYFUNCTION("""COMPUTED_VALUE"""),30.0)</f>
        <v>30</v>
      </c>
      <c r="G103" s="26" t="str">
        <f>IFERROR(__xludf.DUMMYFUNCTION("""COMPUTED_VALUE"""),"Wounded")</f>
        <v>Wounded</v>
      </c>
      <c r="H103" s="26" t="str">
        <f>IFERROR(__xludf.DUMMYFUNCTION("""COMPUTED_VALUE"""),"Firearm")</f>
        <v>Firearm</v>
      </c>
      <c r="I103" s="27" t="str">
        <f>IFERROR(__xludf.DUMMYFUNCTION("""COMPUTED_VALUE"""),"M")</f>
        <v>M</v>
      </c>
      <c r="J103" s="27" t="str">
        <f>IFERROR(__xludf.DUMMYFUNCTION("""COMPUTED_VALUE"""),"B")</f>
        <v>B</v>
      </c>
      <c r="K103" s="27">
        <f>IFERROR(__xludf.DUMMYFUNCTION("""COMPUTED_VALUE"""),36.0)</f>
        <v>36</v>
      </c>
      <c r="L103" s="27" t="str">
        <f>IFERROR(__xludf.DUMMYFUNCTION("""COMPUTED_VALUE"""),"None")</f>
        <v>None</v>
      </c>
      <c r="M103" s="27" t="str">
        <f>IFERROR(__xludf.DUMMYFUNCTION("""COMPUTED_VALUE"""),"N")</f>
        <v>N</v>
      </c>
      <c r="N103" s="24"/>
      <c r="O103" s="24"/>
      <c r="P103" s="28" t="str">
        <f>IFERROR(__xludf.DUMMYFUNCTION("""COMPUTED_VALUE"""),"Officers were advised of a disturbance in the front parking lot. Officers went to the parking lot to investigate and observed the suspect approaching their direction with an assault rifle. After giving the suspect verbal commands, the suspect raised the r"&amp;"ifle in the officers’ direction, prompting the officers to discharge their duty weapons. The suspect was struck multiple times, transported to Ben Taub Hospital, where he was listed as Critical, but Stable Condition.")</f>
        <v>Officers were advised of a disturbance in the front parking lot. Officers went to the parking lot to investigate and observed the suspect approaching their direction with an assault rifle. After giving the suspect verbal commands, the suspect raised the rifle in the officers’ direction, prompting the officers to discharge their duty weapons. The suspect was struck multiple times, transported to Ben Taub Hospital, where he was listed as Critical, but Stable Condition.</v>
      </c>
      <c r="Q103" s="24"/>
      <c r="R103" s="24"/>
      <c r="S103" s="24"/>
      <c r="T103" s="24"/>
      <c r="U103" s="24"/>
      <c r="V103" s="24"/>
      <c r="W103" s="24"/>
      <c r="X103" s="24"/>
      <c r="Y103" s="24"/>
      <c r="Z103" s="24"/>
    </row>
    <row r="104" hidden="1">
      <c r="A104" s="29"/>
      <c r="B104" s="24"/>
      <c r="C104" s="24"/>
      <c r="D104" s="26"/>
      <c r="E104" s="26"/>
      <c r="F104" s="26"/>
      <c r="G104" s="26"/>
      <c r="H104" s="26"/>
      <c r="I104" s="27" t="str">
        <f>IFERROR(__xludf.DUMMYFUNCTION("""COMPUTED_VALUE"""),"M")</f>
        <v>M</v>
      </c>
      <c r="J104" s="27" t="str">
        <f>IFERROR(__xludf.DUMMYFUNCTION("""COMPUTED_VALUE"""),"B")</f>
        <v>B</v>
      </c>
      <c r="K104" s="27">
        <f>IFERROR(__xludf.DUMMYFUNCTION("""COMPUTED_VALUE"""),35.0)</f>
        <v>35</v>
      </c>
      <c r="L104" s="27" t="str">
        <f>IFERROR(__xludf.DUMMYFUNCTION("""COMPUTED_VALUE"""),"None")</f>
        <v>None</v>
      </c>
      <c r="M104" s="27" t="str">
        <f>IFERROR(__xludf.DUMMYFUNCTION("""COMPUTED_VALUE"""),"N")</f>
        <v>N</v>
      </c>
      <c r="N104" s="24"/>
      <c r="O104" s="24"/>
      <c r="P104" s="24"/>
      <c r="Q104" s="24"/>
      <c r="R104" s="24"/>
      <c r="S104" s="24"/>
      <c r="T104" s="24"/>
      <c r="U104" s="24"/>
      <c r="V104" s="24"/>
      <c r="W104" s="24"/>
      <c r="X104" s="24"/>
      <c r="Y104" s="24"/>
      <c r="Z104" s="24"/>
    </row>
    <row r="105">
      <c r="A105" s="29">
        <f>IFERROR(__xludf.DUMMYFUNCTION("""COMPUTED_VALUE"""),42861.0)</f>
        <v>42861</v>
      </c>
      <c r="B105" s="24">
        <f>IFERROR(__xludf.DUMMYFUNCTION("""COMPUTED_VALUE"""),5.6940317E7)</f>
        <v>56940317</v>
      </c>
      <c r="C105" s="24" t="str">
        <f>IFERROR(__xludf.DUMMYFUNCTION("""COMPUTED_VALUE"""),"11655 Briar Forest Dr.")</f>
        <v>11655 Briar Forest Dr.</v>
      </c>
      <c r="D105" s="26" t="str">
        <f>IFERROR(__xludf.DUMMYFUNCTION("""COMPUTED_VALUE"""),"M")</f>
        <v>M</v>
      </c>
      <c r="E105" s="26" t="str">
        <f>IFERROR(__xludf.DUMMYFUNCTION("""COMPUTED_VALUE"""),"B")</f>
        <v>B</v>
      </c>
      <c r="F105" s="26"/>
      <c r="G105" s="26" t="str">
        <f>IFERROR(__xludf.DUMMYFUNCTION("""COMPUTED_VALUE"""),"None")</f>
        <v>None</v>
      </c>
      <c r="H105" s="26" t="str">
        <f>IFERROR(__xludf.DUMMYFUNCTION("""COMPUTED_VALUE"""),"Firearm")</f>
        <v>Firearm</v>
      </c>
      <c r="I105" s="27" t="str">
        <f>IFERROR(__xludf.DUMMYFUNCTION("""COMPUTED_VALUE"""),"M")</f>
        <v>M</v>
      </c>
      <c r="J105" s="27" t="str">
        <f>IFERROR(__xludf.DUMMYFUNCTION("""COMPUTED_VALUE"""),"H")</f>
        <v>H</v>
      </c>
      <c r="K105" s="27">
        <f>IFERROR(__xludf.DUMMYFUNCTION("""COMPUTED_VALUE"""),24.0)</f>
        <v>24</v>
      </c>
      <c r="L105" s="27" t="str">
        <f>IFERROR(__xludf.DUMMYFUNCTION("""COMPUTED_VALUE"""),"None")</f>
        <v>None</v>
      </c>
      <c r="M105" s="27" t="str">
        <f>IFERROR(__xludf.DUMMYFUNCTION("""COMPUTED_VALUE"""),"Y")</f>
        <v>Y</v>
      </c>
      <c r="N105" s="24"/>
      <c r="O105" s="24"/>
      <c r="P105" s="28" t="str">
        <f>IFERROR(__xludf.DUMMYFUNCTION("""COMPUTED_VALUE"""),"An HPD officer exited the driver side of his patrol car and directed a suspect to stop walking. The suspect turned around and began reaching around his waistband area with his hands. When the officer ordered the suspect to show his hands, the suspect quic"&amp;"kly reached to his side and displayed a handgun and fired two rounds toward the officer. The officer returned fire, discharging two rounds. The suspect fled the scene apparently uninjured.")</f>
        <v>An HPD officer exited the driver side of his patrol car and directed a suspect to stop walking. The suspect turned around and began reaching around his waistband area with his hands. When the officer ordered the suspect to show his hands, the suspect quickly reached to his side and displayed a handgun and fired two rounds toward the officer. The officer returned fire, discharging two rounds. The suspect fled the scene apparently uninjured.</v>
      </c>
      <c r="Q105" s="24"/>
      <c r="R105" s="24"/>
      <c r="S105" s="24"/>
      <c r="T105" s="24"/>
      <c r="U105" s="24"/>
      <c r="V105" s="24"/>
      <c r="W105" s="24"/>
      <c r="X105" s="24"/>
      <c r="Y105" s="24"/>
      <c r="Z105" s="24"/>
    </row>
    <row r="106" hidden="1">
      <c r="A106" s="29">
        <f>IFERROR(__xludf.DUMMYFUNCTION("""COMPUTED_VALUE"""),42852.0)</f>
        <v>42852</v>
      </c>
      <c r="B106" s="24">
        <f>IFERROR(__xludf.DUMMYFUNCTION("""COMPUTED_VALUE"""),5.2500217E7)</f>
        <v>52500217</v>
      </c>
      <c r="C106" s="24" t="str">
        <f>IFERROR(__xludf.DUMMYFUNCTION("""COMPUTED_VALUE"""),"14874 Estrellita")</f>
        <v>14874 Estrellita</v>
      </c>
      <c r="D106" s="26" t="str">
        <f>IFERROR(__xludf.DUMMYFUNCTION("""COMPUTED_VALUE"""),"M")</f>
        <v>M</v>
      </c>
      <c r="E106" s="26" t="str">
        <f>IFERROR(__xludf.DUMMYFUNCTION("""COMPUTED_VALUE"""),"B")</f>
        <v>B</v>
      </c>
      <c r="F106" s="26">
        <f>IFERROR(__xludf.DUMMYFUNCTION("""COMPUTED_VALUE"""),36.0)</f>
        <v>36</v>
      </c>
      <c r="G106" s="26" t="str">
        <f>IFERROR(__xludf.DUMMYFUNCTION("""COMPUTED_VALUE"""),"Wounded")</f>
        <v>Wounded</v>
      </c>
      <c r="H106" s="26" t="str">
        <f>IFERROR(__xludf.DUMMYFUNCTION("""COMPUTED_VALUE"""),"Machete")</f>
        <v>Machete</v>
      </c>
      <c r="I106" s="27" t="str">
        <f>IFERROR(__xludf.DUMMYFUNCTION("""COMPUTED_VALUE"""),"M")</f>
        <v>M</v>
      </c>
      <c r="J106" s="27" t="str">
        <f>IFERROR(__xludf.DUMMYFUNCTION("""COMPUTED_VALUE"""),"H")</f>
        <v>H</v>
      </c>
      <c r="K106" s="27">
        <f>IFERROR(__xludf.DUMMYFUNCTION("""COMPUTED_VALUE"""),32.0)</f>
        <v>32</v>
      </c>
      <c r="L106" s="27" t="str">
        <f>IFERROR(__xludf.DUMMYFUNCTION("""COMPUTED_VALUE"""),"None")</f>
        <v>None</v>
      </c>
      <c r="M106" s="27" t="str">
        <f>IFERROR(__xludf.DUMMYFUNCTION("""COMPUTED_VALUE"""),"Y")</f>
        <v>Y</v>
      </c>
      <c r="N106" s="24"/>
      <c r="O106" s="24">
        <f>IFERROR(__xludf.DUMMYFUNCTION("""COMPUTED_VALUE"""),1.0)</f>
        <v>1</v>
      </c>
      <c r="P106" s="28" t="str">
        <f>IFERROR(__xludf.DUMMYFUNCTION("""COMPUTED_VALUE"""),"HPD officers encountered a suspect armed with a machete and chasing a complainant in the roadway. The suspect ignored the officers’ commands and approached with the machete towards the officers who attempted to back away. When the suspect raised the weapo"&amp;"n in a threatening manner and continued to advance on the officers, two officers shot the suspect multiple times. The suspect sustained non-life threatening injuries.")</f>
        <v>HPD officers encountered a suspect armed with a machete and chasing a complainant in the roadway. The suspect ignored the officers’ commands and approached with the machete towards the officers who attempted to back away. When the suspect raised the weapon in a threatening manner and continued to advance on the officers, two officers shot the suspect multiple times. The suspect sustained non-life threatening injuries.</v>
      </c>
      <c r="Q106" s="24"/>
      <c r="R106" s="24"/>
      <c r="S106" s="24"/>
      <c r="T106" s="24"/>
      <c r="U106" s="24"/>
      <c r="V106" s="24"/>
      <c r="W106" s="24"/>
      <c r="X106" s="24"/>
      <c r="Y106" s="24"/>
      <c r="Z106" s="24"/>
    </row>
    <row r="107" hidden="1">
      <c r="A107" s="29"/>
      <c r="B107" s="24"/>
      <c r="C107" s="24"/>
      <c r="D107" s="26"/>
      <c r="E107" s="26"/>
      <c r="F107" s="26"/>
      <c r="G107" s="26"/>
      <c r="H107" s="26"/>
      <c r="I107" s="27" t="str">
        <f>IFERROR(__xludf.DUMMYFUNCTION("""COMPUTED_VALUE"""),"M")</f>
        <v>M</v>
      </c>
      <c r="J107" s="27" t="str">
        <f>IFERROR(__xludf.DUMMYFUNCTION("""COMPUTED_VALUE"""),"H")</f>
        <v>H</v>
      </c>
      <c r="K107" s="27">
        <f>IFERROR(__xludf.DUMMYFUNCTION("""COMPUTED_VALUE"""),23.0)</f>
        <v>23</v>
      </c>
      <c r="L107" s="27" t="str">
        <f>IFERROR(__xludf.DUMMYFUNCTION("""COMPUTED_VALUE"""),"None")</f>
        <v>None</v>
      </c>
      <c r="M107" s="27" t="str">
        <f>IFERROR(__xludf.DUMMYFUNCTION("""COMPUTED_VALUE"""),"Y")</f>
        <v>Y</v>
      </c>
      <c r="N107" s="24"/>
      <c r="O107" s="24">
        <f>IFERROR(__xludf.DUMMYFUNCTION("""COMPUTED_VALUE"""),1.0)</f>
        <v>1</v>
      </c>
      <c r="P107" s="24"/>
      <c r="Q107" s="24"/>
      <c r="R107" s="24"/>
      <c r="S107" s="24"/>
      <c r="T107" s="24"/>
      <c r="U107" s="24"/>
      <c r="V107" s="24"/>
      <c r="W107" s="24"/>
      <c r="X107" s="24"/>
      <c r="Y107" s="24"/>
      <c r="Z107" s="24"/>
    </row>
    <row r="108">
      <c r="A108" s="29">
        <f>IFERROR(__xludf.DUMMYFUNCTION("""COMPUTED_VALUE"""),42852.0)</f>
        <v>42852</v>
      </c>
      <c r="B108" s="24">
        <f>IFERROR(__xludf.DUMMYFUNCTION("""COMPUTED_VALUE"""),5.2538517E7)</f>
        <v>52538517</v>
      </c>
      <c r="C108" s="24" t="str">
        <f>IFERROR(__xludf.DUMMYFUNCTION("""COMPUTED_VALUE"""),"15906 Blue Ridge")</f>
        <v>15906 Blue Ridge</v>
      </c>
      <c r="D108" s="26" t="str">
        <f>IFERROR(__xludf.DUMMYFUNCTION("""COMPUTED_VALUE"""),"M")</f>
        <v>M</v>
      </c>
      <c r="E108" s="26" t="str">
        <f>IFERROR(__xludf.DUMMYFUNCTION("""COMPUTED_VALUE"""),"B")</f>
        <v>B</v>
      </c>
      <c r="F108" s="26">
        <f>IFERROR(__xludf.DUMMYFUNCTION("""COMPUTED_VALUE"""),21.0)</f>
        <v>21</v>
      </c>
      <c r="G108" s="26" t="str">
        <f>IFERROR(__xludf.DUMMYFUNCTION("""COMPUTED_VALUE"""),"None")</f>
        <v>None</v>
      </c>
      <c r="H108" s="26" t="str">
        <f>IFERROR(__xludf.DUMMYFUNCTION("""COMPUTED_VALUE"""),"None")</f>
        <v>None</v>
      </c>
      <c r="I108" s="27" t="str">
        <f>IFERROR(__xludf.DUMMYFUNCTION("""COMPUTED_VALUE"""),"M")</f>
        <v>M</v>
      </c>
      <c r="J108" s="27" t="str">
        <f>IFERROR(__xludf.DUMMYFUNCTION("""COMPUTED_VALUE"""),"B")</f>
        <v>B</v>
      </c>
      <c r="K108" s="27">
        <f>IFERROR(__xludf.DUMMYFUNCTION("""COMPUTED_VALUE"""),34.0)</f>
        <v>34</v>
      </c>
      <c r="L108" s="27" t="str">
        <f>IFERROR(__xludf.DUMMYFUNCTION("""COMPUTED_VALUE"""),"None")</f>
        <v>None</v>
      </c>
      <c r="M108" s="27" t="str">
        <f>IFERROR(__xludf.DUMMYFUNCTION("""COMPUTED_VALUE"""),"Y")</f>
        <v>Y</v>
      </c>
      <c r="N108" s="24"/>
      <c r="O108" s="24">
        <f>IFERROR(__xludf.DUMMYFUNCTION("""COMPUTED_VALUE"""),1.0)</f>
        <v>1</v>
      </c>
      <c r="P108" s="28" t="str">
        <f>IFERROR(__xludf.DUMMYFUNCTION("""COMPUTED_VALUE"""),"During a car chase, a suspect pointed a firearm at the officer. The officer in fear of his life discharged his firearm at the suspect. As the car chase continued, the same suspect on several occasions fired upon the officer resulting in the officer discha"&amp;"rging his weapon. The officer eventually was able to stop the vehicle and take the suspects into custody. Neither the suspects nor the officer were injured.")</f>
        <v>During a car chase, a suspect pointed a firearm at the officer. The officer in fear of his life discharged his firearm at the suspect. As the car chase continued, the same suspect on several occasions fired upon the officer resulting in the officer discharging his weapon. The officer eventually was able to stop the vehicle and take the suspects into custody. Neither the suspects nor the officer were injured.</v>
      </c>
      <c r="Q108" s="24"/>
      <c r="R108" s="24"/>
      <c r="S108" s="24"/>
      <c r="T108" s="24"/>
      <c r="U108" s="24"/>
      <c r="V108" s="24"/>
      <c r="W108" s="24"/>
      <c r="X108" s="24"/>
      <c r="Y108" s="24"/>
      <c r="Z108" s="24"/>
    </row>
    <row r="109">
      <c r="A109" s="29"/>
      <c r="B109" s="24"/>
      <c r="C109" s="24"/>
      <c r="D109" s="26" t="str">
        <f>IFERROR(__xludf.DUMMYFUNCTION("""COMPUTED_VALUE"""),"M")</f>
        <v>M</v>
      </c>
      <c r="E109" s="26" t="str">
        <f>IFERROR(__xludf.DUMMYFUNCTION("""COMPUTED_VALUE"""),"B")</f>
        <v>B</v>
      </c>
      <c r="F109" s="26">
        <f>IFERROR(__xludf.DUMMYFUNCTION("""COMPUTED_VALUE"""),22.0)</f>
        <v>22</v>
      </c>
      <c r="G109" s="26" t="str">
        <f>IFERROR(__xludf.DUMMYFUNCTION("""COMPUTED_VALUE"""),"None")</f>
        <v>None</v>
      </c>
      <c r="H109" s="26" t="str">
        <f>IFERROR(__xludf.DUMMYFUNCTION("""COMPUTED_VALUE"""),"Firearm")</f>
        <v>Firearm</v>
      </c>
      <c r="I109" s="27"/>
      <c r="J109" s="27"/>
      <c r="K109" s="27"/>
      <c r="L109" s="27"/>
      <c r="M109" s="27"/>
      <c r="N109" s="24"/>
      <c r="O109" s="24"/>
      <c r="P109" s="28"/>
      <c r="Q109" s="24"/>
      <c r="R109" s="24"/>
      <c r="S109" s="24"/>
      <c r="T109" s="24"/>
      <c r="U109" s="24"/>
      <c r="V109" s="24"/>
      <c r="W109" s="24"/>
      <c r="X109" s="24"/>
      <c r="Y109" s="24"/>
      <c r="Z109" s="24"/>
    </row>
    <row r="110">
      <c r="A110" s="29">
        <f>IFERROR(__xludf.DUMMYFUNCTION("""COMPUTED_VALUE"""),42849.0)</f>
        <v>42849</v>
      </c>
      <c r="B110" s="24">
        <f>IFERROR(__xludf.DUMMYFUNCTION("""COMPUTED_VALUE"""),5.1362817E7)</f>
        <v>51362817</v>
      </c>
      <c r="C110" s="24" t="str">
        <f>IFERROR(__xludf.DUMMYFUNCTION("""COMPUTED_VALUE"""),"6902 Highway 6 N")</f>
        <v>6902 Highway 6 N</v>
      </c>
      <c r="D110" s="26" t="str">
        <f>IFERROR(__xludf.DUMMYFUNCTION("""COMPUTED_VALUE"""),"M")</f>
        <v>M</v>
      </c>
      <c r="E110" s="26" t="str">
        <f>IFERROR(__xludf.DUMMYFUNCTION("""COMPUTED_VALUE"""),"B")</f>
        <v>B</v>
      </c>
      <c r="F110" s="26">
        <f>IFERROR(__xludf.DUMMYFUNCTION("""COMPUTED_VALUE"""),18.0)</f>
        <v>18</v>
      </c>
      <c r="G110" s="26" t="str">
        <f>IFERROR(__xludf.DUMMYFUNCTION("""COMPUTED_VALUE"""),"None")</f>
        <v>None</v>
      </c>
      <c r="H110" s="26" t="str">
        <f>IFERROR(__xludf.DUMMYFUNCTION("""COMPUTED_VALUE"""),"None")</f>
        <v>None</v>
      </c>
      <c r="I110" s="27" t="str">
        <f>IFERROR(__xludf.DUMMYFUNCTION("""COMPUTED_VALUE"""),"M")</f>
        <v>M</v>
      </c>
      <c r="J110" s="27" t="str">
        <f>IFERROR(__xludf.DUMMYFUNCTION("""COMPUTED_VALUE"""),"W")</f>
        <v>W</v>
      </c>
      <c r="K110" s="27">
        <f>IFERROR(__xludf.DUMMYFUNCTION("""COMPUTED_VALUE"""),31.0)</f>
        <v>31</v>
      </c>
      <c r="L110" s="27" t="str">
        <f>IFERROR(__xludf.DUMMYFUNCTION("""COMPUTED_VALUE"""),"None")</f>
        <v>None</v>
      </c>
      <c r="M110" s="27" t="str">
        <f>IFERROR(__xludf.DUMMYFUNCTION("""COMPUTED_VALUE"""),"Y")</f>
        <v>Y</v>
      </c>
      <c r="N110" s="24"/>
      <c r="O110" s="24">
        <f>IFERROR(__xludf.DUMMYFUNCTION("""COMPUTED_VALUE"""),1.0)</f>
        <v>1</v>
      </c>
      <c r="P110" s="28" t="str">
        <f>IFERROR(__xludf.DUMMYFUNCTION("""COMPUTED_VALUE"""),"Officers observed several black males exit a vehicle, run into the Jack In The Box, and try to rob it. Officers attempted to intervene and stop the robbery. During the process, shots were fired at multiple armed suspects. One suspect was killed, two injur"&amp;"ed, and another was uninjured. No officers were injured during the incident.")</f>
        <v>Officers observed several black males exit a vehicle, run into the Jack In The Box, and try to rob it. Officers attempted to intervene and stop the robbery. During the process, shots were fired at multiple armed suspects. One suspect was killed, two injured, and another was uninjured. No officers were injured during the incident.</v>
      </c>
      <c r="Q110" s="24"/>
      <c r="R110" s="24"/>
      <c r="S110" s="24"/>
      <c r="T110" s="24"/>
      <c r="U110" s="24"/>
      <c r="V110" s="24"/>
      <c r="W110" s="24"/>
      <c r="X110" s="24"/>
      <c r="Y110" s="24"/>
      <c r="Z110" s="24"/>
    </row>
    <row r="111" hidden="1">
      <c r="A111" s="29"/>
      <c r="B111" s="24"/>
      <c r="C111" s="24"/>
      <c r="D111" s="26" t="str">
        <f>IFERROR(__xludf.DUMMYFUNCTION("""COMPUTED_VALUE"""),"Juvenile")</f>
        <v>Juvenile</v>
      </c>
      <c r="E111" s="26" t="str">
        <f>IFERROR(__xludf.DUMMYFUNCTION("""COMPUTED_VALUE"""),"Juvenile")</f>
        <v>Juvenile</v>
      </c>
      <c r="F111" s="26"/>
      <c r="G111" s="26" t="str">
        <f>IFERROR(__xludf.DUMMYFUNCTION("""COMPUTED_VALUE"""),"Wounded")</f>
        <v>Wounded</v>
      </c>
      <c r="H111" s="26" t="str">
        <f>IFERROR(__xludf.DUMMYFUNCTION("""COMPUTED_VALUE"""),"Unknown")</f>
        <v>Unknown</v>
      </c>
      <c r="I111" s="27" t="str">
        <f>IFERROR(__xludf.DUMMYFUNCTION("""COMPUTED_VALUE"""),"M")</f>
        <v>M</v>
      </c>
      <c r="J111" s="27" t="str">
        <f>IFERROR(__xludf.DUMMYFUNCTION("""COMPUTED_VALUE"""),"W")</f>
        <v>W</v>
      </c>
      <c r="K111" s="27">
        <f>IFERROR(__xludf.DUMMYFUNCTION("""COMPUTED_VALUE"""),57.0)</f>
        <v>57</v>
      </c>
      <c r="L111" s="27" t="str">
        <f>IFERROR(__xludf.DUMMYFUNCTION("""COMPUTED_VALUE"""),"None")</f>
        <v>None</v>
      </c>
      <c r="M111" s="27" t="str">
        <f>IFERROR(__xludf.DUMMYFUNCTION("""COMPUTED_VALUE"""),"Y")</f>
        <v>Y</v>
      </c>
      <c r="N111" s="24"/>
      <c r="O111" s="24">
        <f>IFERROR(__xludf.DUMMYFUNCTION("""COMPUTED_VALUE"""),1.0)</f>
        <v>1</v>
      </c>
      <c r="P111" s="28"/>
      <c r="Q111" s="24"/>
      <c r="R111" s="24"/>
      <c r="S111" s="24"/>
      <c r="T111" s="24"/>
      <c r="U111" s="24"/>
      <c r="V111" s="24"/>
      <c r="W111" s="24"/>
      <c r="X111" s="24"/>
      <c r="Y111" s="24"/>
      <c r="Z111" s="24"/>
    </row>
    <row r="112" hidden="1">
      <c r="A112" s="29"/>
      <c r="B112" s="24"/>
      <c r="C112" s="24"/>
      <c r="D112" s="26" t="str">
        <f>IFERROR(__xludf.DUMMYFUNCTION("""COMPUTED_VALUE"""),"Juvenile")</f>
        <v>Juvenile</v>
      </c>
      <c r="E112" s="26" t="str">
        <f>IFERROR(__xludf.DUMMYFUNCTION("""COMPUTED_VALUE"""),"Juvenile")</f>
        <v>Juvenile</v>
      </c>
      <c r="F112" s="26"/>
      <c r="G112" s="26" t="str">
        <f>IFERROR(__xludf.DUMMYFUNCTION("""COMPUTED_VALUE"""),"Wounded")</f>
        <v>Wounded</v>
      </c>
      <c r="H112" s="26" t="str">
        <f>IFERROR(__xludf.DUMMYFUNCTION("""COMPUTED_VALUE"""),"Firearm")</f>
        <v>Firearm</v>
      </c>
      <c r="I112" s="27" t="str">
        <f>IFERROR(__xludf.DUMMYFUNCTION("""COMPUTED_VALUE"""),"M")</f>
        <v>M</v>
      </c>
      <c r="J112" s="27" t="str">
        <f>IFERROR(__xludf.DUMMYFUNCTION("""COMPUTED_VALUE"""),"W")</f>
        <v>W</v>
      </c>
      <c r="K112" s="27">
        <f>IFERROR(__xludf.DUMMYFUNCTION("""COMPUTED_VALUE"""),49.0)</f>
        <v>49</v>
      </c>
      <c r="L112" s="27" t="str">
        <f>IFERROR(__xludf.DUMMYFUNCTION("""COMPUTED_VALUE"""),"None")</f>
        <v>None</v>
      </c>
      <c r="M112" s="27" t="str">
        <f>IFERROR(__xludf.DUMMYFUNCTION("""COMPUTED_VALUE"""),"Y")</f>
        <v>Y</v>
      </c>
      <c r="N112" s="24"/>
      <c r="O112" s="24">
        <f>IFERROR(__xludf.DUMMYFUNCTION("""COMPUTED_VALUE"""),1.0)</f>
        <v>1</v>
      </c>
      <c r="P112" s="28"/>
      <c r="Q112" s="24"/>
      <c r="R112" s="24"/>
      <c r="S112" s="24"/>
      <c r="T112" s="24"/>
      <c r="U112" s="24"/>
      <c r="V112" s="24"/>
      <c r="W112" s="24"/>
      <c r="X112" s="24"/>
      <c r="Y112" s="24"/>
      <c r="Z112" s="24"/>
    </row>
    <row r="113" hidden="1">
      <c r="A113" s="29"/>
      <c r="B113" s="24"/>
      <c r="C113" s="24"/>
      <c r="D113" s="26" t="str">
        <f>IFERROR(__xludf.DUMMYFUNCTION("""COMPUTED_VALUE"""),"Juvenile")</f>
        <v>Juvenile</v>
      </c>
      <c r="E113" s="26" t="str">
        <f>IFERROR(__xludf.DUMMYFUNCTION("""COMPUTED_VALUE"""),"Juvenile")</f>
        <v>Juvenile</v>
      </c>
      <c r="F113" s="26"/>
      <c r="G113" s="26" t="str">
        <f>IFERROR(__xludf.DUMMYFUNCTION("""COMPUTED_VALUE"""),"Killed")</f>
        <v>Killed</v>
      </c>
      <c r="H113" s="26" t="str">
        <f>IFERROR(__xludf.DUMMYFUNCTION("""COMPUTED_VALUE"""),"Pellet Gun")</f>
        <v>Pellet Gun</v>
      </c>
      <c r="I113" s="27"/>
      <c r="J113" s="27"/>
      <c r="K113" s="27"/>
      <c r="L113" s="27"/>
      <c r="M113" s="27"/>
      <c r="N113" s="24"/>
      <c r="O113" s="24"/>
      <c r="P113" s="24"/>
      <c r="Q113" s="24"/>
      <c r="R113" s="24"/>
      <c r="S113" s="24"/>
      <c r="T113" s="24"/>
      <c r="U113" s="24"/>
      <c r="V113" s="24"/>
      <c r="W113" s="24"/>
      <c r="X113" s="24"/>
      <c r="Y113" s="24"/>
      <c r="Z113" s="24"/>
    </row>
    <row r="114" hidden="1">
      <c r="A114" s="29">
        <f>IFERROR(__xludf.DUMMYFUNCTION("""COMPUTED_VALUE"""),42835.0)</f>
        <v>42835</v>
      </c>
      <c r="B114" s="24">
        <f>IFERROR(__xludf.DUMMYFUNCTION("""COMPUTED_VALUE"""),4.4960417E7)</f>
        <v>44960417</v>
      </c>
      <c r="C114" s="24" t="str">
        <f>IFERROR(__xludf.DUMMYFUNCTION("""COMPUTED_VALUE"""),"2600 Mayview Dr")</f>
        <v>2600 Mayview Dr</v>
      </c>
      <c r="D114" s="26" t="str">
        <f>IFERROR(__xludf.DUMMYFUNCTION("""COMPUTED_VALUE"""),"M")</f>
        <v>M</v>
      </c>
      <c r="E114" s="26" t="str">
        <f>IFERROR(__xludf.DUMMYFUNCTION("""COMPUTED_VALUE"""),"B")</f>
        <v>B</v>
      </c>
      <c r="F114" s="26">
        <f>IFERROR(__xludf.DUMMYFUNCTION("""COMPUTED_VALUE"""),39.0)</f>
        <v>39</v>
      </c>
      <c r="G114" s="26" t="str">
        <f>IFERROR(__xludf.DUMMYFUNCTION("""COMPUTED_VALUE"""),"Killed")</f>
        <v>Killed</v>
      </c>
      <c r="H114" s="26" t="str">
        <f>IFERROR(__xludf.DUMMYFUNCTION("""COMPUTED_VALUE"""),"Firearm")</f>
        <v>Firearm</v>
      </c>
      <c r="I114" s="27" t="str">
        <f>IFERROR(__xludf.DUMMYFUNCTION("""COMPUTED_VALUE"""),"M")</f>
        <v>M</v>
      </c>
      <c r="J114" s="27" t="str">
        <f>IFERROR(__xludf.DUMMYFUNCTION("""COMPUTED_VALUE"""),"W")</f>
        <v>W</v>
      </c>
      <c r="K114" s="27">
        <f>IFERROR(__xludf.DUMMYFUNCTION("""COMPUTED_VALUE"""),31.0)</f>
        <v>31</v>
      </c>
      <c r="L114" s="27" t="str">
        <f>IFERROR(__xludf.DUMMYFUNCTION("""COMPUTED_VALUE"""),"None")</f>
        <v>None</v>
      </c>
      <c r="M114" s="27" t="str">
        <f>IFERROR(__xludf.DUMMYFUNCTION("""COMPUTED_VALUE"""),"Y")</f>
        <v>Y</v>
      </c>
      <c r="N114" s="24"/>
      <c r="O114" s="24">
        <f>IFERROR(__xludf.DUMMYFUNCTION("""COMPUTED_VALUE"""),1.0)</f>
        <v>1</v>
      </c>
      <c r="P114" s="24" t="str">
        <f>IFERROR(__xludf.DUMMYFUNCTION("""COMPUTED_VALUE"""),"An officer requested the suspect to exit the vehicle. A struggled ensued and the suspect grabbed for a firearm at his waist at which point the officer shot the suspect who was later pronounced deceased.")</f>
        <v>An officer requested the suspect to exit the vehicle. A struggled ensued and the suspect grabbed for a firearm at his waist at which point the officer shot the suspect who was later pronounced deceased.</v>
      </c>
      <c r="Q114" s="24"/>
      <c r="R114" s="24"/>
      <c r="S114" s="24"/>
      <c r="T114" s="24"/>
      <c r="U114" s="24"/>
      <c r="V114" s="24"/>
      <c r="W114" s="24"/>
      <c r="X114" s="24"/>
      <c r="Y114" s="24"/>
      <c r="Z114" s="24"/>
    </row>
    <row r="115" hidden="1">
      <c r="A115" s="29">
        <f>IFERROR(__xludf.DUMMYFUNCTION("""COMPUTED_VALUE"""),42817.0)</f>
        <v>42817</v>
      </c>
      <c r="B115" s="24">
        <f>IFERROR(__xludf.DUMMYFUNCTION("""COMPUTED_VALUE"""),3.6699917E7)</f>
        <v>36699917</v>
      </c>
      <c r="C115" s="24" t="str">
        <f>IFERROR(__xludf.DUMMYFUNCTION("""COMPUTED_VALUE"""),"7600 East Houston Rd")</f>
        <v>7600 East Houston Rd</v>
      </c>
      <c r="D115" s="26" t="str">
        <f>IFERROR(__xludf.DUMMYFUNCTION("""COMPUTED_VALUE"""),"M")</f>
        <v>M</v>
      </c>
      <c r="E115" s="26" t="str">
        <f>IFERROR(__xludf.DUMMYFUNCTION("""COMPUTED_VALUE"""),"B")</f>
        <v>B</v>
      </c>
      <c r="F115" s="26">
        <f>IFERROR(__xludf.DUMMYFUNCTION("""COMPUTED_VALUE"""),36.0)</f>
        <v>36</v>
      </c>
      <c r="G115" s="26" t="str">
        <f>IFERROR(__xludf.DUMMYFUNCTION("""COMPUTED_VALUE"""),"Wounded")</f>
        <v>Wounded</v>
      </c>
      <c r="H115" s="26" t="str">
        <f>IFERROR(__xludf.DUMMYFUNCTION("""COMPUTED_VALUE"""),"Firearm")</f>
        <v>Firearm</v>
      </c>
      <c r="I115" s="27" t="str">
        <f>IFERROR(__xludf.DUMMYFUNCTION("""COMPUTED_VALUE"""),"M")</f>
        <v>M</v>
      </c>
      <c r="J115" s="27" t="str">
        <f>IFERROR(__xludf.DUMMYFUNCTION("""COMPUTED_VALUE"""),"W")</f>
        <v>W</v>
      </c>
      <c r="K115" s="27">
        <f>IFERROR(__xludf.DUMMYFUNCTION("""COMPUTED_VALUE"""),34.0)</f>
        <v>34</v>
      </c>
      <c r="L115" s="27" t="str">
        <f>IFERROR(__xludf.DUMMYFUNCTION("""COMPUTED_VALUE"""),"None")</f>
        <v>None</v>
      </c>
      <c r="M115" s="27" t="str">
        <f>IFERROR(__xludf.DUMMYFUNCTION("""COMPUTED_VALUE"""),"Y")</f>
        <v>Y</v>
      </c>
      <c r="N115" s="24"/>
      <c r="O115" s="24"/>
      <c r="P115" s="28" t="str">
        <f>IFERROR(__xludf.DUMMYFUNCTION("""COMPUTED_VALUE"""),"Officers arrived on scene and the suspect fired a round at both officers. Fearing for their lives, both officers discharged their duty weapons at the suspect. The suspect then fired a second round while walking toward them. Officers discharged additional "&amp;"rounds at the defendant, striking him two or three times in the torso area. The suspect was taken into surgery, in critical, but stable condition.")</f>
        <v>Officers arrived on scene and the suspect fired a round at both officers. Fearing for their lives, both officers discharged their duty weapons at the suspect. The suspect then fired a second round while walking toward them. Officers discharged additional rounds at the defendant, striking him two or three times in the torso area. The suspect was taken into surgery, in critical, but stable condition.</v>
      </c>
      <c r="Q115" s="24"/>
      <c r="R115" s="24"/>
      <c r="S115" s="24"/>
      <c r="T115" s="24"/>
      <c r="U115" s="24"/>
      <c r="V115" s="24"/>
      <c r="W115" s="24"/>
      <c r="X115" s="24"/>
      <c r="Y115" s="24"/>
      <c r="Z115" s="24"/>
    </row>
    <row r="116" hidden="1">
      <c r="A116" s="29"/>
      <c r="B116" s="24"/>
      <c r="C116" s="24"/>
      <c r="D116" s="26"/>
      <c r="E116" s="26"/>
      <c r="F116" s="26"/>
      <c r="G116" s="26"/>
      <c r="H116" s="26"/>
      <c r="I116" s="27" t="str">
        <f>IFERROR(__xludf.DUMMYFUNCTION("""COMPUTED_VALUE"""),"M")</f>
        <v>M</v>
      </c>
      <c r="J116" s="27" t="str">
        <f>IFERROR(__xludf.DUMMYFUNCTION("""COMPUTED_VALUE"""),"H")</f>
        <v>H</v>
      </c>
      <c r="K116" s="27">
        <f>IFERROR(__xludf.DUMMYFUNCTION("""COMPUTED_VALUE"""),31.0)</f>
        <v>31</v>
      </c>
      <c r="L116" s="27" t="str">
        <f>IFERROR(__xludf.DUMMYFUNCTION("""COMPUTED_VALUE"""),"None")</f>
        <v>None</v>
      </c>
      <c r="M116" s="27" t="str">
        <f>IFERROR(__xludf.DUMMYFUNCTION("""COMPUTED_VALUE"""),"Y")</f>
        <v>Y</v>
      </c>
      <c r="N116" s="24"/>
      <c r="O116" s="24"/>
      <c r="P116" s="24"/>
      <c r="Q116" s="24"/>
      <c r="R116" s="24"/>
      <c r="S116" s="24"/>
      <c r="T116" s="24"/>
      <c r="U116" s="24"/>
      <c r="V116" s="24"/>
      <c r="W116" s="24"/>
      <c r="X116" s="24"/>
      <c r="Y116" s="24"/>
      <c r="Z116" s="24"/>
    </row>
    <row r="117" hidden="1">
      <c r="A117" s="29">
        <f>IFERROR(__xludf.DUMMYFUNCTION("""COMPUTED_VALUE"""),42804.0)</f>
        <v>42804</v>
      </c>
      <c r="B117" s="24">
        <f>IFERROR(__xludf.DUMMYFUNCTION("""COMPUTED_VALUE"""),3.0911117E7)</f>
        <v>30911117</v>
      </c>
      <c r="C117" s="24" t="str">
        <f>IFERROR(__xludf.DUMMYFUNCTION("""COMPUTED_VALUE"""),"7800 N LOOP E")</f>
        <v>7800 N LOOP E</v>
      </c>
      <c r="D117" s="26" t="str">
        <f>IFERROR(__xludf.DUMMYFUNCTION("""COMPUTED_VALUE"""),"M")</f>
        <v>M</v>
      </c>
      <c r="E117" s="26" t="str">
        <f>IFERROR(__xludf.DUMMYFUNCTION("""COMPUTED_VALUE"""),"B")</f>
        <v>B</v>
      </c>
      <c r="F117" s="26">
        <f>IFERROR(__xludf.DUMMYFUNCTION("""COMPUTED_VALUE"""),26.0)</f>
        <v>26</v>
      </c>
      <c r="G117" s="26" t="str">
        <f>IFERROR(__xludf.DUMMYFUNCTION("""COMPUTED_VALUE"""),"Wounded")</f>
        <v>Wounded</v>
      </c>
      <c r="H117" s="26" t="str">
        <f>IFERROR(__xludf.DUMMYFUNCTION("""COMPUTED_VALUE"""),"Unknown")</f>
        <v>Unknown</v>
      </c>
      <c r="I117" s="27" t="str">
        <f>IFERROR(__xludf.DUMMYFUNCTION("""COMPUTED_VALUE"""),"M")</f>
        <v>M</v>
      </c>
      <c r="J117" s="27" t="str">
        <f>IFERROR(__xludf.DUMMYFUNCTION("""COMPUTED_VALUE"""),"H")</f>
        <v>H</v>
      </c>
      <c r="K117" s="27">
        <f>IFERROR(__xludf.DUMMYFUNCTION("""COMPUTED_VALUE"""),36.0)</f>
        <v>36</v>
      </c>
      <c r="L117" s="27" t="str">
        <f>IFERROR(__xludf.DUMMYFUNCTION("""COMPUTED_VALUE"""),"None")</f>
        <v>None</v>
      </c>
      <c r="M117" s="27" t="str">
        <f>IFERROR(__xludf.DUMMYFUNCTION("""COMPUTED_VALUE"""),"N")</f>
        <v>N</v>
      </c>
      <c r="N117" s="24"/>
      <c r="O117" s="24">
        <f>IFERROR(__xludf.DUMMYFUNCTION("""COMPUTED_VALUE"""),1.0)</f>
        <v>1</v>
      </c>
      <c r="P117" s="28" t="str">
        <f>IFERROR(__xludf.DUMMYFUNCTION("""COMPUTED_VALUE"""),"A police officer became involved in a vehicle pursuit with a suspect who snatched a women’s purse. On two separate occasions the suspect raised his hands with something in them. The officer in fear of his life discharged his firearm on both occasions. The"&amp;" suspect fled the area and was later located at a hospital with multiple gunshot wounds. A second suspect with an unknown injury arrived at the hospital with the initial suspect but fled as officered arrived for questioning.")</f>
        <v>A police officer became involved in a vehicle pursuit with a suspect who snatched a women’s purse. On two separate occasions the suspect raised his hands with something in them. The officer in fear of his life discharged his firearm on both occasions. The suspect fled the area and was later located at a hospital with multiple gunshot wounds. A second suspect with an unknown injury arrived at the hospital with the initial suspect but fled as officered arrived for questioning.</v>
      </c>
      <c r="Q117" s="24"/>
      <c r="R117" s="24"/>
      <c r="S117" s="24"/>
      <c r="T117" s="24"/>
      <c r="U117" s="24"/>
      <c r="V117" s="24"/>
      <c r="W117" s="24"/>
      <c r="X117" s="24"/>
      <c r="Y117" s="24"/>
      <c r="Z117" s="24"/>
    </row>
    <row r="118" hidden="1">
      <c r="A118" s="29"/>
      <c r="B118" s="24"/>
      <c r="C118" s="24"/>
      <c r="D118" s="26" t="str">
        <f>IFERROR(__xludf.DUMMYFUNCTION("""COMPUTED_VALUE"""),"M")</f>
        <v>M</v>
      </c>
      <c r="E118" s="26" t="str">
        <f>IFERROR(__xludf.DUMMYFUNCTION("""COMPUTED_VALUE"""),"B")</f>
        <v>B</v>
      </c>
      <c r="F118" s="26">
        <f>IFERROR(__xludf.DUMMYFUNCTION("""COMPUTED_VALUE"""),27.0)</f>
        <v>27</v>
      </c>
      <c r="G118" s="26" t="str">
        <f>IFERROR(__xludf.DUMMYFUNCTION("""COMPUTED_VALUE"""),"Wounded")</f>
        <v>Wounded</v>
      </c>
      <c r="H118" s="26" t="str">
        <f>IFERROR(__xludf.DUMMYFUNCTION("""COMPUTED_VALUE"""),"Unknown")</f>
        <v>Unknown</v>
      </c>
      <c r="I118" s="27"/>
      <c r="J118" s="27"/>
      <c r="K118" s="27"/>
      <c r="L118" s="27"/>
      <c r="M118" s="27"/>
      <c r="N118" s="24"/>
      <c r="O118" s="24"/>
      <c r="P118" s="28"/>
      <c r="Q118" s="24"/>
      <c r="R118" s="24"/>
      <c r="S118" s="24"/>
      <c r="T118" s="24"/>
      <c r="U118" s="24"/>
      <c r="V118" s="24"/>
      <c r="W118" s="24"/>
      <c r="X118" s="24"/>
      <c r="Y118" s="24"/>
      <c r="Z118" s="24"/>
    </row>
    <row r="119" hidden="1">
      <c r="A119" s="29">
        <f>IFERROR(__xludf.DUMMYFUNCTION("""COMPUTED_VALUE"""),42794.0)</f>
        <v>42794</v>
      </c>
      <c r="B119" s="24">
        <f>IFERROR(__xludf.DUMMYFUNCTION("""COMPUTED_VALUE"""),2.6218717E7)</f>
        <v>26218717</v>
      </c>
      <c r="C119" s="24" t="str">
        <f>IFERROR(__xludf.DUMMYFUNCTION("""COMPUTED_VALUE"""),"8710 Sterlingame Dr.")</f>
        <v>8710 Sterlingame Dr.</v>
      </c>
      <c r="D119" s="26" t="str">
        <f>IFERROR(__xludf.DUMMYFUNCTION("""COMPUTED_VALUE"""),"M")</f>
        <v>M</v>
      </c>
      <c r="E119" s="26" t="str">
        <f>IFERROR(__xludf.DUMMYFUNCTION("""COMPUTED_VALUE"""),"B")</f>
        <v>B</v>
      </c>
      <c r="F119" s="26">
        <f>IFERROR(__xludf.DUMMYFUNCTION("""COMPUTED_VALUE"""),25.0)</f>
        <v>25</v>
      </c>
      <c r="G119" s="26" t="str">
        <f>IFERROR(__xludf.DUMMYFUNCTION("""COMPUTED_VALUE"""),"Killed")</f>
        <v>Killed</v>
      </c>
      <c r="H119" s="26" t="str">
        <f>IFERROR(__xludf.DUMMYFUNCTION("""COMPUTED_VALUE"""),"Firearm")</f>
        <v>Firearm</v>
      </c>
      <c r="I119" s="27" t="str">
        <f>IFERROR(__xludf.DUMMYFUNCTION("""COMPUTED_VALUE"""),"M")</f>
        <v>M</v>
      </c>
      <c r="J119" s="27" t="str">
        <f>IFERROR(__xludf.DUMMYFUNCTION("""COMPUTED_VALUE"""),"H")</f>
        <v>H</v>
      </c>
      <c r="K119" s="27">
        <f>IFERROR(__xludf.DUMMYFUNCTION("""COMPUTED_VALUE"""),47.0)</f>
        <v>47</v>
      </c>
      <c r="L119" s="27" t="str">
        <f>IFERROR(__xludf.DUMMYFUNCTION("""COMPUTED_VALUE"""),"None")</f>
        <v>None</v>
      </c>
      <c r="M119" s="27" t="str">
        <f>IFERROR(__xludf.DUMMYFUNCTION("""COMPUTED_VALUE"""),"Y")</f>
        <v>Y</v>
      </c>
      <c r="N119" s="24"/>
      <c r="O119" s="24">
        <f>IFERROR(__xludf.DUMMYFUNCTION("""COMPUTED_VALUE"""),1.0)</f>
        <v>1</v>
      </c>
      <c r="P119" s="24" t="str">
        <f>IFERROR(__xludf.DUMMYFUNCTION("""COMPUTED_VALUE"""),"Officers were given verbal consent to check a homeowner’s shed regarding a possible burglary in progress. Upon gaining access into the shed, officers gave verbal commands to the suspect to exit but he did not comply. While attempting to detain the suspect"&amp;", a struggle ensued and gunfire erupted between the officers and the suspect. Both officers sustained gunshot wound injuries. The suspect sustained multiple gunshot wounds and was pronounced dead at the scene.")</f>
        <v>Officers were given verbal consent to check a homeowner’s shed regarding a possible burglary in progress. Upon gaining access into the shed, officers gave verbal commands to the suspect to exit but he did not comply. While attempting to detain the suspect, a struggle ensued and gunfire erupted between the officers and the suspect. Both officers sustained gunshot wound injuries. The suspect sustained multiple gunshot wounds and was pronounced dead at the scene.</v>
      </c>
      <c r="Q119" s="24"/>
      <c r="R119" s="24"/>
      <c r="S119" s="24"/>
      <c r="T119" s="24"/>
      <c r="U119" s="24"/>
      <c r="V119" s="24"/>
      <c r="W119" s="24"/>
      <c r="X119" s="24"/>
      <c r="Y119" s="24"/>
      <c r="Z119" s="24"/>
    </row>
    <row r="120" hidden="1">
      <c r="A120" s="29"/>
      <c r="B120" s="24"/>
      <c r="C120" s="24"/>
      <c r="D120" s="26"/>
      <c r="E120" s="26"/>
      <c r="F120" s="26"/>
      <c r="G120" s="26"/>
      <c r="H120" s="26"/>
      <c r="I120" s="27" t="str">
        <f>IFERROR(__xludf.DUMMYFUNCTION("""COMPUTED_VALUE"""),"M")</f>
        <v>M</v>
      </c>
      <c r="J120" s="27" t="str">
        <f>IFERROR(__xludf.DUMMYFUNCTION("""COMPUTED_VALUE"""),"H")</f>
        <v>H</v>
      </c>
      <c r="K120" s="27">
        <f>IFERROR(__xludf.DUMMYFUNCTION("""COMPUTED_VALUE"""),35.0)</f>
        <v>35</v>
      </c>
      <c r="L120" s="27" t="str">
        <f>IFERROR(__xludf.DUMMYFUNCTION("""COMPUTED_VALUE"""),"Wounded")</f>
        <v>Wounded</v>
      </c>
      <c r="M120" s="27" t="str">
        <f>IFERROR(__xludf.DUMMYFUNCTION("""COMPUTED_VALUE"""),"Y")</f>
        <v>Y</v>
      </c>
      <c r="N120" s="24"/>
      <c r="O120" s="24"/>
      <c r="P120" s="24"/>
      <c r="Q120" s="24"/>
      <c r="R120" s="24"/>
      <c r="S120" s="24"/>
      <c r="T120" s="24"/>
      <c r="U120" s="24"/>
      <c r="V120" s="24"/>
      <c r="W120" s="24"/>
      <c r="X120" s="24"/>
      <c r="Y120" s="24"/>
      <c r="Z120" s="24"/>
    </row>
    <row r="121" hidden="1">
      <c r="A121" s="29">
        <f>IFERROR(__xludf.DUMMYFUNCTION("""COMPUTED_VALUE"""),42782.0)</f>
        <v>42782</v>
      </c>
      <c r="B121" s="24">
        <f>IFERROR(__xludf.DUMMYFUNCTION("""COMPUTED_VALUE"""),2.0859317E7)</f>
        <v>20859317</v>
      </c>
      <c r="C121" s="24" t="str">
        <f>IFERROR(__xludf.DUMMYFUNCTION("""COMPUTED_VALUE"""),"Protected By Law")</f>
        <v>Protected By Law</v>
      </c>
      <c r="D121" s="26" t="str">
        <f>IFERROR(__xludf.DUMMYFUNCTION("""COMPUTED_VALUE"""),"M")</f>
        <v>M</v>
      </c>
      <c r="E121" s="26" t="str">
        <f>IFERROR(__xludf.DUMMYFUNCTION("""COMPUTED_VALUE"""),"B")</f>
        <v>B</v>
      </c>
      <c r="F121" s="26">
        <f>IFERROR(__xludf.DUMMYFUNCTION("""COMPUTED_VALUE"""),42.0)</f>
        <v>42</v>
      </c>
      <c r="G121" s="26" t="str">
        <f>IFERROR(__xludf.DUMMYFUNCTION("""COMPUTED_VALUE"""),"Wounded")</f>
        <v>Wounded</v>
      </c>
      <c r="H121" s="26" t="str">
        <f>IFERROR(__xludf.DUMMYFUNCTION("""COMPUTED_VALUE"""),"Tuning fork")</f>
        <v>Tuning fork</v>
      </c>
      <c r="I121" s="27" t="str">
        <f>IFERROR(__xludf.DUMMYFUNCTION("""COMPUTED_VALUE"""),"M")</f>
        <v>M</v>
      </c>
      <c r="J121" s="27" t="str">
        <f>IFERROR(__xludf.DUMMYFUNCTION("""COMPUTED_VALUE"""),"B")</f>
        <v>B</v>
      </c>
      <c r="K121" s="27">
        <f>IFERROR(__xludf.DUMMYFUNCTION("""COMPUTED_VALUE"""),47.0)</f>
        <v>47</v>
      </c>
      <c r="L121" s="27" t="str">
        <f>IFERROR(__xludf.DUMMYFUNCTION("""COMPUTED_VALUE"""),"None")</f>
        <v>None</v>
      </c>
      <c r="M121" s="27" t="str">
        <f>IFERROR(__xludf.DUMMYFUNCTION("""COMPUTED_VALUE"""),"N")</f>
        <v>N</v>
      </c>
      <c r="N121" s="24"/>
      <c r="O121" s="24">
        <f>IFERROR(__xludf.DUMMYFUNCTION("""COMPUTED_VALUE"""),1.0)</f>
        <v>1</v>
      </c>
      <c r="P121" s="28" t="str">
        <f>IFERROR(__xludf.DUMMYFUNCTION("""COMPUTED_VALUE"""),"An officer responding to a burglary at his residence and observed the suspect walking approximately one block from his residence carrying personal items that appeared to belong to the officer. A physical altercation ensued and the suspect brandished a sil"&amp;"ver steel object and the officer, in fear of his life, fired his weapon striking the suspect.")</f>
        <v>An officer responding to a burglary at his residence and observed the suspect walking approximately one block from his residence carrying personal items that appeared to belong to the officer. A physical altercation ensued and the suspect brandished a silver steel object and the officer, in fear of his life, fired his weapon striking the suspect.</v>
      </c>
      <c r="Q121" s="24"/>
      <c r="R121" s="24"/>
      <c r="S121" s="24"/>
      <c r="T121" s="24"/>
      <c r="U121" s="24"/>
      <c r="V121" s="24"/>
      <c r="W121" s="24"/>
      <c r="X121" s="24"/>
      <c r="Y121" s="24"/>
      <c r="Z121" s="24"/>
    </row>
    <row r="122">
      <c r="A122" s="29">
        <f>IFERROR(__xludf.DUMMYFUNCTION("""COMPUTED_VALUE"""),42757.0)</f>
        <v>42757</v>
      </c>
      <c r="B122" s="24">
        <f>IFERROR(__xludf.DUMMYFUNCTION("""COMPUTED_VALUE"""),9641917.0)</f>
        <v>9641917</v>
      </c>
      <c r="C122" s="24" t="str">
        <f>IFERROR(__xludf.DUMMYFUNCTION("""COMPUTED_VALUE"""),"15950 SW FWY")</f>
        <v>15950 SW FWY</v>
      </c>
      <c r="D122" s="26" t="str">
        <f>IFERROR(__xludf.DUMMYFUNCTION("""COMPUTED_VALUE"""),"M")</f>
        <v>M</v>
      </c>
      <c r="E122" s="26" t="str">
        <f>IFERROR(__xludf.DUMMYFUNCTION("""COMPUTED_VALUE"""),"H")</f>
        <v>H</v>
      </c>
      <c r="F122" s="26"/>
      <c r="G122" s="26" t="str">
        <f>IFERROR(__xludf.DUMMYFUNCTION("""COMPUTED_VALUE"""),"Unknown")</f>
        <v>Unknown</v>
      </c>
      <c r="H122" s="26" t="str">
        <f>IFERROR(__xludf.DUMMYFUNCTION("""COMPUTED_VALUE"""),"Firearm")</f>
        <v>Firearm</v>
      </c>
      <c r="I122" s="27" t="str">
        <f>IFERROR(__xludf.DUMMYFUNCTION("""COMPUTED_VALUE"""),"M")</f>
        <v>M</v>
      </c>
      <c r="J122" s="27" t="str">
        <f>IFERROR(__xludf.DUMMYFUNCTION("""COMPUTED_VALUE"""),"B")</f>
        <v>B</v>
      </c>
      <c r="K122" s="27">
        <f>IFERROR(__xludf.DUMMYFUNCTION("""COMPUTED_VALUE"""),47.0)</f>
        <v>47</v>
      </c>
      <c r="L122" s="27" t="str">
        <f>IFERROR(__xludf.DUMMYFUNCTION("""COMPUTED_VALUE"""),"None")</f>
        <v>None</v>
      </c>
      <c r="M122" s="27" t="str">
        <f>IFERROR(__xludf.DUMMYFUNCTION("""COMPUTED_VALUE"""),"N")</f>
        <v>N</v>
      </c>
      <c r="N122" s="24"/>
      <c r="O122" s="24">
        <f>IFERROR(__xludf.DUMMYFUNCTION("""COMPUTED_VALUE"""),1.0)</f>
        <v>1</v>
      </c>
      <c r="P122" s="28" t="str">
        <f>IFERROR(__xludf.DUMMYFUNCTION("""COMPUTED_VALUE"""),"As an officer was driving his personal car, his vehicle was struck by another motorist. Shortly after the collision, the other motorist produced a firearm while both vehicles were stuck in traffic. The HPD officer perceived a deadly threat and discharged "&amp;"his firearm once at the suspect’s vehicle. It is not known if the suspect was struck since he fled.")</f>
        <v>As an officer was driving his personal car, his vehicle was struck by another motorist. Shortly after the collision, the other motorist produced a firearm while both vehicles were stuck in traffic. The HPD officer perceived a deadly threat and discharged his firearm once at the suspect’s vehicle. It is not known if the suspect was struck since he fled.</v>
      </c>
      <c r="Q122" s="24"/>
      <c r="R122" s="24"/>
      <c r="S122" s="24"/>
      <c r="T122" s="24"/>
      <c r="U122" s="24"/>
      <c r="V122" s="24"/>
      <c r="W122" s="24"/>
      <c r="X122" s="24"/>
      <c r="Y122" s="24"/>
      <c r="Z122" s="24"/>
    </row>
    <row r="123" hidden="1">
      <c r="A123" s="29">
        <f>IFERROR(__xludf.DUMMYFUNCTION("""COMPUTED_VALUE"""),42711.0)</f>
        <v>42711</v>
      </c>
      <c r="B123" s="24">
        <f>IFERROR(__xludf.DUMMYFUNCTION("""COMPUTED_VALUE"""),1.55214316E8)</f>
        <v>155214316</v>
      </c>
      <c r="C123" s="24" t="str">
        <f>IFERROR(__xludf.DUMMYFUNCTION("""COMPUTED_VALUE"""),"16250 Imperial Valley Dr.")</f>
        <v>16250 Imperial Valley Dr.</v>
      </c>
      <c r="D123" s="26" t="str">
        <f>IFERROR(__xludf.DUMMYFUNCTION("""COMPUTED_VALUE"""),"M")</f>
        <v>M</v>
      </c>
      <c r="E123" s="26" t="str">
        <f>IFERROR(__xludf.DUMMYFUNCTION("""COMPUTED_VALUE"""),"B")</f>
        <v>B</v>
      </c>
      <c r="F123" s="26">
        <f>IFERROR(__xludf.DUMMYFUNCTION("""COMPUTED_VALUE"""),37.0)</f>
        <v>37</v>
      </c>
      <c r="G123" s="26" t="str">
        <f>IFERROR(__xludf.DUMMYFUNCTION("""COMPUTED_VALUE"""),"Killed")</f>
        <v>Killed</v>
      </c>
      <c r="H123" s="26" t="str">
        <f>IFERROR(__xludf.DUMMYFUNCTION("""COMPUTED_VALUE"""),"Firearm")</f>
        <v>Firearm</v>
      </c>
      <c r="I123" s="27" t="str">
        <f>IFERROR(__xludf.DUMMYFUNCTION("""COMPUTED_VALUE"""),"M")</f>
        <v>M</v>
      </c>
      <c r="J123" s="27" t="str">
        <f>IFERROR(__xludf.DUMMYFUNCTION("""COMPUTED_VALUE"""),"H")</f>
        <v>H</v>
      </c>
      <c r="K123" s="27">
        <f>IFERROR(__xludf.DUMMYFUNCTION("""COMPUTED_VALUE"""),43.0)</f>
        <v>43</v>
      </c>
      <c r="L123" s="27" t="str">
        <f>IFERROR(__xludf.DUMMYFUNCTION("""COMPUTED_VALUE"""),"None")</f>
        <v>None</v>
      </c>
      <c r="M123" s="27" t="str">
        <f>IFERROR(__xludf.DUMMYFUNCTION("""COMPUTED_VALUE"""),"Y")</f>
        <v>Y</v>
      </c>
      <c r="N123" s="24"/>
      <c r="O123" s="24">
        <f>IFERROR(__xludf.DUMMYFUNCTION("""COMPUTED_VALUE"""),1.0)</f>
        <v>1</v>
      </c>
      <c r="P123" s="24" t="str">
        <f>IFERROR(__xludf.DUMMYFUNCTION("""COMPUTED_VALUE"""),"Officers were conducting a surveillance operation where suspects were believed to have planned an armored car robbery. As officers attempted to arrest one of the suspects, the suspect exited his vehicle with a long rife. In fear of his life, the officer s"&amp;"hot the suspect who was later pronounced dead at the hospital.")</f>
        <v>Officers were conducting a surveillance operation where suspects were believed to have planned an armored car robbery. As officers attempted to arrest one of the suspects, the suspect exited his vehicle with a long rife. In fear of his life, the officer shot the suspect who was later pronounced dead at the hospital.</v>
      </c>
      <c r="Q123" s="24"/>
      <c r="R123" s="24"/>
      <c r="S123" s="24"/>
      <c r="T123" s="24"/>
      <c r="U123" s="24"/>
      <c r="V123" s="24"/>
      <c r="W123" s="24"/>
      <c r="X123" s="24"/>
      <c r="Y123" s="24"/>
      <c r="Z123" s="24"/>
    </row>
    <row r="124" hidden="1">
      <c r="A124" s="29"/>
      <c r="B124" s="24"/>
      <c r="C124" s="24"/>
      <c r="D124" s="26"/>
      <c r="E124" s="26"/>
      <c r="F124" s="26"/>
      <c r="G124" s="26"/>
      <c r="H124" s="26"/>
      <c r="I124" s="27"/>
      <c r="J124" s="27"/>
      <c r="K124" s="27"/>
      <c r="L124" s="27"/>
      <c r="M124" s="27"/>
      <c r="N124" s="24"/>
      <c r="O124" s="24"/>
      <c r="P124" s="24"/>
      <c r="Q124" s="24"/>
      <c r="R124" s="24"/>
      <c r="S124" s="24"/>
      <c r="T124" s="24"/>
      <c r="U124" s="24"/>
      <c r="V124" s="24"/>
      <c r="W124" s="24"/>
      <c r="X124" s="24"/>
      <c r="Y124" s="24"/>
      <c r="Z124" s="24"/>
    </row>
    <row r="125">
      <c r="A125" s="29"/>
      <c r="B125" s="24"/>
      <c r="C125" s="24"/>
      <c r="D125" s="26" t="str">
        <f>IFERROR(__xludf.DUMMYFUNCTION("""COMPUTED_VALUE"""),"M")</f>
        <v>M</v>
      </c>
      <c r="E125" s="26" t="str">
        <f>IFERROR(__xludf.DUMMYFUNCTION("""COMPUTED_VALUE"""),"B")</f>
        <v>B</v>
      </c>
      <c r="F125" s="26">
        <f>IFERROR(__xludf.DUMMYFUNCTION("""COMPUTED_VALUE"""),29.0)</f>
        <v>29</v>
      </c>
      <c r="G125" s="26" t="str">
        <f>IFERROR(__xludf.DUMMYFUNCTION("""COMPUTED_VALUE"""),"None")</f>
        <v>None</v>
      </c>
      <c r="H125" s="26" t="str">
        <f>IFERROR(__xludf.DUMMYFUNCTION("""COMPUTED_VALUE"""),"Firearm")</f>
        <v>Firearm</v>
      </c>
      <c r="I125" s="27" t="str">
        <f>IFERROR(__xludf.DUMMYFUNCTION("""COMPUTED_VALUE"""),"M")</f>
        <v>M</v>
      </c>
      <c r="J125" s="27" t="str">
        <f>IFERROR(__xludf.DUMMYFUNCTION("""COMPUTED_VALUE"""),"H")</f>
        <v>H</v>
      </c>
      <c r="K125" s="27">
        <f>IFERROR(__xludf.DUMMYFUNCTION("""COMPUTED_VALUE"""),43.0)</f>
        <v>43</v>
      </c>
      <c r="L125" s="27" t="str">
        <f>IFERROR(__xludf.DUMMYFUNCTION("""COMPUTED_VALUE"""),"None")</f>
        <v>None</v>
      </c>
      <c r="M125" s="27" t="str">
        <f>IFERROR(__xludf.DUMMYFUNCTION("""COMPUTED_VALUE"""),"Y")</f>
        <v>Y</v>
      </c>
      <c r="N125" s="24"/>
      <c r="O125" s="24"/>
      <c r="P125" s="28"/>
      <c r="Q125" s="24"/>
      <c r="R125" s="24"/>
      <c r="S125" s="24"/>
      <c r="T125" s="24"/>
      <c r="U125" s="24"/>
      <c r="V125" s="24"/>
      <c r="W125" s="24"/>
      <c r="X125" s="24"/>
      <c r="Y125" s="24"/>
      <c r="Z125" s="24"/>
    </row>
    <row r="126" hidden="1">
      <c r="A126" s="29"/>
      <c r="B126" s="24"/>
      <c r="C126" s="24"/>
      <c r="D126" s="26"/>
      <c r="E126" s="26"/>
      <c r="F126" s="26"/>
      <c r="G126" s="26"/>
      <c r="H126" s="26"/>
      <c r="I126" s="27"/>
      <c r="J126" s="27"/>
      <c r="K126" s="27"/>
      <c r="L126" s="27"/>
      <c r="M126" s="27"/>
      <c r="N126" s="24"/>
      <c r="O126" s="24"/>
      <c r="P126" s="24"/>
      <c r="Q126" s="24"/>
      <c r="R126" s="24"/>
      <c r="S126" s="24"/>
      <c r="T126" s="24"/>
      <c r="U126" s="24"/>
      <c r="V126" s="24"/>
      <c r="W126" s="24"/>
      <c r="X126" s="24"/>
      <c r="Y126" s="24"/>
      <c r="Z126" s="24"/>
    </row>
    <row r="127" hidden="1">
      <c r="A127" s="29">
        <f>IFERROR(__xludf.DUMMYFUNCTION("""COMPUTED_VALUE"""),42709.0)</f>
        <v>42709</v>
      </c>
      <c r="B127" s="24">
        <f>IFERROR(__xludf.DUMMYFUNCTION("""COMPUTED_VALUE"""),1.54131216E8)</f>
        <v>154131216</v>
      </c>
      <c r="C127" s="24" t="str">
        <f>IFERROR(__xludf.DUMMYFUNCTION("""COMPUTED_VALUE"""),"301 Benmar")</f>
        <v>301 Benmar</v>
      </c>
      <c r="D127" s="26" t="str">
        <f>IFERROR(__xludf.DUMMYFUNCTION("""COMPUTED_VALUE"""),"M")</f>
        <v>M</v>
      </c>
      <c r="E127" s="26" t="str">
        <f>IFERROR(__xludf.DUMMYFUNCTION("""COMPUTED_VALUE"""),"H")</f>
        <v>H</v>
      </c>
      <c r="F127" s="26">
        <f>IFERROR(__xludf.DUMMYFUNCTION("""COMPUTED_VALUE"""),26.0)</f>
        <v>26</v>
      </c>
      <c r="G127" s="26" t="str">
        <f>IFERROR(__xludf.DUMMYFUNCTION("""COMPUTED_VALUE"""),"Wounded")</f>
        <v>Wounded</v>
      </c>
      <c r="H127" s="26" t="str">
        <f>IFERROR(__xludf.DUMMYFUNCTION("""COMPUTED_VALUE"""),"Firearm")</f>
        <v>Firearm</v>
      </c>
      <c r="I127" s="27" t="str">
        <f>IFERROR(__xludf.DUMMYFUNCTION("""COMPUTED_VALUE"""),"M")</f>
        <v>M</v>
      </c>
      <c r="J127" s="27" t="str">
        <f>IFERROR(__xludf.DUMMYFUNCTION("""COMPUTED_VALUE"""),"B")</f>
        <v>B</v>
      </c>
      <c r="K127" s="27">
        <f>IFERROR(__xludf.DUMMYFUNCTION("""COMPUTED_VALUE"""),29.0)</f>
        <v>29</v>
      </c>
      <c r="L127" s="27" t="str">
        <f>IFERROR(__xludf.DUMMYFUNCTION("""COMPUTED_VALUE"""),"None")</f>
        <v>None</v>
      </c>
      <c r="M127" s="27" t="str">
        <f>IFERROR(__xludf.DUMMYFUNCTION("""COMPUTED_VALUE"""),"Y")</f>
        <v>Y</v>
      </c>
      <c r="N127" s="24"/>
      <c r="O127" s="24"/>
      <c r="P127" s="28" t="str">
        <f>IFERROR(__xludf.DUMMYFUNCTION("""COMPUTED_VALUE"""),"Officers attempted to stop a speeding vehicle which failed to stop. The vehicle pulled into an apartment complex at which time the driver got out and ran on foot. The suspect was being chased by the officers when he fired a gun at them. The pursuing offic"&amp;"ers returned fire, striking the suspect multiple times.")</f>
        <v>Officers attempted to stop a speeding vehicle which failed to stop. The vehicle pulled into an apartment complex at which time the driver got out and ran on foot. The suspect was being chased by the officers when he fired a gun at them. The pursuing officers returned fire, striking the suspect multiple times.</v>
      </c>
      <c r="Q127" s="24"/>
      <c r="R127" s="24"/>
      <c r="S127" s="24"/>
      <c r="T127" s="24"/>
      <c r="U127" s="24"/>
      <c r="V127" s="24"/>
      <c r="W127" s="24"/>
      <c r="X127" s="24"/>
      <c r="Y127" s="24"/>
      <c r="Z127" s="24"/>
    </row>
    <row r="128" hidden="1">
      <c r="A128" s="29"/>
      <c r="B128" s="24"/>
      <c r="C128" s="24"/>
      <c r="D128" s="26"/>
      <c r="E128" s="26"/>
      <c r="F128" s="26"/>
      <c r="G128" s="26"/>
      <c r="H128" s="26"/>
      <c r="I128" s="27" t="str">
        <f>IFERROR(__xludf.DUMMYFUNCTION("""COMPUTED_VALUE"""),"M")</f>
        <v>M</v>
      </c>
      <c r="J128" s="27" t="str">
        <f>IFERROR(__xludf.DUMMYFUNCTION("""COMPUTED_VALUE"""),"H")</f>
        <v>H</v>
      </c>
      <c r="K128" s="27">
        <f>IFERROR(__xludf.DUMMYFUNCTION("""COMPUTED_VALUE"""),28.0)</f>
        <v>28</v>
      </c>
      <c r="L128" s="27" t="str">
        <f>IFERROR(__xludf.DUMMYFUNCTION("""COMPUTED_VALUE"""),"None")</f>
        <v>None</v>
      </c>
      <c r="M128" s="27" t="str">
        <f>IFERROR(__xludf.DUMMYFUNCTION("""COMPUTED_VALUE"""),"Y")</f>
        <v>Y</v>
      </c>
      <c r="N128" s="24"/>
      <c r="O128" s="24"/>
      <c r="P128" s="24"/>
      <c r="Q128" s="24"/>
      <c r="R128" s="24"/>
      <c r="S128" s="24"/>
      <c r="T128" s="24"/>
      <c r="U128" s="24"/>
      <c r="V128" s="24"/>
      <c r="W128" s="24"/>
      <c r="X128" s="24"/>
      <c r="Y128" s="24"/>
      <c r="Z128" s="24"/>
    </row>
    <row r="129" hidden="1">
      <c r="A129" s="29">
        <f>IFERROR(__xludf.DUMMYFUNCTION("""COMPUTED_VALUE"""),42702.0)</f>
        <v>42702</v>
      </c>
      <c r="B129" s="24">
        <f>IFERROR(__xludf.DUMMYFUNCTION("""COMPUTED_VALUE"""),1.51462916E8)</f>
        <v>151462916</v>
      </c>
      <c r="C129" s="24" t="str">
        <f>IFERROR(__xludf.DUMMYFUNCTION("""COMPUTED_VALUE"""),"10235 Almeda Genoa")</f>
        <v>10235 Almeda Genoa</v>
      </c>
      <c r="D129" s="26" t="str">
        <f>IFERROR(__xludf.DUMMYFUNCTION("""COMPUTED_VALUE"""),"M")</f>
        <v>M</v>
      </c>
      <c r="E129" s="26" t="str">
        <f>IFERROR(__xludf.DUMMYFUNCTION("""COMPUTED_VALUE"""),"H")</f>
        <v>H</v>
      </c>
      <c r="F129" s="26">
        <f>IFERROR(__xludf.DUMMYFUNCTION("""COMPUTED_VALUE"""),22.0)</f>
        <v>22</v>
      </c>
      <c r="G129" s="26" t="str">
        <f>IFERROR(__xludf.DUMMYFUNCTION("""COMPUTED_VALUE"""),"Wounded")</f>
        <v>Wounded</v>
      </c>
      <c r="H129" s="26" t="str">
        <f>IFERROR(__xludf.DUMMYFUNCTION("""COMPUTED_VALUE"""),"Firearm")</f>
        <v>Firearm</v>
      </c>
      <c r="I129" s="27" t="str">
        <f>IFERROR(__xludf.DUMMYFUNCTION("""COMPUTED_VALUE"""),"M")</f>
        <v>M</v>
      </c>
      <c r="J129" s="27" t="str">
        <f>IFERROR(__xludf.DUMMYFUNCTION("""COMPUTED_VALUE"""),"H")</f>
        <v>H</v>
      </c>
      <c r="K129" s="27">
        <f>IFERROR(__xludf.DUMMYFUNCTION("""COMPUTED_VALUE"""),25.0)</f>
        <v>25</v>
      </c>
      <c r="L129" s="27" t="str">
        <f>IFERROR(__xludf.DUMMYFUNCTION("""COMPUTED_VALUE"""),"None")</f>
        <v>None</v>
      </c>
      <c r="M129" s="27" t="str">
        <f>IFERROR(__xludf.DUMMYFUNCTION("""COMPUTED_VALUE"""),"Y")</f>
        <v>Y</v>
      </c>
      <c r="N129" s="24"/>
      <c r="O129" s="24">
        <f>IFERROR(__xludf.DUMMYFUNCTION("""COMPUTED_VALUE"""),1.0)</f>
        <v>1</v>
      </c>
      <c r="P129" s="28" t="str">
        <f>IFERROR(__xludf.DUMMYFUNCTION("""COMPUTED_VALUE"""),"Suspect was arrested after discharging a firearm and taking cash from register inside a fast food restaurant and fleeing to an abandoned building. While officers were establishing a perimeter around the building, two officered bumped into each other causi"&amp;"ng one of their firearms to accidentally discharge resulting in a K-9 biting both of officers and one suffering a shrapnel wound. Suspect was bit by K-9.")</f>
        <v>Suspect was arrested after discharging a firearm and taking cash from register inside a fast food restaurant and fleeing to an abandoned building. While officers were establishing a perimeter around the building, two officered bumped into each other causing one of their firearms to accidentally discharge resulting in a K-9 biting both of officers and one suffering a shrapnel wound. Suspect was bit by K-9.</v>
      </c>
      <c r="Q129" s="24"/>
      <c r="R129" s="24"/>
      <c r="S129" s="24"/>
      <c r="T129" s="24"/>
      <c r="U129" s="24"/>
      <c r="V129" s="24"/>
      <c r="W129" s="24"/>
      <c r="X129" s="24"/>
      <c r="Y129" s="24"/>
      <c r="Z129" s="24"/>
    </row>
    <row r="130" hidden="1">
      <c r="A130" s="29">
        <f>IFERROR(__xludf.DUMMYFUNCTION("""COMPUTED_VALUE"""),42656.0)</f>
        <v>42656</v>
      </c>
      <c r="B130" s="24">
        <f>IFERROR(__xludf.DUMMYFUNCTION("""COMPUTED_VALUE"""),1.31104116E8)</f>
        <v>131104116</v>
      </c>
      <c r="C130" s="24" t="str">
        <f>IFERROR(__xludf.DUMMYFUNCTION("""COMPUTED_VALUE"""),"11603 Riderwood Dr")</f>
        <v>11603 Riderwood Dr</v>
      </c>
      <c r="D130" s="26" t="str">
        <f>IFERROR(__xludf.DUMMYFUNCTION("""COMPUTED_VALUE"""),"M")</f>
        <v>M</v>
      </c>
      <c r="E130" s="26" t="str">
        <f>IFERROR(__xludf.DUMMYFUNCTION("""COMPUTED_VALUE"""),"B")</f>
        <v>B</v>
      </c>
      <c r="F130" s="26">
        <f>IFERROR(__xludf.DUMMYFUNCTION("""COMPUTED_VALUE"""),21.0)</f>
        <v>21</v>
      </c>
      <c r="G130" s="26" t="str">
        <f>IFERROR(__xludf.DUMMYFUNCTION("""COMPUTED_VALUE"""),"Wounded")</f>
        <v>Wounded</v>
      </c>
      <c r="H130" s="26" t="str">
        <f>IFERROR(__xludf.DUMMYFUNCTION("""COMPUTED_VALUE"""),"Physical Force")</f>
        <v>Physical Force</v>
      </c>
      <c r="I130" s="27" t="str">
        <f>IFERROR(__xludf.DUMMYFUNCTION("""COMPUTED_VALUE"""),"M")</f>
        <v>M</v>
      </c>
      <c r="J130" s="27" t="str">
        <f>IFERROR(__xludf.DUMMYFUNCTION("""COMPUTED_VALUE"""),"W")</f>
        <v>W</v>
      </c>
      <c r="K130" s="27">
        <f>IFERROR(__xludf.DUMMYFUNCTION("""COMPUTED_VALUE"""),31.0)</f>
        <v>31</v>
      </c>
      <c r="L130" s="27" t="str">
        <f>IFERROR(__xludf.DUMMYFUNCTION("""COMPUTED_VALUE"""),"Wounded")</f>
        <v>Wounded</v>
      </c>
      <c r="M130" s="27" t="str">
        <f>IFERROR(__xludf.DUMMYFUNCTION("""COMPUTED_VALUE"""),"N")</f>
        <v>N</v>
      </c>
      <c r="N130" s="24"/>
      <c r="O130" s="24">
        <f>IFERROR(__xludf.DUMMYFUNCTION("""COMPUTED_VALUE"""),1.0)</f>
        <v>1</v>
      </c>
      <c r="P130" s="28" t="str">
        <f>IFERROR(__xludf.DUMMYFUNCTION("""COMPUTED_VALUE"""),"While off duty, an HPD officer’s dog was bit by a loose German Shepherd. The officer knocked on the front door of the suspect’s house to gather information about the dog. The suspect got verbally abusive and the officer called 911. The suspect exited his "&amp;"residence, rushed the officer, and punched the officer causing him injury and disorientation. In fear of his life, the officer fired multiple shots striking the suspect.")</f>
        <v>While off duty, an HPD officer’s dog was bit by a loose German Shepherd. The officer knocked on the front door of the suspect’s house to gather information about the dog. The suspect got verbally abusive and the officer called 911. The suspect exited his residence, rushed the officer, and punched the officer causing him injury and disorientation. In fear of his life, the officer fired multiple shots striking the suspect.</v>
      </c>
      <c r="Q130" s="24"/>
      <c r="R130" s="24"/>
      <c r="S130" s="24"/>
      <c r="T130" s="24"/>
      <c r="U130" s="24"/>
      <c r="V130" s="24"/>
      <c r="W130" s="24"/>
      <c r="X130" s="24"/>
      <c r="Y130" s="24"/>
      <c r="Z130" s="24"/>
    </row>
    <row r="131" hidden="1">
      <c r="A131" s="29">
        <f>IFERROR(__xludf.DUMMYFUNCTION("""COMPUTED_VALUE"""),42639.0)</f>
        <v>42639</v>
      </c>
      <c r="B131" s="24">
        <f>IFERROR(__xludf.DUMMYFUNCTION("""COMPUTED_VALUE"""),1.23203516E8)</f>
        <v>123203516</v>
      </c>
      <c r="C131" s="24" t="str">
        <f>IFERROR(__xludf.DUMMYFUNCTION("""COMPUTED_VALUE"""),"5450 Weslayan St.")</f>
        <v>5450 Weslayan St.</v>
      </c>
      <c r="D131" s="26" t="str">
        <f>IFERROR(__xludf.DUMMYFUNCTION("""COMPUTED_VALUE"""),"M")</f>
        <v>M</v>
      </c>
      <c r="E131" s="26" t="str">
        <f>IFERROR(__xludf.DUMMYFUNCTION("""COMPUTED_VALUE"""),"W")</f>
        <v>W</v>
      </c>
      <c r="F131" s="26">
        <f>IFERROR(__xludf.DUMMYFUNCTION("""COMPUTED_VALUE"""),46.0)</f>
        <v>46</v>
      </c>
      <c r="G131" s="26" t="str">
        <f>IFERROR(__xludf.DUMMYFUNCTION("""COMPUTED_VALUE"""),"Killed")</f>
        <v>Killed</v>
      </c>
      <c r="H131" s="26" t="str">
        <f>IFERROR(__xludf.DUMMYFUNCTION("""COMPUTED_VALUE"""),"Firearm")</f>
        <v>Firearm</v>
      </c>
      <c r="I131" s="27" t="str">
        <f>IFERROR(__xludf.DUMMYFUNCTION("""COMPUTED_VALUE"""),"M")</f>
        <v>M</v>
      </c>
      <c r="J131" s="27" t="str">
        <f>IFERROR(__xludf.DUMMYFUNCTION("""COMPUTED_VALUE"""),"B")</f>
        <v>B</v>
      </c>
      <c r="K131" s="27">
        <f>IFERROR(__xludf.DUMMYFUNCTION("""COMPUTED_VALUE"""),34.0)</f>
        <v>34</v>
      </c>
      <c r="L131" s="27" t="str">
        <f>IFERROR(__xludf.DUMMYFUNCTION("""COMPUTED_VALUE"""),"None")</f>
        <v>None</v>
      </c>
      <c r="M131" s="27" t="str">
        <f>IFERROR(__xludf.DUMMYFUNCTION("""COMPUTED_VALUE"""),"Y")</f>
        <v>Y</v>
      </c>
      <c r="N131" s="24"/>
      <c r="O131" s="24">
        <f>IFERROR(__xludf.DUMMYFUNCTION("""COMPUTED_VALUE"""),1.0)</f>
        <v>1</v>
      </c>
      <c r="P131" s="24" t="str">
        <f>IFERROR(__xludf.DUMMYFUNCTION("""COMPUTED_VALUE"""),"The suspect, wearing military-style apparel, began randomly shooting at passersby in a neighborhood strip mall. One victim was critically wounded and another was seriously wounded. Multiple officers returned fire killing the suspect. No officers were inju"&amp;"red.")</f>
        <v>The suspect, wearing military-style apparel, began randomly shooting at passersby in a neighborhood strip mall. One victim was critically wounded and another was seriously wounded. Multiple officers returned fire killing the suspect. No officers were injured.</v>
      </c>
      <c r="Q131" s="24"/>
      <c r="R131" s="24"/>
      <c r="S131" s="24"/>
      <c r="T131" s="24"/>
      <c r="U131" s="24"/>
      <c r="V131" s="24"/>
      <c r="W131" s="24"/>
      <c r="X131" s="24"/>
      <c r="Y131" s="24"/>
      <c r="Z131" s="24"/>
    </row>
    <row r="132" hidden="1">
      <c r="A132" s="29"/>
      <c r="B132" s="24"/>
      <c r="C132" s="24"/>
      <c r="D132" s="26"/>
      <c r="E132" s="26"/>
      <c r="F132" s="26"/>
      <c r="G132" s="26"/>
      <c r="H132" s="26"/>
      <c r="I132" s="27" t="str">
        <f>IFERROR(__xludf.DUMMYFUNCTION("""COMPUTED_VALUE"""),"M")</f>
        <v>M</v>
      </c>
      <c r="J132" s="27" t="str">
        <f>IFERROR(__xludf.DUMMYFUNCTION("""COMPUTED_VALUE"""),"W")</f>
        <v>W</v>
      </c>
      <c r="K132" s="27">
        <f>IFERROR(__xludf.DUMMYFUNCTION("""COMPUTED_VALUE"""),33.0)</f>
        <v>33</v>
      </c>
      <c r="L132" s="27" t="str">
        <f>IFERROR(__xludf.DUMMYFUNCTION("""COMPUTED_VALUE"""),"None")</f>
        <v>None</v>
      </c>
      <c r="M132" s="27" t="str">
        <f>IFERROR(__xludf.DUMMYFUNCTION("""COMPUTED_VALUE"""),"Y")</f>
        <v>Y</v>
      </c>
      <c r="N132" s="24"/>
      <c r="O132" s="24">
        <f>IFERROR(__xludf.DUMMYFUNCTION("""COMPUTED_VALUE"""),1.0)</f>
        <v>1</v>
      </c>
      <c r="P132" s="24"/>
      <c r="Q132" s="24"/>
      <c r="R132" s="24"/>
      <c r="S132" s="24"/>
      <c r="T132" s="24"/>
      <c r="U132" s="24"/>
      <c r="V132" s="24"/>
      <c r="W132" s="24"/>
      <c r="X132" s="24"/>
      <c r="Y132" s="24"/>
      <c r="Z132" s="24"/>
    </row>
    <row r="133" hidden="1">
      <c r="A133" s="29"/>
      <c r="B133" s="24"/>
      <c r="C133" s="24"/>
      <c r="D133" s="26"/>
      <c r="E133" s="26"/>
      <c r="F133" s="26"/>
      <c r="G133" s="26"/>
      <c r="H133" s="26"/>
      <c r="I133" s="27" t="str">
        <f>IFERROR(__xludf.DUMMYFUNCTION("""COMPUTED_VALUE"""),"M")</f>
        <v>M</v>
      </c>
      <c r="J133" s="27" t="str">
        <f>IFERROR(__xludf.DUMMYFUNCTION("""COMPUTED_VALUE"""),"W")</f>
        <v>W</v>
      </c>
      <c r="K133" s="27">
        <f>IFERROR(__xludf.DUMMYFUNCTION("""COMPUTED_VALUE"""),56.0)</f>
        <v>56</v>
      </c>
      <c r="L133" s="27" t="str">
        <f>IFERROR(__xludf.DUMMYFUNCTION("""COMPUTED_VALUE"""),"None")</f>
        <v>None</v>
      </c>
      <c r="M133" s="27" t="str">
        <f>IFERROR(__xludf.DUMMYFUNCTION("""COMPUTED_VALUE"""),"Y")</f>
        <v>Y</v>
      </c>
      <c r="N133" s="24"/>
      <c r="O133" s="24">
        <f>IFERROR(__xludf.DUMMYFUNCTION("""COMPUTED_VALUE"""),1.0)</f>
        <v>1</v>
      </c>
      <c r="P133" s="24"/>
      <c r="Q133" s="24"/>
      <c r="R133" s="24"/>
      <c r="S133" s="24"/>
      <c r="T133" s="24"/>
      <c r="U133" s="24"/>
      <c r="V133" s="24"/>
      <c r="W133" s="24"/>
      <c r="X133" s="24"/>
      <c r="Y133" s="24"/>
      <c r="Z133" s="24"/>
    </row>
    <row r="134" hidden="1">
      <c r="A134" s="29"/>
      <c r="B134" s="24"/>
      <c r="C134" s="24"/>
      <c r="D134" s="26"/>
      <c r="E134" s="26"/>
      <c r="F134" s="26"/>
      <c r="G134" s="26"/>
      <c r="H134" s="26"/>
      <c r="I134" s="27" t="str">
        <f>IFERROR(__xludf.DUMMYFUNCTION("""COMPUTED_VALUE"""),"M")</f>
        <v>M</v>
      </c>
      <c r="J134" s="27" t="str">
        <f>IFERROR(__xludf.DUMMYFUNCTION("""COMPUTED_VALUE"""),"W")</f>
        <v>W</v>
      </c>
      <c r="K134" s="27">
        <f>IFERROR(__xludf.DUMMYFUNCTION("""COMPUTED_VALUE"""),48.0)</f>
        <v>48</v>
      </c>
      <c r="L134" s="27" t="str">
        <f>IFERROR(__xludf.DUMMYFUNCTION("""COMPUTED_VALUE"""),"None")</f>
        <v>None</v>
      </c>
      <c r="M134" s="27" t="str">
        <f>IFERROR(__xludf.DUMMYFUNCTION("""COMPUTED_VALUE"""),"Y")</f>
        <v>Y</v>
      </c>
      <c r="N134" s="24"/>
      <c r="O134" s="24">
        <f>IFERROR(__xludf.DUMMYFUNCTION("""COMPUTED_VALUE"""),1.0)</f>
        <v>1</v>
      </c>
      <c r="P134" s="24"/>
      <c r="Q134" s="24"/>
      <c r="R134" s="24"/>
      <c r="S134" s="24"/>
      <c r="T134" s="24"/>
      <c r="U134" s="24"/>
      <c r="V134" s="24"/>
      <c r="W134" s="24"/>
      <c r="X134" s="24"/>
      <c r="Y134" s="24"/>
      <c r="Z134" s="24"/>
    </row>
    <row r="135" hidden="1">
      <c r="A135" s="29"/>
      <c r="B135" s="24"/>
      <c r="C135" s="24"/>
      <c r="D135" s="26"/>
      <c r="E135" s="26"/>
      <c r="F135" s="26"/>
      <c r="G135" s="26"/>
      <c r="H135" s="26"/>
      <c r="I135" s="27" t="str">
        <f>IFERROR(__xludf.DUMMYFUNCTION("""COMPUTED_VALUE"""),"M")</f>
        <v>M</v>
      </c>
      <c r="J135" s="27" t="str">
        <f>IFERROR(__xludf.DUMMYFUNCTION("""COMPUTED_VALUE"""),"W")</f>
        <v>W</v>
      </c>
      <c r="K135" s="27">
        <f>IFERROR(__xludf.DUMMYFUNCTION("""COMPUTED_VALUE"""),42.0)</f>
        <v>42</v>
      </c>
      <c r="L135" s="27" t="str">
        <f>IFERROR(__xludf.DUMMYFUNCTION("""COMPUTED_VALUE"""),"None")</f>
        <v>None</v>
      </c>
      <c r="M135" s="27" t="str">
        <f>IFERROR(__xludf.DUMMYFUNCTION("""COMPUTED_VALUE"""),"Y")</f>
        <v>Y</v>
      </c>
      <c r="N135" s="24"/>
      <c r="O135" s="24">
        <f>IFERROR(__xludf.DUMMYFUNCTION("""COMPUTED_VALUE"""),1.0)</f>
        <v>1</v>
      </c>
      <c r="P135" s="24"/>
      <c r="Q135" s="24"/>
      <c r="R135" s="24"/>
      <c r="S135" s="24"/>
      <c r="T135" s="24"/>
      <c r="U135" s="24"/>
      <c r="V135" s="24"/>
      <c r="W135" s="24"/>
      <c r="X135" s="24"/>
      <c r="Y135" s="24"/>
      <c r="Z135" s="24"/>
    </row>
    <row r="136">
      <c r="A136" s="29">
        <f>IFERROR(__xludf.DUMMYFUNCTION("""COMPUTED_VALUE"""),42609.0)</f>
        <v>42609</v>
      </c>
      <c r="B136" s="24">
        <f>IFERROR(__xludf.DUMMYFUNCTION("""COMPUTED_VALUE"""),1.09985316E8)</f>
        <v>109985316</v>
      </c>
      <c r="C136" s="24" t="str">
        <f>IFERROR(__xludf.DUMMYFUNCTION("""COMPUTED_VALUE"""),"7500 Bellaire Blvd.")</f>
        <v>7500 Bellaire Blvd.</v>
      </c>
      <c r="D136" s="26" t="str">
        <f>IFERROR(__xludf.DUMMYFUNCTION("""COMPUTED_VALUE"""),"Juvenile")</f>
        <v>Juvenile</v>
      </c>
      <c r="E136" s="26" t="str">
        <f>IFERROR(__xludf.DUMMYFUNCTION("""COMPUTED_VALUE"""),"Juvenile")</f>
        <v>Juvenile</v>
      </c>
      <c r="F136" s="26"/>
      <c r="G136" s="26" t="str">
        <f>IFERROR(__xludf.DUMMYFUNCTION("""COMPUTED_VALUE"""),"None")</f>
        <v>None</v>
      </c>
      <c r="H136" s="26" t="str">
        <f>IFERROR(__xludf.DUMMYFUNCTION("""COMPUTED_VALUE"""),"None")</f>
        <v>None</v>
      </c>
      <c r="I136" s="27" t="str">
        <f>IFERROR(__xludf.DUMMYFUNCTION("""COMPUTED_VALUE"""),"M")</f>
        <v>M</v>
      </c>
      <c r="J136" s="27" t="str">
        <f>IFERROR(__xludf.DUMMYFUNCTION("""COMPUTED_VALUE"""),"P")</f>
        <v>P</v>
      </c>
      <c r="K136" s="27">
        <f>IFERROR(__xludf.DUMMYFUNCTION("""COMPUTED_VALUE"""),23.0)</f>
        <v>23</v>
      </c>
      <c r="L136" s="27" t="str">
        <f>IFERROR(__xludf.DUMMYFUNCTION("""COMPUTED_VALUE"""),"None")</f>
        <v>None</v>
      </c>
      <c r="M136" s="27" t="str">
        <f>IFERROR(__xludf.DUMMYFUNCTION("""COMPUTED_VALUE"""),"N")</f>
        <v>N</v>
      </c>
      <c r="N136" s="24"/>
      <c r="O136" s="24">
        <f>IFERROR(__xludf.DUMMYFUNCTION("""COMPUTED_VALUE"""),1.0)</f>
        <v>1</v>
      </c>
      <c r="P136" s="28" t="str">
        <f>IFERROR(__xludf.DUMMYFUNCTION("""COMPUTED_VALUE"""),"Three suspects entered a jewelry store to commit an aggravated robbery. One of the suspects observed an off duty officer working an extra job at the location and pointed a firearm at the officer. The officer and suspect exchanged gunfire and all three sus"&amp;"pects then fled the scene. Two suspects were caught on foot and are currently in custody while one suspect fled the scene in a black Nissan Sentra. There were no known injuries to the officer or suspect.")</f>
        <v>Three suspects entered a jewelry store to commit an aggravated robbery. One of the suspects observed an off duty officer working an extra job at the location and pointed a firearm at the officer. The officer and suspect exchanged gunfire and all three suspects then fled the scene. Two suspects were caught on foot and are currently in custody while one suspect fled the scene in a black Nissan Sentra. There were no known injuries to the officer or suspect.</v>
      </c>
      <c r="Q136" s="24"/>
      <c r="R136" s="24"/>
      <c r="S136" s="24"/>
      <c r="T136" s="24"/>
      <c r="U136" s="24"/>
      <c r="V136" s="24"/>
      <c r="W136" s="24"/>
      <c r="X136" s="24"/>
      <c r="Y136" s="24"/>
      <c r="Z136" s="24"/>
    </row>
    <row r="137">
      <c r="A137" s="29"/>
      <c r="B137" s="24"/>
      <c r="C137" s="24"/>
      <c r="D137" s="26" t="str">
        <f>IFERROR(__xludf.DUMMYFUNCTION("""COMPUTED_VALUE"""),"M")</f>
        <v>M</v>
      </c>
      <c r="E137" s="26" t="str">
        <f>IFERROR(__xludf.DUMMYFUNCTION("""COMPUTED_VALUE"""),"B")</f>
        <v>B</v>
      </c>
      <c r="F137" s="26">
        <f>IFERROR(__xludf.DUMMYFUNCTION("""COMPUTED_VALUE"""),20.0)</f>
        <v>20</v>
      </c>
      <c r="G137" s="26" t="str">
        <f>IFERROR(__xludf.DUMMYFUNCTION("""COMPUTED_VALUE"""),"None")</f>
        <v>None</v>
      </c>
      <c r="H137" s="26" t="str">
        <f>IFERROR(__xludf.DUMMYFUNCTION("""COMPUTED_VALUE"""),"Hammer")</f>
        <v>Hammer</v>
      </c>
      <c r="I137" s="27"/>
      <c r="J137" s="27"/>
      <c r="K137" s="27"/>
      <c r="L137" s="27"/>
      <c r="M137" s="27"/>
      <c r="N137" s="24"/>
      <c r="O137" s="24"/>
      <c r="P137" s="28"/>
      <c r="Q137" s="24"/>
      <c r="R137" s="24"/>
      <c r="S137" s="24"/>
      <c r="T137" s="24"/>
      <c r="U137" s="24"/>
      <c r="V137" s="24"/>
      <c r="W137" s="24"/>
      <c r="X137" s="24"/>
      <c r="Y137" s="24"/>
      <c r="Z137" s="24"/>
    </row>
    <row r="138">
      <c r="A138" s="29"/>
      <c r="B138" s="24"/>
      <c r="C138" s="24"/>
      <c r="D138" s="26" t="str">
        <f>IFERROR(__xludf.DUMMYFUNCTION("""COMPUTED_VALUE"""),"M")</f>
        <v>M</v>
      </c>
      <c r="E138" s="26" t="str">
        <f>IFERROR(__xludf.DUMMYFUNCTION("""COMPUTED_VALUE"""),"B")</f>
        <v>B</v>
      </c>
      <c r="F138" s="26"/>
      <c r="G138" s="26" t="str">
        <f>IFERROR(__xludf.DUMMYFUNCTION("""COMPUTED_VALUE"""),"None")</f>
        <v>None</v>
      </c>
      <c r="H138" s="26" t="str">
        <f>IFERROR(__xludf.DUMMYFUNCTION("""COMPUTED_VALUE"""),"Firearm")</f>
        <v>Firearm</v>
      </c>
      <c r="I138" s="27"/>
      <c r="J138" s="27"/>
      <c r="K138" s="27"/>
      <c r="L138" s="27"/>
      <c r="M138" s="27"/>
      <c r="N138" s="24"/>
      <c r="O138" s="24"/>
      <c r="P138" s="28"/>
      <c r="Q138" s="24"/>
      <c r="R138" s="24"/>
      <c r="S138" s="24"/>
      <c r="T138" s="24"/>
      <c r="U138" s="24"/>
      <c r="V138" s="24"/>
      <c r="W138" s="24"/>
      <c r="X138" s="24"/>
      <c r="Y138" s="24"/>
      <c r="Z138" s="24"/>
    </row>
    <row r="139" hidden="1">
      <c r="A139" s="29">
        <f>IFERROR(__xludf.DUMMYFUNCTION("""COMPUTED_VALUE"""),42586.0)</f>
        <v>42586</v>
      </c>
      <c r="B139" s="24">
        <f>IFERROR(__xludf.DUMMYFUNCTION("""COMPUTED_VALUE"""),9.9760816E7)</f>
        <v>99760816</v>
      </c>
      <c r="C139" s="24" t="str">
        <f>IFERROR(__xludf.DUMMYFUNCTION("""COMPUTED_VALUE"""),"6300 Airline Dr.")</f>
        <v>6300 Airline Dr.</v>
      </c>
      <c r="D139" s="26" t="str">
        <f>IFERROR(__xludf.DUMMYFUNCTION("""COMPUTED_VALUE"""),"M")</f>
        <v>M</v>
      </c>
      <c r="E139" s="26" t="str">
        <f>IFERROR(__xludf.DUMMYFUNCTION("""COMPUTED_VALUE"""),"H")</f>
        <v>H</v>
      </c>
      <c r="F139" s="26">
        <f>IFERROR(__xludf.DUMMYFUNCTION("""COMPUTED_VALUE"""),34.0)</f>
        <v>34</v>
      </c>
      <c r="G139" s="26" t="str">
        <f>IFERROR(__xludf.DUMMYFUNCTION("""COMPUTED_VALUE"""),"Wounded")</f>
        <v>Wounded</v>
      </c>
      <c r="H139" s="26" t="str">
        <f>IFERROR(__xludf.DUMMYFUNCTION("""COMPUTED_VALUE"""),"Firearm")</f>
        <v>Firearm</v>
      </c>
      <c r="I139" s="27" t="str">
        <f>IFERROR(__xludf.DUMMYFUNCTION("""COMPUTED_VALUE"""),"M")</f>
        <v>M</v>
      </c>
      <c r="J139" s="27" t="str">
        <f>IFERROR(__xludf.DUMMYFUNCTION("""COMPUTED_VALUE"""),"H")</f>
        <v>H</v>
      </c>
      <c r="K139" s="27">
        <f>IFERROR(__xludf.DUMMYFUNCTION("""COMPUTED_VALUE"""),27.0)</f>
        <v>27</v>
      </c>
      <c r="L139" s="27" t="str">
        <f>IFERROR(__xludf.DUMMYFUNCTION("""COMPUTED_VALUE"""),"None")</f>
        <v>None</v>
      </c>
      <c r="M139" s="27" t="str">
        <f>IFERROR(__xludf.DUMMYFUNCTION("""COMPUTED_VALUE"""),"Y")</f>
        <v>Y</v>
      </c>
      <c r="N139" s="24"/>
      <c r="O139" s="24"/>
      <c r="P139" s="28" t="str">
        <f>IFERROR(__xludf.DUMMYFUNCTION("""COMPUTED_VALUE"""),"The officers were chasing the robbery suspect on foot when the suspect fired a weapon at them. One of the officers returned fire but the suspect did not stop. The foot chase ended when a K9 officer was able to apprehend the suspect. Neither the officers n"&amp;"or the suspect was injured by gunfire.")</f>
        <v>The officers were chasing the robbery suspect on foot when the suspect fired a weapon at them. One of the officers returned fire but the suspect did not stop. The foot chase ended when a K9 officer was able to apprehend the suspect. Neither the officers nor the suspect was injured by gunfire.</v>
      </c>
      <c r="Q139" s="24"/>
      <c r="R139" s="24"/>
      <c r="S139" s="24"/>
      <c r="T139" s="24"/>
      <c r="U139" s="24"/>
      <c r="V139" s="24"/>
      <c r="W139" s="24"/>
      <c r="X139" s="24"/>
      <c r="Y139" s="24"/>
      <c r="Z139" s="24"/>
    </row>
    <row r="140" hidden="1">
      <c r="A140" s="29">
        <f>IFERROR(__xludf.DUMMYFUNCTION("""COMPUTED_VALUE"""),42575.0)</f>
        <v>42575</v>
      </c>
      <c r="B140" s="24">
        <f>IFERROR(__xludf.DUMMYFUNCTION("""COMPUTED_VALUE"""),9.4862816E7)</f>
        <v>94862816</v>
      </c>
      <c r="C140" s="24" t="str">
        <f>IFERROR(__xludf.DUMMYFUNCTION("""COMPUTED_VALUE"""),"1100 W ALABAMA")</f>
        <v>1100 W ALABAMA</v>
      </c>
      <c r="D140" s="26" t="str">
        <f>IFERROR(__xludf.DUMMYFUNCTION("""COMPUTED_VALUE"""),"M")</f>
        <v>M</v>
      </c>
      <c r="E140" s="26" t="str">
        <f>IFERROR(__xludf.DUMMYFUNCTION("""COMPUTED_VALUE"""),"W")</f>
        <v>W</v>
      </c>
      <c r="F140" s="26">
        <f>IFERROR(__xludf.DUMMYFUNCTION("""COMPUTED_VALUE"""),27.0)</f>
        <v>27</v>
      </c>
      <c r="G140" s="26" t="str">
        <f>IFERROR(__xludf.DUMMYFUNCTION("""COMPUTED_VALUE"""),"Wounded")</f>
        <v>Wounded</v>
      </c>
      <c r="H140" s="26" t="str">
        <f>IFERROR(__xludf.DUMMYFUNCTION("""COMPUTED_VALUE"""),"Realistic BB gun")</f>
        <v>Realistic BB gun</v>
      </c>
      <c r="I140" s="27" t="str">
        <f>IFERROR(__xludf.DUMMYFUNCTION("""COMPUTED_VALUE"""),"M")</f>
        <v>M</v>
      </c>
      <c r="J140" s="27" t="str">
        <f>IFERROR(__xludf.DUMMYFUNCTION("""COMPUTED_VALUE"""),"W")</f>
        <v>W</v>
      </c>
      <c r="K140" s="27">
        <f>IFERROR(__xludf.DUMMYFUNCTION("""COMPUTED_VALUE"""),32.0)</f>
        <v>32</v>
      </c>
      <c r="L140" s="27" t="str">
        <f>IFERROR(__xludf.DUMMYFUNCTION("""COMPUTED_VALUE"""),"None")</f>
        <v>None</v>
      </c>
      <c r="M140" s="27" t="str">
        <f>IFERROR(__xludf.DUMMYFUNCTION("""COMPUTED_VALUE"""),"Y")</f>
        <v>Y</v>
      </c>
      <c r="N140" s="24"/>
      <c r="O140" s="24">
        <f>IFERROR(__xludf.DUMMYFUNCTION("""COMPUTED_VALUE"""),1.0)</f>
        <v>1</v>
      </c>
      <c r="P140" s="28" t="str">
        <f>IFERROR(__xludf.DUMMYFUNCTION("""COMPUTED_VALUE"""),"Patrol officers were dispatched to a call regarding an armed suspect. Upon arriving at the location, the officers found and confronted the suspect who was seen to have a pistol in his waistband. The officers attempted to get the suspect to raise his hands"&amp;" away from the pistol but the suspect reached for the weapon and pointed it at the officers forcing them to shoot.")</f>
        <v>Patrol officers were dispatched to a call regarding an armed suspect. Upon arriving at the location, the officers found and confronted the suspect who was seen to have a pistol in his waistband. The officers attempted to get the suspect to raise his hands away from the pistol but the suspect reached for the weapon and pointed it at the officers forcing them to shoot.</v>
      </c>
      <c r="Q140" s="24"/>
      <c r="R140" s="24"/>
      <c r="S140" s="24"/>
      <c r="T140" s="24"/>
      <c r="U140" s="24"/>
      <c r="V140" s="24"/>
      <c r="W140" s="24"/>
      <c r="X140" s="24"/>
      <c r="Y140" s="24"/>
      <c r="Z140" s="24"/>
    </row>
    <row r="141" hidden="1">
      <c r="A141" s="29"/>
      <c r="B141" s="24"/>
      <c r="C141" s="24"/>
      <c r="D141" s="26"/>
      <c r="E141" s="26"/>
      <c r="F141" s="26"/>
      <c r="G141" s="26"/>
      <c r="H141" s="26"/>
      <c r="I141" s="27" t="str">
        <f>IFERROR(__xludf.DUMMYFUNCTION("""COMPUTED_VALUE"""),"M")</f>
        <v>M</v>
      </c>
      <c r="J141" s="27" t="str">
        <f>IFERROR(__xludf.DUMMYFUNCTION("""COMPUTED_VALUE"""),"W")</f>
        <v>W</v>
      </c>
      <c r="K141" s="27">
        <f>IFERROR(__xludf.DUMMYFUNCTION("""COMPUTED_VALUE"""),30.0)</f>
        <v>30</v>
      </c>
      <c r="L141" s="27" t="str">
        <f>IFERROR(__xludf.DUMMYFUNCTION("""COMPUTED_VALUE"""),"None")</f>
        <v>None</v>
      </c>
      <c r="M141" s="27" t="str">
        <f>IFERROR(__xludf.DUMMYFUNCTION("""COMPUTED_VALUE"""),"Y")</f>
        <v>Y</v>
      </c>
      <c r="N141" s="24"/>
      <c r="O141" s="24">
        <f>IFERROR(__xludf.DUMMYFUNCTION("""COMPUTED_VALUE"""),1.0)</f>
        <v>1</v>
      </c>
      <c r="P141" s="24"/>
      <c r="Q141" s="24"/>
      <c r="R141" s="24"/>
      <c r="S141" s="24"/>
      <c r="T141" s="24"/>
      <c r="U141" s="24"/>
      <c r="V141" s="24"/>
      <c r="W141" s="24"/>
      <c r="X141" s="24"/>
      <c r="Y141" s="24"/>
      <c r="Z141" s="24"/>
    </row>
    <row r="142" hidden="1">
      <c r="A142" s="29">
        <f>IFERROR(__xludf.DUMMYFUNCTION("""COMPUTED_VALUE"""),42560.0)</f>
        <v>42560</v>
      </c>
      <c r="B142" s="24">
        <f>IFERROR(__xludf.DUMMYFUNCTION("""COMPUTED_VALUE"""),8.8163616E7)</f>
        <v>88163616</v>
      </c>
      <c r="C142" s="24" t="str">
        <f>IFERROR(__xludf.DUMMYFUNCTION("""COMPUTED_VALUE"""),"6700 Cullen Blvd")</f>
        <v>6700 Cullen Blvd</v>
      </c>
      <c r="D142" s="26" t="str">
        <f>IFERROR(__xludf.DUMMYFUNCTION("""COMPUTED_VALUE"""),"M")</f>
        <v>M</v>
      </c>
      <c r="E142" s="26" t="str">
        <f>IFERROR(__xludf.DUMMYFUNCTION("""COMPUTED_VALUE"""),"B")</f>
        <v>B</v>
      </c>
      <c r="F142" s="26">
        <f>IFERROR(__xludf.DUMMYFUNCTION("""COMPUTED_VALUE"""),38.0)</f>
        <v>38</v>
      </c>
      <c r="G142" s="26" t="str">
        <f>IFERROR(__xludf.DUMMYFUNCTION("""COMPUTED_VALUE"""),"Killed")</f>
        <v>Killed</v>
      </c>
      <c r="H142" s="26" t="str">
        <f>IFERROR(__xludf.DUMMYFUNCTION("""COMPUTED_VALUE"""),"Firearm")</f>
        <v>Firearm</v>
      </c>
      <c r="I142" s="27" t="str">
        <f>IFERROR(__xludf.DUMMYFUNCTION("""COMPUTED_VALUE"""),"M")</f>
        <v>M</v>
      </c>
      <c r="J142" s="27" t="str">
        <f>IFERROR(__xludf.DUMMYFUNCTION("""COMPUTED_VALUE"""),"H")</f>
        <v>H</v>
      </c>
      <c r="K142" s="27">
        <f>IFERROR(__xludf.DUMMYFUNCTION("""COMPUTED_VALUE"""),43.0)</f>
        <v>43</v>
      </c>
      <c r="L142" s="27" t="str">
        <f>IFERROR(__xludf.DUMMYFUNCTION("""COMPUTED_VALUE"""),"None")</f>
        <v>None</v>
      </c>
      <c r="M142" s="27" t="str">
        <f>IFERROR(__xludf.DUMMYFUNCTION("""COMPUTED_VALUE"""),"Y")</f>
        <v>Y</v>
      </c>
      <c r="N142" s="24"/>
      <c r="O142" s="24"/>
      <c r="P142" s="24" t="str">
        <f>IFERROR(__xludf.DUMMYFUNCTION("""COMPUTED_VALUE"""),"The patrol officers on-viewed a suspect pointing a pistol directly at them. The officers stopped the patrol car and took cover behind the car doors while they attempted to get the suspect to disarm. The suspect ignored their commands and instead pointed h"&amp;"is weapon toward the officers forcing them to shoot.")</f>
        <v>The patrol officers on-viewed a suspect pointing a pistol directly at them. The officers stopped the patrol car and took cover behind the car doors while they attempted to get the suspect to disarm. The suspect ignored their commands and instead pointed his weapon toward the officers forcing them to shoot.</v>
      </c>
      <c r="Q142" s="24"/>
      <c r="R142" s="24"/>
      <c r="S142" s="24"/>
      <c r="T142" s="24"/>
      <c r="U142" s="24"/>
      <c r="V142" s="24"/>
      <c r="W142" s="24"/>
      <c r="X142" s="24"/>
      <c r="Y142" s="24"/>
      <c r="Z142" s="24"/>
    </row>
    <row r="143" hidden="1">
      <c r="A143" s="29"/>
      <c r="B143" s="24"/>
      <c r="C143" s="24"/>
      <c r="D143" s="26"/>
      <c r="E143" s="26"/>
      <c r="F143" s="26"/>
      <c r="G143" s="26"/>
      <c r="H143" s="26"/>
      <c r="I143" s="27" t="str">
        <f>IFERROR(__xludf.DUMMYFUNCTION("""COMPUTED_VALUE"""),"M")</f>
        <v>M</v>
      </c>
      <c r="J143" s="27" t="str">
        <f>IFERROR(__xludf.DUMMYFUNCTION("""COMPUTED_VALUE"""),"H")</f>
        <v>H</v>
      </c>
      <c r="K143" s="27">
        <f>IFERROR(__xludf.DUMMYFUNCTION("""COMPUTED_VALUE"""),39.0)</f>
        <v>39</v>
      </c>
      <c r="L143" s="27" t="str">
        <f>IFERROR(__xludf.DUMMYFUNCTION("""COMPUTED_VALUE"""),"None")</f>
        <v>None</v>
      </c>
      <c r="M143" s="27" t="str">
        <f>IFERROR(__xludf.DUMMYFUNCTION("""COMPUTED_VALUE"""),"Y")</f>
        <v>Y</v>
      </c>
      <c r="N143" s="24"/>
      <c r="O143" s="24"/>
      <c r="P143" s="24"/>
      <c r="Q143" s="24"/>
      <c r="R143" s="24"/>
      <c r="S143" s="24"/>
      <c r="T143" s="24"/>
      <c r="U143" s="24"/>
      <c r="V143" s="24"/>
      <c r="W143" s="24"/>
      <c r="X143" s="24"/>
      <c r="Y143" s="24"/>
      <c r="Z143" s="24"/>
    </row>
    <row r="144">
      <c r="A144" s="29">
        <f>IFERROR(__xludf.DUMMYFUNCTION("""COMPUTED_VALUE"""),42560.0)</f>
        <v>42560</v>
      </c>
      <c r="B144" s="24">
        <f>IFERROR(__xludf.DUMMYFUNCTION("""COMPUTED_VALUE"""),8.8431916E7)</f>
        <v>88431916</v>
      </c>
      <c r="C144" s="24" t="str">
        <f>IFERROR(__xludf.DUMMYFUNCTION("""COMPUTED_VALUE"""),"12816 Kingsbridge")</f>
        <v>12816 Kingsbridge</v>
      </c>
      <c r="D144" s="26" t="str">
        <f>IFERROR(__xludf.DUMMYFUNCTION("""COMPUTED_VALUE"""),"M")</f>
        <v>M</v>
      </c>
      <c r="E144" s="26" t="str">
        <f>IFERROR(__xludf.DUMMYFUNCTION("""COMPUTED_VALUE"""),"W")</f>
        <v>W</v>
      </c>
      <c r="F144" s="26">
        <f>IFERROR(__xludf.DUMMYFUNCTION("""COMPUTED_VALUE"""),49.0)</f>
        <v>49</v>
      </c>
      <c r="G144" s="26" t="str">
        <f>IFERROR(__xludf.DUMMYFUNCTION("""COMPUTED_VALUE"""),"None")</f>
        <v>None</v>
      </c>
      <c r="H144" s="26" t="str">
        <f>IFERROR(__xludf.DUMMYFUNCTION("""COMPUTED_VALUE"""),"Firearm")</f>
        <v>Firearm</v>
      </c>
      <c r="I144" s="27" t="str">
        <f>IFERROR(__xludf.DUMMYFUNCTION("""COMPUTED_VALUE"""),"M")</f>
        <v>M</v>
      </c>
      <c r="J144" s="27" t="str">
        <f>IFERROR(__xludf.DUMMYFUNCTION("""COMPUTED_VALUE"""),"W")</f>
        <v>W</v>
      </c>
      <c r="K144" s="27">
        <f>IFERROR(__xludf.DUMMYFUNCTION("""COMPUTED_VALUE"""),49.0)</f>
        <v>49</v>
      </c>
      <c r="L144" s="27" t="str">
        <f>IFERROR(__xludf.DUMMYFUNCTION("""COMPUTED_VALUE"""),"None")</f>
        <v>None</v>
      </c>
      <c r="M144" s="27" t="str">
        <f>IFERROR(__xludf.DUMMYFUNCTION("""COMPUTED_VALUE"""),"Y")</f>
        <v>Y</v>
      </c>
      <c r="N144" s="24"/>
      <c r="O144" s="24">
        <f>IFERROR(__xludf.DUMMYFUNCTION("""COMPUTED_VALUE"""),1.0)</f>
        <v>1</v>
      </c>
      <c r="P144" s="28" t="str">
        <f>IFERROR(__xludf.DUMMYFUNCTION("""COMPUTED_VALUE"""),"Officers responding to a criminal mischief call were fired upon as they approached the residence. One of the officers returned fire as they backed away from the residence to take positions of cover. The suspect eventually surrendered after several hours o"&amp;"f negotiations and after the suspect fired several more times at the officers.")</f>
        <v>Officers responding to a criminal mischief call were fired upon as they approached the residence. One of the officers returned fire as they backed away from the residence to take positions of cover. The suspect eventually surrendered after several hours of negotiations and after the suspect fired several more times at the officers.</v>
      </c>
      <c r="Q144" s="24"/>
      <c r="R144" s="24"/>
      <c r="S144" s="24"/>
      <c r="T144" s="24"/>
      <c r="U144" s="24"/>
      <c r="V144" s="24"/>
      <c r="W144" s="24"/>
      <c r="X144" s="24"/>
      <c r="Y144" s="24"/>
      <c r="Z144" s="24"/>
    </row>
    <row r="145" hidden="1">
      <c r="A145" s="29">
        <f>IFERROR(__xludf.DUMMYFUNCTION("""COMPUTED_VALUE"""),42528.0)</f>
        <v>42528</v>
      </c>
      <c r="B145" s="24">
        <f>IFERROR(__xludf.DUMMYFUNCTION("""COMPUTED_VALUE"""),7.2782816E7)</f>
        <v>72782816</v>
      </c>
      <c r="C145" s="24" t="str">
        <f>IFERROR(__xludf.DUMMYFUNCTION("""COMPUTED_VALUE"""),"3409 Cavalcade")</f>
        <v>3409 Cavalcade</v>
      </c>
      <c r="D145" s="26" t="str">
        <f>IFERROR(__xludf.DUMMYFUNCTION("""COMPUTED_VALUE"""),"M")</f>
        <v>M</v>
      </c>
      <c r="E145" s="26" t="str">
        <f>IFERROR(__xludf.DUMMYFUNCTION("""COMPUTED_VALUE"""),"B")</f>
        <v>B</v>
      </c>
      <c r="F145" s="26">
        <f>IFERROR(__xludf.DUMMYFUNCTION("""COMPUTED_VALUE"""),47.0)</f>
        <v>47</v>
      </c>
      <c r="G145" s="26" t="str">
        <f>IFERROR(__xludf.DUMMYFUNCTION("""COMPUTED_VALUE"""),"Wounded")</f>
        <v>Wounded</v>
      </c>
      <c r="H145" s="26" t="str">
        <f>IFERROR(__xludf.DUMMYFUNCTION("""COMPUTED_VALUE"""),"None")</f>
        <v>None</v>
      </c>
      <c r="I145" s="27" t="str">
        <f>IFERROR(__xludf.DUMMYFUNCTION("""COMPUTED_VALUE"""),"M")</f>
        <v>M</v>
      </c>
      <c r="J145" s="27" t="str">
        <f>IFERROR(__xludf.DUMMYFUNCTION("""COMPUTED_VALUE"""),"B")</f>
        <v>B</v>
      </c>
      <c r="K145" s="27">
        <f>IFERROR(__xludf.DUMMYFUNCTION("""COMPUTED_VALUE"""),53.0)</f>
        <v>53</v>
      </c>
      <c r="L145" s="27" t="str">
        <f>IFERROR(__xludf.DUMMYFUNCTION("""COMPUTED_VALUE"""),"None")</f>
        <v>None</v>
      </c>
      <c r="M145" s="27" t="str">
        <f>IFERROR(__xludf.DUMMYFUNCTION("""COMPUTED_VALUE"""),"N")</f>
        <v>N</v>
      </c>
      <c r="N145" s="24"/>
      <c r="O145" s="24"/>
      <c r="P145" s="28" t="str">
        <f>IFERROR(__xludf.DUMMYFUNCTION("""COMPUTED_VALUE"""),"Extra job officers on viewed several males fighting each other at a club. While attempting to break up the fight, one male reached for his waistband. Fearing for the safety of others, the officer drew his weapon. The complainant was pushed, fell into the "&amp;"officer's pistol, and was accidentally shot. The victim is expected to survive.")</f>
        <v>Extra job officers on viewed several males fighting each other at a club. While attempting to break up the fight, one male reached for his waistband. Fearing for the safety of others, the officer drew his weapon. The complainant was pushed, fell into the officer's pistol, and was accidentally shot. The victim is expected to survive.</v>
      </c>
      <c r="Q145" s="24"/>
      <c r="R145" s="24"/>
      <c r="S145" s="24"/>
      <c r="T145" s="24"/>
      <c r="U145" s="24"/>
      <c r="V145" s="24"/>
      <c r="W145" s="24"/>
      <c r="X145" s="24"/>
      <c r="Y145" s="24"/>
      <c r="Z145" s="24"/>
    </row>
    <row r="146" hidden="1">
      <c r="A146" s="29">
        <f>IFERROR(__xludf.DUMMYFUNCTION("""COMPUTED_VALUE"""),42519.0)</f>
        <v>42519</v>
      </c>
      <c r="B146" s="24">
        <f>IFERROR(__xludf.DUMMYFUNCTION("""COMPUTED_VALUE"""),7.2408916E7)</f>
        <v>72408916</v>
      </c>
      <c r="C146" s="24" t="str">
        <f>IFERROR(__xludf.DUMMYFUNCTION("""COMPUTED_VALUE"""),"13210 Memorial Dr.")</f>
        <v>13210 Memorial Dr.</v>
      </c>
      <c r="D146" s="26" t="str">
        <f>IFERROR(__xludf.DUMMYFUNCTION("""COMPUTED_VALUE"""),"M")</f>
        <v>M</v>
      </c>
      <c r="E146" s="26" t="str">
        <f>IFERROR(__xludf.DUMMYFUNCTION("""COMPUTED_VALUE"""),"H")</f>
        <v>H</v>
      </c>
      <c r="F146" s="26">
        <f>IFERROR(__xludf.DUMMYFUNCTION("""COMPUTED_VALUE"""),25.0)</f>
        <v>25</v>
      </c>
      <c r="G146" s="26" t="str">
        <f>IFERROR(__xludf.DUMMYFUNCTION("""COMPUTED_VALUE"""),"Killed")</f>
        <v>Killed</v>
      </c>
      <c r="H146" s="26" t="str">
        <f>IFERROR(__xludf.DUMMYFUNCTION("""COMPUTED_VALUE"""),"Firearm")</f>
        <v>Firearm</v>
      </c>
      <c r="I146" s="27" t="str">
        <f>IFERROR(__xludf.DUMMYFUNCTION("""COMPUTED_VALUE"""),"M")</f>
        <v>M</v>
      </c>
      <c r="J146" s="27" t="str">
        <f>IFERROR(__xludf.DUMMYFUNCTION("""COMPUTED_VALUE"""),"W")</f>
        <v>W</v>
      </c>
      <c r="K146" s="27">
        <f>IFERROR(__xludf.DUMMYFUNCTION("""COMPUTED_VALUE"""),53.0)</f>
        <v>53</v>
      </c>
      <c r="L146" s="27" t="str">
        <f>IFERROR(__xludf.DUMMYFUNCTION("""COMPUTED_VALUE"""),"None")</f>
        <v>None</v>
      </c>
      <c r="M146" s="27" t="str">
        <f>IFERROR(__xludf.DUMMYFUNCTION("""COMPUTED_VALUE"""),"Y")</f>
        <v>Y</v>
      </c>
      <c r="N146" s="24"/>
      <c r="O146" s="24">
        <f>IFERROR(__xludf.DUMMYFUNCTION("""COMPUTED_VALUE"""),1.0)</f>
        <v>1</v>
      </c>
      <c r="P146" s="24" t="str">
        <f>IFERROR(__xludf.DUMMYFUNCTION("""COMPUTED_VALUE"""),"Police responded to an active shooter scene where a suspect walked up to a car wash and shot the complainant in the head. The suspect then grabbed an assault rifle and began shooting indiscriminatley. Three bystanders, two men and a woman, were also wound"&amp;"ed, as were two Harris County Precinct 5 constable's deputies. A SWAT officer ended the ordeal by shooting and killing the gunman.")</f>
        <v>Police responded to an active shooter scene where a suspect walked up to a car wash and shot the complainant in the head. The suspect then grabbed an assault rifle and began shooting indiscriminatley. Three bystanders, two men and a woman, were also wounded, as were two Harris County Precinct 5 constable's deputies. A SWAT officer ended the ordeal by shooting and killing the gunman.</v>
      </c>
      <c r="Q146" s="24"/>
      <c r="R146" s="24"/>
      <c r="S146" s="24"/>
      <c r="T146" s="24"/>
      <c r="U146" s="24"/>
      <c r="V146" s="24"/>
      <c r="W146" s="24"/>
      <c r="X146" s="24"/>
      <c r="Y146" s="24"/>
      <c r="Z146" s="24"/>
    </row>
    <row r="147">
      <c r="A147" s="29">
        <f>IFERROR(__xludf.DUMMYFUNCTION("""COMPUTED_VALUE"""),42517.0)</f>
        <v>42517</v>
      </c>
      <c r="B147" s="24">
        <f>IFERROR(__xludf.DUMMYFUNCTION("""COMPUTED_VALUE"""),6.7632516E7)</f>
        <v>67632516</v>
      </c>
      <c r="C147" s="24" t="str">
        <f>IFERROR(__xludf.DUMMYFUNCTION("""COMPUTED_VALUE"""),"3600 Gano St.")</f>
        <v>3600 Gano St.</v>
      </c>
      <c r="D147" s="26" t="str">
        <f>IFERROR(__xludf.DUMMYFUNCTION("""COMPUTED_VALUE"""),"M")</f>
        <v>M</v>
      </c>
      <c r="E147" s="26" t="str">
        <f>IFERROR(__xludf.DUMMYFUNCTION("""COMPUTED_VALUE"""),"U")</f>
        <v>U</v>
      </c>
      <c r="F147" s="26"/>
      <c r="G147" s="26" t="str">
        <f>IFERROR(__xludf.DUMMYFUNCTION("""COMPUTED_VALUE"""),"None")</f>
        <v>None</v>
      </c>
      <c r="H147" s="26" t="str">
        <f>IFERROR(__xludf.DUMMYFUNCTION("""COMPUTED_VALUE"""),"Vehicle")</f>
        <v>Vehicle</v>
      </c>
      <c r="I147" s="27" t="str">
        <f>IFERROR(__xludf.DUMMYFUNCTION("""COMPUTED_VALUE"""),"M")</f>
        <v>M</v>
      </c>
      <c r="J147" s="27" t="str">
        <f>IFERROR(__xludf.DUMMYFUNCTION("""COMPUTED_VALUE"""),"H")</f>
        <v>H</v>
      </c>
      <c r="K147" s="27">
        <f>IFERROR(__xludf.DUMMYFUNCTION("""COMPUTED_VALUE"""),47.0)</f>
        <v>47</v>
      </c>
      <c r="L147" s="27" t="str">
        <f>IFERROR(__xludf.DUMMYFUNCTION("""COMPUTED_VALUE"""),"None")</f>
        <v>None</v>
      </c>
      <c r="M147" s="27" t="str">
        <f>IFERROR(__xludf.DUMMYFUNCTION("""COMPUTED_VALUE"""),"Y")</f>
        <v>Y</v>
      </c>
      <c r="N147" s="24"/>
      <c r="O147" s="24"/>
      <c r="P147" s="28" t="str">
        <f>IFERROR(__xludf.DUMMYFUNCTION("""COMPUTED_VALUE"""),"Officers attempted to pull over a vehicle for traffic violations when suspect turned off his head lights and attempted to evade the officers. The suspect reached out from the driver’s window and fired several rounds at the pursuing officers with a handgun"&amp;" and eventually came to an abrupt stop. Officers began a felony stop of the vehicle and the suspect reversed his car and crashed into the front of the patrol car. Officers, fearing for their lives fired multiple rounds at the suspect. The suspect sped off"&amp;", abandoned the vehicle, and fled on foot. After an extensive search, the suspect was not located.")</f>
        <v>Officers attempted to pull over a vehicle for traffic violations when suspect turned off his head lights and attempted to evade the officers. The suspect reached out from the driver’s window and fired several rounds at the pursuing officers with a handgun and eventually came to an abrupt stop. Officers began a felony stop of the vehicle and the suspect reversed his car and crashed into the front of the patrol car. Officers, fearing for their lives fired multiple rounds at the suspect. The suspect sped off, abandoned the vehicle, and fled on foot. After an extensive search, the suspect was not located.</v>
      </c>
      <c r="Q147" s="24"/>
      <c r="R147" s="24"/>
      <c r="S147" s="24"/>
      <c r="T147" s="24"/>
      <c r="U147" s="24"/>
      <c r="V147" s="24"/>
      <c r="W147" s="24"/>
      <c r="X147" s="24"/>
      <c r="Y147" s="24"/>
      <c r="Z147" s="24"/>
    </row>
    <row r="148" hidden="1">
      <c r="A148" s="29"/>
      <c r="B148" s="24"/>
      <c r="C148" s="24"/>
      <c r="D148" s="26"/>
      <c r="E148" s="26"/>
      <c r="F148" s="26"/>
      <c r="G148" s="26"/>
      <c r="H148" s="26"/>
      <c r="I148" s="27" t="str">
        <f>IFERROR(__xludf.DUMMYFUNCTION("""COMPUTED_VALUE"""),"M")</f>
        <v>M</v>
      </c>
      <c r="J148" s="27" t="str">
        <f>IFERROR(__xludf.DUMMYFUNCTION("""COMPUTED_VALUE"""),"W")</f>
        <v>W</v>
      </c>
      <c r="K148" s="27">
        <f>IFERROR(__xludf.DUMMYFUNCTION("""COMPUTED_VALUE"""),34.0)</f>
        <v>34</v>
      </c>
      <c r="L148" s="27" t="str">
        <f>IFERROR(__xludf.DUMMYFUNCTION("""COMPUTED_VALUE"""),"None")</f>
        <v>None</v>
      </c>
      <c r="M148" s="27" t="str">
        <f>IFERROR(__xludf.DUMMYFUNCTION("""COMPUTED_VALUE"""),"Y")</f>
        <v>Y</v>
      </c>
      <c r="N148" s="24"/>
      <c r="O148" s="24"/>
      <c r="P148" s="24"/>
      <c r="Q148" s="24"/>
      <c r="R148" s="24"/>
      <c r="S148" s="24"/>
      <c r="T148" s="24"/>
      <c r="U148" s="24"/>
      <c r="V148" s="24"/>
      <c r="W148" s="24"/>
      <c r="X148" s="24"/>
      <c r="Y148" s="24"/>
      <c r="Z148" s="24"/>
    </row>
    <row r="149" hidden="1">
      <c r="A149" s="29">
        <f>IFERROR(__xludf.DUMMYFUNCTION("""COMPUTED_VALUE"""),42514.0)</f>
        <v>42514</v>
      </c>
      <c r="B149" s="24">
        <f>IFERROR(__xludf.DUMMYFUNCTION("""COMPUTED_VALUE"""),6.6462816E7)</f>
        <v>66462816</v>
      </c>
      <c r="C149" s="24" t="str">
        <f>IFERROR(__xludf.DUMMYFUNCTION("""COMPUTED_VALUE"""),"6700 Joyner")</f>
        <v>6700 Joyner</v>
      </c>
      <c r="D149" s="26" t="str">
        <f>IFERROR(__xludf.DUMMYFUNCTION("""COMPUTED_VALUE"""),"M")</f>
        <v>M</v>
      </c>
      <c r="E149" s="26" t="str">
        <f>IFERROR(__xludf.DUMMYFUNCTION("""COMPUTED_VALUE"""),"W")</f>
        <v>W</v>
      </c>
      <c r="F149" s="26">
        <f>IFERROR(__xludf.DUMMYFUNCTION("""COMPUTED_VALUE"""),30.0)</f>
        <v>30</v>
      </c>
      <c r="G149" s="26" t="str">
        <f>IFERROR(__xludf.DUMMYFUNCTION("""COMPUTED_VALUE"""),"Wounded")</f>
        <v>Wounded</v>
      </c>
      <c r="H149" s="26" t="str">
        <f>IFERROR(__xludf.DUMMYFUNCTION("""COMPUTED_VALUE"""),"Vehicle")</f>
        <v>Vehicle</v>
      </c>
      <c r="I149" s="27" t="str">
        <f>IFERROR(__xludf.DUMMYFUNCTION("""COMPUTED_VALUE"""),"M")</f>
        <v>M</v>
      </c>
      <c r="J149" s="27" t="str">
        <f>IFERROR(__xludf.DUMMYFUNCTION("""COMPUTED_VALUE"""),"H")</f>
        <v>H</v>
      </c>
      <c r="K149" s="27">
        <f>IFERROR(__xludf.DUMMYFUNCTION("""COMPUTED_VALUE"""),56.0)</f>
        <v>56</v>
      </c>
      <c r="L149" s="27" t="str">
        <f>IFERROR(__xludf.DUMMYFUNCTION("""COMPUTED_VALUE"""),"Wounded")</f>
        <v>Wounded</v>
      </c>
      <c r="M149" s="27" t="str">
        <f>IFERROR(__xludf.DUMMYFUNCTION("""COMPUTED_VALUE"""),"Y")</f>
        <v>Y</v>
      </c>
      <c r="N149" s="24"/>
      <c r="O149" s="24">
        <f>IFERROR(__xludf.DUMMYFUNCTION("""COMPUTED_VALUE"""),1.0)</f>
        <v>1</v>
      </c>
      <c r="P149" s="28" t="str">
        <f>IFERROR(__xludf.DUMMYFUNCTION("""COMPUTED_VALUE"""),"The officer was following a stolen vehicle while waiting for backup units to arrive. The driver of the vehicle lost control and crashed into a fence at which time the driver fled on foot. The passenger got into the driver's seat at which time the officer "&amp;"gave verbal commands for the person to get out of the vehicle. Instead the driver revved the engine and drove in reverse towrd the officer causing the officer to shoot at the suspect.")</f>
        <v>The officer was following a stolen vehicle while waiting for backup units to arrive. The driver of the vehicle lost control and crashed into a fence at which time the driver fled on foot. The passenger got into the driver's seat at which time the officer gave verbal commands for the person to get out of the vehicle. Instead the driver revved the engine and drove in reverse towrd the officer causing the officer to shoot at the suspect.</v>
      </c>
      <c r="Q149" s="24"/>
      <c r="R149" s="24"/>
      <c r="S149" s="24"/>
      <c r="T149" s="24"/>
      <c r="U149" s="24"/>
      <c r="V149" s="24"/>
      <c r="W149" s="24"/>
      <c r="X149" s="24"/>
      <c r="Y149" s="24"/>
      <c r="Z149" s="24"/>
    </row>
    <row r="150" hidden="1">
      <c r="A150" s="29">
        <f>IFERROR(__xludf.DUMMYFUNCTION("""COMPUTED_VALUE"""),42488.0)</f>
        <v>42488</v>
      </c>
      <c r="B150" s="24">
        <f>IFERROR(__xludf.DUMMYFUNCTION("""COMPUTED_VALUE"""),5.4184916E7)</f>
        <v>54184916</v>
      </c>
      <c r="C150" s="24" t="str">
        <f>IFERROR(__xludf.DUMMYFUNCTION("""COMPUTED_VALUE"""),"9600 N. Wayside")</f>
        <v>9600 N. Wayside</v>
      </c>
      <c r="D150" s="26" t="str">
        <f>IFERROR(__xludf.DUMMYFUNCTION("""COMPUTED_VALUE"""),"M")</f>
        <v>M</v>
      </c>
      <c r="E150" s="26" t="str">
        <f>IFERROR(__xludf.DUMMYFUNCTION("""COMPUTED_VALUE"""),"B")</f>
        <v>B</v>
      </c>
      <c r="F150" s="26">
        <f>IFERROR(__xludf.DUMMYFUNCTION("""COMPUTED_VALUE"""),42.0)</f>
        <v>42</v>
      </c>
      <c r="G150" s="26" t="str">
        <f>IFERROR(__xludf.DUMMYFUNCTION("""COMPUTED_VALUE"""),"Wounded")</f>
        <v>Wounded</v>
      </c>
      <c r="H150" s="26" t="str">
        <f>IFERROR(__xludf.DUMMYFUNCTION("""COMPUTED_VALUE"""),"Unknown")</f>
        <v>Unknown</v>
      </c>
      <c r="I150" s="27" t="str">
        <f>IFERROR(__xludf.DUMMYFUNCTION("""COMPUTED_VALUE"""),"M")</f>
        <v>M</v>
      </c>
      <c r="J150" s="27" t="str">
        <f>IFERROR(__xludf.DUMMYFUNCTION("""COMPUTED_VALUE"""),"W")</f>
        <v>W</v>
      </c>
      <c r="K150" s="27">
        <f>IFERROR(__xludf.DUMMYFUNCTION("""COMPUTED_VALUE"""),32.0)</f>
        <v>32</v>
      </c>
      <c r="L150" s="27" t="str">
        <f>IFERROR(__xludf.DUMMYFUNCTION("""COMPUTED_VALUE"""),"None")</f>
        <v>None</v>
      </c>
      <c r="M150" s="27" t="str">
        <f>IFERROR(__xludf.DUMMYFUNCTION("""COMPUTED_VALUE"""),"Y")</f>
        <v>Y</v>
      </c>
      <c r="N150" s="24"/>
      <c r="O150" s="24"/>
      <c r="P150" s="28" t="str">
        <f>IFERROR(__xludf.DUMMYFUNCTION("""COMPUTED_VALUE"""),"The officer shot the suspect while on a traffic stop assisting Narcotics Division officers. The suspect had reached between his legs and came up with what the officer believed was a hand gun. The suspect crashed the car after a short chase and was transpo"&amp;"rted to LBJ Hospital where he is expected to live. The officer was not injured.")</f>
        <v>The officer shot the suspect while on a traffic stop assisting Narcotics Division officers. The suspect had reached between his legs and came up with what the officer believed was a hand gun. The suspect crashed the car after a short chase and was transported to LBJ Hospital where he is expected to live. The officer was not injured.</v>
      </c>
      <c r="Q150" s="24"/>
      <c r="R150" s="24"/>
      <c r="S150" s="24"/>
      <c r="T150" s="24"/>
      <c r="U150" s="24"/>
      <c r="V150" s="24"/>
      <c r="W150" s="24"/>
      <c r="X150" s="24"/>
      <c r="Y150" s="24"/>
      <c r="Z150" s="24"/>
    </row>
    <row r="151" hidden="1">
      <c r="A151" s="29">
        <f>IFERROR(__xludf.DUMMYFUNCTION("""COMPUTED_VALUE"""),42510.0)</f>
        <v>42510</v>
      </c>
      <c r="B151" s="24">
        <f>IFERROR(__xludf.DUMMYFUNCTION("""COMPUTED_VALUE"""),6.4416616E7)</f>
        <v>64416616</v>
      </c>
      <c r="C151" s="24" t="str">
        <f>IFERROR(__xludf.DUMMYFUNCTION("""COMPUTED_VALUE"""),"5098 Bingle")</f>
        <v>5098 Bingle</v>
      </c>
      <c r="D151" s="26" t="str">
        <f>IFERROR(__xludf.DUMMYFUNCTION("""COMPUTED_VALUE"""),"M")</f>
        <v>M</v>
      </c>
      <c r="E151" s="26" t="str">
        <f>IFERROR(__xludf.DUMMYFUNCTION("""COMPUTED_VALUE"""),"H")</f>
        <v>H</v>
      </c>
      <c r="F151" s="26">
        <f>IFERROR(__xludf.DUMMYFUNCTION("""COMPUTED_VALUE"""),22.0)</f>
        <v>22</v>
      </c>
      <c r="G151" s="26" t="str">
        <f>IFERROR(__xludf.DUMMYFUNCTION("""COMPUTED_VALUE"""),"Wounded")</f>
        <v>Wounded</v>
      </c>
      <c r="H151" s="26" t="str">
        <f>IFERROR(__xludf.DUMMYFUNCTION("""COMPUTED_VALUE"""),"Firearm")</f>
        <v>Firearm</v>
      </c>
      <c r="I151" s="27" t="str">
        <f>IFERROR(__xludf.DUMMYFUNCTION("""COMPUTED_VALUE"""),"M")</f>
        <v>M</v>
      </c>
      <c r="J151" s="27" t="str">
        <f>IFERROR(__xludf.DUMMYFUNCTION("""COMPUTED_VALUE"""),"H")</f>
        <v>H</v>
      </c>
      <c r="K151" s="27">
        <f>IFERROR(__xludf.DUMMYFUNCTION("""COMPUTED_VALUE"""),40.0)</f>
        <v>40</v>
      </c>
      <c r="L151" s="27" t="str">
        <f>IFERROR(__xludf.DUMMYFUNCTION("""COMPUTED_VALUE"""),"None")</f>
        <v>None</v>
      </c>
      <c r="M151" s="27" t="str">
        <f>IFERROR(__xludf.DUMMYFUNCTION("""COMPUTED_VALUE"""),"Y")</f>
        <v>Y</v>
      </c>
      <c r="N151" s="24"/>
      <c r="O151" s="24"/>
      <c r="P151" s="28" t="str">
        <f>IFERROR(__xludf.DUMMYFUNCTION("""COMPUTED_VALUE"""),"CRU officers working with the Robbery division officers stopped a robbery suspect. The suspect pointed a gun at the officer forcing the officer to shoot him. No officers were injured. The suspect was taken to Ben Taub and his condition is expected to surv"&amp;"ive.")</f>
        <v>CRU officers working with the Robbery division officers stopped a robbery suspect. The suspect pointed a gun at the officer forcing the officer to shoot him. No officers were injured. The suspect was taken to Ben Taub and his condition is expected to survive.</v>
      </c>
      <c r="Q151" s="24"/>
      <c r="R151" s="24"/>
      <c r="S151" s="24"/>
      <c r="T151" s="24"/>
      <c r="U151" s="24"/>
      <c r="V151" s="24"/>
      <c r="W151" s="24"/>
      <c r="X151" s="24"/>
      <c r="Y151" s="24"/>
      <c r="Z151" s="24"/>
    </row>
    <row r="152" hidden="1">
      <c r="A152" s="29">
        <f>IFERROR(__xludf.DUMMYFUNCTION("""COMPUTED_VALUE"""),42477.0)</f>
        <v>42477</v>
      </c>
      <c r="B152" s="24">
        <f>IFERROR(__xludf.DUMMYFUNCTION("""COMPUTED_VALUE"""),4.8805716E7)</f>
        <v>48805716</v>
      </c>
      <c r="C152" s="24" t="str">
        <f>IFERROR(__xludf.DUMMYFUNCTION("""COMPUTED_VALUE"""),"6027 Ledbetter")</f>
        <v>6027 Ledbetter</v>
      </c>
      <c r="D152" s="26" t="str">
        <f>IFERROR(__xludf.DUMMYFUNCTION("""COMPUTED_VALUE"""),"M")</f>
        <v>M</v>
      </c>
      <c r="E152" s="26" t="str">
        <f>IFERROR(__xludf.DUMMYFUNCTION("""COMPUTED_VALUE"""),"B")</f>
        <v>B</v>
      </c>
      <c r="F152" s="26">
        <f>IFERROR(__xludf.DUMMYFUNCTION("""COMPUTED_VALUE"""),29.0)</f>
        <v>29</v>
      </c>
      <c r="G152" s="26" t="str">
        <f>IFERROR(__xludf.DUMMYFUNCTION("""COMPUTED_VALUE"""),"Wounded")</f>
        <v>Wounded</v>
      </c>
      <c r="H152" s="26" t="str">
        <f>IFERROR(__xludf.DUMMYFUNCTION("""COMPUTED_VALUE"""),"Firearm")</f>
        <v>Firearm</v>
      </c>
      <c r="I152" s="27" t="str">
        <f>IFERROR(__xludf.DUMMYFUNCTION("""COMPUTED_VALUE"""),"M")</f>
        <v>M</v>
      </c>
      <c r="J152" s="27" t="str">
        <f>IFERROR(__xludf.DUMMYFUNCTION("""COMPUTED_VALUE"""),"H")</f>
        <v>H</v>
      </c>
      <c r="K152" s="27">
        <f>IFERROR(__xludf.DUMMYFUNCTION("""COMPUTED_VALUE"""),34.0)</f>
        <v>34</v>
      </c>
      <c r="L152" s="27" t="str">
        <f>IFERROR(__xludf.DUMMYFUNCTION("""COMPUTED_VALUE"""),"None")</f>
        <v>None</v>
      </c>
      <c r="M152" s="27" t="str">
        <f>IFERROR(__xludf.DUMMYFUNCTION("""COMPUTED_VALUE"""),"Y")</f>
        <v>Y</v>
      </c>
      <c r="N152" s="24"/>
      <c r="O152" s="24"/>
      <c r="P152" s="28" t="str">
        <f>IFERROR(__xludf.DUMMYFUNCTION("""COMPUTED_VALUE"""),"Officers responded to a person down call and arrived to find the suspect armed with a pistol. The officers gave verbal commands for the suspect to put down the weapon but the suspect ran towards the officers while pointing a gun at them forcing the office"&amp;"r to discharged his firearm.")</f>
        <v>Officers responded to a person down call and arrived to find the suspect armed with a pistol. The officers gave verbal commands for the suspect to put down the weapon but the suspect ran towards the officers while pointing a gun at them forcing the officer to discharged his firearm.</v>
      </c>
      <c r="Q152" s="24"/>
      <c r="R152" s="24"/>
      <c r="S152" s="24"/>
      <c r="T152" s="24"/>
      <c r="U152" s="24"/>
      <c r="V152" s="24"/>
      <c r="W152" s="24"/>
      <c r="X152" s="24"/>
      <c r="Y152" s="24"/>
      <c r="Z152" s="24"/>
    </row>
    <row r="153">
      <c r="A153" s="29">
        <f>IFERROR(__xludf.DUMMYFUNCTION("""COMPUTED_VALUE"""),42474.0)</f>
        <v>42474</v>
      </c>
      <c r="B153" s="24">
        <f>IFERROR(__xludf.DUMMYFUNCTION("""COMPUTED_VALUE"""),4.7566916E7)</f>
        <v>47566916</v>
      </c>
      <c r="C153" s="24" t="str">
        <f>IFERROR(__xludf.DUMMYFUNCTION("""COMPUTED_VALUE"""),"19732 Tomball Pkwy Outbound")</f>
        <v>19732 Tomball Pkwy Outbound</v>
      </c>
      <c r="D153" s="26" t="str">
        <f>IFERROR(__xludf.DUMMYFUNCTION("""COMPUTED_VALUE"""),"M")</f>
        <v>M</v>
      </c>
      <c r="E153" s="26" t="str">
        <f>IFERROR(__xludf.DUMMYFUNCTION("""COMPUTED_VALUE"""),"B")</f>
        <v>B</v>
      </c>
      <c r="F153" s="26"/>
      <c r="G153" s="26" t="str">
        <f>IFERROR(__xludf.DUMMYFUNCTION("""COMPUTED_VALUE"""),"Unknown")</f>
        <v>Unknown</v>
      </c>
      <c r="H153" s="26" t="str">
        <f>IFERROR(__xludf.DUMMYFUNCTION("""COMPUTED_VALUE"""),"Firearm")</f>
        <v>Firearm</v>
      </c>
      <c r="I153" s="27" t="str">
        <f>IFERROR(__xludf.DUMMYFUNCTION("""COMPUTED_VALUE"""),"M")</f>
        <v>M</v>
      </c>
      <c r="J153" s="27" t="str">
        <f>IFERROR(__xludf.DUMMYFUNCTION("""COMPUTED_VALUE"""),"H")</f>
        <v>H</v>
      </c>
      <c r="K153" s="27">
        <f>IFERROR(__xludf.DUMMYFUNCTION("""COMPUTED_VALUE"""),51.0)</f>
        <v>51</v>
      </c>
      <c r="L153" s="27" t="str">
        <f>IFERROR(__xludf.DUMMYFUNCTION("""COMPUTED_VALUE"""),"None")</f>
        <v>None</v>
      </c>
      <c r="M153" s="27" t="str">
        <f>IFERROR(__xludf.DUMMYFUNCTION("""COMPUTED_VALUE"""),"N")</f>
        <v>N</v>
      </c>
      <c r="N153" s="24"/>
      <c r="O153" s="24">
        <f>IFERROR(__xludf.DUMMYFUNCTION("""COMPUTED_VALUE"""),1.0)</f>
        <v>1</v>
      </c>
      <c r="P153" s="28" t="str">
        <f>IFERROR(__xludf.DUMMYFUNCTION("""COMPUTED_VALUE"""),"Robbery suspects entered the bank with their guns drawn. An off-duty Houston police officer working security opened fire on the suspects. No injuries or arrests are reported at this time.")</f>
        <v>Robbery suspects entered the bank with their guns drawn. An off-duty Houston police officer working security opened fire on the suspects. No injuries or arrests are reported at this time.</v>
      </c>
      <c r="Q153" s="24"/>
      <c r="R153" s="24"/>
      <c r="S153" s="24"/>
      <c r="T153" s="24"/>
      <c r="U153" s="24"/>
      <c r="V153" s="24"/>
      <c r="W153" s="24"/>
      <c r="X153" s="24"/>
      <c r="Y153" s="24"/>
      <c r="Z153" s="24"/>
    </row>
    <row r="154">
      <c r="A154" s="29"/>
      <c r="B154" s="24"/>
      <c r="C154" s="24"/>
      <c r="D154" s="26" t="str">
        <f>IFERROR(__xludf.DUMMYFUNCTION("""COMPUTED_VALUE"""),"M")</f>
        <v>M</v>
      </c>
      <c r="E154" s="26" t="str">
        <f>IFERROR(__xludf.DUMMYFUNCTION("""COMPUTED_VALUE"""),"B")</f>
        <v>B</v>
      </c>
      <c r="F154" s="26">
        <f>IFERROR(__xludf.DUMMYFUNCTION("""COMPUTED_VALUE"""),37.0)</f>
        <v>37</v>
      </c>
      <c r="G154" s="26" t="str">
        <f>IFERROR(__xludf.DUMMYFUNCTION("""COMPUTED_VALUE"""),"Unknown")</f>
        <v>Unknown</v>
      </c>
      <c r="H154" s="26" t="str">
        <f>IFERROR(__xludf.DUMMYFUNCTION("""COMPUTED_VALUE"""),"Firearm")</f>
        <v>Firearm</v>
      </c>
      <c r="I154" s="27"/>
      <c r="J154" s="27"/>
      <c r="K154" s="27"/>
      <c r="L154" s="27"/>
      <c r="M154" s="27"/>
      <c r="N154" s="24"/>
      <c r="O154" s="24"/>
      <c r="P154" s="28"/>
      <c r="Q154" s="24"/>
      <c r="R154" s="24"/>
      <c r="S154" s="24"/>
      <c r="T154" s="24"/>
      <c r="U154" s="24"/>
      <c r="V154" s="24"/>
      <c r="W154" s="24"/>
      <c r="X154" s="24"/>
      <c r="Y154" s="24"/>
      <c r="Z154" s="24"/>
    </row>
    <row r="155" hidden="1">
      <c r="A155" s="29">
        <f>IFERROR(__xludf.DUMMYFUNCTION("""COMPUTED_VALUE"""),42449.0)</f>
        <v>42449</v>
      </c>
      <c r="B155" s="24">
        <f>IFERROR(__xludf.DUMMYFUNCTION("""COMPUTED_VALUE"""),3.5690916E7)</f>
        <v>35690916</v>
      </c>
      <c r="C155" s="24" t="str">
        <f>IFERROR(__xludf.DUMMYFUNCTION("""COMPUTED_VALUE"""),"200 S. 70th")</f>
        <v>200 S. 70th</v>
      </c>
      <c r="D155" s="26" t="str">
        <f>IFERROR(__xludf.DUMMYFUNCTION("""COMPUTED_VALUE"""),"M")</f>
        <v>M</v>
      </c>
      <c r="E155" s="26" t="str">
        <f>IFERROR(__xludf.DUMMYFUNCTION("""COMPUTED_VALUE"""),"H")</f>
        <v>H</v>
      </c>
      <c r="F155" s="26">
        <f>IFERROR(__xludf.DUMMYFUNCTION("""COMPUTED_VALUE"""),28.0)</f>
        <v>28</v>
      </c>
      <c r="G155" s="26" t="str">
        <f>IFERROR(__xludf.DUMMYFUNCTION("""COMPUTED_VALUE"""),"Wounded")</f>
        <v>Wounded</v>
      </c>
      <c r="H155" s="26" t="str">
        <f>IFERROR(__xludf.DUMMYFUNCTION("""COMPUTED_VALUE"""),"Firearm")</f>
        <v>Firearm</v>
      </c>
      <c r="I155" s="27" t="str">
        <f>IFERROR(__xludf.DUMMYFUNCTION("""COMPUTED_VALUE"""),"M")</f>
        <v>M</v>
      </c>
      <c r="J155" s="27" t="str">
        <f>IFERROR(__xludf.DUMMYFUNCTION("""COMPUTED_VALUE"""),"H")</f>
        <v>H</v>
      </c>
      <c r="K155" s="27">
        <f>IFERROR(__xludf.DUMMYFUNCTION("""COMPUTED_VALUE"""),47.0)</f>
        <v>47</v>
      </c>
      <c r="L155" s="27" t="str">
        <f>IFERROR(__xludf.DUMMYFUNCTION("""COMPUTED_VALUE"""),"None")</f>
        <v>None</v>
      </c>
      <c r="M155" s="27" t="str">
        <f>IFERROR(__xludf.DUMMYFUNCTION("""COMPUTED_VALUE"""),"Y")</f>
        <v>Y</v>
      </c>
      <c r="N155" s="24"/>
      <c r="O155" s="24">
        <f>IFERROR(__xludf.DUMMYFUNCTION("""COMPUTED_VALUE"""),1.0)</f>
        <v>1</v>
      </c>
      <c r="P155" s="28" t="str">
        <f>IFERROR(__xludf.DUMMYFUNCTION("""COMPUTED_VALUE"""),"The officers located the suspect of a shooting in progress call and saw that he was armed with a pistol. The officers told the suspect to drop his weapon but the suspect refused and instead, turned toward the officers and pointed his weapon at them forcin"&amp;"g the officers to shoot.")</f>
        <v>The officers located the suspect of a shooting in progress call and saw that he was armed with a pistol. The officers told the suspect to drop his weapon but the suspect refused and instead, turned toward the officers and pointed his weapon at them forcing the officers to shoot.</v>
      </c>
      <c r="Q155" s="24"/>
      <c r="R155" s="24"/>
      <c r="S155" s="24"/>
      <c r="T155" s="24"/>
      <c r="U155" s="24"/>
      <c r="V155" s="24"/>
      <c r="W155" s="24"/>
      <c r="X155" s="24"/>
      <c r="Y155" s="24"/>
      <c r="Z155" s="24"/>
    </row>
    <row r="156" hidden="1">
      <c r="A156" s="29"/>
      <c r="B156" s="24"/>
      <c r="C156" s="24"/>
      <c r="D156" s="26"/>
      <c r="E156" s="26"/>
      <c r="F156" s="26"/>
      <c r="G156" s="26"/>
      <c r="H156" s="26"/>
      <c r="I156" s="27" t="str">
        <f>IFERROR(__xludf.DUMMYFUNCTION("""COMPUTED_VALUE"""),"M")</f>
        <v>M</v>
      </c>
      <c r="J156" s="27" t="str">
        <f>IFERROR(__xludf.DUMMYFUNCTION("""COMPUTED_VALUE"""),"H")</f>
        <v>H</v>
      </c>
      <c r="K156" s="27">
        <f>IFERROR(__xludf.DUMMYFUNCTION("""COMPUTED_VALUE"""),48.0)</f>
        <v>48</v>
      </c>
      <c r="L156" s="27" t="str">
        <f>IFERROR(__xludf.DUMMYFUNCTION("""COMPUTED_VALUE"""),"None")</f>
        <v>None</v>
      </c>
      <c r="M156" s="27" t="str">
        <f>IFERROR(__xludf.DUMMYFUNCTION("""COMPUTED_VALUE"""),"Y")</f>
        <v>Y</v>
      </c>
      <c r="N156" s="24"/>
      <c r="O156" s="24">
        <f>IFERROR(__xludf.DUMMYFUNCTION("""COMPUTED_VALUE"""),1.0)</f>
        <v>1</v>
      </c>
      <c r="P156" s="24"/>
      <c r="Q156" s="24"/>
      <c r="R156" s="24"/>
      <c r="S156" s="24"/>
      <c r="T156" s="24"/>
      <c r="U156" s="24"/>
      <c r="V156" s="24"/>
      <c r="W156" s="24"/>
      <c r="X156" s="24"/>
      <c r="Y156" s="24"/>
      <c r="Z156" s="24"/>
    </row>
    <row r="157">
      <c r="A157" s="29">
        <f>IFERROR(__xludf.DUMMYFUNCTION("""COMPUTED_VALUE"""),42446.0)</f>
        <v>42446</v>
      </c>
      <c r="B157" s="24">
        <f>IFERROR(__xludf.DUMMYFUNCTION("""COMPUTED_VALUE"""),3.4516216E7)</f>
        <v>34516216</v>
      </c>
      <c r="C157" s="24" t="str">
        <f>IFERROR(__xludf.DUMMYFUNCTION("""COMPUTED_VALUE"""),"11300 North Fwy")</f>
        <v>11300 North Fwy</v>
      </c>
      <c r="D157" s="26" t="str">
        <f>IFERROR(__xludf.DUMMYFUNCTION("""COMPUTED_VALUE"""),"M")</f>
        <v>M</v>
      </c>
      <c r="E157" s="26" t="str">
        <f>IFERROR(__xludf.DUMMYFUNCTION("""COMPUTED_VALUE"""),"B")</f>
        <v>B</v>
      </c>
      <c r="F157" s="26">
        <f>IFERROR(__xludf.DUMMYFUNCTION("""COMPUTED_VALUE"""),32.0)</f>
        <v>32</v>
      </c>
      <c r="G157" s="26" t="str">
        <f>IFERROR(__xludf.DUMMYFUNCTION("""COMPUTED_VALUE"""),"None")</f>
        <v>None</v>
      </c>
      <c r="H157" s="26" t="str">
        <f>IFERROR(__xludf.DUMMYFUNCTION("""COMPUTED_VALUE"""),"Firearm")</f>
        <v>Firearm</v>
      </c>
      <c r="I157" s="27" t="str">
        <f>IFERROR(__xludf.DUMMYFUNCTION("""COMPUTED_VALUE"""),"M")</f>
        <v>M</v>
      </c>
      <c r="J157" s="27" t="str">
        <f>IFERROR(__xludf.DUMMYFUNCTION("""COMPUTED_VALUE"""),"W")</f>
        <v>W</v>
      </c>
      <c r="K157" s="27">
        <f>IFERROR(__xludf.DUMMYFUNCTION("""COMPUTED_VALUE"""),30.0)</f>
        <v>30</v>
      </c>
      <c r="L157" s="27" t="str">
        <f>IFERROR(__xludf.DUMMYFUNCTION("""COMPUTED_VALUE"""),"None")</f>
        <v>None</v>
      </c>
      <c r="M157" s="27" t="str">
        <f>IFERROR(__xludf.DUMMYFUNCTION("""COMPUTED_VALUE"""),"Y")</f>
        <v>Y</v>
      </c>
      <c r="N157" s="24"/>
      <c r="O157" s="24"/>
      <c r="P157" s="28" t="str">
        <f>IFERROR(__xludf.DUMMYFUNCTION("""COMPUTED_VALUE"""),"The armed suspects were leaving a business that they had just robbed when they were engaged by the officers. The suspects refused to drop their weapons forcing the officers to shoot.")</f>
        <v>The armed suspects were leaving a business that they had just robbed when they were engaged by the officers. The suspects refused to drop their weapons forcing the officers to shoot.</v>
      </c>
      <c r="Q157" s="24"/>
      <c r="R157" s="24"/>
      <c r="S157" s="24"/>
      <c r="T157" s="24"/>
      <c r="U157" s="24"/>
      <c r="V157" s="24"/>
      <c r="W157" s="24"/>
      <c r="X157" s="24"/>
      <c r="Y157" s="24"/>
      <c r="Z157" s="24"/>
    </row>
    <row r="158" hidden="1">
      <c r="A158" s="29"/>
      <c r="B158" s="24"/>
      <c r="C158" s="24"/>
      <c r="D158" s="26" t="str">
        <f>IFERROR(__xludf.DUMMYFUNCTION("""COMPUTED_VALUE"""),"M")</f>
        <v>M</v>
      </c>
      <c r="E158" s="26" t="str">
        <f>IFERROR(__xludf.DUMMYFUNCTION("""COMPUTED_VALUE"""),"B")</f>
        <v>B</v>
      </c>
      <c r="F158" s="26">
        <f>IFERROR(__xludf.DUMMYFUNCTION("""COMPUTED_VALUE"""),25.0)</f>
        <v>25</v>
      </c>
      <c r="G158" s="26" t="str">
        <f>IFERROR(__xludf.DUMMYFUNCTION("""COMPUTED_VALUE"""),"Wounded")</f>
        <v>Wounded</v>
      </c>
      <c r="H158" s="26" t="str">
        <f>IFERROR(__xludf.DUMMYFUNCTION("""COMPUTED_VALUE"""),"None")</f>
        <v>None</v>
      </c>
      <c r="I158" s="27" t="str">
        <f>IFERROR(__xludf.DUMMYFUNCTION("""COMPUTED_VALUE"""),"M")</f>
        <v>M</v>
      </c>
      <c r="J158" s="27" t="str">
        <f>IFERROR(__xludf.DUMMYFUNCTION("""COMPUTED_VALUE"""),"W")</f>
        <v>W</v>
      </c>
      <c r="K158" s="27">
        <f>IFERROR(__xludf.DUMMYFUNCTION("""COMPUTED_VALUE"""),30.0)</f>
        <v>30</v>
      </c>
      <c r="L158" s="27" t="str">
        <f>IFERROR(__xludf.DUMMYFUNCTION("""COMPUTED_VALUE"""),"None")</f>
        <v>None</v>
      </c>
      <c r="M158" s="27" t="str">
        <f>IFERROR(__xludf.DUMMYFUNCTION("""COMPUTED_VALUE"""),"Y")</f>
        <v>Y</v>
      </c>
      <c r="N158" s="24"/>
      <c r="O158" s="24"/>
      <c r="P158" s="28"/>
      <c r="Q158" s="24"/>
      <c r="R158" s="24"/>
      <c r="S158" s="24"/>
      <c r="T158" s="24"/>
      <c r="U158" s="24"/>
      <c r="V158" s="24"/>
      <c r="W158" s="24"/>
      <c r="X158" s="24"/>
      <c r="Y158" s="24"/>
      <c r="Z158" s="24"/>
    </row>
    <row r="159" hidden="1">
      <c r="A159" s="29"/>
      <c r="B159" s="24"/>
      <c r="C159" s="24"/>
      <c r="D159" s="26" t="str">
        <f>IFERROR(__xludf.DUMMYFUNCTION("""COMPUTED_VALUE"""),"M")</f>
        <v>M</v>
      </c>
      <c r="E159" s="26" t="str">
        <f>IFERROR(__xludf.DUMMYFUNCTION("""COMPUTED_VALUE"""),"B")</f>
        <v>B</v>
      </c>
      <c r="F159" s="26">
        <f>IFERROR(__xludf.DUMMYFUNCTION("""COMPUTED_VALUE"""),23.0)</f>
        <v>23</v>
      </c>
      <c r="G159" s="26" t="str">
        <f>IFERROR(__xludf.DUMMYFUNCTION("""COMPUTED_VALUE"""),"Wounded")</f>
        <v>Wounded</v>
      </c>
      <c r="H159" s="26" t="str">
        <f>IFERROR(__xludf.DUMMYFUNCTION("""COMPUTED_VALUE"""),"Firearm")</f>
        <v>Firearm</v>
      </c>
      <c r="I159" s="27" t="str">
        <f>IFERROR(__xludf.DUMMYFUNCTION("""COMPUTED_VALUE"""),"M")</f>
        <v>M</v>
      </c>
      <c r="J159" s="27" t="str">
        <f>IFERROR(__xludf.DUMMYFUNCTION("""COMPUTED_VALUE"""),"W")</f>
        <v>W</v>
      </c>
      <c r="K159" s="27">
        <f>IFERROR(__xludf.DUMMYFUNCTION("""COMPUTED_VALUE"""),31.0)</f>
        <v>31</v>
      </c>
      <c r="L159" s="27" t="str">
        <f>IFERROR(__xludf.DUMMYFUNCTION("""COMPUTED_VALUE"""),"None")</f>
        <v>None</v>
      </c>
      <c r="M159" s="27" t="str">
        <f>IFERROR(__xludf.DUMMYFUNCTION("""COMPUTED_VALUE"""),"Y")</f>
        <v>Y</v>
      </c>
      <c r="N159" s="24"/>
      <c r="O159" s="24"/>
      <c r="P159" s="28"/>
      <c r="Q159" s="24"/>
      <c r="R159" s="24"/>
      <c r="S159" s="24"/>
      <c r="T159" s="24"/>
      <c r="U159" s="24"/>
      <c r="V159" s="24"/>
      <c r="W159" s="24"/>
      <c r="X159" s="24"/>
      <c r="Y159" s="24"/>
      <c r="Z159" s="24"/>
    </row>
    <row r="160" hidden="1">
      <c r="A160" s="29"/>
      <c r="B160" s="24"/>
      <c r="C160" s="24"/>
      <c r="D160" s="26" t="str">
        <f>IFERROR(__xludf.DUMMYFUNCTION("""COMPUTED_VALUE"""),"M")</f>
        <v>M</v>
      </c>
      <c r="E160" s="26" t="str">
        <f>IFERROR(__xludf.DUMMYFUNCTION("""COMPUTED_VALUE"""),"B")</f>
        <v>B</v>
      </c>
      <c r="F160" s="26">
        <f>IFERROR(__xludf.DUMMYFUNCTION("""COMPUTED_VALUE"""),29.0)</f>
        <v>29</v>
      </c>
      <c r="G160" s="26" t="str">
        <f>IFERROR(__xludf.DUMMYFUNCTION("""COMPUTED_VALUE"""),"Killed")</f>
        <v>Killed</v>
      </c>
      <c r="H160" s="26" t="str">
        <f>IFERROR(__xludf.DUMMYFUNCTION("""COMPUTED_VALUE"""),"None")</f>
        <v>None</v>
      </c>
      <c r="I160" s="27" t="str">
        <f>IFERROR(__xludf.DUMMYFUNCTION("""COMPUTED_VALUE"""),"M")</f>
        <v>M</v>
      </c>
      <c r="J160" s="27" t="str">
        <f>IFERROR(__xludf.DUMMYFUNCTION("""COMPUTED_VALUE"""),"W")</f>
        <v>W</v>
      </c>
      <c r="K160" s="27">
        <f>IFERROR(__xludf.DUMMYFUNCTION("""COMPUTED_VALUE"""),47.0)</f>
        <v>47</v>
      </c>
      <c r="L160" s="27" t="str">
        <f>IFERROR(__xludf.DUMMYFUNCTION("""COMPUTED_VALUE"""),"None")</f>
        <v>None</v>
      </c>
      <c r="M160" s="27" t="str">
        <f>IFERROR(__xludf.DUMMYFUNCTION("""COMPUTED_VALUE"""),"Y")</f>
        <v>Y</v>
      </c>
      <c r="N160" s="24"/>
      <c r="O160" s="24">
        <f>IFERROR(__xludf.DUMMYFUNCTION("""COMPUTED_VALUE"""),1.0)</f>
        <v>1</v>
      </c>
      <c r="P160" s="24"/>
      <c r="Q160" s="24"/>
      <c r="R160" s="24"/>
      <c r="S160" s="24"/>
      <c r="T160" s="24"/>
      <c r="U160" s="24"/>
      <c r="V160" s="24"/>
      <c r="W160" s="24"/>
      <c r="X160" s="24"/>
      <c r="Y160" s="24"/>
      <c r="Z160" s="24"/>
    </row>
    <row r="161" hidden="1">
      <c r="A161" s="29"/>
      <c r="B161" s="24"/>
      <c r="C161" s="24"/>
      <c r="D161" s="26" t="str">
        <f>IFERROR(__xludf.DUMMYFUNCTION("""COMPUTED_VALUE"""),"M")</f>
        <v>M</v>
      </c>
      <c r="E161" s="26" t="str">
        <f>IFERROR(__xludf.DUMMYFUNCTION("""COMPUTED_VALUE"""),"B")</f>
        <v>B</v>
      </c>
      <c r="F161" s="26">
        <f>IFERROR(__xludf.DUMMYFUNCTION("""COMPUTED_VALUE"""),30.0)</f>
        <v>30</v>
      </c>
      <c r="G161" s="26" t="str">
        <f>IFERROR(__xludf.DUMMYFUNCTION("""COMPUTED_VALUE"""),"Killed")</f>
        <v>Killed</v>
      </c>
      <c r="H161" s="26" t="str">
        <f>IFERROR(__xludf.DUMMYFUNCTION("""COMPUTED_VALUE"""),"Firearm")</f>
        <v>Firearm</v>
      </c>
      <c r="I161" s="27" t="str">
        <f>IFERROR(__xludf.DUMMYFUNCTION("""COMPUTED_VALUE"""),"M")</f>
        <v>M</v>
      </c>
      <c r="J161" s="27" t="str">
        <f>IFERROR(__xludf.DUMMYFUNCTION("""COMPUTED_VALUE"""),"W")</f>
        <v>W</v>
      </c>
      <c r="K161" s="27">
        <f>IFERROR(__xludf.DUMMYFUNCTION("""COMPUTED_VALUE"""),26.0)</f>
        <v>26</v>
      </c>
      <c r="L161" s="27" t="str">
        <f>IFERROR(__xludf.DUMMYFUNCTION("""COMPUTED_VALUE"""),"None")</f>
        <v>None</v>
      </c>
      <c r="M161" s="27" t="str">
        <f>IFERROR(__xludf.DUMMYFUNCTION("""COMPUTED_VALUE"""),"Y")</f>
        <v>Y</v>
      </c>
      <c r="N161" s="24"/>
      <c r="O161" s="24"/>
      <c r="P161" s="24"/>
      <c r="Q161" s="24"/>
      <c r="R161" s="24"/>
      <c r="S161" s="24"/>
      <c r="T161" s="24"/>
      <c r="U161" s="24"/>
      <c r="V161" s="24"/>
      <c r="W161" s="24"/>
      <c r="X161" s="24"/>
      <c r="Y161" s="24"/>
      <c r="Z161" s="24"/>
    </row>
    <row r="162">
      <c r="A162" s="29"/>
      <c r="B162" s="24"/>
      <c r="C162" s="24"/>
      <c r="D162" s="26" t="str">
        <f>IFERROR(__xludf.DUMMYFUNCTION("""COMPUTED_VALUE"""),"M")</f>
        <v>M</v>
      </c>
      <c r="E162" s="26" t="str">
        <f>IFERROR(__xludf.DUMMYFUNCTION("""COMPUTED_VALUE"""),"B")</f>
        <v>B</v>
      </c>
      <c r="F162" s="26">
        <f>IFERROR(__xludf.DUMMYFUNCTION("""COMPUTED_VALUE"""),32.0)</f>
        <v>32</v>
      </c>
      <c r="G162" s="26" t="str">
        <f>IFERROR(__xludf.DUMMYFUNCTION("""COMPUTED_VALUE"""),"None")</f>
        <v>None</v>
      </c>
      <c r="H162" s="26" t="str">
        <f>IFERROR(__xludf.DUMMYFUNCTION("""COMPUTED_VALUE"""),"Firearm")</f>
        <v>Firearm</v>
      </c>
      <c r="I162" s="27" t="str">
        <f>IFERROR(__xludf.DUMMYFUNCTION("""COMPUTED_VALUE"""),"M")</f>
        <v>M</v>
      </c>
      <c r="J162" s="27" t="str">
        <f>IFERROR(__xludf.DUMMYFUNCTION("""COMPUTED_VALUE"""),"W")</f>
        <v>W</v>
      </c>
      <c r="K162" s="27">
        <f>IFERROR(__xludf.DUMMYFUNCTION("""COMPUTED_VALUE"""),34.0)</f>
        <v>34</v>
      </c>
      <c r="L162" s="27" t="str">
        <f>IFERROR(__xludf.DUMMYFUNCTION("""COMPUTED_VALUE"""),"None")</f>
        <v>None</v>
      </c>
      <c r="M162" s="27" t="str">
        <f>IFERROR(__xludf.DUMMYFUNCTION("""COMPUTED_VALUE"""),"Y")</f>
        <v>Y</v>
      </c>
      <c r="N162" s="24"/>
      <c r="O162" s="24">
        <f>IFERROR(__xludf.DUMMYFUNCTION("""COMPUTED_VALUE"""),1.0)</f>
        <v>1</v>
      </c>
      <c r="P162" s="28"/>
      <c r="Q162" s="24"/>
      <c r="R162" s="24"/>
      <c r="S162" s="24"/>
      <c r="T162" s="24"/>
      <c r="U162" s="24"/>
      <c r="V162" s="24"/>
      <c r="W162" s="24"/>
      <c r="X162" s="24"/>
      <c r="Y162" s="24"/>
      <c r="Z162" s="24"/>
    </row>
    <row r="163" hidden="1">
      <c r="A163" s="29">
        <f>IFERROR(__xludf.DUMMYFUNCTION("""COMPUTED_VALUE"""),42441.0)</f>
        <v>42441</v>
      </c>
      <c r="B163" s="24">
        <f>IFERROR(__xludf.DUMMYFUNCTION("""COMPUTED_VALUE"""),3.2189216E7)</f>
        <v>32189216</v>
      </c>
      <c r="C163" s="24" t="str">
        <f>IFERROR(__xludf.DUMMYFUNCTION("""COMPUTED_VALUE"""),"3400 Eastex Fwy SR OB")</f>
        <v>3400 Eastex Fwy SR OB</v>
      </c>
      <c r="D163" s="26" t="str">
        <f>IFERROR(__xludf.DUMMYFUNCTION("""COMPUTED_VALUE"""),"M")</f>
        <v>M</v>
      </c>
      <c r="E163" s="26" t="str">
        <f>IFERROR(__xludf.DUMMYFUNCTION("""COMPUTED_VALUE"""),"B")</f>
        <v>B</v>
      </c>
      <c r="F163" s="26">
        <f>IFERROR(__xludf.DUMMYFUNCTION("""COMPUTED_VALUE"""),37.0)</f>
        <v>37</v>
      </c>
      <c r="G163" s="26" t="str">
        <f>IFERROR(__xludf.DUMMYFUNCTION("""COMPUTED_VALUE"""),"Killed")</f>
        <v>Killed</v>
      </c>
      <c r="H163" s="26" t="str">
        <f>IFERROR(__xludf.DUMMYFUNCTION("""COMPUTED_VALUE"""),"None")</f>
        <v>None</v>
      </c>
      <c r="I163" s="27" t="str">
        <f>IFERROR(__xludf.DUMMYFUNCTION("""COMPUTED_VALUE"""),"M")</f>
        <v>M</v>
      </c>
      <c r="J163" s="27" t="str">
        <f>IFERROR(__xludf.DUMMYFUNCTION("""COMPUTED_VALUE"""),"B")</f>
        <v>B</v>
      </c>
      <c r="K163" s="27">
        <f>IFERROR(__xludf.DUMMYFUNCTION("""COMPUTED_VALUE"""),28.0)</f>
        <v>28</v>
      </c>
      <c r="L163" s="27" t="str">
        <f>IFERROR(__xludf.DUMMYFUNCTION("""COMPUTED_VALUE"""),"None")</f>
        <v>None</v>
      </c>
      <c r="M163" s="27" t="str">
        <f>IFERROR(__xludf.DUMMYFUNCTION("""COMPUTED_VALUE"""),"Y")</f>
        <v>Y</v>
      </c>
      <c r="N163" s="24"/>
      <c r="O163" s="24">
        <f>IFERROR(__xludf.DUMMYFUNCTION("""COMPUTED_VALUE"""),1.0)</f>
        <v>1</v>
      </c>
      <c r="P163" s="24" t="str">
        <f>IFERROR(__xludf.DUMMYFUNCTION("""COMPUTED_VALUE"""),"The officer was attempting to detain a suspect who was damaging public property. The suspect charged at the officer at which time the officer attempted to use a conducted energy device to stop him but it had no effect. The suspect continued to charge at t"&amp;"he officer causing the officer to have to shoot at the suspect.")</f>
        <v>The officer was attempting to detain a suspect who was damaging public property. The suspect charged at the officer at which time the officer attempted to use a conducted energy device to stop him but it had no effect. The suspect continued to charge at the officer causing the officer to have to shoot at the suspect.</v>
      </c>
      <c r="Q163" s="24"/>
      <c r="R163" s="24"/>
      <c r="S163" s="24"/>
      <c r="T163" s="24"/>
      <c r="U163" s="24"/>
      <c r="V163" s="24"/>
      <c r="W163" s="24"/>
      <c r="X163" s="24"/>
      <c r="Y163" s="24"/>
      <c r="Z163" s="24"/>
    </row>
    <row r="164">
      <c r="A164" s="29">
        <f>IFERROR(__xludf.DUMMYFUNCTION("""COMPUTED_VALUE"""),42437.0)</f>
        <v>42437</v>
      </c>
      <c r="B164" s="24">
        <f>IFERROR(__xludf.DUMMYFUNCTION("""COMPUTED_VALUE"""),3.0130016E7)</f>
        <v>30130016</v>
      </c>
      <c r="C164" s="24" t="str">
        <f>IFERROR(__xludf.DUMMYFUNCTION("""COMPUTED_VALUE"""),"7110 Mykawa Rd.")</f>
        <v>7110 Mykawa Rd.</v>
      </c>
      <c r="D164" s="26" t="str">
        <f>IFERROR(__xludf.DUMMYFUNCTION("""COMPUTED_VALUE"""),"M")</f>
        <v>M</v>
      </c>
      <c r="E164" s="26" t="str">
        <f>IFERROR(__xludf.DUMMYFUNCTION("""COMPUTED_VALUE"""),"B")</f>
        <v>B</v>
      </c>
      <c r="F164" s="26">
        <f>IFERROR(__xludf.DUMMYFUNCTION("""COMPUTED_VALUE"""),20.0)</f>
        <v>20</v>
      </c>
      <c r="G164" s="26" t="str">
        <f>IFERROR(__xludf.DUMMYFUNCTION("""COMPUTED_VALUE"""),"None")</f>
        <v>None</v>
      </c>
      <c r="H164" s="26" t="str">
        <f>IFERROR(__xludf.DUMMYFUNCTION("""COMPUTED_VALUE"""),"Firearm")</f>
        <v>Firearm</v>
      </c>
      <c r="I164" s="27" t="str">
        <f>IFERROR(__xludf.DUMMYFUNCTION("""COMPUTED_VALUE"""),"M")</f>
        <v>M</v>
      </c>
      <c r="J164" s="27" t="str">
        <f>IFERROR(__xludf.DUMMYFUNCTION("""COMPUTED_VALUE"""),"W")</f>
        <v>W</v>
      </c>
      <c r="K164" s="27">
        <f>IFERROR(__xludf.DUMMYFUNCTION("""COMPUTED_VALUE"""),48.0)</f>
        <v>48</v>
      </c>
      <c r="L164" s="27" t="str">
        <f>IFERROR(__xludf.DUMMYFUNCTION("""COMPUTED_VALUE"""),"None")</f>
        <v>None</v>
      </c>
      <c r="M164" s="27" t="str">
        <f>IFERROR(__xludf.DUMMYFUNCTION("""COMPUTED_VALUE"""),"Y")</f>
        <v>Y</v>
      </c>
      <c r="N164" s="24"/>
      <c r="O164" s="24">
        <f>IFERROR(__xludf.DUMMYFUNCTION("""COMPUTED_VALUE"""),1.0)</f>
        <v>1</v>
      </c>
      <c r="P164" s="28" t="str">
        <f>IFERROR(__xludf.DUMMYFUNCTION("""COMPUTED_VALUE"""),"Southeast Patrol officers responded to a Disturbance / Weapon call. Upon arrival, two HPD sergeants discharged their duty weapons at the suspect who was armed with a shotgun. The suspect was not hit. No reports of injuries.")</f>
        <v>Southeast Patrol officers responded to a Disturbance / Weapon call. Upon arrival, two HPD sergeants discharged their duty weapons at the suspect who was armed with a shotgun. The suspect was not hit. No reports of injuries.</v>
      </c>
      <c r="Q164" s="24"/>
      <c r="R164" s="24"/>
      <c r="S164" s="24"/>
      <c r="T164" s="24"/>
      <c r="U164" s="24"/>
      <c r="V164" s="24"/>
      <c r="W164" s="24"/>
      <c r="X164" s="24"/>
      <c r="Y164" s="24"/>
      <c r="Z164" s="24"/>
    </row>
    <row r="165" hidden="1">
      <c r="A165" s="29"/>
      <c r="B165" s="24"/>
      <c r="C165" s="24"/>
      <c r="D165" s="26"/>
      <c r="E165" s="26"/>
      <c r="F165" s="26"/>
      <c r="G165" s="26"/>
      <c r="H165" s="26"/>
      <c r="I165" s="27" t="str">
        <f>IFERROR(__xludf.DUMMYFUNCTION("""COMPUTED_VALUE"""),"M")</f>
        <v>M</v>
      </c>
      <c r="J165" s="27" t="str">
        <f>IFERROR(__xludf.DUMMYFUNCTION("""COMPUTED_VALUE"""),"H")</f>
        <v>H</v>
      </c>
      <c r="K165" s="27">
        <f>IFERROR(__xludf.DUMMYFUNCTION("""COMPUTED_VALUE"""),38.0)</f>
        <v>38</v>
      </c>
      <c r="L165" s="27" t="str">
        <f>IFERROR(__xludf.DUMMYFUNCTION("""COMPUTED_VALUE"""),"None")</f>
        <v>None</v>
      </c>
      <c r="M165" s="27" t="str">
        <f>IFERROR(__xludf.DUMMYFUNCTION("""COMPUTED_VALUE"""),"Y")</f>
        <v>Y</v>
      </c>
      <c r="N165" s="24"/>
      <c r="O165" s="24">
        <f>IFERROR(__xludf.DUMMYFUNCTION("""COMPUTED_VALUE"""),1.0)</f>
        <v>1</v>
      </c>
      <c r="P165" s="24"/>
      <c r="Q165" s="24"/>
      <c r="R165" s="24"/>
      <c r="S165" s="24"/>
      <c r="T165" s="24"/>
      <c r="U165" s="24"/>
      <c r="V165" s="24"/>
      <c r="W165" s="24"/>
      <c r="X165" s="24"/>
      <c r="Y165" s="24"/>
      <c r="Z165" s="24"/>
    </row>
    <row r="166" hidden="1">
      <c r="A166" s="29">
        <f>IFERROR(__xludf.DUMMYFUNCTION("""COMPUTED_VALUE"""),42413.0)</f>
        <v>42413</v>
      </c>
      <c r="B166" s="24">
        <f>IFERROR(__xludf.DUMMYFUNCTION("""COMPUTED_VALUE"""),1.9345016E7)</f>
        <v>19345016</v>
      </c>
      <c r="C166" s="24" t="str">
        <f>IFERROR(__xludf.DUMMYFUNCTION("""COMPUTED_VALUE"""),"5420 N. Hwy 6")</f>
        <v>5420 N. Hwy 6</v>
      </c>
      <c r="D166" s="26" t="str">
        <f>IFERROR(__xludf.DUMMYFUNCTION("""COMPUTED_VALUE"""),"Juvenile")</f>
        <v>Juvenile</v>
      </c>
      <c r="E166" s="26" t="str">
        <f>IFERROR(__xludf.DUMMYFUNCTION("""COMPUTED_VALUE"""),"Juvenile")</f>
        <v>Juvenile</v>
      </c>
      <c r="F166" s="26"/>
      <c r="G166" s="26" t="str">
        <f>IFERROR(__xludf.DUMMYFUNCTION("""COMPUTED_VALUE"""),"Wounded")</f>
        <v>Wounded</v>
      </c>
      <c r="H166" s="26" t="str">
        <f>IFERROR(__xludf.DUMMYFUNCTION("""COMPUTED_VALUE"""),"Firearm")</f>
        <v>Firearm</v>
      </c>
      <c r="I166" s="27" t="str">
        <f>IFERROR(__xludf.DUMMYFUNCTION("""COMPUTED_VALUE"""),"M")</f>
        <v>M</v>
      </c>
      <c r="J166" s="27" t="str">
        <f>IFERROR(__xludf.DUMMYFUNCTION("""COMPUTED_VALUE"""),"H")</f>
        <v>H</v>
      </c>
      <c r="K166" s="27">
        <f>IFERROR(__xludf.DUMMYFUNCTION("""COMPUTED_VALUE"""),50.0)</f>
        <v>50</v>
      </c>
      <c r="L166" s="27" t="str">
        <f>IFERROR(__xludf.DUMMYFUNCTION("""COMPUTED_VALUE"""),"None")</f>
        <v>None</v>
      </c>
      <c r="M166" s="27" t="str">
        <f>IFERROR(__xludf.DUMMYFUNCTION("""COMPUTED_VALUE"""),"Y")</f>
        <v>Y</v>
      </c>
      <c r="N166" s="24"/>
      <c r="O166" s="24">
        <f>IFERROR(__xludf.DUMMYFUNCTION("""COMPUTED_VALUE"""),1.0)</f>
        <v>1</v>
      </c>
      <c r="P166" s="28" t="str">
        <f>IFERROR(__xludf.DUMMYFUNCTION("""COMPUTED_VALUE"""),"The officers were conducing surveillance at an area business in response to a string of robberies that were occurring. The involved officer spotted two suspicious persons enter a a meat market at the location and as he approached the business to investiga"&amp;"te further, he saw the males exit the location armed with weapons and firing at persons who were fleeing. The armed suspects saw the officer and began shooting at him forcing the officer to return fire.")</f>
        <v>The officers were conducing surveillance at an area business in response to a string of robberies that were occurring. The involved officer spotted two suspicious persons enter a a meat market at the location and as he approached the business to investigate further, he saw the males exit the location armed with weapons and firing at persons who were fleeing. The armed suspects saw the officer and began shooting at him forcing the officer to return fire.</v>
      </c>
      <c r="Q166" s="24"/>
      <c r="R166" s="24"/>
      <c r="S166" s="24"/>
      <c r="T166" s="24"/>
      <c r="U166" s="24"/>
      <c r="V166" s="24"/>
      <c r="W166" s="24"/>
      <c r="X166" s="24"/>
      <c r="Y166" s="24"/>
      <c r="Z166" s="24"/>
    </row>
    <row r="167">
      <c r="A167" s="29"/>
      <c r="B167" s="24"/>
      <c r="C167" s="24"/>
      <c r="D167" s="26" t="str">
        <f>IFERROR(__xludf.DUMMYFUNCTION("""COMPUTED_VALUE"""),"M")</f>
        <v>M</v>
      </c>
      <c r="E167" s="26" t="str">
        <f>IFERROR(__xludf.DUMMYFUNCTION("""COMPUTED_VALUE"""),"B")</f>
        <v>B</v>
      </c>
      <c r="F167" s="26">
        <f>IFERROR(__xludf.DUMMYFUNCTION("""COMPUTED_VALUE"""),20.0)</f>
        <v>20</v>
      </c>
      <c r="G167" s="26" t="str">
        <f>IFERROR(__xludf.DUMMYFUNCTION("""COMPUTED_VALUE"""),"None")</f>
        <v>None</v>
      </c>
      <c r="H167" s="26" t="str">
        <f>IFERROR(__xludf.DUMMYFUNCTION("""COMPUTED_VALUE"""),"Firearm")</f>
        <v>Firearm</v>
      </c>
      <c r="I167" s="27"/>
      <c r="J167" s="27"/>
      <c r="K167" s="27"/>
      <c r="L167" s="27"/>
      <c r="M167" s="27"/>
      <c r="N167" s="24"/>
      <c r="O167" s="24"/>
      <c r="P167" s="28"/>
      <c r="Q167" s="24"/>
      <c r="R167" s="24"/>
      <c r="S167" s="24"/>
      <c r="T167" s="24"/>
      <c r="U167" s="24"/>
      <c r="V167" s="24"/>
      <c r="W167" s="24"/>
      <c r="X167" s="24"/>
      <c r="Y167" s="24"/>
      <c r="Z167" s="24"/>
    </row>
    <row r="168">
      <c r="A168" s="29">
        <f>IFERROR(__xludf.DUMMYFUNCTION("""COMPUTED_VALUE"""),42405.0)</f>
        <v>42405</v>
      </c>
      <c r="B168" s="24">
        <f>IFERROR(__xludf.DUMMYFUNCTION("""COMPUTED_VALUE"""),1.5817516E7)</f>
        <v>15817516</v>
      </c>
      <c r="C168" s="24" t="str">
        <f>IFERROR(__xludf.DUMMYFUNCTION("""COMPUTED_VALUE"""),"7129 Lawndale")</f>
        <v>7129 Lawndale</v>
      </c>
      <c r="D168" s="26" t="str">
        <f>IFERROR(__xludf.DUMMYFUNCTION("""COMPUTED_VALUE"""),"Juvenile")</f>
        <v>Juvenile</v>
      </c>
      <c r="E168" s="26" t="str">
        <f>IFERROR(__xludf.DUMMYFUNCTION("""COMPUTED_VALUE"""),"Juvenile")</f>
        <v>Juvenile</v>
      </c>
      <c r="F168" s="26"/>
      <c r="G168" s="26" t="str">
        <f>IFERROR(__xludf.DUMMYFUNCTION("""COMPUTED_VALUE"""),"None")</f>
        <v>None</v>
      </c>
      <c r="H168" s="26" t="str">
        <f>IFERROR(__xludf.DUMMYFUNCTION("""COMPUTED_VALUE"""),"None")</f>
        <v>None</v>
      </c>
      <c r="I168" s="27" t="str">
        <f>IFERROR(__xludf.DUMMYFUNCTION("""COMPUTED_VALUE"""),"M")</f>
        <v>M</v>
      </c>
      <c r="J168" s="27" t="str">
        <f>IFERROR(__xludf.DUMMYFUNCTION("""COMPUTED_VALUE"""),"W")</f>
        <v>W</v>
      </c>
      <c r="K168" s="27">
        <f>IFERROR(__xludf.DUMMYFUNCTION("""COMPUTED_VALUE"""),47.0)</f>
        <v>47</v>
      </c>
      <c r="L168" s="27" t="str">
        <f>IFERROR(__xludf.DUMMYFUNCTION("""COMPUTED_VALUE"""),"None")</f>
        <v>None</v>
      </c>
      <c r="M168" s="27" t="str">
        <f>IFERROR(__xludf.DUMMYFUNCTION("""COMPUTED_VALUE"""),"N")</f>
        <v>N</v>
      </c>
      <c r="N168" s="24"/>
      <c r="O168" s="24">
        <f>IFERROR(__xludf.DUMMYFUNCTION("""COMPUTED_VALUE"""),1.0)</f>
        <v>1</v>
      </c>
      <c r="P168" s="28" t="str">
        <f>IFERROR(__xludf.DUMMYFUNCTION("""COMPUTED_VALUE"""),"The officer saw two masked men enter the gas station. The officer belived a robbery was about to occur and as he watched them he saw one of them point a weapon at the store clerk causing him to shoot the armed suspect.")</f>
        <v>The officer saw two masked men enter the gas station. The officer belived a robbery was about to occur and as he watched them he saw one of them point a weapon at the store clerk causing him to shoot the armed suspect.</v>
      </c>
      <c r="Q168" s="24"/>
      <c r="R168" s="24"/>
      <c r="S168" s="24"/>
      <c r="T168" s="24"/>
      <c r="U168" s="24"/>
      <c r="V168" s="24"/>
      <c r="W168" s="24"/>
      <c r="X168" s="24"/>
      <c r="Y168" s="24"/>
      <c r="Z168" s="24"/>
    </row>
    <row r="169" hidden="1">
      <c r="A169" s="29"/>
      <c r="B169" s="24"/>
      <c r="C169" s="24"/>
      <c r="D169" s="26" t="str">
        <f>IFERROR(__xludf.DUMMYFUNCTION("""COMPUTED_VALUE"""),"Juvenile")</f>
        <v>Juvenile</v>
      </c>
      <c r="E169" s="26" t="str">
        <f>IFERROR(__xludf.DUMMYFUNCTION("""COMPUTED_VALUE"""),"Juvenile")</f>
        <v>Juvenile</v>
      </c>
      <c r="F169" s="26"/>
      <c r="G169" s="26" t="str">
        <f>IFERROR(__xludf.DUMMYFUNCTION("""COMPUTED_VALUE"""),"Wounded")</f>
        <v>Wounded</v>
      </c>
      <c r="H169" s="26" t="str">
        <f>IFERROR(__xludf.DUMMYFUNCTION("""COMPUTED_VALUE"""),"Firearm")</f>
        <v>Firearm</v>
      </c>
      <c r="I169" s="27"/>
      <c r="J169" s="27"/>
      <c r="K169" s="27"/>
      <c r="L169" s="27"/>
      <c r="M169" s="27"/>
      <c r="N169" s="24"/>
      <c r="O169" s="24"/>
      <c r="P169" s="28"/>
      <c r="Q169" s="24"/>
      <c r="R169" s="24"/>
      <c r="S169" s="24"/>
      <c r="T169" s="24"/>
      <c r="U169" s="24"/>
      <c r="V169" s="24"/>
      <c r="W169" s="24"/>
      <c r="X169" s="24"/>
      <c r="Y169" s="24"/>
      <c r="Z169" s="24"/>
    </row>
    <row r="170">
      <c r="A170" s="29">
        <f>IFERROR(__xludf.DUMMYFUNCTION("""COMPUTED_VALUE"""),42395.0)</f>
        <v>42395</v>
      </c>
      <c r="B170" s="24">
        <f>IFERROR(__xludf.DUMMYFUNCTION("""COMPUTED_VALUE"""),1.1017416E7)</f>
        <v>11017416</v>
      </c>
      <c r="C170" s="24" t="str">
        <f>IFERROR(__xludf.DUMMYFUNCTION("""COMPUTED_VALUE"""),"935 WOOLWORTH")</f>
        <v>935 WOOLWORTH</v>
      </c>
      <c r="D170" s="26" t="str">
        <f>IFERROR(__xludf.DUMMYFUNCTION("""COMPUTED_VALUE"""),"F")</f>
        <v>F</v>
      </c>
      <c r="E170" s="26" t="str">
        <f>IFERROR(__xludf.DUMMYFUNCTION("""COMPUTED_VALUE"""),"W")</f>
        <v>W</v>
      </c>
      <c r="F170" s="26">
        <f>IFERROR(__xludf.DUMMYFUNCTION("""COMPUTED_VALUE"""),40.0)</f>
        <v>40</v>
      </c>
      <c r="G170" s="26" t="str">
        <f>IFERROR(__xludf.DUMMYFUNCTION("""COMPUTED_VALUE"""),"None")</f>
        <v>None</v>
      </c>
      <c r="H170" s="26" t="str">
        <f>IFERROR(__xludf.DUMMYFUNCTION("""COMPUTED_VALUE"""),"Firearm")</f>
        <v>Firearm</v>
      </c>
      <c r="I170" s="27" t="str">
        <f>IFERROR(__xludf.DUMMYFUNCTION("""COMPUTED_VALUE"""),"M")</f>
        <v>M</v>
      </c>
      <c r="J170" s="27" t="str">
        <f>IFERROR(__xludf.DUMMYFUNCTION("""COMPUTED_VALUE"""),"W")</f>
        <v>W</v>
      </c>
      <c r="K170" s="27">
        <f>IFERROR(__xludf.DUMMYFUNCTION("""COMPUTED_VALUE"""),35.0)</f>
        <v>35</v>
      </c>
      <c r="L170" s="27" t="str">
        <f>IFERROR(__xludf.DUMMYFUNCTION("""COMPUTED_VALUE"""),"None")</f>
        <v>None</v>
      </c>
      <c r="M170" s="27" t="str">
        <f>IFERROR(__xludf.DUMMYFUNCTION("""COMPUTED_VALUE"""),"Y")</f>
        <v>Y</v>
      </c>
      <c r="N170" s="24"/>
      <c r="O170" s="24"/>
      <c r="P170" s="28" t="str">
        <f>IFERROR(__xludf.DUMMYFUNCTION("""COMPUTED_VALUE"""),"Officers initiated a stop on a possible stolen vehicle. The vehicle fled and was pursued by officers until it stopped. The suspect fled into a house, came back out, and pointed a gun at the officers. Both officers fired on the suspect who dropped the gun."&amp;" No injuries were reported.")</f>
        <v>Officers initiated a stop on a possible stolen vehicle. The vehicle fled and was pursued by officers until it stopped. The suspect fled into a house, came back out, and pointed a gun at the officers. Both officers fired on the suspect who dropped the gun. No injuries were reported.</v>
      </c>
      <c r="Q170" s="24"/>
      <c r="R170" s="24"/>
      <c r="S170" s="24"/>
      <c r="T170" s="24"/>
      <c r="U170" s="24"/>
      <c r="V170" s="24"/>
      <c r="W170" s="24"/>
      <c r="X170" s="24"/>
      <c r="Y170" s="24"/>
      <c r="Z170" s="24"/>
    </row>
    <row r="171" hidden="1">
      <c r="A171" s="29"/>
      <c r="B171" s="24"/>
      <c r="C171" s="24"/>
      <c r="D171" s="26"/>
      <c r="E171" s="26"/>
      <c r="F171" s="26"/>
      <c r="G171" s="26"/>
      <c r="H171" s="26"/>
      <c r="I171" s="27" t="str">
        <f>IFERROR(__xludf.DUMMYFUNCTION("""COMPUTED_VALUE"""),"M")</f>
        <v>M</v>
      </c>
      <c r="J171" s="27" t="str">
        <f>IFERROR(__xludf.DUMMYFUNCTION("""COMPUTED_VALUE"""),"B")</f>
        <v>B</v>
      </c>
      <c r="K171" s="27">
        <f>IFERROR(__xludf.DUMMYFUNCTION("""COMPUTED_VALUE"""),27.0)</f>
        <v>27</v>
      </c>
      <c r="L171" s="27" t="str">
        <f>IFERROR(__xludf.DUMMYFUNCTION("""COMPUTED_VALUE"""),"None")</f>
        <v>None</v>
      </c>
      <c r="M171" s="27" t="str">
        <f>IFERROR(__xludf.DUMMYFUNCTION("""COMPUTED_VALUE"""),"Y")</f>
        <v>Y</v>
      </c>
      <c r="N171" s="24"/>
      <c r="O171" s="24"/>
      <c r="P171" s="24"/>
      <c r="Q171" s="24"/>
      <c r="R171" s="24"/>
      <c r="S171" s="24"/>
      <c r="T171" s="24"/>
      <c r="U171" s="24"/>
      <c r="V171" s="24"/>
      <c r="W171" s="24"/>
      <c r="X171" s="24"/>
      <c r="Y171" s="24"/>
      <c r="Z171" s="24"/>
    </row>
    <row r="172">
      <c r="A172" s="29">
        <f>IFERROR(__xludf.DUMMYFUNCTION("""COMPUTED_VALUE"""),42388.0)</f>
        <v>42388</v>
      </c>
      <c r="B172" s="24">
        <f>IFERROR(__xludf.DUMMYFUNCTION("""COMPUTED_VALUE"""),7896816.0)</f>
        <v>7896816</v>
      </c>
      <c r="C172" s="24" t="str">
        <f>IFERROR(__xludf.DUMMYFUNCTION("""COMPUTED_VALUE"""),"6011 Van Zandt")</f>
        <v>6011 Van Zandt</v>
      </c>
      <c r="D172" s="26" t="str">
        <f>IFERROR(__xludf.DUMMYFUNCTION("""COMPUTED_VALUE"""),"M")</f>
        <v>M</v>
      </c>
      <c r="E172" s="26" t="str">
        <f>IFERROR(__xludf.DUMMYFUNCTION("""COMPUTED_VALUE"""),"B")</f>
        <v>B</v>
      </c>
      <c r="F172" s="26">
        <f>IFERROR(__xludf.DUMMYFUNCTION("""COMPUTED_VALUE"""),27.0)</f>
        <v>27</v>
      </c>
      <c r="G172" s="26" t="str">
        <f>IFERROR(__xludf.DUMMYFUNCTION("""COMPUTED_VALUE"""),"None")</f>
        <v>None</v>
      </c>
      <c r="H172" s="26" t="str">
        <f>IFERROR(__xludf.DUMMYFUNCTION("""COMPUTED_VALUE"""),"Firearm")</f>
        <v>Firearm</v>
      </c>
      <c r="I172" s="27" t="str">
        <f>IFERROR(__xludf.DUMMYFUNCTION("""COMPUTED_VALUE"""),"M")</f>
        <v>M</v>
      </c>
      <c r="J172" s="27" t="str">
        <f>IFERROR(__xludf.DUMMYFUNCTION("""COMPUTED_VALUE"""),"W")</f>
        <v>W</v>
      </c>
      <c r="K172" s="27">
        <f>IFERROR(__xludf.DUMMYFUNCTION("""COMPUTED_VALUE"""),33.0)</f>
        <v>33</v>
      </c>
      <c r="L172" s="27" t="str">
        <f>IFERROR(__xludf.DUMMYFUNCTION("""COMPUTED_VALUE"""),"Wounded")</f>
        <v>Wounded</v>
      </c>
      <c r="M172" s="27" t="str">
        <f>IFERROR(__xludf.DUMMYFUNCTION("""COMPUTED_VALUE"""),"Y")</f>
        <v>Y</v>
      </c>
      <c r="N172" s="24"/>
      <c r="O172" s="24">
        <f>IFERROR(__xludf.DUMMYFUNCTION("""COMPUTED_VALUE"""),1.0)</f>
        <v>1</v>
      </c>
      <c r="P172" s="28" t="str">
        <f>IFERROR(__xludf.DUMMYFUNCTION("""COMPUTED_VALUE"""),"""Northeast Officer was on a suspicious person call when the suspects shot at him. The officer was transported to Memorial Hermann hospital with a gunshot wound to the left arm. He is reported to be in stable condition. Two suspects were apprehended later"&amp;" by HPD officers. """)</f>
        <v>"Northeast Officer was on a suspicious person call when the suspects shot at him. The officer was transported to Memorial Hermann hospital with a gunshot wound to the left arm. He is reported to be in stable condition. Two suspects were apprehended later by HPD officers. "</v>
      </c>
      <c r="Q172" s="24"/>
      <c r="R172" s="24"/>
      <c r="S172" s="24"/>
      <c r="T172" s="24"/>
      <c r="U172" s="24"/>
      <c r="V172" s="24"/>
      <c r="W172" s="24"/>
      <c r="X172" s="24"/>
      <c r="Y172" s="24"/>
      <c r="Z172" s="24"/>
    </row>
    <row r="173">
      <c r="A173" s="29"/>
      <c r="B173" s="24"/>
      <c r="C173" s="24"/>
      <c r="D173" s="26" t="str">
        <f>IFERROR(__xludf.DUMMYFUNCTION("""COMPUTED_VALUE"""),"Juvenile")</f>
        <v>Juvenile</v>
      </c>
      <c r="E173" s="26" t="str">
        <f>IFERROR(__xludf.DUMMYFUNCTION("""COMPUTED_VALUE"""),"Juvenile")</f>
        <v>Juvenile</v>
      </c>
      <c r="F173" s="26"/>
      <c r="G173" s="26" t="str">
        <f>IFERROR(__xludf.DUMMYFUNCTION("""COMPUTED_VALUE"""),"None")</f>
        <v>None</v>
      </c>
      <c r="H173" s="26" t="str">
        <f>IFERROR(__xludf.DUMMYFUNCTION("""COMPUTED_VALUE"""),"None")</f>
        <v>None</v>
      </c>
      <c r="I173" s="27"/>
      <c r="J173" s="27"/>
      <c r="K173" s="27"/>
      <c r="L173" s="27"/>
      <c r="M173" s="27"/>
      <c r="N173" s="24"/>
      <c r="O173" s="24"/>
      <c r="P173" s="28"/>
      <c r="Q173" s="24"/>
      <c r="R173" s="24"/>
      <c r="S173" s="24"/>
      <c r="T173" s="24"/>
      <c r="U173" s="24"/>
      <c r="V173" s="24"/>
      <c r="W173" s="24"/>
      <c r="X173" s="24"/>
      <c r="Y173" s="24"/>
      <c r="Z173" s="24"/>
    </row>
    <row r="174">
      <c r="A174" s="29">
        <f>IFERROR(__xludf.DUMMYFUNCTION("""COMPUTED_VALUE"""),42367.0)</f>
        <v>42367</v>
      </c>
      <c r="B174" s="24">
        <f>IFERROR(__xludf.DUMMYFUNCTION("""COMPUTED_VALUE"""),1.66610115E8)</f>
        <v>166610115</v>
      </c>
      <c r="C174" s="24" t="str">
        <f>IFERROR(__xludf.DUMMYFUNCTION("""COMPUTED_VALUE"""),"3800 Hickok Ln.")</f>
        <v>3800 Hickok Ln.</v>
      </c>
      <c r="D174" s="26" t="str">
        <f>IFERROR(__xludf.DUMMYFUNCTION("""COMPUTED_VALUE"""),"M")</f>
        <v>M</v>
      </c>
      <c r="E174" s="26" t="str">
        <f>IFERROR(__xludf.DUMMYFUNCTION("""COMPUTED_VALUE"""),"B")</f>
        <v>B</v>
      </c>
      <c r="F174" s="26">
        <f>IFERROR(__xludf.DUMMYFUNCTION("""COMPUTED_VALUE"""),22.0)</f>
        <v>22</v>
      </c>
      <c r="G174" s="26" t="str">
        <f>IFERROR(__xludf.DUMMYFUNCTION("""COMPUTED_VALUE"""),"None")</f>
        <v>None</v>
      </c>
      <c r="H174" s="26" t="str">
        <f>IFERROR(__xludf.DUMMYFUNCTION("""COMPUTED_VALUE"""),"None")</f>
        <v>None</v>
      </c>
      <c r="I174" s="27" t="str">
        <f>IFERROR(__xludf.DUMMYFUNCTION("""COMPUTED_VALUE"""),"M")</f>
        <v>M</v>
      </c>
      <c r="J174" s="27" t="str">
        <f>IFERROR(__xludf.DUMMYFUNCTION("""COMPUTED_VALUE"""),"W")</f>
        <v>W</v>
      </c>
      <c r="K174" s="27">
        <f>IFERROR(__xludf.DUMMYFUNCTION("""COMPUTED_VALUE"""),32.0)</f>
        <v>32</v>
      </c>
      <c r="L174" s="27" t="str">
        <f>IFERROR(__xludf.DUMMYFUNCTION("""COMPUTED_VALUE"""),"None")</f>
        <v>None</v>
      </c>
      <c r="M174" s="27" t="str">
        <f>IFERROR(__xludf.DUMMYFUNCTION("""COMPUTED_VALUE"""),"N")</f>
        <v>N</v>
      </c>
      <c r="N174" s="24"/>
      <c r="O174" s="24">
        <f>IFERROR(__xludf.DUMMYFUNCTION("""COMPUTED_VALUE"""),1.0)</f>
        <v>1</v>
      </c>
      <c r="P174" s="28" t="str">
        <f>IFERROR(__xludf.DUMMYFUNCTION("""COMPUTED_VALUE"""),"Off duty officer in plain clothes was approached by two suspects while in his vehicle. One suspect pointed a gun at the officer and demanded everything. The suspect then pulled the trigger but the weapon misfired. The officer drew his firearm and shot the"&amp;" suspect. Both suspects fled and were later apprehended.")</f>
        <v>Off duty officer in plain clothes was approached by two suspects while in his vehicle. One suspect pointed a gun at the officer and demanded everything. The suspect then pulled the trigger but the weapon misfired. The officer drew his firearm and shot the suspect. Both suspects fled and were later apprehended.</v>
      </c>
      <c r="Q174" s="24"/>
      <c r="R174" s="24"/>
      <c r="S174" s="24"/>
      <c r="T174" s="24"/>
      <c r="U174" s="24"/>
      <c r="V174" s="24"/>
      <c r="W174" s="24"/>
      <c r="X174" s="24"/>
      <c r="Y174" s="24"/>
      <c r="Z174" s="24"/>
    </row>
    <row r="175" hidden="1">
      <c r="A175" s="29"/>
      <c r="B175" s="24"/>
      <c r="C175" s="24"/>
      <c r="D175" s="26" t="str">
        <f>IFERROR(__xludf.DUMMYFUNCTION("""COMPUTED_VALUE"""),"M")</f>
        <v>M</v>
      </c>
      <c r="E175" s="26" t="str">
        <f>IFERROR(__xludf.DUMMYFUNCTION("""COMPUTED_VALUE"""),"B")</f>
        <v>B</v>
      </c>
      <c r="F175" s="26">
        <f>IFERROR(__xludf.DUMMYFUNCTION("""COMPUTED_VALUE"""),23.0)</f>
        <v>23</v>
      </c>
      <c r="G175" s="26" t="str">
        <f>IFERROR(__xludf.DUMMYFUNCTION("""COMPUTED_VALUE"""),"Wounded")</f>
        <v>Wounded</v>
      </c>
      <c r="H175" s="26" t="str">
        <f>IFERROR(__xludf.DUMMYFUNCTION("""COMPUTED_VALUE"""),"Firearm")</f>
        <v>Firearm</v>
      </c>
      <c r="I175" s="27"/>
      <c r="J175" s="27"/>
      <c r="K175" s="27"/>
      <c r="L175" s="27"/>
      <c r="M175" s="27"/>
      <c r="N175" s="24"/>
      <c r="O175" s="24"/>
      <c r="P175" s="28"/>
      <c r="Q175" s="24"/>
      <c r="R175" s="24"/>
      <c r="S175" s="24"/>
      <c r="T175" s="24"/>
      <c r="U175" s="24"/>
      <c r="V175" s="24"/>
      <c r="W175" s="24"/>
      <c r="X175" s="24"/>
      <c r="Y175" s="24"/>
      <c r="Z175" s="24"/>
    </row>
    <row r="176" hidden="1">
      <c r="A176" s="29">
        <f>IFERROR(__xludf.DUMMYFUNCTION("""COMPUTED_VALUE"""),42363.0)</f>
        <v>42363</v>
      </c>
      <c r="B176" s="24">
        <f>IFERROR(__xludf.DUMMYFUNCTION("""COMPUTED_VALUE"""),1.65095615E8)</f>
        <v>165095615</v>
      </c>
      <c r="C176" s="24" t="str">
        <f>IFERROR(__xludf.DUMMYFUNCTION("""COMPUTED_VALUE"""),"4002 Corder")</f>
        <v>4002 Corder</v>
      </c>
      <c r="D176" s="26" t="str">
        <f>IFERROR(__xludf.DUMMYFUNCTION("""COMPUTED_VALUE"""),"Juvenile")</f>
        <v>Juvenile</v>
      </c>
      <c r="E176" s="26" t="str">
        <f>IFERROR(__xludf.DUMMYFUNCTION("""COMPUTED_VALUE"""),"Juvenile")</f>
        <v>Juvenile</v>
      </c>
      <c r="F176" s="26"/>
      <c r="G176" s="26" t="str">
        <f>IFERROR(__xludf.DUMMYFUNCTION("""COMPUTED_VALUE"""),"Wounded")</f>
        <v>Wounded</v>
      </c>
      <c r="H176" s="26" t="str">
        <f>IFERROR(__xludf.DUMMYFUNCTION("""COMPUTED_VALUE"""),"None")</f>
        <v>None</v>
      </c>
      <c r="I176" s="27" t="str">
        <f>IFERROR(__xludf.DUMMYFUNCTION("""COMPUTED_VALUE"""),"M")</f>
        <v>M</v>
      </c>
      <c r="J176" s="27" t="str">
        <f>IFERROR(__xludf.DUMMYFUNCTION("""COMPUTED_VALUE"""),"W")</f>
        <v>W</v>
      </c>
      <c r="K176" s="27">
        <f>IFERROR(__xludf.DUMMYFUNCTION("""COMPUTED_VALUE"""),23.0)</f>
        <v>23</v>
      </c>
      <c r="L176" s="27" t="str">
        <f>IFERROR(__xludf.DUMMYFUNCTION("""COMPUTED_VALUE"""),"Wounded")</f>
        <v>Wounded</v>
      </c>
      <c r="M176" s="27" t="str">
        <f>IFERROR(__xludf.DUMMYFUNCTION("""COMPUTED_VALUE"""),"Y")</f>
        <v>Y</v>
      </c>
      <c r="N176" s="24"/>
      <c r="O176" s="24">
        <f>IFERROR(__xludf.DUMMYFUNCTION("""COMPUTED_VALUE"""),1.0)</f>
        <v>1</v>
      </c>
      <c r="P176" s="28" t="str">
        <f>IFERROR(__xludf.DUMMYFUNCTION("""COMPUTED_VALUE"""),"While an HPD officer was chasing a suspect attempting to climb over a fence, the officer grabbed the suspect with his free hand and upon doing so the suspect fell back off the fence into the officer. The officer's weapon discharged striking the suspect in"&amp;" the buttocks.")</f>
        <v>While an HPD officer was chasing a suspect attempting to climb over a fence, the officer grabbed the suspect with his free hand and upon doing so the suspect fell back off the fence into the officer. The officer's weapon discharged striking the suspect in the buttocks.</v>
      </c>
      <c r="Q176" s="24"/>
      <c r="R176" s="24"/>
      <c r="S176" s="24"/>
      <c r="T176" s="24"/>
      <c r="U176" s="24"/>
      <c r="V176" s="24"/>
      <c r="W176" s="24"/>
      <c r="X176" s="24"/>
      <c r="Y176" s="24"/>
      <c r="Z176" s="24"/>
    </row>
    <row r="177" hidden="1">
      <c r="A177" s="29">
        <f>IFERROR(__xludf.DUMMYFUNCTION("""COMPUTED_VALUE"""),42350.0)</f>
        <v>42350</v>
      </c>
      <c r="B177" s="24">
        <f>IFERROR(__xludf.DUMMYFUNCTION("""COMPUTED_VALUE"""),1.58966515E8)</f>
        <v>158966515</v>
      </c>
      <c r="C177" s="24" t="str">
        <f>IFERROR(__xludf.DUMMYFUNCTION("""COMPUTED_VALUE"""),"10079 Briarwild Ln.")</f>
        <v>10079 Briarwild Ln.</v>
      </c>
      <c r="D177" s="26" t="str">
        <f>IFERROR(__xludf.DUMMYFUNCTION("""COMPUTED_VALUE"""),"M")</f>
        <v>M</v>
      </c>
      <c r="E177" s="26" t="str">
        <f>IFERROR(__xludf.DUMMYFUNCTION("""COMPUTED_VALUE"""),"H")</f>
        <v>H</v>
      </c>
      <c r="F177" s="26">
        <f>IFERROR(__xludf.DUMMYFUNCTION("""COMPUTED_VALUE"""),35.0)</f>
        <v>35</v>
      </c>
      <c r="G177" s="26" t="str">
        <f>IFERROR(__xludf.DUMMYFUNCTION("""COMPUTED_VALUE"""),"Wounded")</f>
        <v>Wounded</v>
      </c>
      <c r="H177" s="26" t="str">
        <f>IFERROR(__xludf.DUMMYFUNCTION("""COMPUTED_VALUE"""),"None")</f>
        <v>None</v>
      </c>
      <c r="I177" s="27" t="str">
        <f>IFERROR(__xludf.DUMMYFUNCTION("""COMPUTED_VALUE"""),"M")</f>
        <v>M</v>
      </c>
      <c r="J177" s="27" t="str">
        <f>IFERROR(__xludf.DUMMYFUNCTION("""COMPUTED_VALUE"""),"H")</f>
        <v>H</v>
      </c>
      <c r="K177" s="27">
        <f>IFERROR(__xludf.DUMMYFUNCTION("""COMPUTED_VALUE"""),47.0)</f>
        <v>47</v>
      </c>
      <c r="L177" s="27" t="str">
        <f>IFERROR(__xludf.DUMMYFUNCTION("""COMPUTED_VALUE"""),"None")</f>
        <v>None</v>
      </c>
      <c r="M177" s="27" t="str">
        <f>IFERROR(__xludf.DUMMYFUNCTION("""COMPUTED_VALUE"""),"Y")</f>
        <v>Y</v>
      </c>
      <c r="N177" s="24"/>
      <c r="O177" s="24"/>
      <c r="P177" s="28" t="str">
        <f>IFERROR(__xludf.DUMMYFUNCTION("""COMPUTED_VALUE"""),"HPD officers were dispatched to a burglary in progress. The burglary suspect brandished a shotgun, later determined a firearm replica, and fled the scene. The suspect was later found with a kife and unresponsive to CED devises. The suspect lunged at an of"&amp;"ficer who shot the suspect once. The suspect survived.")</f>
        <v>HPD officers were dispatched to a burglary in progress. The burglary suspect brandished a shotgun, later determined a firearm replica, and fled the scene. The suspect was later found with a kife and unresponsive to CED devises. The suspect lunged at an officer who shot the suspect once. The suspect survived.</v>
      </c>
      <c r="Q177" s="24"/>
      <c r="R177" s="24"/>
      <c r="S177" s="24"/>
      <c r="T177" s="24"/>
      <c r="U177" s="24"/>
      <c r="V177" s="24"/>
      <c r="W177" s="24"/>
      <c r="X177" s="24"/>
      <c r="Y177" s="24"/>
      <c r="Z177" s="24"/>
    </row>
    <row r="178" hidden="1">
      <c r="A178" s="29">
        <f>IFERROR(__xludf.DUMMYFUNCTION("""COMPUTED_VALUE"""),42312.0)</f>
        <v>42312</v>
      </c>
      <c r="B178" s="24">
        <f>IFERROR(__xludf.DUMMYFUNCTION("""COMPUTED_VALUE"""),1.41999815E8)</f>
        <v>141999815</v>
      </c>
      <c r="C178" s="24" t="str">
        <f>IFERROR(__xludf.DUMMYFUNCTION("""COMPUTED_VALUE"""),"3200 Drew")</f>
        <v>3200 Drew</v>
      </c>
      <c r="D178" s="26" t="str">
        <f>IFERROR(__xludf.DUMMYFUNCTION("""COMPUTED_VALUE"""),"M")</f>
        <v>M</v>
      </c>
      <c r="E178" s="26" t="str">
        <f>IFERROR(__xludf.DUMMYFUNCTION("""COMPUTED_VALUE"""),"B")</f>
        <v>B</v>
      </c>
      <c r="F178" s="26">
        <f>IFERROR(__xludf.DUMMYFUNCTION("""COMPUTED_VALUE"""),56.0)</f>
        <v>56</v>
      </c>
      <c r="G178" s="26" t="str">
        <f>IFERROR(__xludf.DUMMYFUNCTION("""COMPUTED_VALUE"""),"Killed")</f>
        <v>Killed</v>
      </c>
      <c r="H178" s="26" t="str">
        <f>IFERROR(__xludf.DUMMYFUNCTION("""COMPUTED_VALUE"""),"Firearm")</f>
        <v>Firearm</v>
      </c>
      <c r="I178" s="27" t="str">
        <f>IFERROR(__xludf.DUMMYFUNCTION("""COMPUTED_VALUE"""),"M")</f>
        <v>M</v>
      </c>
      <c r="J178" s="27" t="str">
        <f>IFERROR(__xludf.DUMMYFUNCTION("""COMPUTED_VALUE"""),"W")</f>
        <v>W</v>
      </c>
      <c r="K178" s="27">
        <f>IFERROR(__xludf.DUMMYFUNCTION("""COMPUTED_VALUE"""),28.0)</f>
        <v>28</v>
      </c>
      <c r="L178" s="27" t="str">
        <f>IFERROR(__xludf.DUMMYFUNCTION("""COMPUTED_VALUE"""),"None")</f>
        <v>None</v>
      </c>
      <c r="M178" s="27" t="str">
        <f>IFERROR(__xludf.DUMMYFUNCTION("""COMPUTED_VALUE"""),"Y")</f>
        <v>Y</v>
      </c>
      <c r="N178" s="24"/>
      <c r="O178" s="24">
        <f>IFERROR(__xludf.DUMMYFUNCTION("""COMPUTED_VALUE"""),1.0)</f>
        <v>1</v>
      </c>
      <c r="P178" s="24" t="str">
        <f>IFERROR(__xludf.DUMMYFUNCTION("""COMPUTED_VALUE"""),"CRU officers stopped a vehicle and gave the driver repeated verbal commmands, which were ignored, to lower his window. The second officer also gave commands and saw the suspect pull out a pistol. Fearing for his and his partner's safety, the officer disch"&amp;"arged his weapon and killed the suspect.")</f>
        <v>CRU officers stopped a vehicle and gave the driver repeated verbal commmands, which were ignored, to lower his window. The second officer also gave commands and saw the suspect pull out a pistol. Fearing for his and his partner's safety, the officer discharged his weapon and killed the suspect.</v>
      </c>
      <c r="Q178" s="24"/>
      <c r="R178" s="24"/>
      <c r="S178" s="24"/>
      <c r="T178" s="24"/>
      <c r="U178" s="24"/>
      <c r="V178" s="24"/>
      <c r="W178" s="24"/>
      <c r="X178" s="24"/>
      <c r="Y178" s="24"/>
      <c r="Z178" s="24"/>
    </row>
    <row r="179" hidden="1">
      <c r="A179" s="29">
        <f>IFERROR(__xludf.DUMMYFUNCTION("""COMPUTED_VALUE"""),42307.0)</f>
        <v>42307</v>
      </c>
      <c r="B179" s="24">
        <f>IFERROR(__xludf.DUMMYFUNCTION("""COMPUTED_VALUE"""),1.39741915E8)</f>
        <v>139741915</v>
      </c>
      <c r="C179" s="24" t="str">
        <f>IFERROR(__xludf.DUMMYFUNCTION("""COMPUTED_VALUE"""),"13630 Veterans Memorial")</f>
        <v>13630 Veterans Memorial</v>
      </c>
      <c r="D179" s="26" t="str">
        <f>IFERROR(__xludf.DUMMYFUNCTION("""COMPUTED_VALUE"""),"M")</f>
        <v>M</v>
      </c>
      <c r="E179" s="26" t="str">
        <f>IFERROR(__xludf.DUMMYFUNCTION("""COMPUTED_VALUE"""),"B")</f>
        <v>B</v>
      </c>
      <c r="F179" s="26">
        <f>IFERROR(__xludf.DUMMYFUNCTION("""COMPUTED_VALUE"""),24.0)</f>
        <v>24</v>
      </c>
      <c r="G179" s="26" t="str">
        <f>IFERROR(__xludf.DUMMYFUNCTION("""COMPUTED_VALUE"""),"Killed")</f>
        <v>Killed</v>
      </c>
      <c r="H179" s="26" t="str">
        <f>IFERROR(__xludf.DUMMYFUNCTION("""COMPUTED_VALUE"""),"Firearm")</f>
        <v>Firearm</v>
      </c>
      <c r="I179" s="27" t="str">
        <f>IFERROR(__xludf.DUMMYFUNCTION("""COMPUTED_VALUE"""),"M")</f>
        <v>M</v>
      </c>
      <c r="J179" s="27" t="str">
        <f>IFERROR(__xludf.DUMMYFUNCTION("""COMPUTED_VALUE"""),"W")</f>
        <v>W</v>
      </c>
      <c r="K179" s="27">
        <f>IFERROR(__xludf.DUMMYFUNCTION("""COMPUTED_VALUE"""),35.0)</f>
        <v>35</v>
      </c>
      <c r="L179" s="27" t="str">
        <f>IFERROR(__xludf.DUMMYFUNCTION("""COMPUTED_VALUE"""),"None")</f>
        <v>None</v>
      </c>
      <c r="M179" s="27" t="str">
        <f>IFERROR(__xludf.DUMMYFUNCTION("""COMPUTED_VALUE"""),"Y")</f>
        <v>Y</v>
      </c>
      <c r="N179" s="24"/>
      <c r="O179" s="24"/>
      <c r="P179" s="24" t="str">
        <f>IFERROR(__xludf.DUMMYFUNCTION("""COMPUTED_VALUE"""),"Officers confronted robbery suspects who were leaving a Valu-Pawn they just robbed. Officers discharged their firearms striking three suspects: one died at the scene and two were life-flighted to Hermann Hospital. No officers were injured.")</f>
        <v>Officers confronted robbery suspects who were leaving a Valu-Pawn they just robbed. Officers discharged their firearms striking three suspects: one died at the scene and two were life-flighted to Hermann Hospital. No officers were injured.</v>
      </c>
      <c r="Q179" s="24"/>
      <c r="R179" s="24"/>
      <c r="S179" s="24"/>
      <c r="T179" s="24"/>
      <c r="U179" s="24"/>
      <c r="V179" s="24"/>
      <c r="W179" s="24"/>
      <c r="X179" s="24"/>
      <c r="Y179" s="24"/>
      <c r="Z179" s="24"/>
    </row>
    <row r="180" hidden="1">
      <c r="A180" s="29"/>
      <c r="B180" s="24"/>
      <c r="C180" s="24"/>
      <c r="D180" s="26" t="str">
        <f>IFERROR(__xludf.DUMMYFUNCTION("""COMPUTED_VALUE"""),"M")</f>
        <v>M</v>
      </c>
      <c r="E180" s="26" t="str">
        <f>IFERROR(__xludf.DUMMYFUNCTION("""COMPUTED_VALUE"""),"B")</f>
        <v>B</v>
      </c>
      <c r="F180" s="26">
        <f>IFERROR(__xludf.DUMMYFUNCTION("""COMPUTED_VALUE"""),25.0)</f>
        <v>25</v>
      </c>
      <c r="G180" s="26" t="str">
        <f>IFERROR(__xludf.DUMMYFUNCTION("""COMPUTED_VALUE"""),"Killed")</f>
        <v>Killed</v>
      </c>
      <c r="H180" s="26" t="str">
        <f>IFERROR(__xludf.DUMMYFUNCTION("""COMPUTED_VALUE"""),"Firearm")</f>
        <v>Firearm</v>
      </c>
      <c r="I180" s="27" t="str">
        <f>IFERROR(__xludf.DUMMYFUNCTION("""COMPUTED_VALUE"""),"M")</f>
        <v>M</v>
      </c>
      <c r="J180" s="27" t="str">
        <f>IFERROR(__xludf.DUMMYFUNCTION("""COMPUTED_VALUE"""),"W")</f>
        <v>W</v>
      </c>
      <c r="K180" s="27">
        <f>IFERROR(__xludf.DUMMYFUNCTION("""COMPUTED_VALUE"""),40.0)</f>
        <v>40</v>
      </c>
      <c r="L180" s="27" t="str">
        <f>IFERROR(__xludf.DUMMYFUNCTION("""COMPUTED_VALUE"""),"None")</f>
        <v>None</v>
      </c>
      <c r="M180" s="27" t="str">
        <f>IFERROR(__xludf.DUMMYFUNCTION("""COMPUTED_VALUE"""),"Y")</f>
        <v>Y</v>
      </c>
      <c r="N180" s="24"/>
      <c r="O180" s="24"/>
      <c r="P180" s="24"/>
      <c r="Q180" s="24"/>
      <c r="R180" s="24"/>
      <c r="S180" s="24"/>
      <c r="T180" s="24"/>
      <c r="U180" s="24"/>
      <c r="V180" s="24"/>
      <c r="W180" s="24"/>
      <c r="X180" s="24"/>
      <c r="Y180" s="24"/>
      <c r="Z180" s="24"/>
    </row>
    <row r="181" hidden="1">
      <c r="A181" s="29"/>
      <c r="B181" s="24"/>
      <c r="C181" s="24"/>
      <c r="D181" s="26" t="str">
        <f>IFERROR(__xludf.DUMMYFUNCTION("""COMPUTED_VALUE"""),"M")</f>
        <v>M</v>
      </c>
      <c r="E181" s="26" t="str">
        <f>IFERROR(__xludf.DUMMYFUNCTION("""COMPUTED_VALUE"""),"B")</f>
        <v>B</v>
      </c>
      <c r="F181" s="26">
        <f>IFERROR(__xludf.DUMMYFUNCTION("""COMPUTED_VALUE"""),24.0)</f>
        <v>24</v>
      </c>
      <c r="G181" s="26" t="str">
        <f>IFERROR(__xludf.DUMMYFUNCTION("""COMPUTED_VALUE"""),"Wounded")</f>
        <v>Wounded</v>
      </c>
      <c r="H181" s="26" t="str">
        <f>IFERROR(__xludf.DUMMYFUNCTION("""COMPUTED_VALUE"""),"Firearm")</f>
        <v>Firearm</v>
      </c>
      <c r="I181" s="27"/>
      <c r="J181" s="27"/>
      <c r="K181" s="27"/>
      <c r="L181" s="27"/>
      <c r="M181" s="27"/>
      <c r="N181" s="24"/>
      <c r="O181" s="24"/>
      <c r="P181" s="28"/>
      <c r="Q181" s="24"/>
      <c r="R181" s="24"/>
      <c r="S181" s="24"/>
      <c r="T181" s="24"/>
      <c r="U181" s="24"/>
      <c r="V181" s="24"/>
      <c r="W181" s="24"/>
      <c r="X181" s="24"/>
      <c r="Y181" s="24"/>
      <c r="Z181" s="24"/>
    </row>
    <row r="182" hidden="1">
      <c r="A182" s="29">
        <f>IFERROR(__xludf.DUMMYFUNCTION("""COMPUTED_VALUE"""),42293.0)</f>
        <v>42293</v>
      </c>
      <c r="B182" s="24">
        <f>IFERROR(__xludf.DUMMYFUNCTION("""COMPUTED_VALUE"""),1.33534615E8)</f>
        <v>133534615</v>
      </c>
      <c r="C182" s="24" t="str">
        <f>IFERROR(__xludf.DUMMYFUNCTION("""COMPUTED_VALUE"""),"913 Panama")</f>
        <v>913 Panama</v>
      </c>
      <c r="D182" s="26" t="str">
        <f>IFERROR(__xludf.DUMMYFUNCTION("""COMPUTED_VALUE"""),"M")</f>
        <v>M</v>
      </c>
      <c r="E182" s="26" t="str">
        <f>IFERROR(__xludf.DUMMYFUNCTION("""COMPUTED_VALUE"""),"W")</f>
        <v>W</v>
      </c>
      <c r="F182" s="26">
        <f>IFERROR(__xludf.DUMMYFUNCTION("""COMPUTED_VALUE"""),27.0)</f>
        <v>27</v>
      </c>
      <c r="G182" s="26" t="str">
        <f>IFERROR(__xludf.DUMMYFUNCTION("""COMPUTED_VALUE"""),"Killed")</f>
        <v>Killed</v>
      </c>
      <c r="H182" s="26" t="str">
        <f>IFERROR(__xludf.DUMMYFUNCTION("""COMPUTED_VALUE"""),"Firearm")</f>
        <v>Firearm</v>
      </c>
      <c r="I182" s="27" t="str">
        <f>IFERROR(__xludf.DUMMYFUNCTION("""COMPUTED_VALUE"""),"M")</f>
        <v>M</v>
      </c>
      <c r="J182" s="27" t="str">
        <f>IFERROR(__xludf.DUMMYFUNCTION("""COMPUTED_VALUE"""),"W")</f>
        <v>W</v>
      </c>
      <c r="K182" s="27">
        <f>IFERROR(__xludf.DUMMYFUNCTION("""COMPUTED_VALUE"""),52.0)</f>
        <v>52</v>
      </c>
      <c r="L182" s="27" t="str">
        <f>IFERROR(__xludf.DUMMYFUNCTION("""COMPUTED_VALUE"""),"None")</f>
        <v>None</v>
      </c>
      <c r="M182" s="27" t="str">
        <f>IFERROR(__xludf.DUMMYFUNCTION("""COMPUTED_VALUE"""),"Y")</f>
        <v>Y</v>
      </c>
      <c r="N182" s="24"/>
      <c r="O182" s="24">
        <f>IFERROR(__xludf.DUMMYFUNCTION("""COMPUTED_VALUE"""),1.0)</f>
        <v>1</v>
      </c>
      <c r="P182" s="24" t="str">
        <f>IFERROR(__xludf.DUMMYFUNCTION("""COMPUTED_VALUE"""),"SWAT responded to a consumer in a mental crisis who barricaded himself into a bedroom and had access to a long-gun. The suspect exited the location with a firearm, failed to follow commands, and was shot by a SWAT officer. The suspect died at the scene an"&amp;"d there were no other persons injures.")</f>
        <v>SWAT responded to a consumer in a mental crisis who barricaded himself into a bedroom and had access to a long-gun. The suspect exited the location with a firearm, failed to follow commands, and was shot by a SWAT officer. The suspect died at the scene and there were no other persons injures.</v>
      </c>
      <c r="Q182" s="24"/>
      <c r="R182" s="24"/>
      <c r="S182" s="24"/>
      <c r="T182" s="24"/>
      <c r="U182" s="24"/>
      <c r="V182" s="24"/>
      <c r="W182" s="24"/>
      <c r="X182" s="24"/>
      <c r="Y182" s="24"/>
      <c r="Z182" s="24"/>
    </row>
    <row r="183" hidden="1">
      <c r="A183" s="29">
        <f>IFERROR(__xludf.DUMMYFUNCTION("""COMPUTED_VALUE"""),42292.0)</f>
        <v>42292</v>
      </c>
      <c r="B183" s="24">
        <f>IFERROR(__xludf.DUMMYFUNCTION("""COMPUTED_VALUE"""),1.33195715E8)</f>
        <v>133195715</v>
      </c>
      <c r="C183" s="24" t="str">
        <f>IFERROR(__xludf.DUMMYFUNCTION("""COMPUTED_VALUE"""),"7844 W Tidwell")</f>
        <v>7844 W Tidwell</v>
      </c>
      <c r="D183" s="26" t="str">
        <f>IFERROR(__xludf.DUMMYFUNCTION("""COMPUTED_VALUE"""),"M")</f>
        <v>M</v>
      </c>
      <c r="E183" s="26" t="str">
        <f>IFERROR(__xludf.DUMMYFUNCTION("""COMPUTED_VALUE"""),"B")</f>
        <v>B</v>
      </c>
      <c r="F183" s="26">
        <f>IFERROR(__xludf.DUMMYFUNCTION("""COMPUTED_VALUE"""),22.0)</f>
        <v>22</v>
      </c>
      <c r="G183" s="26" t="str">
        <f>IFERROR(__xludf.DUMMYFUNCTION("""COMPUTED_VALUE"""),"Wounded")</f>
        <v>Wounded</v>
      </c>
      <c r="H183" s="26" t="str">
        <f>IFERROR(__xludf.DUMMYFUNCTION("""COMPUTED_VALUE"""),"Firearm")</f>
        <v>Firearm</v>
      </c>
      <c r="I183" s="27" t="str">
        <f>IFERROR(__xludf.DUMMYFUNCTION("""COMPUTED_VALUE"""),"M")</f>
        <v>M</v>
      </c>
      <c r="J183" s="27" t="str">
        <f>IFERROR(__xludf.DUMMYFUNCTION("""COMPUTED_VALUE"""),"H")</f>
        <v>H</v>
      </c>
      <c r="K183" s="27">
        <f>IFERROR(__xludf.DUMMYFUNCTION("""COMPUTED_VALUE"""),49.0)</f>
        <v>49</v>
      </c>
      <c r="L183" s="27" t="str">
        <f>IFERROR(__xludf.DUMMYFUNCTION("""COMPUTED_VALUE"""),"None")</f>
        <v>None</v>
      </c>
      <c r="M183" s="27" t="str">
        <f>IFERROR(__xludf.DUMMYFUNCTION("""COMPUTED_VALUE"""),"Y")</f>
        <v>Y</v>
      </c>
      <c r="N183" s="24"/>
      <c r="O183" s="24">
        <f>IFERROR(__xludf.DUMMYFUNCTION("""COMPUTED_VALUE"""),1.0)</f>
        <v>1</v>
      </c>
      <c r="P183" s="28" t="str">
        <f>IFERROR(__xludf.DUMMYFUNCTION("""COMPUTED_VALUE"""),"DPS and NW Patrol officers observed three suspects enter a cash store and attempt to rob it. DPS and NW officeres discharged their weapons striking the suspects when they ran at the officers with guns drawn. One suspect was killed, another wounded, and a "&amp;"third was arrested. No officers were injured.")</f>
        <v>DPS and NW Patrol officers observed three suspects enter a cash store and attempt to rob it. DPS and NW officeres discharged their weapons striking the suspects when they ran at the officers with guns drawn. One suspect was killed, another wounded, and a third was arrested. No officers were injured.</v>
      </c>
      <c r="Q183" s="24"/>
      <c r="R183" s="24"/>
      <c r="S183" s="24"/>
      <c r="T183" s="24"/>
      <c r="U183" s="24"/>
      <c r="V183" s="24"/>
      <c r="W183" s="24"/>
      <c r="X183" s="24"/>
      <c r="Y183" s="24"/>
      <c r="Z183" s="24"/>
    </row>
    <row r="184">
      <c r="A184" s="29"/>
      <c r="B184" s="24"/>
      <c r="C184" s="24"/>
      <c r="D184" s="26" t="str">
        <f>IFERROR(__xludf.DUMMYFUNCTION("""COMPUTED_VALUE"""),"M")</f>
        <v>M</v>
      </c>
      <c r="E184" s="26" t="str">
        <f>IFERROR(__xludf.DUMMYFUNCTION("""COMPUTED_VALUE"""),"B")</f>
        <v>B</v>
      </c>
      <c r="F184" s="26">
        <f>IFERROR(__xludf.DUMMYFUNCTION("""COMPUTED_VALUE"""),20.0)</f>
        <v>20</v>
      </c>
      <c r="G184" s="26" t="str">
        <f>IFERROR(__xludf.DUMMYFUNCTION("""COMPUTED_VALUE"""),"None")</f>
        <v>None</v>
      </c>
      <c r="H184" s="26" t="str">
        <f>IFERROR(__xludf.DUMMYFUNCTION("""COMPUTED_VALUE"""),"None")</f>
        <v>None</v>
      </c>
      <c r="I184" s="27" t="str">
        <f>IFERROR(__xludf.DUMMYFUNCTION("""COMPUTED_VALUE"""),"M")</f>
        <v>M</v>
      </c>
      <c r="J184" s="27" t="str">
        <f>IFERROR(__xludf.DUMMYFUNCTION("""COMPUTED_VALUE"""),"W")</f>
        <v>W</v>
      </c>
      <c r="K184" s="27">
        <f>IFERROR(__xludf.DUMMYFUNCTION("""COMPUTED_VALUE"""),40.0)</f>
        <v>40</v>
      </c>
      <c r="L184" s="27" t="str">
        <f>IFERROR(__xludf.DUMMYFUNCTION("""COMPUTED_VALUE"""),"None")</f>
        <v>None</v>
      </c>
      <c r="M184" s="27" t="str">
        <f>IFERROR(__xludf.DUMMYFUNCTION("""COMPUTED_VALUE"""),"Y")</f>
        <v>Y</v>
      </c>
      <c r="N184" s="24"/>
      <c r="O184" s="24">
        <f>IFERROR(__xludf.DUMMYFUNCTION("""COMPUTED_VALUE"""),1.0)</f>
        <v>1</v>
      </c>
      <c r="P184" s="28"/>
      <c r="Q184" s="24"/>
      <c r="R184" s="24"/>
      <c r="S184" s="24"/>
      <c r="T184" s="24"/>
      <c r="U184" s="24"/>
      <c r="V184" s="24"/>
      <c r="W184" s="24"/>
      <c r="X184" s="24"/>
      <c r="Y184" s="24"/>
      <c r="Z184" s="24"/>
    </row>
    <row r="185" hidden="1">
      <c r="A185" s="29"/>
      <c r="B185" s="24"/>
      <c r="C185" s="24"/>
      <c r="D185" s="26" t="str">
        <f>IFERROR(__xludf.DUMMYFUNCTION("""COMPUTED_VALUE"""),"M")</f>
        <v>M</v>
      </c>
      <c r="E185" s="26" t="str">
        <f>IFERROR(__xludf.DUMMYFUNCTION("""COMPUTED_VALUE"""),"B")</f>
        <v>B</v>
      </c>
      <c r="F185" s="26">
        <f>IFERROR(__xludf.DUMMYFUNCTION("""COMPUTED_VALUE"""),20.0)</f>
        <v>20</v>
      </c>
      <c r="G185" s="26" t="str">
        <f>IFERROR(__xludf.DUMMYFUNCTION("""COMPUTED_VALUE"""),"Killed")</f>
        <v>Killed</v>
      </c>
      <c r="H185" s="26" t="str">
        <f>IFERROR(__xludf.DUMMYFUNCTION("""COMPUTED_VALUE"""),"Firearm")</f>
        <v>Firearm</v>
      </c>
      <c r="I185" s="27" t="str">
        <f>IFERROR(__xludf.DUMMYFUNCTION("""COMPUTED_VALUE"""),"M")</f>
        <v>M</v>
      </c>
      <c r="J185" s="27" t="str">
        <f>IFERROR(__xludf.DUMMYFUNCTION("""COMPUTED_VALUE"""),"W")</f>
        <v>W</v>
      </c>
      <c r="K185" s="27">
        <f>IFERROR(__xludf.DUMMYFUNCTION("""COMPUTED_VALUE"""),35.0)</f>
        <v>35</v>
      </c>
      <c r="L185" s="27" t="str">
        <f>IFERROR(__xludf.DUMMYFUNCTION("""COMPUTED_VALUE"""),"None")</f>
        <v>None</v>
      </c>
      <c r="M185" s="27" t="str">
        <f>IFERROR(__xludf.DUMMYFUNCTION("""COMPUTED_VALUE"""),"Y")</f>
        <v>Y</v>
      </c>
      <c r="N185" s="24"/>
      <c r="O185" s="24">
        <f>IFERROR(__xludf.DUMMYFUNCTION("""COMPUTED_VALUE"""),1.0)</f>
        <v>1</v>
      </c>
      <c r="P185" s="24"/>
      <c r="Q185" s="24"/>
      <c r="R185" s="24"/>
      <c r="S185" s="24"/>
      <c r="T185" s="24"/>
      <c r="U185" s="24"/>
      <c r="V185" s="24"/>
      <c r="W185" s="24"/>
      <c r="X185" s="24"/>
      <c r="Y185" s="24"/>
      <c r="Z185" s="24"/>
    </row>
    <row r="186" hidden="1">
      <c r="A186" s="29">
        <f>IFERROR(__xludf.DUMMYFUNCTION("""COMPUTED_VALUE"""),42286.0)</f>
        <v>42286</v>
      </c>
      <c r="B186" s="24">
        <f>IFERROR(__xludf.DUMMYFUNCTION("""COMPUTED_VALUE"""),1.30647615E8)</f>
        <v>130647615</v>
      </c>
      <c r="C186" s="24" t="str">
        <f>IFERROR(__xludf.DUMMYFUNCTION("""COMPUTED_VALUE"""),"777 Bateswood")</f>
        <v>777 Bateswood</v>
      </c>
      <c r="D186" s="26" t="str">
        <f>IFERROR(__xludf.DUMMYFUNCTION("""COMPUTED_VALUE"""),"M")</f>
        <v>M</v>
      </c>
      <c r="E186" s="26" t="str">
        <f>IFERROR(__xludf.DUMMYFUNCTION("""COMPUTED_VALUE"""),"H")</f>
        <v>H</v>
      </c>
      <c r="F186" s="26">
        <f>IFERROR(__xludf.DUMMYFUNCTION("""COMPUTED_VALUE"""),22.0)</f>
        <v>22</v>
      </c>
      <c r="G186" s="26" t="str">
        <f>IFERROR(__xludf.DUMMYFUNCTION("""COMPUTED_VALUE"""),"Wounded")</f>
        <v>Wounded</v>
      </c>
      <c r="H186" s="26" t="str">
        <f>IFERROR(__xludf.DUMMYFUNCTION("""COMPUTED_VALUE"""),"Knife")</f>
        <v>Knife</v>
      </c>
      <c r="I186" s="27" t="str">
        <f>IFERROR(__xludf.DUMMYFUNCTION("""COMPUTED_VALUE"""),"M")</f>
        <v>M</v>
      </c>
      <c r="J186" s="27" t="str">
        <f>IFERROR(__xludf.DUMMYFUNCTION("""COMPUTED_VALUE"""),"B")</f>
        <v>B</v>
      </c>
      <c r="K186" s="27">
        <f>IFERROR(__xludf.DUMMYFUNCTION("""COMPUTED_VALUE"""),53.0)</f>
        <v>53</v>
      </c>
      <c r="L186" s="27" t="str">
        <f>IFERROR(__xludf.DUMMYFUNCTION("""COMPUTED_VALUE"""),"None")</f>
        <v>None</v>
      </c>
      <c r="M186" s="27" t="str">
        <f>IFERROR(__xludf.DUMMYFUNCTION("""COMPUTED_VALUE"""),"Y")</f>
        <v>Y</v>
      </c>
      <c r="N186" s="24"/>
      <c r="O186" s="24">
        <f>IFERROR(__xludf.DUMMYFUNCTION("""COMPUTED_VALUE"""),1.0)</f>
        <v>1</v>
      </c>
      <c r="P186" s="28" t="str">
        <f>IFERROR(__xludf.DUMMYFUNCTION("""COMPUTED_VALUE"""),"An HPD officer located a burglary suspect at an apartment complex on the second floor. The suspect ignored the officer’s commands, brandished a knife, and charged the officer. As a result, the officer opened fire on the suspect striking him twice in the t"&amp;"orso. At this time, the suspect is in critical condition.")</f>
        <v>An HPD officer located a burglary suspect at an apartment complex on the second floor. The suspect ignored the officer’s commands, brandished a knife, and charged the officer. As a result, the officer opened fire on the suspect striking him twice in the torso. At this time, the suspect is in critical condition.</v>
      </c>
      <c r="Q186" s="24"/>
      <c r="R186" s="24"/>
      <c r="S186" s="24"/>
      <c r="T186" s="24"/>
      <c r="U186" s="24"/>
      <c r="V186" s="24"/>
      <c r="W186" s="24"/>
      <c r="X186" s="24"/>
      <c r="Y186" s="24"/>
      <c r="Z186" s="24"/>
    </row>
    <row r="187" hidden="1">
      <c r="A187" s="29">
        <f>IFERROR(__xludf.DUMMYFUNCTION("""COMPUTED_VALUE"""),42285.0)</f>
        <v>42285</v>
      </c>
      <c r="B187" s="24">
        <f>IFERROR(__xludf.DUMMYFUNCTION("""COMPUTED_VALUE"""),1.30282515E8)</f>
        <v>130282515</v>
      </c>
      <c r="C187" s="24" t="str">
        <f>IFERROR(__xludf.DUMMYFUNCTION("""COMPUTED_VALUE"""),"Protected By Law")</f>
        <v>Protected By Law</v>
      </c>
      <c r="D187" s="26" t="str">
        <f>IFERROR(__xludf.DUMMYFUNCTION("""COMPUTED_VALUE"""),"Juvenile")</f>
        <v>Juvenile</v>
      </c>
      <c r="E187" s="26" t="str">
        <f>IFERROR(__xludf.DUMMYFUNCTION("""COMPUTED_VALUE"""),"Juvenile")</f>
        <v>Juvenile</v>
      </c>
      <c r="F187" s="26"/>
      <c r="G187" s="26" t="str">
        <f>IFERROR(__xludf.DUMMYFUNCTION("""COMPUTED_VALUE"""),"Wounded")</f>
        <v>Wounded</v>
      </c>
      <c r="H187" s="26" t="str">
        <f>IFERROR(__xludf.DUMMYFUNCTION("""COMPUTED_VALUE"""),"Firearm")</f>
        <v>Firearm</v>
      </c>
      <c r="I187" s="27" t="str">
        <f>IFERROR(__xludf.DUMMYFUNCTION("""COMPUTED_VALUE"""),"M")</f>
        <v>M</v>
      </c>
      <c r="J187" s="27" t="str">
        <f>IFERROR(__xludf.DUMMYFUNCTION("""COMPUTED_VALUE"""),"W")</f>
        <v>W</v>
      </c>
      <c r="K187" s="27">
        <f>IFERROR(__xludf.DUMMYFUNCTION("""COMPUTED_VALUE"""),54.0)</f>
        <v>54</v>
      </c>
      <c r="L187" s="27" t="str">
        <f>IFERROR(__xludf.DUMMYFUNCTION("""COMPUTED_VALUE"""),"None")</f>
        <v>None</v>
      </c>
      <c r="M187" s="27" t="str">
        <f>IFERROR(__xludf.DUMMYFUNCTION("""COMPUTED_VALUE"""),"Y")</f>
        <v>Y</v>
      </c>
      <c r="N187" s="24"/>
      <c r="O187" s="24">
        <f>IFERROR(__xludf.DUMMYFUNCTION("""COMPUTED_VALUE"""),1.0)</f>
        <v>1</v>
      </c>
      <c r="P187" s="28" t="str">
        <f>IFERROR(__xludf.DUMMYFUNCTION("""COMPUTED_VALUE"""),"Off duty HPD officer noticed a vehicle following him while driving home. Once at his house, the suspect jumped out of his vehicle with a gun and the officer shot the suspect twice. Three additional suspects were arrested by responding officers while the o"&amp;"ther was transported to the hospital. The officer was uninjured.")</f>
        <v>Off duty HPD officer noticed a vehicle following him while driving home. Once at his house, the suspect jumped out of his vehicle with a gun and the officer shot the suspect twice. Three additional suspects were arrested by responding officers while the other was transported to the hospital. The officer was uninjured.</v>
      </c>
      <c r="Q187" s="24"/>
      <c r="R187" s="24"/>
      <c r="S187" s="24"/>
      <c r="T187" s="24"/>
      <c r="U187" s="24"/>
      <c r="V187" s="24"/>
      <c r="W187" s="24"/>
      <c r="X187" s="24"/>
      <c r="Y187" s="24"/>
      <c r="Z187" s="24"/>
    </row>
    <row r="188">
      <c r="A188" s="29">
        <f>IFERROR(__xludf.DUMMYFUNCTION("""COMPUTED_VALUE"""),42280.0)</f>
        <v>42280</v>
      </c>
      <c r="B188" s="24">
        <f>IFERROR(__xludf.DUMMYFUNCTION("""COMPUTED_VALUE"""),1.27727615E8)</f>
        <v>127727615</v>
      </c>
      <c r="C188" s="24" t="str">
        <f>IFERROR(__xludf.DUMMYFUNCTION("""COMPUTED_VALUE"""),"7753 LEONARA")</f>
        <v>7753 LEONARA</v>
      </c>
      <c r="D188" s="26" t="str">
        <f>IFERROR(__xludf.DUMMYFUNCTION("""COMPUTED_VALUE"""),"M")</f>
        <v>M</v>
      </c>
      <c r="E188" s="26" t="str">
        <f>IFERROR(__xludf.DUMMYFUNCTION("""COMPUTED_VALUE"""),"H")</f>
        <v>H</v>
      </c>
      <c r="F188" s="26">
        <f>IFERROR(__xludf.DUMMYFUNCTION("""COMPUTED_VALUE"""),22.0)</f>
        <v>22</v>
      </c>
      <c r="G188" s="26" t="str">
        <f>IFERROR(__xludf.DUMMYFUNCTION("""COMPUTED_VALUE"""),"None")</f>
        <v>None</v>
      </c>
      <c r="H188" s="26" t="str">
        <f>IFERROR(__xludf.DUMMYFUNCTION("""COMPUTED_VALUE"""),"Firearm")</f>
        <v>Firearm</v>
      </c>
      <c r="I188" s="27" t="str">
        <f>IFERROR(__xludf.DUMMYFUNCTION("""COMPUTED_VALUE"""),"M")</f>
        <v>M</v>
      </c>
      <c r="J188" s="27" t="str">
        <f>IFERROR(__xludf.DUMMYFUNCTION("""COMPUTED_VALUE"""),"H")</f>
        <v>H</v>
      </c>
      <c r="K188" s="27">
        <f>IFERROR(__xludf.DUMMYFUNCTION("""COMPUTED_VALUE"""),42.0)</f>
        <v>42</v>
      </c>
      <c r="L188" s="27" t="str">
        <f>IFERROR(__xludf.DUMMYFUNCTION("""COMPUTED_VALUE"""),"None")</f>
        <v>None</v>
      </c>
      <c r="M188" s="27" t="str">
        <f>IFERROR(__xludf.DUMMYFUNCTION("""COMPUTED_VALUE"""),"Y")</f>
        <v>Y</v>
      </c>
      <c r="N188" s="24"/>
      <c r="O188" s="24">
        <f>IFERROR(__xludf.DUMMYFUNCTION("""COMPUTED_VALUE"""),1.0)</f>
        <v>1</v>
      </c>
      <c r="P188" s="28" t="str">
        <f>IFERROR(__xludf.DUMMYFUNCTION("""COMPUTED_VALUE"""),"A suspect refused verbal commands to come out and raised a shotgun at the officers. One HPD sergeant sought cover and discharged his duty weapon several times but missed the suspect. After SWAT deployed tear gas, the suspect surrendered and was taken into"&amp;" custody without further incident.")</f>
        <v>A suspect refused verbal commands to come out and raised a shotgun at the officers. One HPD sergeant sought cover and discharged his duty weapon several times but missed the suspect. After SWAT deployed tear gas, the suspect surrendered and was taken into custody without further incident.</v>
      </c>
      <c r="Q188" s="24"/>
      <c r="R188" s="24"/>
      <c r="S188" s="24"/>
      <c r="T188" s="24"/>
      <c r="U188" s="24"/>
      <c r="V188" s="24"/>
      <c r="W188" s="24"/>
      <c r="X188" s="24"/>
      <c r="Y188" s="24"/>
      <c r="Z188" s="24"/>
    </row>
    <row r="189">
      <c r="A189" s="29">
        <f>IFERROR(__xludf.DUMMYFUNCTION("""COMPUTED_VALUE"""),42271.0)</f>
        <v>42271</v>
      </c>
      <c r="B189" s="24">
        <f>IFERROR(__xludf.DUMMYFUNCTION("""COMPUTED_VALUE"""),1.23663615E8)</f>
        <v>123663615</v>
      </c>
      <c r="C189" s="24" t="str">
        <f>IFERROR(__xludf.DUMMYFUNCTION("""COMPUTED_VALUE"""),"10011 Hanka")</f>
        <v>10011 Hanka</v>
      </c>
      <c r="D189" s="26" t="str">
        <f>IFERROR(__xludf.DUMMYFUNCTION("""COMPUTED_VALUE"""),"M")</f>
        <v>M</v>
      </c>
      <c r="E189" s="26" t="str">
        <f>IFERROR(__xludf.DUMMYFUNCTION("""COMPUTED_VALUE"""),"W")</f>
        <v>W</v>
      </c>
      <c r="F189" s="26">
        <f>IFERROR(__xludf.DUMMYFUNCTION("""COMPUTED_VALUE"""),37.0)</f>
        <v>37</v>
      </c>
      <c r="G189" s="26" t="str">
        <f>IFERROR(__xludf.DUMMYFUNCTION("""COMPUTED_VALUE"""),"None")</f>
        <v>None</v>
      </c>
      <c r="H189" s="26" t="str">
        <f>IFERROR(__xludf.DUMMYFUNCTION("""COMPUTED_VALUE"""),"Vehicle")</f>
        <v>Vehicle</v>
      </c>
      <c r="I189" s="27" t="str">
        <f>IFERROR(__xludf.DUMMYFUNCTION("""COMPUTED_VALUE"""),"M")</f>
        <v>M</v>
      </c>
      <c r="J189" s="27" t="str">
        <f>IFERROR(__xludf.DUMMYFUNCTION("""COMPUTED_VALUE"""),"W")</f>
        <v>W</v>
      </c>
      <c r="K189" s="27">
        <f>IFERROR(__xludf.DUMMYFUNCTION("""COMPUTED_VALUE"""),24.0)</f>
        <v>24</v>
      </c>
      <c r="L189" s="27" t="str">
        <f>IFERROR(__xludf.DUMMYFUNCTION("""COMPUTED_VALUE"""),"None")</f>
        <v>None</v>
      </c>
      <c r="M189" s="27" t="str">
        <f>IFERROR(__xludf.DUMMYFUNCTION("""COMPUTED_VALUE"""),"Y")</f>
        <v>Y</v>
      </c>
      <c r="N189" s="24"/>
      <c r="O189" s="24"/>
      <c r="P189" s="28" t="str">
        <f>IFERROR(__xludf.DUMMYFUNCTION("""COMPUTED_VALUE"""),"While two officers ran after a suspect fleeing on foot, the suspect managed to enter their police vehicle and try to run over one of the officers. The officer in fear of his life shot multiple times at the suspect. The suspect crashed, was taken into cust"&amp;"ody, and neither the suspect nor officers were injured by a gunshot.")</f>
        <v>While two officers ran after a suspect fleeing on foot, the suspect managed to enter their police vehicle and try to run over one of the officers. The officer in fear of his life shot multiple times at the suspect. The suspect crashed, was taken into custody, and neither the suspect nor officers were injured by a gunshot.</v>
      </c>
      <c r="Q189" s="24"/>
      <c r="R189" s="24"/>
      <c r="S189" s="24"/>
      <c r="T189" s="24"/>
      <c r="U189" s="24"/>
      <c r="V189" s="24"/>
      <c r="W189" s="24"/>
      <c r="X189" s="24"/>
      <c r="Y189" s="24"/>
      <c r="Z189" s="24"/>
    </row>
    <row r="190">
      <c r="A190" s="29">
        <f>IFERROR(__xludf.DUMMYFUNCTION("""COMPUTED_VALUE"""),42255.0)</f>
        <v>42255</v>
      </c>
      <c r="B190" s="24">
        <f>IFERROR(__xludf.DUMMYFUNCTION("""COMPUTED_VALUE"""),1.16471815E8)</f>
        <v>116471815</v>
      </c>
      <c r="C190" s="24" t="str">
        <f>IFERROR(__xludf.DUMMYFUNCTION("""COMPUTED_VALUE"""),"6400 Hillcroft")</f>
        <v>6400 Hillcroft</v>
      </c>
      <c r="D190" s="26" t="str">
        <f>IFERROR(__xludf.DUMMYFUNCTION("""COMPUTED_VALUE"""),"M")</f>
        <v>M</v>
      </c>
      <c r="E190" s="26" t="str">
        <f>IFERROR(__xludf.DUMMYFUNCTION("""COMPUTED_VALUE"""),"H")</f>
        <v>H</v>
      </c>
      <c r="F190" s="26">
        <f>IFERROR(__xludf.DUMMYFUNCTION("""COMPUTED_VALUE"""),29.0)</f>
        <v>29</v>
      </c>
      <c r="G190" s="26" t="str">
        <f>IFERROR(__xludf.DUMMYFUNCTION("""COMPUTED_VALUE"""),"None")</f>
        <v>None</v>
      </c>
      <c r="H190" s="26" t="str">
        <f>IFERROR(__xludf.DUMMYFUNCTION("""COMPUTED_VALUE"""),"Firearm")</f>
        <v>Firearm</v>
      </c>
      <c r="I190" s="27" t="str">
        <f>IFERROR(__xludf.DUMMYFUNCTION("""COMPUTED_VALUE"""),"M")</f>
        <v>M</v>
      </c>
      <c r="J190" s="27" t="str">
        <f>IFERROR(__xludf.DUMMYFUNCTION("""COMPUTED_VALUE"""),"H")</f>
        <v>H</v>
      </c>
      <c r="K190" s="27">
        <f>IFERROR(__xludf.DUMMYFUNCTION("""COMPUTED_VALUE"""),29.0)</f>
        <v>29</v>
      </c>
      <c r="L190" s="27" t="str">
        <f>IFERROR(__xludf.DUMMYFUNCTION("""COMPUTED_VALUE"""),"None")</f>
        <v>None</v>
      </c>
      <c r="M190" s="27" t="str">
        <f>IFERROR(__xludf.DUMMYFUNCTION("""COMPUTED_VALUE"""),"Y")</f>
        <v>Y</v>
      </c>
      <c r="N190" s="24" t="str">
        <f>IFERROR(__xludf.DUMMYFUNCTION("""COMPUTED_VALUE"""),"ER")</f>
        <v>ER</v>
      </c>
      <c r="O190" s="24">
        <f>IFERROR(__xludf.DUMMYFUNCTION("""COMPUTED_VALUE"""),1.0)</f>
        <v>1</v>
      </c>
      <c r="P190" s="28" t="str">
        <f>IFERROR(__xludf.DUMMYFUNCTION("""COMPUTED_VALUE"""),"Patrol officers were at a night club in the process of closing when they heard firearms discharging. As the officers approached a suspicious vehicle, the passenger discharged a pistol at the officers. The officers and a security gaurd returned fire, persu"&amp;"ed the suspect's vehicle, and captured the suspects.")</f>
        <v>Patrol officers were at a night club in the process of closing when they heard firearms discharging. As the officers approached a suspicious vehicle, the passenger discharged a pistol at the officers. The officers and a security gaurd returned fire, persued the suspect's vehicle, and captured the suspects.</v>
      </c>
      <c r="Q190" s="24"/>
      <c r="R190" s="24"/>
      <c r="S190" s="24"/>
      <c r="T190" s="24"/>
      <c r="U190" s="24"/>
      <c r="V190" s="24"/>
      <c r="W190" s="24"/>
      <c r="X190" s="24"/>
      <c r="Y190" s="24"/>
      <c r="Z190" s="24"/>
    </row>
    <row r="191" hidden="1">
      <c r="A191" s="29"/>
      <c r="B191" s="24"/>
      <c r="C191" s="24"/>
      <c r="D191" s="26"/>
      <c r="E191" s="26"/>
      <c r="F191" s="26"/>
      <c r="G191" s="26"/>
      <c r="H191" s="26"/>
      <c r="I191" s="27"/>
      <c r="J191" s="27"/>
      <c r="K191" s="27"/>
      <c r="L191" s="27"/>
      <c r="M191" s="27"/>
      <c r="N191" s="24"/>
      <c r="O191" s="24"/>
      <c r="P191" s="24"/>
      <c r="Q191" s="24"/>
      <c r="R191" s="24"/>
      <c r="S191" s="24"/>
      <c r="T191" s="24"/>
      <c r="U191" s="24"/>
      <c r="V191" s="24"/>
      <c r="W191" s="24"/>
      <c r="X191" s="24"/>
      <c r="Y191" s="24"/>
      <c r="Z191" s="24"/>
    </row>
    <row r="192">
      <c r="A192" s="29"/>
      <c r="B192" s="24"/>
      <c r="C192" s="24"/>
      <c r="D192" s="26" t="str">
        <f>IFERROR(__xludf.DUMMYFUNCTION("""COMPUTED_VALUE"""),"M")</f>
        <v>M</v>
      </c>
      <c r="E192" s="26" t="str">
        <f>IFERROR(__xludf.DUMMYFUNCTION("""COMPUTED_VALUE"""),"H")</f>
        <v>H</v>
      </c>
      <c r="F192" s="26">
        <f>IFERROR(__xludf.DUMMYFUNCTION("""COMPUTED_VALUE"""),23.0)</f>
        <v>23</v>
      </c>
      <c r="G192" s="26" t="str">
        <f>IFERROR(__xludf.DUMMYFUNCTION("""COMPUTED_VALUE"""),"None")</f>
        <v>None</v>
      </c>
      <c r="H192" s="26" t="str">
        <f>IFERROR(__xludf.DUMMYFUNCTION("""COMPUTED_VALUE"""),"None")</f>
        <v>None</v>
      </c>
      <c r="I192" s="27" t="str">
        <f>IFERROR(__xludf.DUMMYFUNCTION("""COMPUTED_VALUE"""),"M")</f>
        <v>M</v>
      </c>
      <c r="J192" s="27" t="str">
        <f>IFERROR(__xludf.DUMMYFUNCTION("""COMPUTED_VALUE"""),"W")</f>
        <v>W</v>
      </c>
      <c r="K192" s="27">
        <f>IFERROR(__xludf.DUMMYFUNCTION("""COMPUTED_VALUE"""),25.0)</f>
        <v>25</v>
      </c>
      <c r="L192" s="27" t="str">
        <f>IFERROR(__xludf.DUMMYFUNCTION("""COMPUTED_VALUE"""),"None")</f>
        <v>None</v>
      </c>
      <c r="M192" s="27" t="str">
        <f>IFERROR(__xludf.DUMMYFUNCTION("""COMPUTED_VALUE"""),"Y")</f>
        <v>Y</v>
      </c>
      <c r="N192" s="24" t="str">
        <f>IFERROR(__xludf.DUMMYFUNCTION("""COMPUTED_VALUE"""),"ER")</f>
        <v>ER</v>
      </c>
      <c r="O192" s="24">
        <f>IFERROR(__xludf.DUMMYFUNCTION("""COMPUTED_VALUE"""),1.0)</f>
        <v>1</v>
      </c>
      <c r="P192" s="28"/>
      <c r="Q192" s="24"/>
      <c r="R192" s="24"/>
      <c r="S192" s="24"/>
      <c r="T192" s="24"/>
      <c r="U192" s="24"/>
      <c r="V192" s="24"/>
      <c r="W192" s="24"/>
      <c r="X192" s="24"/>
      <c r="Y192" s="24"/>
      <c r="Z192" s="24"/>
    </row>
    <row r="193" hidden="1">
      <c r="A193" s="29">
        <f>IFERROR(__xludf.DUMMYFUNCTION("""COMPUTED_VALUE"""),42252.0)</f>
        <v>42252</v>
      </c>
      <c r="B193" s="24">
        <f>IFERROR(__xludf.DUMMYFUNCTION("""COMPUTED_VALUE"""),1.15223915E8)</f>
        <v>115223915</v>
      </c>
      <c r="C193" s="24" t="str">
        <f>IFERROR(__xludf.DUMMYFUNCTION("""COMPUTED_VALUE"""),"4926 Chennault")</f>
        <v>4926 Chennault</v>
      </c>
      <c r="D193" s="26" t="str">
        <f>IFERROR(__xludf.DUMMYFUNCTION("""COMPUTED_VALUE"""),"M")</f>
        <v>M</v>
      </c>
      <c r="E193" s="26" t="str">
        <f>IFERROR(__xludf.DUMMYFUNCTION("""COMPUTED_VALUE"""),"U")</f>
        <v>U</v>
      </c>
      <c r="F193" s="26"/>
      <c r="G193" s="26" t="str">
        <f>IFERROR(__xludf.DUMMYFUNCTION("""COMPUTED_VALUE"""),"Wounded")</f>
        <v>Wounded</v>
      </c>
      <c r="H193" s="26" t="str">
        <f>IFERROR(__xludf.DUMMYFUNCTION("""COMPUTED_VALUE"""),"Firearm")</f>
        <v>Firearm</v>
      </c>
      <c r="I193" s="27" t="str">
        <f>IFERROR(__xludf.DUMMYFUNCTION("""COMPUTED_VALUE"""),"M")</f>
        <v>M</v>
      </c>
      <c r="J193" s="27" t="str">
        <f>IFERROR(__xludf.DUMMYFUNCTION("""COMPUTED_VALUE"""),"W")</f>
        <v>W</v>
      </c>
      <c r="K193" s="27">
        <f>IFERROR(__xludf.DUMMYFUNCTION("""COMPUTED_VALUE"""),28.0)</f>
        <v>28</v>
      </c>
      <c r="L193" s="27" t="str">
        <f>IFERROR(__xludf.DUMMYFUNCTION("""COMPUTED_VALUE"""),"None")</f>
        <v>None</v>
      </c>
      <c r="M193" s="27" t="str">
        <f>IFERROR(__xludf.DUMMYFUNCTION("""COMPUTED_VALUE"""),"Y")</f>
        <v>Y</v>
      </c>
      <c r="N193" s="24" t="str">
        <f>IFERROR(__xludf.DUMMYFUNCTION("""COMPUTED_VALUE"""),"ER")</f>
        <v>ER</v>
      </c>
      <c r="O193" s="24"/>
      <c r="P193" s="28" t="str">
        <f>IFERROR(__xludf.DUMMYFUNCTION("""COMPUTED_VALUE"""),"An officer was dispatched to a weapons disturbance involving a male sitting atop a vehicle and discharging a firearm. The suspect refused the officer's verbal commands and made a movement toward the officer who then discharged his firearm, striking the su"&amp;"spect in the abdomen.")</f>
        <v>An officer was dispatched to a weapons disturbance involving a male sitting atop a vehicle and discharging a firearm. The suspect refused the officer's verbal commands and made a movement toward the officer who then discharged his firearm, striking the suspect in the abdomen.</v>
      </c>
      <c r="Q193" s="24"/>
      <c r="R193" s="24"/>
      <c r="S193" s="24"/>
      <c r="T193" s="24"/>
      <c r="U193" s="24"/>
      <c r="V193" s="24"/>
      <c r="W193" s="24"/>
      <c r="X193" s="24"/>
      <c r="Y193" s="24"/>
      <c r="Z193" s="24"/>
    </row>
    <row r="194" hidden="1">
      <c r="A194" s="29">
        <f>IFERROR(__xludf.DUMMYFUNCTION("""COMPUTED_VALUE"""),42243.0)</f>
        <v>42243</v>
      </c>
      <c r="B194" s="24">
        <f>IFERROR(__xludf.DUMMYFUNCTION("""COMPUTED_VALUE"""),1.11183815E8)</f>
        <v>111183815</v>
      </c>
      <c r="C194" s="24" t="str">
        <f>IFERROR(__xludf.DUMMYFUNCTION("""COMPUTED_VALUE"""),"1401 St. Joseph Pkwy")</f>
        <v>1401 St. Joseph Pkwy</v>
      </c>
      <c r="D194" s="26" t="str">
        <f>IFERROR(__xludf.DUMMYFUNCTION("""COMPUTED_VALUE"""),"M")</f>
        <v>M</v>
      </c>
      <c r="E194" s="26" t="str">
        <f>IFERROR(__xludf.DUMMYFUNCTION("""COMPUTED_VALUE"""),"B")</f>
        <v>B</v>
      </c>
      <c r="F194" s="26">
        <f>IFERROR(__xludf.DUMMYFUNCTION("""COMPUTED_VALUE"""),26.0)</f>
        <v>26</v>
      </c>
      <c r="G194" s="26" t="str">
        <f>IFERROR(__xludf.DUMMYFUNCTION("""COMPUTED_VALUE"""),"Wounded")</f>
        <v>Wounded</v>
      </c>
      <c r="H194" s="26" t="str">
        <f>IFERROR(__xludf.DUMMYFUNCTION("""COMPUTED_VALUE"""),"Physical Force")</f>
        <v>Physical Force</v>
      </c>
      <c r="I194" s="27" t="str">
        <f>IFERROR(__xludf.DUMMYFUNCTION("""COMPUTED_VALUE"""),"M")</f>
        <v>M</v>
      </c>
      <c r="J194" s="27" t="str">
        <f>IFERROR(__xludf.DUMMYFUNCTION("""COMPUTED_VALUE"""),"H")</f>
        <v>H</v>
      </c>
      <c r="K194" s="27">
        <f>IFERROR(__xludf.DUMMYFUNCTION("""COMPUTED_VALUE"""),44.0)</f>
        <v>44</v>
      </c>
      <c r="L194" s="27" t="str">
        <f>IFERROR(__xludf.DUMMYFUNCTION("""COMPUTED_VALUE"""),"Wounded")</f>
        <v>Wounded</v>
      </c>
      <c r="M194" s="27" t="str">
        <f>IFERROR(__xludf.DUMMYFUNCTION("""COMPUTED_VALUE"""),"Y")</f>
        <v>Y</v>
      </c>
      <c r="N194" s="24"/>
      <c r="O194" s="24"/>
      <c r="P194" s="28" t="str">
        <f>IFERROR(__xludf.DUMMYFUNCTION("""COMPUTED_VALUE"""),"Officers were called to a CIT patient in crisis. The suspect began to assault the officers at which time one officer discharged his taser at the suspect without any effects. The suspect continue to assault the officers, so the other officer discharged his"&amp;" firearm wounding the suspect in his abdomen. Both officers received minor injuries.")</f>
        <v>Officers were called to a CIT patient in crisis. The suspect began to assault the officers at which time one officer discharged his taser at the suspect without any effects. The suspect continue to assault the officers, so the other officer discharged his firearm wounding the suspect in his abdomen. Both officers received minor injuries.</v>
      </c>
      <c r="Q194" s="24"/>
      <c r="R194" s="24"/>
      <c r="S194" s="24"/>
      <c r="T194" s="24"/>
      <c r="U194" s="24"/>
      <c r="V194" s="24"/>
      <c r="W194" s="24"/>
      <c r="X194" s="24"/>
      <c r="Y194" s="24"/>
      <c r="Z194" s="24"/>
    </row>
    <row r="195">
      <c r="A195" s="29">
        <f>IFERROR(__xludf.DUMMYFUNCTION("""COMPUTED_VALUE"""),42237.0)</f>
        <v>42237</v>
      </c>
      <c r="B195" s="24">
        <f>IFERROR(__xludf.DUMMYFUNCTION("""COMPUTED_VALUE"""),1.08702415E8)</f>
        <v>108702415</v>
      </c>
      <c r="C195" s="24" t="str">
        <f>IFERROR(__xludf.DUMMYFUNCTION("""COMPUTED_VALUE"""),"3608 Crane St.")</f>
        <v>3608 Crane St.</v>
      </c>
      <c r="D195" s="26" t="str">
        <f>IFERROR(__xludf.DUMMYFUNCTION("""COMPUTED_VALUE"""),"F")</f>
        <v>F</v>
      </c>
      <c r="E195" s="26" t="str">
        <f>IFERROR(__xludf.DUMMYFUNCTION("""COMPUTED_VALUE"""),"B")</f>
        <v>B</v>
      </c>
      <c r="F195" s="26"/>
      <c r="G195" s="26" t="str">
        <f>IFERROR(__xludf.DUMMYFUNCTION("""COMPUTED_VALUE"""),"None")</f>
        <v>None</v>
      </c>
      <c r="H195" s="26" t="str">
        <f>IFERROR(__xludf.DUMMYFUNCTION("""COMPUTED_VALUE"""),"Firearm")</f>
        <v>Firearm</v>
      </c>
      <c r="I195" s="27" t="str">
        <f>IFERROR(__xludf.DUMMYFUNCTION("""COMPUTED_VALUE"""),"M")</f>
        <v>M</v>
      </c>
      <c r="J195" s="27" t="str">
        <f>IFERROR(__xludf.DUMMYFUNCTION("""COMPUTED_VALUE"""),"B")</f>
        <v>B</v>
      </c>
      <c r="K195" s="27">
        <f>IFERROR(__xludf.DUMMYFUNCTION("""COMPUTED_VALUE"""),37.0)</f>
        <v>37</v>
      </c>
      <c r="L195" s="27" t="str">
        <f>IFERROR(__xludf.DUMMYFUNCTION("""COMPUTED_VALUE"""),"None")</f>
        <v>None</v>
      </c>
      <c r="M195" s="27" t="str">
        <f>IFERROR(__xludf.DUMMYFUNCTION("""COMPUTED_VALUE"""),"N")</f>
        <v>N</v>
      </c>
      <c r="N195" s="24"/>
      <c r="O195" s="24"/>
      <c r="P195" s="28" t="str">
        <f>IFERROR(__xludf.DUMMYFUNCTION("""COMPUTED_VALUE"""),"Officer working and extra job handling a distrubance between two males in the parking lot. A vehicle drove by the location and one occupant discharged a round towards the officer. The officer returned fire and struck the vehicle. The vehicle fled the scen"&amp;"e. There were no injuries to the officer.")</f>
        <v>Officer working and extra job handling a distrubance between two males in the parking lot. A vehicle drove by the location and one occupant discharged a round towards the officer. The officer returned fire and struck the vehicle. The vehicle fled the scene. There were no injuries to the officer.</v>
      </c>
      <c r="Q195" s="24"/>
      <c r="R195" s="24"/>
      <c r="S195" s="24"/>
      <c r="T195" s="24"/>
      <c r="U195" s="24"/>
      <c r="V195" s="24"/>
      <c r="W195" s="24"/>
      <c r="X195" s="24"/>
      <c r="Y195" s="24"/>
      <c r="Z195" s="24"/>
    </row>
    <row r="196">
      <c r="A196" s="29"/>
      <c r="B196" s="24"/>
      <c r="C196" s="24"/>
      <c r="D196" s="26" t="str">
        <f>IFERROR(__xludf.DUMMYFUNCTION("""COMPUTED_VALUE"""),"M")</f>
        <v>M</v>
      </c>
      <c r="E196" s="26" t="str">
        <f>IFERROR(__xludf.DUMMYFUNCTION("""COMPUTED_VALUE"""),"B")</f>
        <v>B</v>
      </c>
      <c r="F196" s="26"/>
      <c r="G196" s="26" t="str">
        <f>IFERROR(__xludf.DUMMYFUNCTION("""COMPUTED_VALUE"""),"None")</f>
        <v>None</v>
      </c>
      <c r="H196" s="26" t="str">
        <f>IFERROR(__xludf.DUMMYFUNCTION("""COMPUTED_VALUE"""),"None")</f>
        <v>None</v>
      </c>
      <c r="I196" s="27"/>
      <c r="J196" s="27"/>
      <c r="K196" s="27"/>
      <c r="L196" s="27"/>
      <c r="M196" s="27"/>
      <c r="N196" s="24"/>
      <c r="O196" s="24"/>
      <c r="P196" s="28"/>
      <c r="Q196" s="24"/>
      <c r="R196" s="24"/>
      <c r="S196" s="24"/>
      <c r="T196" s="24"/>
      <c r="U196" s="24"/>
      <c r="V196" s="24"/>
      <c r="W196" s="24"/>
      <c r="X196" s="24"/>
      <c r="Y196" s="24"/>
      <c r="Z196" s="24"/>
    </row>
    <row r="197" hidden="1">
      <c r="A197" s="29">
        <f>IFERROR(__xludf.DUMMYFUNCTION("""COMPUTED_VALUE"""),42233.0)</f>
        <v>42233</v>
      </c>
      <c r="B197" s="24">
        <f>IFERROR(__xludf.DUMMYFUNCTION("""COMPUTED_VALUE"""),1.06630315E8)</f>
        <v>106630315</v>
      </c>
      <c r="C197" s="24" t="str">
        <f>IFERROR(__xludf.DUMMYFUNCTION("""COMPUTED_VALUE"""),"4100 Hoffman")</f>
        <v>4100 Hoffman</v>
      </c>
      <c r="D197" s="26" t="str">
        <f>IFERROR(__xludf.DUMMYFUNCTION("""COMPUTED_VALUE"""),"M")</f>
        <v>M</v>
      </c>
      <c r="E197" s="26" t="str">
        <f>IFERROR(__xludf.DUMMYFUNCTION("""COMPUTED_VALUE"""),"B")</f>
        <v>B</v>
      </c>
      <c r="F197" s="26">
        <f>IFERROR(__xludf.DUMMYFUNCTION("""COMPUTED_VALUE"""),35.0)</f>
        <v>35</v>
      </c>
      <c r="G197" s="26" t="str">
        <f>IFERROR(__xludf.DUMMYFUNCTION("""COMPUTED_VALUE"""),"Killed")</f>
        <v>Killed</v>
      </c>
      <c r="H197" s="26" t="str">
        <f>IFERROR(__xludf.DUMMYFUNCTION("""COMPUTED_VALUE"""),"Firearm")</f>
        <v>Firearm</v>
      </c>
      <c r="I197" s="27" t="str">
        <f>IFERROR(__xludf.DUMMYFUNCTION("""COMPUTED_VALUE"""),"M")</f>
        <v>M</v>
      </c>
      <c r="J197" s="27" t="str">
        <f>IFERROR(__xludf.DUMMYFUNCTION("""COMPUTED_VALUE"""),"H")</f>
        <v>H</v>
      </c>
      <c r="K197" s="27">
        <f>IFERROR(__xludf.DUMMYFUNCTION("""COMPUTED_VALUE"""),34.0)</f>
        <v>34</v>
      </c>
      <c r="L197" s="27" t="str">
        <f>IFERROR(__xludf.DUMMYFUNCTION("""COMPUTED_VALUE"""),"None")</f>
        <v>None</v>
      </c>
      <c r="M197" s="27" t="str">
        <f>IFERROR(__xludf.DUMMYFUNCTION("""COMPUTED_VALUE"""),"Y")</f>
        <v>Y</v>
      </c>
      <c r="N197" s="24"/>
      <c r="O197" s="24"/>
      <c r="P197" s="24" t="str">
        <f>IFERROR(__xludf.DUMMYFUNCTION("""COMPUTED_VALUE"""),"An HPD Officer responded to the shooting in progress call. The officer approached the suspect and asked to search him. The suspect pulled up his shirt and began pulling a pistol from his waistband. The officer struggled over the weapon, pulled his own pis"&amp;"tol, and shot the suspect. The suspect died at the scene.")</f>
        <v>An HPD Officer responded to the shooting in progress call. The officer approached the suspect and asked to search him. The suspect pulled up his shirt and began pulling a pistol from his waistband. The officer struggled over the weapon, pulled his own pistol, and shot the suspect. The suspect died at the scene.</v>
      </c>
      <c r="Q197" s="24"/>
      <c r="R197" s="24"/>
      <c r="S197" s="24"/>
      <c r="T197" s="24"/>
      <c r="U197" s="24"/>
      <c r="V197" s="24"/>
      <c r="W197" s="24"/>
      <c r="X197" s="24"/>
      <c r="Y197" s="24"/>
      <c r="Z197" s="24"/>
    </row>
    <row r="198" hidden="1">
      <c r="A198" s="29">
        <f>IFERROR(__xludf.DUMMYFUNCTION("""COMPUTED_VALUE"""),42218.0)</f>
        <v>42218</v>
      </c>
      <c r="B198" s="24">
        <f>IFERROR(__xludf.DUMMYFUNCTION("""COMPUTED_VALUE"""),9.9571615E7)</f>
        <v>99571615</v>
      </c>
      <c r="C198" s="24" t="str">
        <f>IFERROR(__xludf.DUMMYFUNCTION("""COMPUTED_VALUE"""),"9900 BEECHNUT ST")</f>
        <v>9900 BEECHNUT ST</v>
      </c>
      <c r="D198" s="26" t="str">
        <f>IFERROR(__xludf.DUMMYFUNCTION("""COMPUTED_VALUE"""),"M")</f>
        <v>M</v>
      </c>
      <c r="E198" s="26" t="str">
        <f>IFERROR(__xludf.DUMMYFUNCTION("""COMPUTED_VALUE"""),"W")</f>
        <v>W</v>
      </c>
      <c r="F198" s="26">
        <f>IFERROR(__xludf.DUMMYFUNCTION("""COMPUTED_VALUE"""),63.0)</f>
        <v>63</v>
      </c>
      <c r="G198" s="26" t="str">
        <f>IFERROR(__xludf.DUMMYFUNCTION("""COMPUTED_VALUE"""),"Killed")</f>
        <v>Killed</v>
      </c>
      <c r="H198" s="26" t="str">
        <f>IFERROR(__xludf.DUMMYFUNCTION("""COMPUTED_VALUE"""),"Vehicle")</f>
        <v>Vehicle</v>
      </c>
      <c r="I198" s="27" t="str">
        <f>IFERROR(__xludf.DUMMYFUNCTION("""COMPUTED_VALUE"""),"M")</f>
        <v>M</v>
      </c>
      <c r="J198" s="27" t="str">
        <f>IFERROR(__xludf.DUMMYFUNCTION("""COMPUTED_VALUE"""),"W")</f>
        <v>W</v>
      </c>
      <c r="K198" s="27">
        <f>IFERROR(__xludf.DUMMYFUNCTION("""COMPUTED_VALUE"""),32.0)</f>
        <v>32</v>
      </c>
      <c r="L198" s="27" t="str">
        <f>IFERROR(__xludf.DUMMYFUNCTION("""COMPUTED_VALUE"""),"None")</f>
        <v>None</v>
      </c>
      <c r="M198" s="27" t="str">
        <f>IFERROR(__xludf.DUMMYFUNCTION("""COMPUTED_VALUE"""),"Y")</f>
        <v>Y</v>
      </c>
      <c r="N198" s="24"/>
      <c r="O198" s="24"/>
      <c r="P198" s="24" t="str">
        <f>IFERROR(__xludf.DUMMYFUNCTION("""COMPUTED_VALUE"""),"While evading arrest, the suspect intentionally rammed police vehicles and attempted to hit officers with his pick-up truck. Two officers deployed their weapons at the suspect striking the suspect approximately 2 times. The driver was able to ram his way "&amp;"past the blocking patrol vehicles before striking the center esplanade and then the curb on the opposite side of the 6 lane roadway. After the suspect's vehicle came to a stop on the grass, officers pulled the suspect from the vehicle and administer first"&amp;"-aid until HFD Ambulance Medic #10 arrived. The suspect was transported to Southwest Memorial Hospital where he was later pronounced deceased hours.")</f>
        <v>While evading arrest, the suspect intentionally rammed police vehicles and attempted to hit officers with his pick-up truck. Two officers deployed their weapons at the suspect striking the suspect approximately 2 times. The driver was able to ram his way past the blocking patrol vehicles before striking the center esplanade and then the curb on the opposite side of the 6 lane roadway. After the suspect's vehicle came to a stop on the grass, officers pulled the suspect from the vehicle and administer first-aid until HFD Ambulance Medic #10 arrived. The suspect was transported to Southwest Memorial Hospital where he was later pronounced deceased hours.</v>
      </c>
      <c r="Q198" s="24"/>
      <c r="R198" s="24"/>
      <c r="S198" s="24"/>
      <c r="T198" s="24"/>
      <c r="U198" s="24"/>
      <c r="V198" s="24"/>
      <c r="W198" s="24"/>
      <c r="X198" s="24"/>
      <c r="Y198" s="24"/>
      <c r="Z198" s="24"/>
    </row>
    <row r="199" hidden="1">
      <c r="A199" s="29"/>
      <c r="B199" s="24"/>
      <c r="C199" s="24"/>
      <c r="D199" s="26"/>
      <c r="E199" s="26"/>
      <c r="F199" s="26"/>
      <c r="G199" s="26"/>
      <c r="H199" s="26"/>
      <c r="I199" s="27" t="str">
        <f>IFERROR(__xludf.DUMMYFUNCTION("""COMPUTED_VALUE"""),"M")</f>
        <v>M</v>
      </c>
      <c r="J199" s="27" t="str">
        <f>IFERROR(__xludf.DUMMYFUNCTION("""COMPUTED_VALUE"""),"H")</f>
        <v>H</v>
      </c>
      <c r="K199" s="27">
        <f>IFERROR(__xludf.DUMMYFUNCTION("""COMPUTED_VALUE"""),42.0)</f>
        <v>42</v>
      </c>
      <c r="L199" s="27" t="str">
        <f>IFERROR(__xludf.DUMMYFUNCTION("""COMPUTED_VALUE"""),"None")</f>
        <v>None</v>
      </c>
      <c r="M199" s="27" t="str">
        <f>IFERROR(__xludf.DUMMYFUNCTION("""COMPUTED_VALUE"""),"Y")</f>
        <v>Y</v>
      </c>
      <c r="N199" s="24"/>
      <c r="O199" s="24"/>
      <c r="P199" s="24"/>
      <c r="Q199" s="24"/>
      <c r="R199" s="24"/>
      <c r="S199" s="24"/>
      <c r="T199" s="24"/>
      <c r="U199" s="24"/>
      <c r="V199" s="24"/>
      <c r="W199" s="24"/>
      <c r="X199" s="24"/>
      <c r="Y199" s="24"/>
      <c r="Z199" s="24"/>
    </row>
    <row r="200">
      <c r="A200" s="29">
        <f>IFERROR(__xludf.DUMMYFUNCTION("""COMPUTED_VALUE"""),42213.0)</f>
        <v>42213</v>
      </c>
      <c r="B200" s="24">
        <f>IFERROR(__xludf.DUMMYFUNCTION("""COMPUTED_VALUE"""),9.7568715E7)</f>
        <v>97568715</v>
      </c>
      <c r="C200" s="24" t="str">
        <f>IFERROR(__xludf.DUMMYFUNCTION("""COMPUTED_VALUE"""),"10234 Tangiers")</f>
        <v>10234 Tangiers</v>
      </c>
      <c r="D200" s="26" t="str">
        <f>IFERROR(__xludf.DUMMYFUNCTION("""COMPUTED_VALUE"""),"M")</f>
        <v>M</v>
      </c>
      <c r="E200" s="26" t="str">
        <f>IFERROR(__xludf.DUMMYFUNCTION("""COMPUTED_VALUE"""),"B")</f>
        <v>B</v>
      </c>
      <c r="F200" s="26">
        <f>IFERROR(__xludf.DUMMYFUNCTION("""COMPUTED_VALUE"""),24.0)</f>
        <v>24</v>
      </c>
      <c r="G200" s="26" t="str">
        <f>IFERROR(__xludf.DUMMYFUNCTION("""COMPUTED_VALUE"""),"None")</f>
        <v>None</v>
      </c>
      <c r="H200" s="26" t="str">
        <f>IFERROR(__xludf.DUMMYFUNCTION("""COMPUTED_VALUE"""),"Firearm")</f>
        <v>Firearm</v>
      </c>
      <c r="I200" s="27" t="str">
        <f>IFERROR(__xludf.DUMMYFUNCTION("""COMPUTED_VALUE"""),"M")</f>
        <v>M</v>
      </c>
      <c r="J200" s="27" t="str">
        <f>IFERROR(__xludf.DUMMYFUNCTION("""COMPUTED_VALUE"""),"W")</f>
        <v>W</v>
      </c>
      <c r="K200" s="27">
        <f>IFERROR(__xludf.DUMMYFUNCTION("""COMPUTED_VALUE"""),48.0)</f>
        <v>48</v>
      </c>
      <c r="L200" s="27" t="str">
        <f>IFERROR(__xludf.DUMMYFUNCTION("""COMPUTED_VALUE"""),"None")</f>
        <v>None</v>
      </c>
      <c r="M200" s="27" t="str">
        <f>IFERROR(__xludf.DUMMYFUNCTION("""COMPUTED_VALUE"""),"Y")</f>
        <v>Y</v>
      </c>
      <c r="N200" s="24"/>
      <c r="O200" s="24"/>
      <c r="P200" s="28" t="str">
        <f>IFERROR(__xludf.DUMMYFUNCTION("""COMPUTED_VALUE"""),"SWAT was called to a residence where an evading suspect was hiding in the attic. The suspect shot several times at the officers who returned fire at the suspect. No one was injured during the shooting. The suspect later surrendered to officers and was tak"&amp;"en into custody without any injuries.")</f>
        <v>SWAT was called to a residence where an evading suspect was hiding in the attic. The suspect shot several times at the officers who returned fire at the suspect. No one was injured during the shooting. The suspect later surrendered to officers and was taken into custody without any injuries.</v>
      </c>
      <c r="Q200" s="24"/>
      <c r="R200" s="24"/>
      <c r="S200" s="24"/>
      <c r="T200" s="24"/>
      <c r="U200" s="24"/>
      <c r="V200" s="24"/>
      <c r="W200" s="24"/>
      <c r="X200" s="24"/>
      <c r="Y200" s="24"/>
      <c r="Z200" s="24"/>
    </row>
    <row r="201" hidden="1">
      <c r="A201" s="29"/>
      <c r="B201" s="24"/>
      <c r="C201" s="24"/>
      <c r="D201" s="26"/>
      <c r="E201" s="26"/>
      <c r="F201" s="26"/>
      <c r="G201" s="26"/>
      <c r="H201" s="26"/>
      <c r="I201" s="27" t="str">
        <f>IFERROR(__xludf.DUMMYFUNCTION("""COMPUTED_VALUE"""),"M")</f>
        <v>M</v>
      </c>
      <c r="J201" s="27" t="str">
        <f>IFERROR(__xludf.DUMMYFUNCTION("""COMPUTED_VALUE"""),"B")</f>
        <v>B</v>
      </c>
      <c r="K201" s="27">
        <f>IFERROR(__xludf.DUMMYFUNCTION("""COMPUTED_VALUE"""),43.0)</f>
        <v>43</v>
      </c>
      <c r="L201" s="27" t="str">
        <f>IFERROR(__xludf.DUMMYFUNCTION("""COMPUTED_VALUE"""),"None")</f>
        <v>None</v>
      </c>
      <c r="M201" s="27" t="str">
        <f>IFERROR(__xludf.DUMMYFUNCTION("""COMPUTED_VALUE"""),"Y")</f>
        <v>Y</v>
      </c>
      <c r="N201" s="24"/>
      <c r="O201" s="24"/>
      <c r="P201" s="24"/>
      <c r="Q201" s="24"/>
      <c r="R201" s="24"/>
      <c r="S201" s="24"/>
      <c r="T201" s="24"/>
      <c r="U201" s="24"/>
      <c r="V201" s="24"/>
      <c r="W201" s="24"/>
      <c r="X201" s="24"/>
      <c r="Y201" s="24"/>
      <c r="Z201" s="24"/>
    </row>
    <row r="202" hidden="1">
      <c r="A202" s="29">
        <f>IFERROR(__xludf.DUMMYFUNCTION("""COMPUTED_VALUE"""),42207.0)</f>
        <v>42207</v>
      </c>
      <c r="B202" s="24">
        <f>IFERROR(__xludf.DUMMYFUNCTION("""COMPUTED_VALUE"""),9.4851715E7)</f>
        <v>94851715</v>
      </c>
      <c r="C202" s="24" t="str">
        <f>IFERROR(__xludf.DUMMYFUNCTION("""COMPUTED_VALUE"""),"6200 Gulfton")</f>
        <v>6200 Gulfton</v>
      </c>
      <c r="D202" s="26" t="str">
        <f>IFERROR(__xludf.DUMMYFUNCTION("""COMPUTED_VALUE"""),"M")</f>
        <v>M</v>
      </c>
      <c r="E202" s="26" t="str">
        <f>IFERROR(__xludf.DUMMYFUNCTION("""COMPUTED_VALUE"""),"H")</f>
        <v>H</v>
      </c>
      <c r="F202" s="26">
        <f>IFERROR(__xludf.DUMMYFUNCTION("""COMPUTED_VALUE"""),23.0)</f>
        <v>23</v>
      </c>
      <c r="G202" s="26" t="str">
        <f>IFERROR(__xludf.DUMMYFUNCTION("""COMPUTED_VALUE"""),"Wounded")</f>
        <v>Wounded</v>
      </c>
      <c r="H202" s="26" t="str">
        <f>IFERROR(__xludf.DUMMYFUNCTION("""COMPUTED_VALUE"""),"Firearm")</f>
        <v>Firearm</v>
      </c>
      <c r="I202" s="27" t="str">
        <f>IFERROR(__xludf.DUMMYFUNCTION("""COMPUTED_VALUE"""),"M")</f>
        <v>M</v>
      </c>
      <c r="J202" s="27" t="str">
        <f>IFERROR(__xludf.DUMMYFUNCTION("""COMPUTED_VALUE"""),"W")</f>
        <v>W</v>
      </c>
      <c r="K202" s="27">
        <f>IFERROR(__xludf.DUMMYFUNCTION("""COMPUTED_VALUE"""),42.0)</f>
        <v>42</v>
      </c>
      <c r="L202" s="27" t="str">
        <f>IFERROR(__xludf.DUMMYFUNCTION("""COMPUTED_VALUE"""),"None")</f>
        <v>None</v>
      </c>
      <c r="M202" s="27" t="str">
        <f>IFERROR(__xludf.DUMMYFUNCTION("""COMPUTED_VALUE"""),"N")</f>
        <v>N</v>
      </c>
      <c r="N202" s="24"/>
      <c r="O202" s="24"/>
      <c r="P202" s="28" t="str">
        <f>IFERROR(__xludf.DUMMYFUNCTION("""COMPUTED_VALUE"""),"Officers working an extra job observed 3 males walking and one was holding a pistol in plain view. Officers identified themselves and the suspects turned toward the officers. The suspect holding the pistol, raised it and pointed it at the officers. One of"&amp;" the officers discharged his firearm and struck the suspect.")</f>
        <v>Officers working an extra job observed 3 males walking and one was holding a pistol in plain view. Officers identified themselves and the suspects turned toward the officers. The suspect holding the pistol, raised it and pointed it at the officers. One of the officers discharged his firearm and struck the suspect.</v>
      </c>
      <c r="Q202" s="24"/>
      <c r="R202" s="24"/>
      <c r="S202" s="24"/>
      <c r="T202" s="24"/>
      <c r="U202" s="24"/>
      <c r="V202" s="24"/>
      <c r="W202" s="24"/>
      <c r="X202" s="24"/>
      <c r="Y202" s="24"/>
      <c r="Z202" s="24"/>
    </row>
    <row r="203" hidden="1">
      <c r="A203" s="29">
        <f>IFERROR(__xludf.DUMMYFUNCTION("""COMPUTED_VALUE"""),42192.0)</f>
        <v>42192</v>
      </c>
      <c r="B203" s="24">
        <f>IFERROR(__xludf.DUMMYFUNCTION("""COMPUTED_VALUE"""),8.7555915E7)</f>
        <v>87555915</v>
      </c>
      <c r="C203" s="24" t="str">
        <f>IFERROR(__xludf.DUMMYFUNCTION("""COMPUTED_VALUE"""),"1200 Tiny Tree Dr")</f>
        <v>1200 Tiny Tree Dr</v>
      </c>
      <c r="D203" s="26" t="str">
        <f>IFERROR(__xludf.DUMMYFUNCTION("""COMPUTED_VALUE"""),"Juvenile")</f>
        <v>Juvenile</v>
      </c>
      <c r="E203" s="26" t="str">
        <f>IFERROR(__xludf.DUMMYFUNCTION("""COMPUTED_VALUE"""),"Juvenile")</f>
        <v>Juvenile</v>
      </c>
      <c r="F203" s="26"/>
      <c r="G203" s="26" t="str">
        <f>IFERROR(__xludf.DUMMYFUNCTION("""COMPUTED_VALUE"""),"Killed")</f>
        <v>Killed</v>
      </c>
      <c r="H203" s="26" t="str">
        <f>IFERROR(__xludf.DUMMYFUNCTION("""COMPUTED_VALUE"""),"Firearm")</f>
        <v>Firearm</v>
      </c>
      <c r="I203" s="27" t="str">
        <f>IFERROR(__xludf.DUMMYFUNCTION("""COMPUTED_VALUE"""),"M")</f>
        <v>M</v>
      </c>
      <c r="J203" s="27" t="str">
        <f>IFERROR(__xludf.DUMMYFUNCTION("""COMPUTED_VALUE"""),"H")</f>
        <v>H</v>
      </c>
      <c r="K203" s="27">
        <f>IFERROR(__xludf.DUMMYFUNCTION("""COMPUTED_VALUE"""),38.0)</f>
        <v>38</v>
      </c>
      <c r="L203" s="27" t="str">
        <f>IFERROR(__xludf.DUMMYFUNCTION("""COMPUTED_VALUE"""),"None")</f>
        <v>None</v>
      </c>
      <c r="M203" s="27" t="str">
        <f>IFERROR(__xludf.DUMMYFUNCTION("""COMPUTED_VALUE"""),"Y")</f>
        <v>Y</v>
      </c>
      <c r="N203" s="24"/>
      <c r="O203" s="24">
        <f>IFERROR(__xludf.DUMMYFUNCTION("""COMPUTED_VALUE"""),1.0)</f>
        <v>1</v>
      </c>
      <c r="P203" s="24" t="str">
        <f>IFERROR(__xludf.DUMMYFUNCTION("""COMPUTED_VALUE"""),"Three suspects fled in a vehicle, they pointed weapons at persuing officers. In fear of his life, an officer discharged his duty weapon multiple times and struck the suspects, killing one, injuring two.")</f>
        <v>Three suspects fled in a vehicle, they pointed weapons at persuing officers. In fear of his life, an officer discharged his duty weapon multiple times and struck the suspects, killing one, injuring two.</v>
      </c>
      <c r="Q203" s="24"/>
      <c r="R203" s="24"/>
      <c r="S203" s="24"/>
      <c r="T203" s="24"/>
      <c r="U203" s="24"/>
      <c r="V203" s="24"/>
      <c r="W203" s="24"/>
      <c r="X203" s="24"/>
      <c r="Y203" s="24"/>
      <c r="Z203" s="24"/>
    </row>
    <row r="204" hidden="1">
      <c r="A204" s="29"/>
      <c r="B204" s="24"/>
      <c r="C204" s="24"/>
      <c r="D204" s="26" t="str">
        <f>IFERROR(__xludf.DUMMYFUNCTION("""COMPUTED_VALUE"""),"Juvenile")</f>
        <v>Juvenile</v>
      </c>
      <c r="E204" s="26" t="str">
        <f>IFERROR(__xludf.DUMMYFUNCTION("""COMPUTED_VALUE"""),"Juvenile")</f>
        <v>Juvenile</v>
      </c>
      <c r="F204" s="26"/>
      <c r="G204" s="26" t="str">
        <f>IFERROR(__xludf.DUMMYFUNCTION("""COMPUTED_VALUE"""),"Wounded")</f>
        <v>Wounded</v>
      </c>
      <c r="H204" s="26" t="str">
        <f>IFERROR(__xludf.DUMMYFUNCTION("""COMPUTED_VALUE"""),"Firearm")</f>
        <v>Firearm</v>
      </c>
      <c r="I204" s="27"/>
      <c r="J204" s="27"/>
      <c r="K204" s="27"/>
      <c r="L204" s="27"/>
      <c r="M204" s="27"/>
      <c r="N204" s="24"/>
      <c r="O204" s="24"/>
      <c r="P204" s="28"/>
      <c r="Q204" s="24"/>
      <c r="R204" s="24"/>
      <c r="S204" s="24"/>
      <c r="T204" s="24"/>
      <c r="U204" s="24"/>
      <c r="V204" s="24"/>
      <c r="W204" s="24"/>
      <c r="X204" s="24"/>
      <c r="Y204" s="24"/>
      <c r="Z204" s="24"/>
    </row>
    <row r="205" hidden="1">
      <c r="A205" s="29"/>
      <c r="B205" s="24"/>
      <c r="C205" s="24"/>
      <c r="D205" s="26" t="str">
        <f>IFERROR(__xludf.DUMMYFUNCTION("""COMPUTED_VALUE"""),"F")</f>
        <v>F</v>
      </c>
      <c r="E205" s="26" t="str">
        <f>IFERROR(__xludf.DUMMYFUNCTION("""COMPUTED_VALUE"""),"B")</f>
        <v>B</v>
      </c>
      <c r="F205" s="26">
        <f>IFERROR(__xludf.DUMMYFUNCTION("""COMPUTED_VALUE"""),24.0)</f>
        <v>24</v>
      </c>
      <c r="G205" s="26" t="str">
        <f>IFERROR(__xludf.DUMMYFUNCTION("""COMPUTED_VALUE"""),"Wounded")</f>
        <v>Wounded</v>
      </c>
      <c r="H205" s="26" t="str">
        <f>IFERROR(__xludf.DUMMYFUNCTION("""COMPUTED_VALUE"""),"None")</f>
        <v>None</v>
      </c>
      <c r="I205" s="27"/>
      <c r="J205" s="27"/>
      <c r="K205" s="27"/>
      <c r="L205" s="27"/>
      <c r="M205" s="27"/>
      <c r="N205" s="24"/>
      <c r="O205" s="24"/>
      <c r="P205" s="28"/>
      <c r="Q205" s="24"/>
      <c r="R205" s="24"/>
      <c r="S205" s="24"/>
      <c r="T205" s="24"/>
      <c r="U205" s="24"/>
      <c r="V205" s="24"/>
      <c r="W205" s="24"/>
      <c r="X205" s="24"/>
      <c r="Y205" s="24"/>
      <c r="Z205" s="24"/>
    </row>
    <row r="206">
      <c r="A206" s="29">
        <f>IFERROR(__xludf.DUMMYFUNCTION("""COMPUTED_VALUE"""),42192.0)</f>
        <v>42192</v>
      </c>
      <c r="B206" s="24">
        <f>IFERROR(__xludf.DUMMYFUNCTION("""COMPUTED_VALUE"""),8.7658515E7)</f>
        <v>87658515</v>
      </c>
      <c r="C206" s="24" t="str">
        <f>IFERROR(__xludf.DUMMYFUNCTION("""COMPUTED_VALUE"""),"115 E. Canino")</f>
        <v>115 E. Canino</v>
      </c>
      <c r="D206" s="26" t="str">
        <f>IFERROR(__xludf.DUMMYFUNCTION("""COMPUTED_VALUE"""),"M")</f>
        <v>M</v>
      </c>
      <c r="E206" s="26" t="str">
        <f>IFERROR(__xludf.DUMMYFUNCTION("""COMPUTED_VALUE"""),"A")</f>
        <v>A</v>
      </c>
      <c r="F206" s="26">
        <f>IFERROR(__xludf.DUMMYFUNCTION("""COMPUTED_VALUE"""),21.0)</f>
        <v>21</v>
      </c>
      <c r="G206" s="26" t="str">
        <f>IFERROR(__xludf.DUMMYFUNCTION("""COMPUTED_VALUE"""),"None")</f>
        <v>None</v>
      </c>
      <c r="H206" s="26" t="str">
        <f>IFERROR(__xludf.DUMMYFUNCTION("""COMPUTED_VALUE"""),"Firearm")</f>
        <v>Firearm</v>
      </c>
      <c r="I206" s="27" t="str">
        <f>IFERROR(__xludf.DUMMYFUNCTION("""COMPUTED_VALUE"""),"M")</f>
        <v>M</v>
      </c>
      <c r="J206" s="27" t="str">
        <f>IFERROR(__xludf.DUMMYFUNCTION("""COMPUTED_VALUE"""),"W")</f>
        <v>W</v>
      </c>
      <c r="K206" s="27">
        <f>IFERROR(__xludf.DUMMYFUNCTION("""COMPUTED_VALUE"""),52.0)</f>
        <v>52</v>
      </c>
      <c r="L206" s="27" t="str">
        <f>IFERROR(__xludf.DUMMYFUNCTION("""COMPUTED_VALUE"""),"None")</f>
        <v>None</v>
      </c>
      <c r="M206" s="27" t="str">
        <f>IFERROR(__xludf.DUMMYFUNCTION("""COMPUTED_VALUE"""),"Y")</f>
        <v>Y</v>
      </c>
      <c r="N206" s="24"/>
      <c r="O206" s="24"/>
      <c r="P206" s="28" t="str">
        <f>IFERROR(__xludf.DUMMYFUNCTION("""COMPUTED_VALUE"""),"While conducting robbery surveillance, officers observed suspects rob a store with firearms and flee. Officers attempted to box in the suspect but were rammed by the suspect's vehicle. One suspect in the vehicle pointed a gun at the officers who returned "&amp;"fire injuring one suspect from glass fragmentation.")</f>
        <v>While conducting robbery surveillance, officers observed suspects rob a store with firearms and flee. Officers attempted to box in the suspect but were rammed by the suspect's vehicle. One suspect in the vehicle pointed a gun at the officers who returned fire injuring one suspect from glass fragmentation.</v>
      </c>
      <c r="Q206" s="24"/>
      <c r="R206" s="24"/>
      <c r="S206" s="24"/>
      <c r="T206" s="24"/>
      <c r="U206" s="24"/>
      <c r="V206" s="24"/>
      <c r="W206" s="24"/>
      <c r="X206" s="24"/>
      <c r="Y206" s="24"/>
      <c r="Z206" s="24"/>
    </row>
    <row r="207">
      <c r="A207" s="29"/>
      <c r="B207" s="24"/>
      <c r="C207" s="24"/>
      <c r="D207" s="26" t="str">
        <f>IFERROR(__xludf.DUMMYFUNCTION("""COMPUTED_VALUE"""),"M")</f>
        <v>M</v>
      </c>
      <c r="E207" s="26" t="str">
        <f>IFERROR(__xludf.DUMMYFUNCTION("""COMPUTED_VALUE"""),"B")</f>
        <v>B</v>
      </c>
      <c r="F207" s="26">
        <f>IFERROR(__xludf.DUMMYFUNCTION("""COMPUTED_VALUE"""),21.0)</f>
        <v>21</v>
      </c>
      <c r="G207" s="26" t="str">
        <f>IFERROR(__xludf.DUMMYFUNCTION("""COMPUTED_VALUE"""),"None")</f>
        <v>None</v>
      </c>
      <c r="H207" s="26" t="str">
        <f>IFERROR(__xludf.DUMMYFUNCTION("""COMPUTED_VALUE"""),"Firearm")</f>
        <v>Firearm</v>
      </c>
      <c r="I207" s="27" t="str">
        <f>IFERROR(__xludf.DUMMYFUNCTION("""COMPUTED_VALUE"""),"M")</f>
        <v>M</v>
      </c>
      <c r="J207" s="27" t="str">
        <f>IFERROR(__xludf.DUMMYFUNCTION("""COMPUTED_VALUE"""),"W")</f>
        <v>W</v>
      </c>
      <c r="K207" s="27">
        <f>IFERROR(__xludf.DUMMYFUNCTION("""COMPUTED_VALUE"""),33.0)</f>
        <v>33</v>
      </c>
      <c r="L207" s="27" t="str">
        <f>IFERROR(__xludf.DUMMYFUNCTION("""COMPUTED_VALUE"""),"None")</f>
        <v>None</v>
      </c>
      <c r="M207" s="27" t="str">
        <f>IFERROR(__xludf.DUMMYFUNCTION("""COMPUTED_VALUE"""),"Y")</f>
        <v>Y</v>
      </c>
      <c r="N207" s="24"/>
      <c r="O207" s="24"/>
      <c r="P207" s="28"/>
      <c r="Q207" s="24"/>
      <c r="R207" s="24"/>
      <c r="S207" s="24"/>
      <c r="T207" s="24"/>
      <c r="U207" s="24"/>
      <c r="V207" s="24"/>
      <c r="W207" s="24"/>
      <c r="X207" s="24"/>
      <c r="Y207" s="24"/>
      <c r="Z207" s="24"/>
    </row>
    <row r="208" hidden="1">
      <c r="A208" s="29"/>
      <c r="B208" s="24"/>
      <c r="C208" s="24"/>
      <c r="D208" s="26" t="str">
        <f>IFERROR(__xludf.DUMMYFUNCTION("""COMPUTED_VALUE"""),"M")</f>
        <v>M</v>
      </c>
      <c r="E208" s="26" t="str">
        <f>IFERROR(__xludf.DUMMYFUNCTION("""COMPUTED_VALUE"""),"B")</f>
        <v>B</v>
      </c>
      <c r="F208" s="26">
        <f>IFERROR(__xludf.DUMMYFUNCTION("""COMPUTED_VALUE"""),24.0)</f>
        <v>24</v>
      </c>
      <c r="G208" s="26" t="str">
        <f>IFERROR(__xludf.DUMMYFUNCTION("""COMPUTED_VALUE"""),"Wounded")</f>
        <v>Wounded</v>
      </c>
      <c r="H208" s="26" t="str">
        <f>IFERROR(__xludf.DUMMYFUNCTION("""COMPUTED_VALUE"""),"Firearm")</f>
        <v>Firearm</v>
      </c>
      <c r="I208" s="27" t="str">
        <f>IFERROR(__xludf.DUMMYFUNCTION("""COMPUTED_VALUE"""),"M")</f>
        <v>M</v>
      </c>
      <c r="J208" s="27" t="str">
        <f>IFERROR(__xludf.DUMMYFUNCTION("""COMPUTED_VALUE"""),"H")</f>
        <v>H</v>
      </c>
      <c r="K208" s="27">
        <f>IFERROR(__xludf.DUMMYFUNCTION("""COMPUTED_VALUE"""),44.0)</f>
        <v>44</v>
      </c>
      <c r="L208" s="27" t="str">
        <f>IFERROR(__xludf.DUMMYFUNCTION("""COMPUTED_VALUE"""),"None")</f>
        <v>None</v>
      </c>
      <c r="M208" s="27" t="str">
        <f>IFERROR(__xludf.DUMMYFUNCTION("""COMPUTED_VALUE"""),"Y")</f>
        <v>Y</v>
      </c>
      <c r="N208" s="24"/>
      <c r="O208" s="24"/>
      <c r="P208" s="28"/>
      <c r="Q208" s="24"/>
      <c r="R208" s="24"/>
      <c r="S208" s="24"/>
      <c r="T208" s="24"/>
      <c r="U208" s="24"/>
      <c r="V208" s="24"/>
      <c r="W208" s="24"/>
      <c r="X208" s="24"/>
      <c r="Y208" s="24"/>
      <c r="Z208" s="24"/>
    </row>
    <row r="209" hidden="1">
      <c r="A209" s="29">
        <f>IFERROR(__xludf.DUMMYFUNCTION("""COMPUTED_VALUE"""),42158.0)</f>
        <v>42158</v>
      </c>
      <c r="B209" s="24">
        <f>IFERROR(__xludf.DUMMYFUNCTION("""COMPUTED_VALUE"""),7.1376915E7)</f>
        <v>71376915</v>
      </c>
      <c r="C209" s="24" t="str">
        <f>IFERROR(__xludf.DUMMYFUNCTION("""COMPUTED_VALUE"""),"12700 South Green")</f>
        <v>12700 South Green</v>
      </c>
      <c r="D209" s="26" t="str">
        <f>IFERROR(__xludf.DUMMYFUNCTION("""COMPUTED_VALUE"""),"M")</f>
        <v>M</v>
      </c>
      <c r="E209" s="26" t="str">
        <f>IFERROR(__xludf.DUMMYFUNCTION("""COMPUTED_VALUE"""),"H")</f>
        <v>H</v>
      </c>
      <c r="F209" s="26">
        <f>IFERROR(__xludf.DUMMYFUNCTION("""COMPUTED_VALUE"""),33.0)</f>
        <v>33</v>
      </c>
      <c r="G209" s="26" t="str">
        <f>IFERROR(__xludf.DUMMYFUNCTION("""COMPUTED_VALUE"""),"Killed")</f>
        <v>Killed</v>
      </c>
      <c r="H209" s="26" t="str">
        <f>IFERROR(__xludf.DUMMYFUNCTION("""COMPUTED_VALUE"""),"Knife")</f>
        <v>Knife</v>
      </c>
      <c r="I209" s="27" t="str">
        <f>IFERROR(__xludf.DUMMYFUNCTION("""COMPUTED_VALUE"""),"M")</f>
        <v>M</v>
      </c>
      <c r="J209" s="27" t="str">
        <f>IFERROR(__xludf.DUMMYFUNCTION("""COMPUTED_VALUE"""),"W")</f>
        <v>W</v>
      </c>
      <c r="K209" s="27">
        <f>IFERROR(__xludf.DUMMYFUNCTION("""COMPUTED_VALUE"""),53.0)</f>
        <v>53</v>
      </c>
      <c r="L209" s="27" t="str">
        <f>IFERROR(__xludf.DUMMYFUNCTION("""COMPUTED_VALUE"""),"None")</f>
        <v>None</v>
      </c>
      <c r="M209" s="27" t="str">
        <f>IFERROR(__xludf.DUMMYFUNCTION("""COMPUTED_VALUE"""),"Y")</f>
        <v>Y</v>
      </c>
      <c r="N209" s="24"/>
      <c r="O209" s="24"/>
      <c r="P209" s="24" t="str">
        <f>IFERROR(__xludf.DUMMYFUNCTION("""COMPUTED_VALUE"""),"Officers were involved in a pursuit which ended with a barricaded suspect in a vehicle and a K-9 was deployed. The suspect got out of the vehicle with a large knife and was shot by 2 Officers. The suspect was pronounced dead at the scene.")</f>
        <v>Officers were involved in a pursuit which ended with a barricaded suspect in a vehicle and a K-9 was deployed. The suspect got out of the vehicle with a large knife and was shot by 2 Officers. The suspect was pronounced dead at the scene.</v>
      </c>
      <c r="Q209" s="24"/>
      <c r="R209" s="24"/>
      <c r="S209" s="24"/>
      <c r="T209" s="24"/>
      <c r="U209" s="24"/>
      <c r="V209" s="24"/>
      <c r="W209" s="24"/>
      <c r="X209" s="24"/>
      <c r="Y209" s="24"/>
      <c r="Z209" s="24"/>
    </row>
    <row r="210" hidden="1">
      <c r="A210" s="29"/>
      <c r="B210" s="24"/>
      <c r="C210" s="24"/>
      <c r="D210" s="26"/>
      <c r="E210" s="26"/>
      <c r="F210" s="26"/>
      <c r="G210" s="26"/>
      <c r="H210" s="26"/>
      <c r="I210" s="27" t="str">
        <f>IFERROR(__xludf.DUMMYFUNCTION("""COMPUTED_VALUE"""),"M")</f>
        <v>M</v>
      </c>
      <c r="J210" s="27" t="str">
        <f>IFERROR(__xludf.DUMMYFUNCTION("""COMPUTED_VALUE"""),"W")</f>
        <v>W</v>
      </c>
      <c r="K210" s="27">
        <f>IFERROR(__xludf.DUMMYFUNCTION("""COMPUTED_VALUE"""),48.0)</f>
        <v>48</v>
      </c>
      <c r="L210" s="27" t="str">
        <f>IFERROR(__xludf.DUMMYFUNCTION("""COMPUTED_VALUE"""),"None")</f>
        <v>None</v>
      </c>
      <c r="M210" s="27" t="str">
        <f>IFERROR(__xludf.DUMMYFUNCTION("""COMPUTED_VALUE"""),"Y")</f>
        <v>Y</v>
      </c>
      <c r="N210" s="24"/>
      <c r="O210" s="24"/>
      <c r="P210" s="24"/>
      <c r="Q210" s="24"/>
      <c r="R210" s="24"/>
      <c r="S210" s="24"/>
      <c r="T210" s="24"/>
      <c r="U210" s="24"/>
      <c r="V210" s="24"/>
      <c r="W210" s="24"/>
      <c r="X210" s="24"/>
      <c r="Y210" s="24"/>
      <c r="Z210" s="24"/>
    </row>
    <row r="211">
      <c r="A211" s="29">
        <f>IFERROR(__xludf.DUMMYFUNCTION("""COMPUTED_VALUE"""),42122.0)</f>
        <v>42122</v>
      </c>
      <c r="B211" s="24">
        <f>IFERROR(__xludf.DUMMYFUNCTION("""COMPUTED_VALUE"""),5.3879915E7)</f>
        <v>53879915</v>
      </c>
      <c r="C211" s="24" t="str">
        <f>IFERROR(__xludf.DUMMYFUNCTION("""COMPUTED_VALUE"""),"Protected By Law")</f>
        <v>Protected By Law</v>
      </c>
      <c r="D211" s="26" t="str">
        <f>IFERROR(__xludf.DUMMYFUNCTION("""COMPUTED_VALUE"""),"M")</f>
        <v>M</v>
      </c>
      <c r="E211" s="26" t="str">
        <f>IFERROR(__xludf.DUMMYFUNCTION("""COMPUTED_VALUE"""),"B")</f>
        <v>B</v>
      </c>
      <c r="F211" s="26"/>
      <c r="G211" s="26" t="str">
        <f>IFERROR(__xludf.DUMMYFUNCTION("""COMPUTED_VALUE"""),"None")</f>
        <v>None</v>
      </c>
      <c r="H211" s="26" t="str">
        <f>IFERROR(__xludf.DUMMYFUNCTION("""COMPUTED_VALUE"""),"Firearm")</f>
        <v>Firearm</v>
      </c>
      <c r="I211" s="27" t="str">
        <f>IFERROR(__xludf.DUMMYFUNCTION("""COMPUTED_VALUE"""),"M")</f>
        <v>M</v>
      </c>
      <c r="J211" s="27" t="str">
        <f>IFERROR(__xludf.DUMMYFUNCTION("""COMPUTED_VALUE"""),"H")</f>
        <v>H</v>
      </c>
      <c r="K211" s="27">
        <f>IFERROR(__xludf.DUMMYFUNCTION("""COMPUTED_VALUE"""),38.0)</f>
        <v>38</v>
      </c>
      <c r="L211" s="27" t="str">
        <f>IFERROR(__xludf.DUMMYFUNCTION("""COMPUTED_VALUE"""),"None")</f>
        <v>None</v>
      </c>
      <c r="M211" s="27" t="str">
        <f>IFERROR(__xludf.DUMMYFUNCTION("""COMPUTED_VALUE"""),"N")</f>
        <v>N</v>
      </c>
      <c r="N211" s="24"/>
      <c r="O211" s="24"/>
      <c r="P211" s="28" t="str">
        <f>IFERROR(__xludf.DUMMYFUNCTION("""COMPUTED_VALUE"""),"Officer was monitoring his surveillance cameras when he saw an unknown male approach his front door. There had been muliple break-ins in the area so the officer was on alert when he saw the male approach. The officer ran after the suspect and confronted h"&amp;"im in a nearby field. The suspect pointed a firearm at the officer so the officer shot at the suspect. The suspect fled but was not found.")</f>
        <v>Officer was monitoring his surveillance cameras when he saw an unknown male approach his front door. There had been muliple break-ins in the area so the officer was on alert when he saw the male approach. The officer ran after the suspect and confronted him in a nearby field. The suspect pointed a firearm at the officer so the officer shot at the suspect. The suspect fled but was not found.</v>
      </c>
      <c r="Q211" s="24"/>
      <c r="R211" s="24"/>
      <c r="S211" s="24"/>
      <c r="T211" s="24"/>
      <c r="U211" s="24"/>
      <c r="V211" s="24"/>
      <c r="W211" s="24"/>
      <c r="X211" s="24"/>
      <c r="Y211" s="24"/>
      <c r="Z211" s="24"/>
    </row>
    <row r="212" hidden="1">
      <c r="A212" s="29">
        <f>IFERROR(__xludf.DUMMYFUNCTION("""COMPUTED_VALUE"""),42111.0)</f>
        <v>42111</v>
      </c>
      <c r="B212" s="24">
        <f>IFERROR(__xludf.DUMMYFUNCTION("""COMPUTED_VALUE"""),4.7973815E7)</f>
        <v>47973815</v>
      </c>
      <c r="C212" s="24" t="str">
        <f>IFERROR(__xludf.DUMMYFUNCTION("""COMPUTED_VALUE"""),"2203 Gessner")</f>
        <v>2203 Gessner</v>
      </c>
      <c r="D212" s="26" t="str">
        <f>IFERROR(__xludf.DUMMYFUNCTION("""COMPUTED_VALUE"""),"F")</f>
        <v>F</v>
      </c>
      <c r="E212" s="26" t="str">
        <f>IFERROR(__xludf.DUMMYFUNCTION("""COMPUTED_VALUE"""),"H")</f>
        <v>H</v>
      </c>
      <c r="F212" s="26">
        <f>IFERROR(__xludf.DUMMYFUNCTION("""COMPUTED_VALUE"""),29.0)</f>
        <v>29</v>
      </c>
      <c r="G212" s="26" t="str">
        <f>IFERROR(__xludf.DUMMYFUNCTION("""COMPUTED_VALUE"""),"Wounded")</f>
        <v>Wounded</v>
      </c>
      <c r="H212" s="26" t="str">
        <f>IFERROR(__xludf.DUMMYFUNCTION("""COMPUTED_VALUE"""),"None")</f>
        <v>None</v>
      </c>
      <c r="I212" s="27" t="str">
        <f>IFERROR(__xludf.DUMMYFUNCTION("""COMPUTED_VALUE"""),"M")</f>
        <v>M</v>
      </c>
      <c r="J212" s="27" t="str">
        <f>IFERROR(__xludf.DUMMYFUNCTION("""COMPUTED_VALUE"""),"H")</f>
        <v>H</v>
      </c>
      <c r="K212" s="27">
        <f>IFERROR(__xludf.DUMMYFUNCTION("""COMPUTED_VALUE"""),38.0)</f>
        <v>38</v>
      </c>
      <c r="L212" s="27" t="str">
        <f>IFERROR(__xludf.DUMMYFUNCTION("""COMPUTED_VALUE"""),"None")</f>
        <v>None</v>
      </c>
      <c r="M212" s="27" t="str">
        <f>IFERROR(__xludf.DUMMYFUNCTION("""COMPUTED_VALUE"""),"Y")</f>
        <v>Y</v>
      </c>
      <c r="N212" s="24"/>
      <c r="O212" s="24"/>
      <c r="P212" s="28" t="str">
        <f>IFERROR(__xludf.DUMMYFUNCTION("""COMPUTED_VALUE"""),"Officer arrived at the scene and found two groups of females involved in a disturbance. As he was attempting to gain control of the scene, a pit-bull charged at him. The officer shot the dog but in the process, the dog's owner was accidently hit in the le"&amp;"g by one of the fired bullets.")</f>
        <v>Officer arrived at the scene and found two groups of females involved in a disturbance. As he was attempting to gain control of the scene, a pit-bull charged at him. The officer shot the dog but in the process, the dog's owner was accidently hit in the leg by one of the fired bullets.</v>
      </c>
      <c r="Q212" s="24"/>
      <c r="R212" s="24"/>
      <c r="S212" s="24"/>
      <c r="T212" s="24"/>
      <c r="U212" s="24"/>
      <c r="V212" s="24"/>
      <c r="W212" s="24"/>
      <c r="X212" s="24"/>
      <c r="Y212" s="24"/>
      <c r="Z212" s="24"/>
    </row>
    <row r="213" hidden="1">
      <c r="A213" s="29">
        <f>IFERROR(__xludf.DUMMYFUNCTION("""COMPUTED_VALUE"""),42109.0)</f>
        <v>42109</v>
      </c>
      <c r="B213" s="24">
        <f>IFERROR(__xludf.DUMMYFUNCTION("""COMPUTED_VALUE"""),4.7127315E7)</f>
        <v>47127315</v>
      </c>
      <c r="C213" s="24" t="str">
        <f>IFERROR(__xludf.DUMMYFUNCTION("""COMPUTED_VALUE"""),"15100 Wallisville")</f>
        <v>15100 Wallisville</v>
      </c>
      <c r="D213" s="26" t="str">
        <f>IFERROR(__xludf.DUMMYFUNCTION("""COMPUTED_VALUE"""),"M")</f>
        <v>M</v>
      </c>
      <c r="E213" s="26" t="str">
        <f>IFERROR(__xludf.DUMMYFUNCTION("""COMPUTED_VALUE"""),"B")</f>
        <v>B</v>
      </c>
      <c r="F213" s="26">
        <f>IFERROR(__xludf.DUMMYFUNCTION("""COMPUTED_VALUE"""),42.0)</f>
        <v>42</v>
      </c>
      <c r="G213" s="26" t="str">
        <f>IFERROR(__xludf.DUMMYFUNCTION("""COMPUTED_VALUE"""),"Killed")</f>
        <v>Killed</v>
      </c>
      <c r="H213" s="26" t="str">
        <f>IFERROR(__xludf.DUMMYFUNCTION("""COMPUTED_VALUE"""),"None")</f>
        <v>None</v>
      </c>
      <c r="I213" s="27" t="str">
        <f>IFERROR(__xludf.DUMMYFUNCTION("""COMPUTED_VALUE"""),"M")</f>
        <v>M</v>
      </c>
      <c r="J213" s="27" t="str">
        <f>IFERROR(__xludf.DUMMYFUNCTION("""COMPUTED_VALUE"""),"H")</f>
        <v>H</v>
      </c>
      <c r="K213" s="27">
        <f>IFERROR(__xludf.DUMMYFUNCTION("""COMPUTED_VALUE"""),32.0)</f>
        <v>32</v>
      </c>
      <c r="L213" s="27" t="str">
        <f>IFERROR(__xludf.DUMMYFUNCTION("""COMPUTED_VALUE"""),"None")</f>
        <v>None</v>
      </c>
      <c r="M213" s="27" t="str">
        <f>IFERROR(__xludf.DUMMYFUNCTION("""COMPUTED_VALUE"""),"Y")</f>
        <v>Y</v>
      </c>
      <c r="N213" s="24"/>
      <c r="O213" s="24"/>
      <c r="P213" s="24" t="str">
        <f>IFERROR(__xludf.DUMMYFUNCTION("""COMPUTED_VALUE"""),"HPD officers conducted a traffic stop but the suspect fled in his vehicle as the officers were attempting to identify him. The suspect came to a stop after striking two other vehicles. The suspect refused to comply with the officers and was shot when his "&amp;"actions led the officers to believe that he was reaching for a weapon.")</f>
        <v>HPD officers conducted a traffic stop but the suspect fled in his vehicle as the officers were attempting to identify him. The suspect came to a stop after striking two other vehicles. The suspect refused to comply with the officers and was shot when his actions led the officers to believe that he was reaching for a weapon.</v>
      </c>
      <c r="Q213" s="24"/>
      <c r="R213" s="24"/>
      <c r="S213" s="24"/>
      <c r="T213" s="24"/>
      <c r="U213" s="24"/>
      <c r="V213" s="24"/>
      <c r="W213" s="24"/>
      <c r="X213" s="24"/>
      <c r="Y213" s="24"/>
      <c r="Z213" s="24"/>
    </row>
    <row r="214" hidden="1">
      <c r="A214" s="29"/>
      <c r="B214" s="24"/>
      <c r="C214" s="24"/>
      <c r="D214" s="26"/>
      <c r="E214" s="26"/>
      <c r="F214" s="26"/>
      <c r="G214" s="26"/>
      <c r="H214" s="26" t="str">
        <f>IFERROR(__xludf.DUMMYFUNCTION("""COMPUTED_VALUE"""),"None")</f>
        <v>None</v>
      </c>
      <c r="I214" s="27" t="str">
        <f>IFERROR(__xludf.DUMMYFUNCTION("""COMPUTED_VALUE"""),"M")</f>
        <v>M</v>
      </c>
      <c r="J214" s="27" t="str">
        <f>IFERROR(__xludf.DUMMYFUNCTION("""COMPUTED_VALUE"""),"W")</f>
        <v>W</v>
      </c>
      <c r="K214" s="27">
        <f>IFERROR(__xludf.DUMMYFUNCTION("""COMPUTED_VALUE"""),30.0)</f>
        <v>30</v>
      </c>
      <c r="L214" s="27" t="str">
        <f>IFERROR(__xludf.DUMMYFUNCTION("""COMPUTED_VALUE"""),"None")</f>
        <v>None</v>
      </c>
      <c r="M214" s="27" t="str">
        <f>IFERROR(__xludf.DUMMYFUNCTION("""COMPUTED_VALUE"""),"Y")</f>
        <v>Y</v>
      </c>
      <c r="N214" s="24"/>
      <c r="O214" s="24"/>
      <c r="P214" s="24"/>
      <c r="Q214" s="24"/>
      <c r="R214" s="24"/>
      <c r="S214" s="24"/>
      <c r="T214" s="24"/>
      <c r="U214" s="24"/>
      <c r="V214" s="24"/>
      <c r="W214" s="24"/>
      <c r="X214" s="24"/>
      <c r="Y214" s="24"/>
      <c r="Z214" s="24"/>
    </row>
    <row r="215" hidden="1">
      <c r="A215" s="29">
        <f>IFERROR(__xludf.DUMMYFUNCTION("""COMPUTED_VALUE"""),42107.0)</f>
        <v>42107</v>
      </c>
      <c r="B215" s="24">
        <f>IFERROR(__xludf.DUMMYFUNCTION("""COMPUTED_VALUE"""),4.6362715E7)</f>
        <v>46362715</v>
      </c>
      <c r="C215" s="24" t="str">
        <f>IFERROR(__xludf.DUMMYFUNCTION("""COMPUTED_VALUE"""),"3 GREENS RD")</f>
        <v>3 GREENS RD</v>
      </c>
      <c r="D215" s="26" t="str">
        <f>IFERROR(__xludf.DUMMYFUNCTION("""COMPUTED_VALUE"""),"M")</f>
        <v>M</v>
      </c>
      <c r="E215" s="26" t="str">
        <f>IFERROR(__xludf.DUMMYFUNCTION("""COMPUTED_VALUE"""),"H")</f>
        <v>H</v>
      </c>
      <c r="F215" s="26">
        <f>IFERROR(__xludf.DUMMYFUNCTION("""COMPUTED_VALUE"""),24.0)</f>
        <v>24</v>
      </c>
      <c r="G215" s="26" t="str">
        <f>IFERROR(__xludf.DUMMYFUNCTION("""COMPUTED_VALUE"""),"Killed")</f>
        <v>Killed</v>
      </c>
      <c r="H215" s="26" t="str">
        <f>IFERROR(__xludf.DUMMYFUNCTION("""COMPUTED_VALUE"""),"Firearm")</f>
        <v>Firearm</v>
      </c>
      <c r="I215" s="27" t="str">
        <f>IFERROR(__xludf.DUMMYFUNCTION("""COMPUTED_VALUE"""),"M")</f>
        <v>M</v>
      </c>
      <c r="J215" s="27" t="str">
        <f>IFERROR(__xludf.DUMMYFUNCTION("""COMPUTED_VALUE"""),"H")</f>
        <v>H</v>
      </c>
      <c r="K215" s="27">
        <f>IFERROR(__xludf.DUMMYFUNCTION("""COMPUTED_VALUE"""),42.0)</f>
        <v>42</v>
      </c>
      <c r="L215" s="27" t="str">
        <f>IFERROR(__xludf.DUMMYFUNCTION("""COMPUTED_VALUE"""),"None")</f>
        <v>None</v>
      </c>
      <c r="M215" s="27" t="str">
        <f>IFERROR(__xludf.DUMMYFUNCTION("""COMPUTED_VALUE"""),"N")</f>
        <v>N</v>
      </c>
      <c r="N215" s="24"/>
      <c r="O215" s="24"/>
      <c r="P215" s="24" t="str">
        <f>IFERROR(__xludf.DUMMYFUNCTION("""COMPUTED_VALUE"""),"A robbery suspect who was attempting to steal a vehicle was confronted by citizens at the location. An officer who was working an extra job nearby arrived at the location and approached the vehicle. As he approached he saw the suspect point a weapon at hi"&amp;"m. The officr fired his weapon and killed the suspect.")</f>
        <v>A robbery suspect who was attempting to steal a vehicle was confronted by citizens at the location. An officer who was working an extra job nearby arrived at the location and approached the vehicle. As he approached he saw the suspect point a weapon at him. The officr fired his weapon and killed the suspect.</v>
      </c>
      <c r="Q215" s="24"/>
      <c r="R215" s="24"/>
      <c r="S215" s="24"/>
      <c r="T215" s="24"/>
      <c r="U215" s="24"/>
      <c r="V215" s="24"/>
      <c r="W215" s="24"/>
      <c r="X215" s="24"/>
      <c r="Y215" s="24"/>
      <c r="Z215" s="24"/>
    </row>
    <row r="216" hidden="1">
      <c r="A216" s="29">
        <f>IFERROR(__xludf.DUMMYFUNCTION("""COMPUTED_VALUE"""),42096.0)</f>
        <v>42096</v>
      </c>
      <c r="B216" s="24">
        <f>IFERROR(__xludf.DUMMYFUNCTION("""COMPUTED_VALUE"""),4.1129615E7)</f>
        <v>41129615</v>
      </c>
      <c r="C216" s="24" t="str">
        <f>IFERROR(__xludf.DUMMYFUNCTION("""COMPUTED_VALUE"""),"11959 SOUTH SAM HOUSTON PARKWAY W")</f>
        <v>11959 SOUTH SAM HOUSTON PARKWAY W</v>
      </c>
      <c r="D216" s="26" t="str">
        <f>IFERROR(__xludf.DUMMYFUNCTION("""COMPUTED_VALUE"""),"M")</f>
        <v>M</v>
      </c>
      <c r="E216" s="26" t="str">
        <f>IFERROR(__xludf.DUMMYFUNCTION("""COMPUTED_VALUE"""),"B")</f>
        <v>B</v>
      </c>
      <c r="F216" s="26">
        <f>IFERROR(__xludf.DUMMYFUNCTION("""COMPUTED_VALUE"""),26.0)</f>
        <v>26</v>
      </c>
      <c r="G216" s="26" t="str">
        <f>IFERROR(__xludf.DUMMYFUNCTION("""COMPUTED_VALUE"""),"Wounded")</f>
        <v>Wounded</v>
      </c>
      <c r="H216" s="26" t="str">
        <f>IFERROR(__xludf.DUMMYFUNCTION("""COMPUTED_VALUE"""),"None")</f>
        <v>None</v>
      </c>
      <c r="I216" s="27" t="str">
        <f>IFERROR(__xludf.DUMMYFUNCTION("""COMPUTED_VALUE"""),"M")</f>
        <v>M</v>
      </c>
      <c r="J216" s="27" t="str">
        <f>IFERROR(__xludf.DUMMYFUNCTION("""COMPUTED_VALUE"""),"W")</f>
        <v>W</v>
      </c>
      <c r="K216" s="27">
        <f>IFERROR(__xludf.DUMMYFUNCTION("""COMPUTED_VALUE"""),53.0)</f>
        <v>53</v>
      </c>
      <c r="L216" s="27" t="str">
        <f>IFERROR(__xludf.DUMMYFUNCTION("""COMPUTED_VALUE"""),"None")</f>
        <v>None</v>
      </c>
      <c r="M216" s="27" t="str">
        <f>IFERROR(__xludf.DUMMYFUNCTION("""COMPUTED_VALUE"""),"Y")</f>
        <v>Y</v>
      </c>
      <c r="N216" s="24"/>
      <c r="O216" s="24"/>
      <c r="P216" s="28" t="str">
        <f>IFERROR(__xludf.DUMMYFUNCTION("""COMPUTED_VALUE"""),"Officers pursued a suspect in a vehicle and then on foot. The suspect ran into a wooded area. The officer believed he saw a weapon so he discharged his firearm at the suspect - striking the suspect and another officer.")</f>
        <v>Officers pursued a suspect in a vehicle and then on foot. The suspect ran into a wooded area. The officer believed he saw a weapon so he discharged his firearm at the suspect - striking the suspect and another officer.</v>
      </c>
      <c r="Q216" s="24"/>
      <c r="R216" s="24"/>
      <c r="S216" s="24"/>
      <c r="T216" s="24"/>
      <c r="U216" s="24"/>
      <c r="V216" s="24"/>
      <c r="W216" s="24"/>
      <c r="X216" s="24"/>
      <c r="Y216" s="24"/>
      <c r="Z216" s="24"/>
    </row>
    <row r="217">
      <c r="A217" s="29">
        <f>IFERROR(__xludf.DUMMYFUNCTION("""COMPUTED_VALUE"""),42045.0)</f>
        <v>42045</v>
      </c>
      <c r="B217" s="24">
        <f>IFERROR(__xludf.DUMMYFUNCTION("""COMPUTED_VALUE"""),1.7884215E7)</f>
        <v>17884215</v>
      </c>
      <c r="C217" s="24" t="str">
        <f>IFERROR(__xludf.DUMMYFUNCTION("""COMPUTED_VALUE"""),"8425 WINKLER DR")</f>
        <v>8425 WINKLER DR</v>
      </c>
      <c r="D217" s="26" t="str">
        <f>IFERROR(__xludf.DUMMYFUNCTION("""COMPUTED_VALUE"""),"M")</f>
        <v>M</v>
      </c>
      <c r="E217" s="26" t="str">
        <f>IFERROR(__xludf.DUMMYFUNCTION("""COMPUTED_VALUE"""),"H")</f>
        <v>H</v>
      </c>
      <c r="F217" s="26">
        <f>IFERROR(__xludf.DUMMYFUNCTION("""COMPUTED_VALUE"""),28.0)</f>
        <v>28</v>
      </c>
      <c r="G217" s="26" t="str">
        <f>IFERROR(__xludf.DUMMYFUNCTION("""COMPUTED_VALUE"""),"None")</f>
        <v>None</v>
      </c>
      <c r="H217" s="26" t="str">
        <f>IFERROR(__xludf.DUMMYFUNCTION("""COMPUTED_VALUE"""),"Firearm")</f>
        <v>Firearm</v>
      </c>
      <c r="I217" s="27" t="str">
        <f>IFERROR(__xludf.DUMMYFUNCTION("""COMPUTED_VALUE"""),"M")</f>
        <v>M</v>
      </c>
      <c r="J217" s="27" t="str">
        <f>IFERROR(__xludf.DUMMYFUNCTION("""COMPUTED_VALUE"""),"H")</f>
        <v>H</v>
      </c>
      <c r="K217" s="27">
        <f>IFERROR(__xludf.DUMMYFUNCTION("""COMPUTED_VALUE"""),29.0)</f>
        <v>29</v>
      </c>
      <c r="L217" s="27" t="str">
        <f>IFERROR(__xludf.DUMMYFUNCTION("""COMPUTED_VALUE"""),"None")</f>
        <v>None</v>
      </c>
      <c r="M217" s="27" t="str">
        <f>IFERROR(__xludf.DUMMYFUNCTION("""COMPUTED_VALUE"""),"Y")</f>
        <v>Y</v>
      </c>
      <c r="N217" s="24"/>
      <c r="O217" s="24"/>
      <c r="P217" s="28" t="str">
        <f>IFERROR(__xludf.DUMMYFUNCTION("""COMPUTED_VALUE"""),"An HPD officer responded to a home invasion. When the officer encountered the suspect, the suspect fired and missed at the officer. The officer returned fire and also missed the suspect. A total of three suspects were involved. The shooter was arrested an"&amp;"d two others remains at large.")</f>
        <v>An HPD officer responded to a home invasion. When the officer encountered the suspect, the suspect fired and missed at the officer. The officer returned fire and also missed the suspect. A total of three suspects were involved. The shooter was arrested and two others remains at large.</v>
      </c>
      <c r="Q217" s="24"/>
      <c r="R217" s="24"/>
      <c r="S217" s="24"/>
      <c r="T217" s="24"/>
      <c r="U217" s="24"/>
      <c r="V217" s="24"/>
      <c r="W217" s="24"/>
      <c r="X217" s="24"/>
      <c r="Y217" s="24"/>
      <c r="Z217" s="24"/>
    </row>
    <row r="218">
      <c r="A218" s="29"/>
      <c r="B218" s="24"/>
      <c r="C218" s="24"/>
      <c r="D218" s="26" t="str">
        <f>IFERROR(__xludf.DUMMYFUNCTION("""COMPUTED_VALUE"""),"M")</f>
        <v>M</v>
      </c>
      <c r="E218" s="26" t="str">
        <f>IFERROR(__xludf.DUMMYFUNCTION("""COMPUTED_VALUE"""),"H")</f>
        <v>H</v>
      </c>
      <c r="F218" s="26">
        <f>IFERROR(__xludf.DUMMYFUNCTION("""COMPUTED_VALUE"""),25.0)</f>
        <v>25</v>
      </c>
      <c r="G218" s="26" t="str">
        <f>IFERROR(__xludf.DUMMYFUNCTION("""COMPUTED_VALUE"""),"None")</f>
        <v>None</v>
      </c>
      <c r="H218" s="26" t="str">
        <f>IFERROR(__xludf.DUMMYFUNCTION("""COMPUTED_VALUE"""),"None")</f>
        <v>None</v>
      </c>
      <c r="I218" s="27"/>
      <c r="J218" s="27"/>
      <c r="K218" s="27"/>
      <c r="L218" s="27"/>
      <c r="M218" s="27"/>
      <c r="N218" s="24"/>
      <c r="O218" s="24"/>
      <c r="P218" s="28"/>
      <c r="Q218" s="24"/>
      <c r="R218" s="24"/>
      <c r="S218" s="24"/>
      <c r="T218" s="24"/>
      <c r="U218" s="24"/>
      <c r="V218" s="24"/>
      <c r="W218" s="24"/>
      <c r="X218" s="24"/>
      <c r="Y218" s="24"/>
      <c r="Z218" s="24"/>
    </row>
    <row r="219">
      <c r="A219" s="29"/>
      <c r="B219" s="24"/>
      <c r="C219" s="24"/>
      <c r="D219" s="26" t="str">
        <f>IFERROR(__xludf.DUMMYFUNCTION("""COMPUTED_VALUE"""),"F")</f>
        <v>F</v>
      </c>
      <c r="E219" s="26" t="str">
        <f>IFERROR(__xludf.DUMMYFUNCTION("""COMPUTED_VALUE"""),"H")</f>
        <v>H</v>
      </c>
      <c r="F219" s="26">
        <f>IFERROR(__xludf.DUMMYFUNCTION("""COMPUTED_VALUE"""),22.0)</f>
        <v>22</v>
      </c>
      <c r="G219" s="26" t="str">
        <f>IFERROR(__xludf.DUMMYFUNCTION("""COMPUTED_VALUE"""),"None")</f>
        <v>None</v>
      </c>
      <c r="H219" s="26" t="str">
        <f>IFERROR(__xludf.DUMMYFUNCTION("""COMPUTED_VALUE"""),"None")</f>
        <v>None</v>
      </c>
      <c r="I219" s="27"/>
      <c r="J219" s="27"/>
      <c r="K219" s="27"/>
      <c r="L219" s="27"/>
      <c r="M219" s="27"/>
      <c r="N219" s="24"/>
      <c r="O219" s="24"/>
      <c r="P219" s="28"/>
      <c r="Q219" s="24"/>
      <c r="R219" s="24"/>
      <c r="S219" s="24"/>
      <c r="T219" s="24"/>
      <c r="U219" s="24"/>
      <c r="V219" s="24"/>
      <c r="W219" s="24"/>
      <c r="X219" s="24"/>
      <c r="Y219" s="24"/>
      <c r="Z219" s="24"/>
    </row>
    <row r="220">
      <c r="A220" s="29">
        <f>IFERROR(__xludf.DUMMYFUNCTION("""COMPUTED_VALUE"""),42023.0)</f>
        <v>42023</v>
      </c>
      <c r="B220" s="24">
        <f>IFERROR(__xludf.DUMMYFUNCTION("""COMPUTED_VALUE"""),7847415.0)</f>
        <v>7847415</v>
      </c>
      <c r="C220" s="24" t="str">
        <f>IFERROR(__xludf.DUMMYFUNCTION("""COMPUTED_VALUE"""),"800 N LOOP E")</f>
        <v>800 N LOOP E</v>
      </c>
      <c r="D220" s="26" t="str">
        <f>IFERROR(__xludf.DUMMYFUNCTION("""COMPUTED_VALUE"""),"M")</f>
        <v>M</v>
      </c>
      <c r="E220" s="26" t="str">
        <f>IFERROR(__xludf.DUMMYFUNCTION("""COMPUTED_VALUE"""),"B")</f>
        <v>B</v>
      </c>
      <c r="F220" s="26"/>
      <c r="G220" s="26" t="str">
        <f>IFERROR(__xludf.DUMMYFUNCTION("""COMPUTED_VALUE"""),"None")</f>
        <v>None</v>
      </c>
      <c r="H220" s="26" t="str">
        <f>IFERROR(__xludf.DUMMYFUNCTION("""COMPUTED_VALUE"""),"None")</f>
        <v>None</v>
      </c>
      <c r="I220" s="27" t="str">
        <f>IFERROR(__xludf.DUMMYFUNCTION("""COMPUTED_VALUE"""),"M")</f>
        <v>M</v>
      </c>
      <c r="J220" s="27" t="str">
        <f>IFERROR(__xludf.DUMMYFUNCTION("""COMPUTED_VALUE"""),"P")</f>
        <v>P</v>
      </c>
      <c r="K220" s="27">
        <f>IFERROR(__xludf.DUMMYFUNCTION("""COMPUTED_VALUE"""),36.0)</f>
        <v>36</v>
      </c>
      <c r="L220" s="27" t="str">
        <f>IFERROR(__xludf.DUMMYFUNCTION("""COMPUTED_VALUE"""),"None")</f>
        <v>None</v>
      </c>
      <c r="M220" s="27" t="str">
        <f>IFERROR(__xludf.DUMMYFUNCTION("""COMPUTED_VALUE"""),"N")</f>
        <v>N</v>
      </c>
      <c r="N220" s="24"/>
      <c r="O220" s="24"/>
      <c r="P220" s="28" t="str">
        <f>IFERROR(__xludf.DUMMYFUNCTION("""COMPUTED_VALUE"""),"While an off duty HPD officer was refueiling his car, a black male was spotted inside the officer's vehicle burglarizing it. The officer, in fear the suspect would steal his weapon inside the vehicle, grabs his firearm and fired upon the getaway vehicle b"&amp;"ecause the driver had appeared to be reaching down for something.")</f>
        <v>While an off duty HPD officer was refueiling his car, a black male was spotted inside the officer's vehicle burglarizing it. The officer, in fear the suspect would steal his weapon inside the vehicle, grabs his firearm and fired upon the getaway vehicle because the driver had appeared to be reaching down for something.</v>
      </c>
      <c r="Q220" s="24"/>
      <c r="R220" s="24"/>
      <c r="S220" s="24"/>
      <c r="T220" s="24"/>
      <c r="U220" s="24"/>
      <c r="V220" s="24"/>
      <c r="W220" s="24"/>
      <c r="X220" s="24"/>
      <c r="Y220" s="24"/>
      <c r="Z220" s="24"/>
    </row>
    <row r="221" hidden="1">
      <c r="A221" s="29">
        <f>IFERROR(__xludf.DUMMYFUNCTION("""COMPUTED_VALUE"""),42020.0)</f>
        <v>42020</v>
      </c>
      <c r="B221" s="24">
        <f>IFERROR(__xludf.DUMMYFUNCTION("""COMPUTED_VALUE"""),6314215.0)</f>
        <v>6314215</v>
      </c>
      <c r="C221" s="24" t="str">
        <f>IFERROR(__xludf.DUMMYFUNCTION("""COMPUTED_VALUE"""),"12810 GULF FWY OB")</f>
        <v>12810 GULF FWY OB</v>
      </c>
      <c r="D221" s="26" t="str">
        <f>IFERROR(__xludf.DUMMYFUNCTION("""COMPUTED_VALUE"""),"M")</f>
        <v>M</v>
      </c>
      <c r="E221" s="26" t="str">
        <f>IFERROR(__xludf.DUMMYFUNCTION("""COMPUTED_VALUE"""),"H")</f>
        <v>H</v>
      </c>
      <c r="F221" s="26">
        <f>IFERROR(__xludf.DUMMYFUNCTION("""COMPUTED_VALUE"""),26.0)</f>
        <v>26</v>
      </c>
      <c r="G221" s="26" t="str">
        <f>IFERROR(__xludf.DUMMYFUNCTION("""COMPUTED_VALUE"""),"Killed")</f>
        <v>Killed</v>
      </c>
      <c r="H221" s="26" t="str">
        <f>IFERROR(__xludf.DUMMYFUNCTION("""COMPUTED_VALUE"""),"Firearm")</f>
        <v>Firearm</v>
      </c>
      <c r="I221" s="27" t="str">
        <f>IFERROR(__xludf.DUMMYFUNCTION("""COMPUTED_VALUE"""),"M")</f>
        <v>M</v>
      </c>
      <c r="J221" s="27" t="str">
        <f>IFERROR(__xludf.DUMMYFUNCTION("""COMPUTED_VALUE"""),"W")</f>
        <v>W</v>
      </c>
      <c r="K221" s="27">
        <f>IFERROR(__xludf.DUMMYFUNCTION("""COMPUTED_VALUE"""),49.0)</f>
        <v>49</v>
      </c>
      <c r="L221" s="27" t="str">
        <f>IFERROR(__xludf.DUMMYFUNCTION("""COMPUTED_VALUE"""),"None")</f>
        <v>None</v>
      </c>
      <c r="M221" s="27" t="str">
        <f>IFERROR(__xludf.DUMMYFUNCTION("""COMPUTED_VALUE"""),"N")</f>
        <v>N</v>
      </c>
      <c r="N221" s="24"/>
      <c r="O221" s="24">
        <f>IFERROR(__xludf.DUMMYFUNCTION("""COMPUTED_VALUE"""),1.0)</f>
        <v>1</v>
      </c>
      <c r="P221" s="24" t="str">
        <f>IFERROR(__xludf.DUMMYFUNCTION("""COMPUTED_VALUE"""),"HPD officer working an extra job at a bar confronted the suspect who was carrying a handgun outside the location. The suspect ignored the officer's commands to drop the weapon. The suspect pointed his gun at the officer and the officer in fear of his life"&amp;" shot and killed the suspect.")</f>
        <v>HPD officer working an extra job at a bar confronted the suspect who was carrying a handgun outside the location. The suspect ignored the officer's commands to drop the weapon. The suspect pointed his gun at the officer and the officer in fear of his life shot and killed the suspect.</v>
      </c>
      <c r="Q221" s="24"/>
      <c r="R221" s="24"/>
      <c r="S221" s="24"/>
      <c r="T221" s="24"/>
      <c r="U221" s="24"/>
      <c r="V221" s="24"/>
      <c r="W221" s="24"/>
      <c r="X221" s="24"/>
      <c r="Y221" s="24"/>
      <c r="Z221" s="24"/>
    </row>
    <row r="222" hidden="1">
      <c r="A222" s="29">
        <f>IFERROR(__xludf.DUMMYFUNCTION("""COMPUTED_VALUE"""),42020.0)</f>
        <v>42020</v>
      </c>
      <c r="B222" s="24">
        <f>IFERROR(__xludf.DUMMYFUNCTION("""COMPUTED_VALUE"""),6695315.0)</f>
        <v>6695315</v>
      </c>
      <c r="C222" s="24" t="str">
        <f>IFERROR(__xludf.DUMMYFUNCTION("""COMPUTED_VALUE"""),"14121 ELLA BLVD")</f>
        <v>14121 ELLA BLVD</v>
      </c>
      <c r="D222" s="26" t="str">
        <f>IFERROR(__xludf.DUMMYFUNCTION("""COMPUTED_VALUE"""),"M")</f>
        <v>M</v>
      </c>
      <c r="E222" s="26" t="str">
        <f>IFERROR(__xludf.DUMMYFUNCTION("""COMPUTED_VALUE"""),"B")</f>
        <v>B</v>
      </c>
      <c r="F222" s="26">
        <f>IFERROR(__xludf.DUMMYFUNCTION("""COMPUTED_VALUE"""),18.0)</f>
        <v>18</v>
      </c>
      <c r="G222" s="26" t="str">
        <f>IFERROR(__xludf.DUMMYFUNCTION("""COMPUTED_VALUE"""),"Wounded")</f>
        <v>Wounded</v>
      </c>
      <c r="H222" s="26" t="str">
        <f>IFERROR(__xludf.DUMMYFUNCTION("""COMPUTED_VALUE"""),"Firearm")</f>
        <v>Firearm</v>
      </c>
      <c r="I222" s="27" t="str">
        <f>IFERROR(__xludf.DUMMYFUNCTION("""COMPUTED_VALUE"""),"M")</f>
        <v>M</v>
      </c>
      <c r="J222" s="27" t="str">
        <f>IFERROR(__xludf.DUMMYFUNCTION("""COMPUTED_VALUE"""),"W")</f>
        <v>W</v>
      </c>
      <c r="K222" s="27">
        <f>IFERROR(__xludf.DUMMYFUNCTION("""COMPUTED_VALUE"""),46.0)</f>
        <v>46</v>
      </c>
      <c r="L222" s="27" t="str">
        <f>IFERROR(__xludf.DUMMYFUNCTION("""COMPUTED_VALUE"""),"None")</f>
        <v>None</v>
      </c>
      <c r="M222" s="27" t="str">
        <f>IFERROR(__xludf.DUMMYFUNCTION("""COMPUTED_VALUE"""),"N")</f>
        <v>N</v>
      </c>
      <c r="N222" s="24"/>
      <c r="O222" s="24"/>
      <c r="P222" s="28" t="str">
        <f>IFERROR(__xludf.DUMMYFUNCTION("""COMPUTED_VALUE"""),"An HPD officer working an extra job in uniform at a convenient store saw three black males enter with a shotgun pointed inside the store. The officer fired at the suspects who again pointed the weapon at the pursuing officer. The officer again shot and in"&amp;"jured a suspect. HCSO worked the shooting.")</f>
        <v>An HPD officer working an extra job in uniform at a convenient store saw three black males enter with a shotgun pointed inside the store. The officer fired at the suspects who again pointed the weapon at the pursuing officer. The officer again shot and injured a suspect. HCSO worked the shooting.</v>
      </c>
      <c r="Q222" s="24"/>
      <c r="R222" s="24"/>
      <c r="S222" s="24"/>
      <c r="T222" s="24"/>
      <c r="U222" s="24"/>
      <c r="V222" s="24"/>
      <c r="W222" s="24"/>
      <c r="X222" s="24"/>
      <c r="Y222" s="24"/>
      <c r="Z222" s="24"/>
    </row>
    <row r="223">
      <c r="A223" s="29"/>
      <c r="B223" s="24"/>
      <c r="C223" s="24"/>
      <c r="D223" s="26" t="str">
        <f>IFERROR(__xludf.DUMMYFUNCTION("""COMPUTED_VALUE"""),"M")</f>
        <v>M</v>
      </c>
      <c r="E223" s="26" t="str">
        <f>IFERROR(__xludf.DUMMYFUNCTION("""COMPUTED_VALUE"""),"B")</f>
        <v>B</v>
      </c>
      <c r="F223" s="26">
        <f>IFERROR(__xludf.DUMMYFUNCTION("""COMPUTED_VALUE"""),19.0)</f>
        <v>19</v>
      </c>
      <c r="G223" s="26" t="str">
        <f>IFERROR(__xludf.DUMMYFUNCTION("""COMPUTED_VALUE"""),"None")</f>
        <v>None</v>
      </c>
      <c r="H223" s="26" t="str">
        <f>IFERROR(__xludf.DUMMYFUNCTION("""COMPUTED_VALUE"""),"None")</f>
        <v>None</v>
      </c>
      <c r="I223" s="27"/>
      <c r="J223" s="27"/>
      <c r="K223" s="27"/>
      <c r="L223" s="27"/>
      <c r="M223" s="27"/>
      <c r="N223" s="24"/>
      <c r="O223" s="24"/>
      <c r="P223" s="28"/>
      <c r="Q223" s="24"/>
      <c r="R223" s="24"/>
      <c r="S223" s="24"/>
      <c r="T223" s="24"/>
      <c r="U223" s="24"/>
      <c r="V223" s="24"/>
      <c r="W223" s="24"/>
      <c r="X223" s="24"/>
      <c r="Y223" s="24"/>
      <c r="Z223" s="24"/>
    </row>
    <row r="224">
      <c r="A224" s="29"/>
      <c r="B224" s="24"/>
      <c r="C224" s="24"/>
      <c r="D224" s="26" t="str">
        <f>IFERROR(__xludf.DUMMYFUNCTION("""COMPUTED_VALUE"""),"M")</f>
        <v>M</v>
      </c>
      <c r="E224" s="26" t="str">
        <f>IFERROR(__xludf.DUMMYFUNCTION("""COMPUTED_VALUE"""),"B")</f>
        <v>B</v>
      </c>
      <c r="F224" s="26">
        <f>IFERROR(__xludf.DUMMYFUNCTION("""COMPUTED_VALUE"""),19.0)</f>
        <v>19</v>
      </c>
      <c r="G224" s="26" t="str">
        <f>IFERROR(__xludf.DUMMYFUNCTION("""COMPUTED_VALUE"""),"None")</f>
        <v>None</v>
      </c>
      <c r="H224" s="26" t="str">
        <f>IFERROR(__xludf.DUMMYFUNCTION("""COMPUTED_VALUE"""),"None")</f>
        <v>None</v>
      </c>
      <c r="I224" s="27"/>
      <c r="J224" s="27"/>
      <c r="K224" s="27"/>
      <c r="L224" s="27"/>
      <c r="M224" s="27"/>
      <c r="N224" s="24"/>
      <c r="O224" s="24"/>
      <c r="P224" s="28"/>
      <c r="Q224" s="24"/>
      <c r="R224" s="24"/>
      <c r="S224" s="24"/>
      <c r="T224" s="24"/>
      <c r="U224" s="24"/>
      <c r="V224" s="24"/>
      <c r="W224" s="24"/>
      <c r="X224" s="24"/>
      <c r="Y224" s="24"/>
      <c r="Z224" s="24"/>
    </row>
    <row r="225" hidden="1">
      <c r="A225" s="29">
        <f>IFERROR(__xludf.DUMMYFUNCTION("""COMPUTED_VALUE"""),42013.0)</f>
        <v>42013</v>
      </c>
      <c r="B225" s="24">
        <f>IFERROR(__xludf.DUMMYFUNCTION("""COMPUTED_VALUE"""),3483515.0)</f>
        <v>3483515</v>
      </c>
      <c r="C225" s="24" t="str">
        <f>IFERROR(__xludf.DUMMYFUNCTION("""COMPUTED_VALUE"""),"16272 IMPERIAL VALLEY DR")</f>
        <v>16272 IMPERIAL VALLEY DR</v>
      </c>
      <c r="D225" s="26" t="str">
        <f>IFERROR(__xludf.DUMMYFUNCTION("""COMPUTED_VALUE"""),"M")</f>
        <v>M</v>
      </c>
      <c r="E225" s="26" t="str">
        <f>IFERROR(__xludf.DUMMYFUNCTION("""COMPUTED_VALUE"""),"H")</f>
        <v>H</v>
      </c>
      <c r="F225" s="26">
        <f>IFERROR(__xludf.DUMMYFUNCTION("""COMPUTED_VALUE"""),19.0)</f>
        <v>19</v>
      </c>
      <c r="G225" s="26" t="str">
        <f>IFERROR(__xludf.DUMMYFUNCTION("""COMPUTED_VALUE"""),"Wounded")</f>
        <v>Wounded</v>
      </c>
      <c r="H225" s="26" t="str">
        <f>IFERROR(__xludf.DUMMYFUNCTION("""COMPUTED_VALUE"""),"None")</f>
        <v>None</v>
      </c>
      <c r="I225" s="27" t="str">
        <f>IFERROR(__xludf.DUMMYFUNCTION("""COMPUTED_VALUE"""),"M")</f>
        <v>M</v>
      </c>
      <c r="J225" s="27" t="str">
        <f>IFERROR(__xludf.DUMMYFUNCTION("""COMPUTED_VALUE"""),"H")</f>
        <v>H</v>
      </c>
      <c r="K225" s="27">
        <f>IFERROR(__xludf.DUMMYFUNCTION("""COMPUTED_VALUE"""),30.0)</f>
        <v>30</v>
      </c>
      <c r="L225" s="27" t="str">
        <f>IFERROR(__xludf.DUMMYFUNCTION("""COMPUTED_VALUE"""),"None")</f>
        <v>None</v>
      </c>
      <c r="M225" s="27" t="str">
        <f>IFERROR(__xludf.DUMMYFUNCTION("""COMPUTED_VALUE"""),"Y")</f>
        <v>Y</v>
      </c>
      <c r="N225" s="24"/>
      <c r="O225" s="24"/>
      <c r="P225" s="28" t="str">
        <f>IFERROR(__xludf.DUMMYFUNCTION("""COMPUTED_VALUE"""),"Officer responded to a burglary in progress by three HMs. The officer spotted one of the males, instructed him to show his hands and get on the ground. The suspect raised his hands above his head as if to surrender then quickly dropped them toward his wai"&amp;"st. As a result, the officer shot and injured the suspect.")</f>
        <v>Officer responded to a burglary in progress by three HMs. The officer spotted one of the males, instructed him to show his hands and get on the ground. The suspect raised his hands above his head as if to surrender then quickly dropped them toward his waist. As a result, the officer shot and injured the suspect.</v>
      </c>
      <c r="Q225" s="24"/>
      <c r="R225" s="24"/>
      <c r="S225" s="24"/>
      <c r="T225" s="24"/>
      <c r="U225" s="24"/>
      <c r="V225" s="24"/>
      <c r="W225" s="24"/>
      <c r="X225" s="24"/>
      <c r="Y225" s="24"/>
      <c r="Z225" s="24"/>
    </row>
    <row r="226" hidden="1">
      <c r="A226" s="29">
        <f>IFERROR(__xludf.DUMMYFUNCTION("""COMPUTED_VALUE"""),42013.0)</f>
        <v>42013</v>
      </c>
      <c r="B226" s="24">
        <f>IFERROR(__xludf.DUMMYFUNCTION("""COMPUTED_VALUE"""),3652815.0)</f>
        <v>3652815</v>
      </c>
      <c r="C226" s="24" t="str">
        <f>IFERROR(__xludf.DUMMYFUNCTION("""COMPUTED_VALUE"""),"10902 MONTVERDE LN")</f>
        <v>10902 MONTVERDE LN</v>
      </c>
      <c r="D226" s="26" t="str">
        <f>IFERROR(__xludf.DUMMYFUNCTION("""COMPUTED_VALUE"""),"M")</f>
        <v>M</v>
      </c>
      <c r="E226" s="26" t="str">
        <f>IFERROR(__xludf.DUMMYFUNCTION("""COMPUTED_VALUE"""),"H")</f>
        <v>H</v>
      </c>
      <c r="F226" s="26">
        <f>IFERROR(__xludf.DUMMYFUNCTION("""COMPUTED_VALUE"""),20.0)</f>
        <v>20</v>
      </c>
      <c r="G226" s="26" t="str">
        <f>IFERROR(__xludf.DUMMYFUNCTION("""COMPUTED_VALUE"""),"Wounded")</f>
        <v>Wounded</v>
      </c>
      <c r="H226" s="26" t="str">
        <f>IFERROR(__xludf.DUMMYFUNCTION("""COMPUTED_VALUE"""),"Firearm")</f>
        <v>Firearm</v>
      </c>
      <c r="I226" s="27" t="str">
        <f>IFERROR(__xludf.DUMMYFUNCTION("""COMPUTED_VALUE"""),"M")</f>
        <v>M</v>
      </c>
      <c r="J226" s="27" t="str">
        <f>IFERROR(__xludf.DUMMYFUNCTION("""COMPUTED_VALUE"""),"P")</f>
        <v>P</v>
      </c>
      <c r="K226" s="27">
        <f>IFERROR(__xludf.DUMMYFUNCTION("""COMPUTED_VALUE"""),29.0)</f>
        <v>29</v>
      </c>
      <c r="L226" s="27" t="str">
        <f>IFERROR(__xludf.DUMMYFUNCTION("""COMPUTED_VALUE"""),"None")</f>
        <v>None</v>
      </c>
      <c r="M226" s="27" t="str">
        <f>IFERROR(__xludf.DUMMYFUNCTION("""COMPUTED_VALUE"""),"Y")</f>
        <v>Y</v>
      </c>
      <c r="N226" s="24"/>
      <c r="O226" s="24"/>
      <c r="P226" s="28" t="str">
        <f>IFERROR(__xludf.DUMMYFUNCTION("""COMPUTED_VALUE"""),"An HPD officer was responding to a home invasion in progress call when he confronted the suspect upon his arrival to the scene. The suspect pointed a pistol at the officer and the officer, in fear of his life, discharged his duty weapon striking the suspe"&amp;"ct three times. The suspect was in critical condition.")</f>
        <v>An HPD officer was responding to a home invasion in progress call when he confronted the suspect upon his arrival to the scene. The suspect pointed a pistol at the officer and the officer, in fear of his life, discharged his duty weapon striking the suspect three times. The suspect was in critical condition.</v>
      </c>
      <c r="Q226" s="24"/>
      <c r="R226" s="24"/>
      <c r="S226" s="24"/>
      <c r="T226" s="24"/>
      <c r="U226" s="24"/>
      <c r="V226" s="24"/>
      <c r="W226" s="24"/>
      <c r="X226" s="24"/>
      <c r="Y226" s="24"/>
      <c r="Z226" s="24"/>
    </row>
    <row r="227" hidden="1">
      <c r="A227" s="29">
        <f>IFERROR(__xludf.DUMMYFUNCTION("""COMPUTED_VALUE"""),41990.0)</f>
        <v>41990</v>
      </c>
      <c r="B227" s="24">
        <f>IFERROR(__xludf.DUMMYFUNCTION("""COMPUTED_VALUE"""),1.60528814E8)</f>
        <v>160528814</v>
      </c>
      <c r="C227" s="24" t="str">
        <f>IFERROR(__xludf.DUMMYFUNCTION("""COMPUTED_VALUE"""),"13333 NORTHBOROUGH DR")</f>
        <v>13333 NORTHBOROUGH DR</v>
      </c>
      <c r="D227" s="26" t="str">
        <f>IFERROR(__xludf.DUMMYFUNCTION("""COMPUTED_VALUE"""),"M")</f>
        <v>M</v>
      </c>
      <c r="E227" s="26" t="str">
        <f>IFERROR(__xludf.DUMMYFUNCTION("""COMPUTED_VALUE"""),"B")</f>
        <v>B</v>
      </c>
      <c r="F227" s="26">
        <f>IFERROR(__xludf.DUMMYFUNCTION("""COMPUTED_VALUE"""),32.0)</f>
        <v>32</v>
      </c>
      <c r="G227" s="26" t="str">
        <f>IFERROR(__xludf.DUMMYFUNCTION("""COMPUTED_VALUE"""),"Wounded")</f>
        <v>Wounded</v>
      </c>
      <c r="H227" s="26" t="str">
        <f>IFERROR(__xludf.DUMMYFUNCTION("""COMPUTED_VALUE"""),"Firearm")</f>
        <v>Firearm</v>
      </c>
      <c r="I227" s="27" t="str">
        <f>IFERROR(__xludf.DUMMYFUNCTION("""COMPUTED_VALUE"""),"M")</f>
        <v>M</v>
      </c>
      <c r="J227" s="27" t="str">
        <f>IFERROR(__xludf.DUMMYFUNCTION("""COMPUTED_VALUE"""),"H")</f>
        <v>H</v>
      </c>
      <c r="K227" s="27">
        <f>IFERROR(__xludf.DUMMYFUNCTION("""COMPUTED_VALUE"""),29.0)</f>
        <v>29</v>
      </c>
      <c r="L227" s="27" t="str">
        <f>IFERROR(__xludf.DUMMYFUNCTION("""COMPUTED_VALUE"""),"None")</f>
        <v>None</v>
      </c>
      <c r="M227" s="27" t="str">
        <f>IFERROR(__xludf.DUMMYFUNCTION("""COMPUTED_VALUE"""),"Y")</f>
        <v>Y</v>
      </c>
      <c r="N227" s="24"/>
      <c r="O227" s="24"/>
      <c r="P227" s="28" t="str">
        <f>IFERROR(__xludf.DUMMYFUNCTION("""COMPUTED_VALUE"""),"Officers were dispatched to suicide with pistol. Upon arrival, officers contacted the suspect but ignored officer's instructions multiple times. When suspect reached for his waistand, the officer knowing the suspect had a pistol, fired once at suspect. Su"&amp;"spect taken to hospital with non-life threatening injuries.")</f>
        <v>Officers were dispatched to suicide with pistol. Upon arrival, officers contacted the suspect but ignored officer's instructions multiple times. When suspect reached for his waistand, the officer knowing the suspect had a pistol, fired once at suspect. Suspect taken to hospital with non-life threatening injuries.</v>
      </c>
      <c r="Q227" s="24"/>
      <c r="R227" s="24"/>
      <c r="S227" s="24"/>
      <c r="T227" s="24"/>
      <c r="U227" s="24"/>
      <c r="V227" s="24"/>
      <c r="W227" s="24"/>
      <c r="X227" s="24"/>
      <c r="Y227" s="24"/>
      <c r="Z227" s="24"/>
    </row>
    <row r="228" hidden="1">
      <c r="A228" s="29">
        <f>IFERROR(__xludf.DUMMYFUNCTION("""COMPUTED_VALUE"""),41988.0)</f>
        <v>41988</v>
      </c>
      <c r="B228" s="24">
        <f>IFERROR(__xludf.DUMMYFUNCTION("""COMPUTED_VALUE"""),1.59236414E8)</f>
        <v>159236414</v>
      </c>
      <c r="C228" s="24" t="str">
        <f>IFERROR(__xludf.DUMMYFUNCTION("""COMPUTED_VALUE"""),"400 N SAM HOUSTON PKWY E")</f>
        <v>400 N SAM HOUSTON PKWY E</v>
      </c>
      <c r="D228" s="26" t="str">
        <f>IFERROR(__xludf.DUMMYFUNCTION("""COMPUTED_VALUE"""),"M")</f>
        <v>M</v>
      </c>
      <c r="E228" s="26" t="str">
        <f>IFERROR(__xludf.DUMMYFUNCTION("""COMPUTED_VALUE"""),"B")</f>
        <v>B</v>
      </c>
      <c r="F228" s="26">
        <f>IFERROR(__xludf.DUMMYFUNCTION("""COMPUTED_VALUE"""),20.0)</f>
        <v>20</v>
      </c>
      <c r="G228" s="26" t="str">
        <f>IFERROR(__xludf.DUMMYFUNCTION("""COMPUTED_VALUE"""),"Wounded")</f>
        <v>Wounded</v>
      </c>
      <c r="H228" s="26" t="str">
        <f>IFERROR(__xludf.DUMMYFUNCTION("""COMPUTED_VALUE"""),"Firearm")</f>
        <v>Firearm</v>
      </c>
      <c r="I228" s="27" t="str">
        <f>IFERROR(__xludf.DUMMYFUNCTION("""COMPUTED_VALUE"""),"M")</f>
        <v>M</v>
      </c>
      <c r="J228" s="27" t="str">
        <f>IFERROR(__xludf.DUMMYFUNCTION("""COMPUTED_VALUE"""),"H")</f>
        <v>H</v>
      </c>
      <c r="K228" s="27">
        <f>IFERROR(__xludf.DUMMYFUNCTION("""COMPUTED_VALUE"""),35.0)</f>
        <v>35</v>
      </c>
      <c r="L228" s="27" t="str">
        <f>IFERROR(__xludf.DUMMYFUNCTION("""COMPUTED_VALUE"""),"None")</f>
        <v>None</v>
      </c>
      <c r="M228" s="27" t="str">
        <f>IFERROR(__xludf.DUMMYFUNCTION("""COMPUTED_VALUE"""),"Y")</f>
        <v>Y</v>
      </c>
      <c r="N228" s="24"/>
      <c r="O228" s="24"/>
      <c r="P228" s="28" t="str">
        <f>IFERROR(__xludf.DUMMYFUNCTION("""COMPUTED_VALUE"""),"The officer received a description of the suspect. The suspect was located and give foot prsuit into a parking gargage. The officer made contact with the suspect at which the suspect raised a pistol in the direction of the officer and was shot by the offi"&amp;"cer. The susepct was taken to hospital with non-life injuries.")</f>
        <v>The officer received a description of the suspect. The suspect was located and give foot prsuit into a parking gargage. The officer made contact with the suspect at which the suspect raised a pistol in the direction of the officer and was shot by the officer. The susepct was taken to hospital with non-life injuries.</v>
      </c>
      <c r="Q228" s="24"/>
      <c r="R228" s="24"/>
      <c r="S228" s="24"/>
      <c r="T228" s="24"/>
      <c r="U228" s="24"/>
      <c r="V228" s="24"/>
      <c r="W228" s="24"/>
      <c r="X228" s="24"/>
      <c r="Y228" s="24"/>
      <c r="Z228" s="24"/>
    </row>
    <row r="229" hidden="1">
      <c r="A229" s="29">
        <f>IFERROR(__xludf.DUMMYFUNCTION("""COMPUTED_VALUE"""),41985.0)</f>
        <v>41985</v>
      </c>
      <c r="B229" s="24">
        <f>IFERROR(__xludf.DUMMYFUNCTION("""COMPUTED_VALUE"""),1.58181414E8)</f>
        <v>158181414</v>
      </c>
      <c r="C229" s="24" t="str">
        <f>IFERROR(__xludf.DUMMYFUNCTION("""COMPUTED_VALUE"""),"14600 BUFFALO SPEEDWAY")</f>
        <v>14600 BUFFALO SPEEDWAY</v>
      </c>
      <c r="D229" s="26" t="str">
        <f>IFERROR(__xludf.DUMMYFUNCTION("""COMPUTED_VALUE"""),"M")</f>
        <v>M</v>
      </c>
      <c r="E229" s="26" t="str">
        <f>IFERROR(__xludf.DUMMYFUNCTION("""COMPUTED_VALUE"""),"B")</f>
        <v>B</v>
      </c>
      <c r="F229" s="26">
        <f>IFERROR(__xludf.DUMMYFUNCTION("""COMPUTED_VALUE"""),38.0)</f>
        <v>38</v>
      </c>
      <c r="G229" s="26" t="str">
        <f>IFERROR(__xludf.DUMMYFUNCTION("""COMPUTED_VALUE"""),"Wounded")</f>
        <v>Wounded</v>
      </c>
      <c r="H229" s="26" t="str">
        <f>IFERROR(__xludf.DUMMYFUNCTION("""COMPUTED_VALUE"""),"None")</f>
        <v>None</v>
      </c>
      <c r="I229" s="27" t="str">
        <f>IFERROR(__xludf.DUMMYFUNCTION("""COMPUTED_VALUE"""),"M")</f>
        <v>M</v>
      </c>
      <c r="J229" s="27" t="str">
        <f>IFERROR(__xludf.DUMMYFUNCTION("""COMPUTED_VALUE"""),"H")</f>
        <v>H</v>
      </c>
      <c r="K229" s="27">
        <f>IFERROR(__xludf.DUMMYFUNCTION("""COMPUTED_VALUE"""),29.0)</f>
        <v>29</v>
      </c>
      <c r="L229" s="27" t="str">
        <f>IFERROR(__xludf.DUMMYFUNCTION("""COMPUTED_VALUE"""),"None")</f>
        <v>None</v>
      </c>
      <c r="M229" s="27" t="str">
        <f>IFERROR(__xludf.DUMMYFUNCTION("""COMPUTED_VALUE"""),"Y")</f>
        <v>Y</v>
      </c>
      <c r="N229" s="24"/>
      <c r="O229" s="24"/>
      <c r="P229" s="28" t="str">
        <f>IFERROR(__xludf.DUMMYFUNCTION("""COMPUTED_VALUE"""),"The front seat passenger ignored the officer's commands and continued to reach under the car seat. Fearing for his saftey the officer discharged his weapon. The suspect fled on foot, made additional furtive movements and was shot, injured, and transported"&amp;" to the hospital and expected to recover.")</f>
        <v>The front seat passenger ignored the officer's commands and continued to reach under the car seat. Fearing for his saftey the officer discharged his weapon. The suspect fled on foot, made additional furtive movements and was shot, injured, and transported to the hospital and expected to recover.</v>
      </c>
      <c r="Q229" s="24"/>
      <c r="R229" s="24"/>
      <c r="S229" s="24"/>
      <c r="T229" s="24"/>
      <c r="U229" s="24"/>
      <c r="V229" s="24"/>
      <c r="W229" s="24"/>
      <c r="X229" s="24"/>
      <c r="Y229" s="24"/>
      <c r="Z229" s="24"/>
    </row>
    <row r="230" hidden="1">
      <c r="A230" s="29"/>
      <c r="B230" s="24"/>
      <c r="C230" s="24"/>
      <c r="D230" s="26"/>
      <c r="E230" s="26"/>
      <c r="F230" s="26"/>
      <c r="G230" s="26"/>
      <c r="H230" s="26"/>
      <c r="I230" s="27" t="str">
        <f>IFERROR(__xludf.DUMMYFUNCTION("""COMPUTED_VALUE"""),"M")</f>
        <v>M</v>
      </c>
      <c r="J230" s="27" t="str">
        <f>IFERROR(__xludf.DUMMYFUNCTION("""COMPUTED_VALUE"""),"B")</f>
        <v>B</v>
      </c>
      <c r="K230" s="27">
        <f>IFERROR(__xludf.DUMMYFUNCTION("""COMPUTED_VALUE"""),31.0)</f>
        <v>31</v>
      </c>
      <c r="L230" s="27" t="str">
        <f>IFERROR(__xludf.DUMMYFUNCTION("""COMPUTED_VALUE"""),"None")</f>
        <v>None</v>
      </c>
      <c r="M230" s="27" t="str">
        <f>IFERROR(__xludf.DUMMYFUNCTION("""COMPUTED_VALUE"""),"Y")</f>
        <v>Y</v>
      </c>
      <c r="N230" s="24"/>
      <c r="O230" s="24"/>
      <c r="P230" s="24"/>
      <c r="Q230" s="24"/>
      <c r="R230" s="24"/>
      <c r="S230" s="24"/>
      <c r="T230" s="24"/>
      <c r="U230" s="24"/>
      <c r="V230" s="24"/>
      <c r="W230" s="24"/>
      <c r="X230" s="24"/>
      <c r="Y230" s="24"/>
      <c r="Z230" s="24"/>
    </row>
    <row r="231">
      <c r="A231" s="29">
        <f>IFERROR(__xludf.DUMMYFUNCTION("""COMPUTED_VALUE"""),41981.0)</f>
        <v>41981</v>
      </c>
      <c r="B231" s="24">
        <f>IFERROR(__xludf.DUMMYFUNCTION("""COMPUTED_VALUE"""),1.55866314E8)</f>
        <v>155866314</v>
      </c>
      <c r="C231" s="24" t="str">
        <f>IFERROR(__xludf.DUMMYFUNCTION("""COMPUTED_VALUE"""),"12919 WINDFERN")</f>
        <v>12919 WINDFERN</v>
      </c>
      <c r="D231" s="26" t="str">
        <f>IFERROR(__xludf.DUMMYFUNCTION("""COMPUTED_VALUE"""),"M")</f>
        <v>M</v>
      </c>
      <c r="E231" s="26" t="str">
        <f>IFERROR(__xludf.DUMMYFUNCTION("""COMPUTED_VALUE"""),"B")</f>
        <v>B</v>
      </c>
      <c r="F231" s="26">
        <f>IFERROR(__xludf.DUMMYFUNCTION("""COMPUTED_VALUE"""),33.0)</f>
        <v>33</v>
      </c>
      <c r="G231" s="26" t="str">
        <f>IFERROR(__xludf.DUMMYFUNCTION("""COMPUTED_VALUE"""),"None")</f>
        <v>None</v>
      </c>
      <c r="H231" s="26" t="str">
        <f>IFERROR(__xludf.DUMMYFUNCTION("""COMPUTED_VALUE"""),"Firearm")</f>
        <v>Firearm</v>
      </c>
      <c r="I231" s="27" t="str">
        <f>IFERROR(__xludf.DUMMYFUNCTION("""COMPUTED_VALUE"""),"M")</f>
        <v>M</v>
      </c>
      <c r="J231" s="27" t="str">
        <f>IFERROR(__xludf.DUMMYFUNCTION("""COMPUTED_VALUE"""),"W")</f>
        <v>W</v>
      </c>
      <c r="K231" s="27">
        <f>IFERROR(__xludf.DUMMYFUNCTION("""COMPUTED_VALUE"""),30.0)</f>
        <v>30</v>
      </c>
      <c r="L231" s="27" t="str">
        <f>IFERROR(__xludf.DUMMYFUNCTION("""COMPUTED_VALUE"""),"None")</f>
        <v>None</v>
      </c>
      <c r="M231" s="27" t="str">
        <f>IFERROR(__xludf.DUMMYFUNCTION("""COMPUTED_VALUE"""),"N")</f>
        <v>N</v>
      </c>
      <c r="N231" s="24"/>
      <c r="O231" s="24"/>
      <c r="P231" s="28" t="str">
        <f>IFERROR(__xludf.DUMMYFUNCTION("""COMPUTED_VALUE"""),"An officer working an extra job received a call of a man walking around the complex with a gun. The officer located the suspect and announced his presence. The suspect turned towards the officer with the shotgun in the ready position. In fear of his life,"&amp;" the officer discharged his firearm but missed the suspect.")</f>
        <v>An officer working an extra job received a call of a man walking around the complex with a gun. The officer located the suspect and announced his presence. The suspect turned towards the officer with the shotgun in the ready position. In fear of his life, the officer discharged his firearm but missed the suspect.</v>
      </c>
      <c r="Q231" s="24"/>
      <c r="R231" s="24"/>
      <c r="S231" s="24"/>
      <c r="T231" s="24"/>
      <c r="U231" s="24"/>
      <c r="V231" s="24"/>
      <c r="W231" s="24"/>
      <c r="X231" s="24"/>
      <c r="Y231" s="24"/>
      <c r="Z231" s="24"/>
    </row>
    <row r="232">
      <c r="A232" s="29">
        <f>IFERROR(__xludf.DUMMYFUNCTION("""COMPUTED_VALUE"""),41955.0)</f>
        <v>41955</v>
      </c>
      <c r="B232" s="24">
        <f>IFERROR(__xludf.DUMMYFUNCTION("""COMPUTED_VALUE"""),1.44326514E8)</f>
        <v>144326514</v>
      </c>
      <c r="C232" s="24" t="str">
        <f>IFERROR(__xludf.DUMMYFUNCTION("""COMPUTED_VALUE"""),"10650 HEMPSTEAD RD")</f>
        <v>10650 HEMPSTEAD RD</v>
      </c>
      <c r="D232" s="26" t="str">
        <f>IFERROR(__xludf.DUMMYFUNCTION("""COMPUTED_VALUE"""),"M")</f>
        <v>M</v>
      </c>
      <c r="E232" s="26" t="str">
        <f>IFERROR(__xludf.DUMMYFUNCTION("""COMPUTED_VALUE"""),"H")</f>
        <v>H</v>
      </c>
      <c r="F232" s="26">
        <f>IFERROR(__xludf.DUMMYFUNCTION("""COMPUTED_VALUE"""),26.0)</f>
        <v>26</v>
      </c>
      <c r="G232" s="26" t="str">
        <f>IFERROR(__xludf.DUMMYFUNCTION("""COMPUTED_VALUE"""),"None")</f>
        <v>None</v>
      </c>
      <c r="H232" s="26" t="str">
        <f>IFERROR(__xludf.DUMMYFUNCTION("""COMPUTED_VALUE"""),"Firearm")</f>
        <v>Firearm</v>
      </c>
      <c r="I232" s="27" t="str">
        <f>IFERROR(__xludf.DUMMYFUNCTION("""COMPUTED_VALUE"""),"M")</f>
        <v>M</v>
      </c>
      <c r="J232" s="27" t="str">
        <f>IFERROR(__xludf.DUMMYFUNCTION("""COMPUTED_VALUE"""),"W")</f>
        <v>W</v>
      </c>
      <c r="K232" s="27">
        <f>IFERROR(__xludf.DUMMYFUNCTION("""COMPUTED_VALUE"""),46.0)</f>
        <v>46</v>
      </c>
      <c r="L232" s="27" t="str">
        <f>IFERROR(__xludf.DUMMYFUNCTION("""COMPUTED_VALUE"""),"None")</f>
        <v>None</v>
      </c>
      <c r="M232" s="27" t="str">
        <f>IFERROR(__xludf.DUMMYFUNCTION("""COMPUTED_VALUE"""),"Y")</f>
        <v>Y</v>
      </c>
      <c r="N232" s="24"/>
      <c r="O232" s="24"/>
      <c r="P232" s="28" t="str">
        <f>IFERROR(__xludf.DUMMYFUNCTION("""COMPUTED_VALUE"""),"Officer was working an investigation and trying to get a suspect into custody. During the struggle , the suspect fired several rounds at officer and officer returned fire. The suspect then stole the patrol vehicle and left the location. The suspect crashe"&amp;"d the patrol vehicle into a tree and was later taken into custody.")</f>
        <v>Officer was working an investigation and trying to get a suspect into custody. During the struggle , the suspect fired several rounds at officer and officer returned fire. The suspect then stole the patrol vehicle and left the location. The suspect crashed the patrol vehicle into a tree and was later taken into custody.</v>
      </c>
      <c r="Q232" s="24"/>
      <c r="R232" s="24"/>
      <c r="S232" s="24"/>
      <c r="T232" s="24"/>
      <c r="U232" s="24"/>
      <c r="V232" s="24"/>
      <c r="W232" s="24"/>
      <c r="X232" s="24"/>
      <c r="Y232" s="24"/>
      <c r="Z232" s="24"/>
    </row>
    <row r="233" hidden="1">
      <c r="A233" s="29">
        <f>IFERROR(__xludf.DUMMYFUNCTION("""COMPUTED_VALUE"""),41934.0)</f>
        <v>41934</v>
      </c>
      <c r="B233" s="24">
        <f>IFERROR(__xludf.DUMMYFUNCTION("""COMPUTED_VALUE"""),1.34580514E8)</f>
        <v>134580514</v>
      </c>
      <c r="C233" s="24" t="str">
        <f>IFERROR(__xludf.DUMMYFUNCTION("""COMPUTED_VALUE"""),"3100 F.M. 1960")</f>
        <v>3100 F.M. 1960</v>
      </c>
      <c r="D233" s="26" t="str">
        <f>IFERROR(__xludf.DUMMYFUNCTION("""COMPUTED_VALUE"""),"M")</f>
        <v>M</v>
      </c>
      <c r="E233" s="26" t="str">
        <f>IFERROR(__xludf.DUMMYFUNCTION("""COMPUTED_VALUE"""),"B")</f>
        <v>B</v>
      </c>
      <c r="F233" s="26">
        <f>IFERROR(__xludf.DUMMYFUNCTION("""COMPUTED_VALUE"""),34.0)</f>
        <v>34</v>
      </c>
      <c r="G233" s="26" t="str">
        <f>IFERROR(__xludf.DUMMYFUNCTION("""COMPUTED_VALUE"""),"Wounded")</f>
        <v>Wounded</v>
      </c>
      <c r="H233" s="26" t="str">
        <f>IFERROR(__xludf.DUMMYFUNCTION("""COMPUTED_VALUE"""),"Firearm")</f>
        <v>Firearm</v>
      </c>
      <c r="I233" s="27" t="str">
        <f>IFERROR(__xludf.DUMMYFUNCTION("""COMPUTED_VALUE"""),"M")</f>
        <v>M</v>
      </c>
      <c r="J233" s="27" t="str">
        <f>IFERROR(__xludf.DUMMYFUNCTION("""COMPUTED_VALUE"""),"W")</f>
        <v>W</v>
      </c>
      <c r="K233" s="27">
        <f>IFERROR(__xludf.DUMMYFUNCTION("""COMPUTED_VALUE"""),45.0)</f>
        <v>45</v>
      </c>
      <c r="L233" s="27" t="str">
        <f>IFERROR(__xludf.DUMMYFUNCTION("""COMPUTED_VALUE"""),"None")</f>
        <v>None</v>
      </c>
      <c r="M233" s="27" t="str">
        <f>IFERROR(__xludf.DUMMYFUNCTION("""COMPUTED_VALUE"""),"Y")</f>
        <v>Y</v>
      </c>
      <c r="N233" s="24"/>
      <c r="O233" s="24"/>
      <c r="P233" s="28" t="str">
        <f>IFERROR(__xludf.DUMMYFUNCTION("""COMPUTED_VALUE"""),"An on-duty, plain clothes HPD officer on-viewed a robbery. The officer intervened and discharged his firearm at the suspect. All three suspects left the location in a vehicle. It was learned later that one of the suspects was injured by one of the gunshot"&amp;"s.")</f>
        <v>An on-duty, plain clothes HPD officer on-viewed a robbery. The officer intervened and discharged his firearm at the suspect. All three suspects left the location in a vehicle. It was learned later that one of the suspects was injured by one of the gunshots.</v>
      </c>
      <c r="Q233" s="24"/>
      <c r="R233" s="24"/>
      <c r="S233" s="24"/>
      <c r="T233" s="24"/>
      <c r="U233" s="24"/>
      <c r="V233" s="24"/>
      <c r="W233" s="24"/>
      <c r="X233" s="24"/>
      <c r="Y233" s="24"/>
      <c r="Z233" s="24"/>
    </row>
    <row r="234">
      <c r="A234" s="29">
        <f>IFERROR(__xludf.DUMMYFUNCTION("""COMPUTED_VALUE"""),41930.0)</f>
        <v>41930</v>
      </c>
      <c r="B234" s="24">
        <f>IFERROR(__xludf.DUMMYFUNCTION("""COMPUTED_VALUE"""),1.32565014E8)</f>
        <v>132565014</v>
      </c>
      <c r="C234" s="24" t="str">
        <f>IFERROR(__xludf.DUMMYFUNCTION("""COMPUTED_VALUE"""),"4000 AIRLINE DR")</f>
        <v>4000 AIRLINE DR</v>
      </c>
      <c r="D234" s="26" t="str">
        <f>IFERROR(__xludf.DUMMYFUNCTION("""COMPUTED_VALUE"""),"M")</f>
        <v>M</v>
      </c>
      <c r="E234" s="26" t="str">
        <f>IFERROR(__xludf.DUMMYFUNCTION("""COMPUTED_VALUE"""),"W")</f>
        <v>W</v>
      </c>
      <c r="F234" s="26">
        <f>IFERROR(__xludf.DUMMYFUNCTION("""COMPUTED_VALUE"""),55.0)</f>
        <v>55</v>
      </c>
      <c r="G234" s="26" t="str">
        <f>IFERROR(__xludf.DUMMYFUNCTION("""COMPUTED_VALUE"""),"None")</f>
        <v>None</v>
      </c>
      <c r="H234" s="26" t="str">
        <f>IFERROR(__xludf.DUMMYFUNCTION("""COMPUTED_VALUE"""),"Vehicle")</f>
        <v>Vehicle</v>
      </c>
      <c r="I234" s="27" t="str">
        <f>IFERROR(__xludf.DUMMYFUNCTION("""COMPUTED_VALUE"""),"M")</f>
        <v>M</v>
      </c>
      <c r="J234" s="27" t="str">
        <f>IFERROR(__xludf.DUMMYFUNCTION("""COMPUTED_VALUE"""),"B")</f>
        <v>B</v>
      </c>
      <c r="K234" s="27">
        <f>IFERROR(__xludf.DUMMYFUNCTION("""COMPUTED_VALUE"""),39.0)</f>
        <v>39</v>
      </c>
      <c r="L234" s="27" t="str">
        <f>IFERROR(__xludf.DUMMYFUNCTION("""COMPUTED_VALUE"""),"None")</f>
        <v>None</v>
      </c>
      <c r="M234" s="27" t="str">
        <f>IFERROR(__xludf.DUMMYFUNCTION("""COMPUTED_VALUE"""),"Y")</f>
        <v>Y</v>
      </c>
      <c r="N234" s="24"/>
      <c r="O234" s="24"/>
      <c r="P234" s="28" t="str">
        <f>IFERROR(__xludf.DUMMYFUNCTION("""COMPUTED_VALUE"""),"Officers attempted to perform a felony stop with their weapons drawn when the suspect placed the vehicle in reverse and backed toward the officers. One officer discharged his weapon but the suspect sped away. The suspect's vehicle came to a stop and he ra"&amp;"n away on foot. No arrests made at this time.")</f>
        <v>Officers attempted to perform a felony stop with their weapons drawn when the suspect placed the vehicle in reverse and backed toward the officers. One officer discharged his weapon but the suspect sped away. The suspect's vehicle came to a stop and he ran away on foot. No arrests made at this time.</v>
      </c>
      <c r="Q234" s="24"/>
      <c r="R234" s="24"/>
      <c r="S234" s="24"/>
      <c r="T234" s="24"/>
      <c r="U234" s="24"/>
      <c r="V234" s="24"/>
      <c r="W234" s="24"/>
      <c r="X234" s="24"/>
      <c r="Y234" s="24"/>
      <c r="Z234" s="24"/>
    </row>
    <row r="235" hidden="1">
      <c r="A235" s="29">
        <f>IFERROR(__xludf.DUMMYFUNCTION("""COMPUTED_VALUE"""),41924.0)</f>
        <v>41924</v>
      </c>
      <c r="B235" s="24">
        <f>IFERROR(__xludf.DUMMYFUNCTION("""COMPUTED_VALUE"""),1.30116114E8)</f>
        <v>130116114</v>
      </c>
      <c r="C235" s="24" t="str">
        <f>IFERROR(__xludf.DUMMYFUNCTION("""COMPUTED_VALUE"""),"1100 OLIVER")</f>
        <v>1100 OLIVER</v>
      </c>
      <c r="D235" s="26" t="str">
        <f>IFERROR(__xludf.DUMMYFUNCTION("""COMPUTED_VALUE"""),"M")</f>
        <v>M</v>
      </c>
      <c r="E235" s="26" t="str">
        <f>IFERROR(__xludf.DUMMYFUNCTION("""COMPUTED_VALUE"""),"H")</f>
        <v>H</v>
      </c>
      <c r="F235" s="26">
        <f>IFERROR(__xludf.DUMMYFUNCTION("""COMPUTED_VALUE"""),31.0)</f>
        <v>31</v>
      </c>
      <c r="G235" s="26" t="str">
        <f>IFERROR(__xludf.DUMMYFUNCTION("""COMPUTED_VALUE"""),"Wounded")</f>
        <v>Wounded</v>
      </c>
      <c r="H235" s="26" t="str">
        <f>IFERROR(__xludf.DUMMYFUNCTION("""COMPUTED_VALUE"""),"Vehicle")</f>
        <v>Vehicle</v>
      </c>
      <c r="I235" s="27" t="str">
        <f>IFERROR(__xludf.DUMMYFUNCTION("""COMPUTED_VALUE"""),"M")</f>
        <v>M</v>
      </c>
      <c r="J235" s="27" t="str">
        <f>IFERROR(__xludf.DUMMYFUNCTION("""COMPUTED_VALUE"""),"B")</f>
        <v>B</v>
      </c>
      <c r="K235" s="27">
        <f>IFERROR(__xludf.DUMMYFUNCTION("""COMPUTED_VALUE"""),43.0)</f>
        <v>43</v>
      </c>
      <c r="L235" s="27" t="str">
        <f>IFERROR(__xludf.DUMMYFUNCTION("""COMPUTED_VALUE"""),"None")</f>
        <v>None</v>
      </c>
      <c r="M235" s="27" t="str">
        <f>IFERROR(__xludf.DUMMYFUNCTION("""COMPUTED_VALUE"""),"N")</f>
        <v>N</v>
      </c>
      <c r="N235" s="24"/>
      <c r="O235" s="24"/>
      <c r="P235" s="28" t="str">
        <f>IFERROR(__xludf.DUMMYFUNCTION("""COMPUTED_VALUE"""),"Two officers working extra jobs caught two male robbery suspects who were fleeing. The suspects jumped in their truck and attempted to drive over the officer. Both officers fired and struck the suspects injuring them. Both suspects were arrested and charg"&amp;"ed.")</f>
        <v>Two officers working extra jobs caught two male robbery suspects who were fleeing. The suspects jumped in their truck and attempted to drive over the officer. Both officers fired and struck the suspects injuring them. Both suspects were arrested and charged.</v>
      </c>
      <c r="Q235" s="24"/>
      <c r="R235" s="24"/>
      <c r="S235" s="24"/>
      <c r="T235" s="24"/>
      <c r="U235" s="24"/>
      <c r="V235" s="24"/>
      <c r="W235" s="24"/>
      <c r="X235" s="24"/>
      <c r="Y235" s="24"/>
      <c r="Z235" s="24"/>
    </row>
    <row r="236" hidden="1">
      <c r="A236" s="29"/>
      <c r="B236" s="24"/>
      <c r="C236" s="24"/>
      <c r="D236" s="26" t="str">
        <f>IFERROR(__xludf.DUMMYFUNCTION("""COMPUTED_VALUE"""),"M")</f>
        <v>M</v>
      </c>
      <c r="E236" s="26" t="str">
        <f>IFERROR(__xludf.DUMMYFUNCTION("""COMPUTED_VALUE"""),"W")</f>
        <v>W</v>
      </c>
      <c r="F236" s="26">
        <f>IFERROR(__xludf.DUMMYFUNCTION("""COMPUTED_VALUE"""),36.0)</f>
        <v>36</v>
      </c>
      <c r="G236" s="26" t="str">
        <f>IFERROR(__xludf.DUMMYFUNCTION("""COMPUTED_VALUE"""),"Wounded")</f>
        <v>Wounded</v>
      </c>
      <c r="H236" s="26" t="str">
        <f>IFERROR(__xludf.DUMMYFUNCTION("""COMPUTED_VALUE"""),"Vehicle")</f>
        <v>Vehicle</v>
      </c>
      <c r="I236" s="27" t="str">
        <f>IFERROR(__xludf.DUMMYFUNCTION("""COMPUTED_VALUE"""),"M")</f>
        <v>M</v>
      </c>
      <c r="J236" s="27" t="str">
        <f>IFERROR(__xludf.DUMMYFUNCTION("""COMPUTED_VALUE"""),"W")</f>
        <v>W</v>
      </c>
      <c r="K236" s="27">
        <f>IFERROR(__xludf.DUMMYFUNCTION("""COMPUTED_VALUE"""),45.0)</f>
        <v>45</v>
      </c>
      <c r="L236" s="27" t="str">
        <f>IFERROR(__xludf.DUMMYFUNCTION("""COMPUTED_VALUE"""),"None")</f>
        <v>None</v>
      </c>
      <c r="M236" s="27" t="str">
        <f>IFERROR(__xludf.DUMMYFUNCTION("""COMPUTED_VALUE"""),"N")</f>
        <v>N</v>
      </c>
      <c r="N236" s="24"/>
      <c r="O236" s="24"/>
      <c r="P236" s="28"/>
      <c r="Q236" s="24"/>
      <c r="R236" s="24"/>
      <c r="S236" s="24"/>
      <c r="T236" s="24"/>
      <c r="U236" s="24"/>
      <c r="V236" s="24"/>
      <c r="W236" s="24"/>
      <c r="X236" s="24"/>
      <c r="Y236" s="24"/>
      <c r="Z236" s="24"/>
    </row>
    <row r="237" hidden="1">
      <c r="A237" s="29">
        <f>IFERROR(__xludf.DUMMYFUNCTION("""COMPUTED_VALUE"""),41918.0)</f>
        <v>41918</v>
      </c>
      <c r="B237" s="24">
        <f>IFERROR(__xludf.DUMMYFUNCTION("""COMPUTED_VALUE"""),1.27340314E8)</f>
        <v>127340314</v>
      </c>
      <c r="C237" s="24" t="str">
        <f>IFERROR(__xludf.DUMMYFUNCTION("""COMPUTED_VALUE"""),"6790 SOUTHWEST FWY OB")</f>
        <v>6790 SOUTHWEST FWY OB</v>
      </c>
      <c r="D237" s="26" t="str">
        <f>IFERROR(__xludf.DUMMYFUNCTION("""COMPUTED_VALUE"""),"M")</f>
        <v>M</v>
      </c>
      <c r="E237" s="26" t="str">
        <f>IFERROR(__xludf.DUMMYFUNCTION("""COMPUTED_VALUE"""),"H")</f>
        <v>H</v>
      </c>
      <c r="F237" s="26">
        <f>IFERROR(__xludf.DUMMYFUNCTION("""COMPUTED_VALUE"""),36.0)</f>
        <v>36</v>
      </c>
      <c r="G237" s="26" t="str">
        <f>IFERROR(__xludf.DUMMYFUNCTION("""COMPUTED_VALUE"""),"Killed")</f>
        <v>Killed</v>
      </c>
      <c r="H237" s="26" t="str">
        <f>IFERROR(__xludf.DUMMYFUNCTION("""COMPUTED_VALUE"""),"Firearm")</f>
        <v>Firearm</v>
      </c>
      <c r="I237" s="27" t="str">
        <f>IFERROR(__xludf.DUMMYFUNCTION("""COMPUTED_VALUE"""),"M")</f>
        <v>M</v>
      </c>
      <c r="J237" s="27" t="str">
        <f>IFERROR(__xludf.DUMMYFUNCTION("""COMPUTED_VALUE"""),"B")</f>
        <v>B</v>
      </c>
      <c r="K237" s="27">
        <f>IFERROR(__xludf.DUMMYFUNCTION("""COMPUTED_VALUE"""),42.0)</f>
        <v>42</v>
      </c>
      <c r="L237" s="27" t="str">
        <f>IFERROR(__xludf.DUMMYFUNCTION("""COMPUTED_VALUE"""),"None")</f>
        <v>None</v>
      </c>
      <c r="M237" s="27" t="str">
        <f>IFERROR(__xludf.DUMMYFUNCTION("""COMPUTED_VALUE"""),"Y")</f>
        <v>Y</v>
      </c>
      <c r="N237" s="24"/>
      <c r="O237" s="24"/>
      <c r="P237" s="24" t="str">
        <f>IFERROR(__xludf.DUMMYFUNCTION("""COMPUTED_VALUE"""),"The suspect forced a female at gun point to return to her vehicle and drive to a known location. The suspect barricaded himself and the complainant into the vehicle and would not come out. After HPD SWAT arrived, the suspect exited the vehicle with a weap"&amp;"on and was shot and killed by two officers.")</f>
        <v>The suspect forced a female at gun point to return to her vehicle and drive to a known location. The suspect barricaded himself and the complainant into the vehicle and would not come out. After HPD SWAT arrived, the suspect exited the vehicle with a weapon and was shot and killed by two officers.</v>
      </c>
      <c r="Q237" s="24"/>
      <c r="R237" s="24"/>
      <c r="S237" s="24"/>
      <c r="T237" s="24"/>
      <c r="U237" s="24"/>
      <c r="V237" s="24"/>
      <c r="W237" s="24"/>
      <c r="X237" s="24"/>
      <c r="Y237" s="24"/>
      <c r="Z237" s="24"/>
    </row>
    <row r="238" hidden="1">
      <c r="A238" s="29"/>
      <c r="B238" s="24"/>
      <c r="C238" s="24"/>
      <c r="D238" s="26"/>
      <c r="E238" s="26"/>
      <c r="F238" s="26"/>
      <c r="G238" s="26"/>
      <c r="H238" s="26"/>
      <c r="I238" s="27" t="str">
        <f>IFERROR(__xludf.DUMMYFUNCTION("""COMPUTED_VALUE"""),"M")</f>
        <v>M</v>
      </c>
      <c r="J238" s="27" t="str">
        <f>IFERROR(__xludf.DUMMYFUNCTION("""COMPUTED_VALUE"""),"W")</f>
        <v>W</v>
      </c>
      <c r="K238" s="27">
        <f>IFERROR(__xludf.DUMMYFUNCTION("""COMPUTED_VALUE"""),46.0)</f>
        <v>46</v>
      </c>
      <c r="L238" s="27" t="str">
        <f>IFERROR(__xludf.DUMMYFUNCTION("""COMPUTED_VALUE"""),"None")</f>
        <v>None</v>
      </c>
      <c r="M238" s="27" t="str">
        <f>IFERROR(__xludf.DUMMYFUNCTION("""COMPUTED_VALUE"""),"Y")</f>
        <v>Y</v>
      </c>
      <c r="N238" s="24"/>
      <c r="O238" s="24"/>
      <c r="P238" s="24"/>
      <c r="Q238" s="24"/>
      <c r="R238" s="24"/>
      <c r="S238" s="24"/>
      <c r="T238" s="24"/>
      <c r="U238" s="24"/>
      <c r="V238" s="24"/>
      <c r="W238" s="24"/>
      <c r="X238" s="24"/>
      <c r="Y238" s="24"/>
      <c r="Z238" s="24"/>
    </row>
    <row r="239" hidden="1">
      <c r="A239" s="29">
        <f>IFERROR(__xludf.DUMMYFUNCTION("""COMPUTED_VALUE"""),41913.0)</f>
        <v>41913</v>
      </c>
      <c r="B239" s="24">
        <f>IFERROR(__xludf.DUMMYFUNCTION("""COMPUTED_VALUE"""),1.24567814E8)</f>
        <v>124567814</v>
      </c>
      <c r="C239" s="24" t="str">
        <f>IFERROR(__xludf.DUMMYFUNCTION("""COMPUTED_VALUE"""),"11703 KIRKMEADOW DR")</f>
        <v>11703 KIRKMEADOW DR</v>
      </c>
      <c r="D239" s="26" t="str">
        <f>IFERROR(__xludf.DUMMYFUNCTION("""COMPUTED_VALUE"""),"M")</f>
        <v>M</v>
      </c>
      <c r="E239" s="26" t="str">
        <f>IFERROR(__xludf.DUMMYFUNCTION("""COMPUTED_VALUE"""),"W")</f>
        <v>W</v>
      </c>
      <c r="F239" s="26">
        <f>IFERROR(__xludf.DUMMYFUNCTION("""COMPUTED_VALUE"""),34.0)</f>
        <v>34</v>
      </c>
      <c r="G239" s="26" t="str">
        <f>IFERROR(__xludf.DUMMYFUNCTION("""COMPUTED_VALUE"""),"Killed")</f>
        <v>Killed</v>
      </c>
      <c r="H239" s="26" t="str">
        <f>IFERROR(__xludf.DUMMYFUNCTION("""COMPUTED_VALUE"""),"Firearm")</f>
        <v>Firearm</v>
      </c>
      <c r="I239" s="27" t="str">
        <f>IFERROR(__xludf.DUMMYFUNCTION("""COMPUTED_VALUE"""),"M")</f>
        <v>M</v>
      </c>
      <c r="J239" s="27" t="str">
        <f>IFERROR(__xludf.DUMMYFUNCTION("""COMPUTED_VALUE"""),"W")</f>
        <v>W</v>
      </c>
      <c r="K239" s="27">
        <f>IFERROR(__xludf.DUMMYFUNCTION("""COMPUTED_VALUE"""),43.0)</f>
        <v>43</v>
      </c>
      <c r="L239" s="27" t="str">
        <f>IFERROR(__xludf.DUMMYFUNCTION("""COMPUTED_VALUE"""),"None")</f>
        <v>None</v>
      </c>
      <c r="M239" s="27" t="str">
        <f>IFERROR(__xludf.DUMMYFUNCTION("""COMPUTED_VALUE"""),"Y")</f>
        <v>Y</v>
      </c>
      <c r="N239" s="24"/>
      <c r="O239" s="24"/>
      <c r="P239" s="24" t="str">
        <f>IFERROR(__xludf.DUMMYFUNCTION("""COMPUTED_VALUE"""),"The Liverpool Police Department pursued a suspect into the City of Pearland and then Houston which triggered a response by HPD officers. The suspect bailed out of his vehicle with a shotgun. An HPD officer dischared his duty weapon, killing the suspect. N"&amp;"o officers were injured.")</f>
        <v>The Liverpool Police Department pursued a suspect into the City of Pearland and then Houston which triggered a response by HPD officers. The suspect bailed out of his vehicle with a shotgun. An HPD officer dischared his duty weapon, killing the suspect. No officers were injured.</v>
      </c>
      <c r="Q239" s="24"/>
      <c r="R239" s="24"/>
      <c r="S239" s="24"/>
      <c r="T239" s="24"/>
      <c r="U239" s="24"/>
      <c r="V239" s="24"/>
      <c r="W239" s="24"/>
      <c r="X239" s="24"/>
      <c r="Y239" s="24"/>
      <c r="Z239" s="24"/>
    </row>
    <row r="240" hidden="1">
      <c r="A240" s="29">
        <f>IFERROR(__xludf.DUMMYFUNCTION("""COMPUTED_VALUE"""),41912.0)</f>
        <v>41912</v>
      </c>
      <c r="B240" s="24">
        <f>IFERROR(__xludf.DUMMYFUNCTION("""COMPUTED_VALUE"""),1.24142914E8)</f>
        <v>124142914</v>
      </c>
      <c r="C240" s="24" t="str">
        <f>IFERROR(__xludf.DUMMYFUNCTION("""COMPUTED_VALUE"""),"19210 GULF FWY OB")</f>
        <v>19210 GULF FWY OB</v>
      </c>
      <c r="D240" s="26" t="str">
        <f>IFERROR(__xludf.DUMMYFUNCTION("""COMPUTED_VALUE"""),"M")</f>
        <v>M</v>
      </c>
      <c r="E240" s="26" t="str">
        <f>IFERROR(__xludf.DUMMYFUNCTION("""COMPUTED_VALUE"""),"W")</f>
        <v>W</v>
      </c>
      <c r="F240" s="26">
        <f>IFERROR(__xludf.DUMMYFUNCTION("""COMPUTED_VALUE"""),32.0)</f>
        <v>32</v>
      </c>
      <c r="G240" s="26" t="str">
        <f>IFERROR(__xludf.DUMMYFUNCTION("""COMPUTED_VALUE"""),"Killed")</f>
        <v>Killed</v>
      </c>
      <c r="H240" s="26" t="str">
        <f>IFERROR(__xludf.DUMMYFUNCTION("""COMPUTED_VALUE"""),"Firearm")</f>
        <v>Firearm</v>
      </c>
      <c r="I240" s="27" t="str">
        <f>IFERROR(__xludf.DUMMYFUNCTION("""COMPUTED_VALUE"""),"M")</f>
        <v>M</v>
      </c>
      <c r="J240" s="27" t="str">
        <f>IFERROR(__xludf.DUMMYFUNCTION("""COMPUTED_VALUE"""),"H")</f>
        <v>H</v>
      </c>
      <c r="K240" s="27">
        <f>IFERROR(__xludf.DUMMYFUNCTION("""COMPUTED_VALUE"""),31.0)</f>
        <v>31</v>
      </c>
      <c r="L240" s="27" t="str">
        <f>IFERROR(__xludf.DUMMYFUNCTION("""COMPUTED_VALUE"""),"Wounded")</f>
        <v>Wounded</v>
      </c>
      <c r="M240" s="27" t="str">
        <f>IFERROR(__xludf.DUMMYFUNCTION("""COMPUTED_VALUE"""),"Y")</f>
        <v>Y</v>
      </c>
      <c r="N240" s="24"/>
      <c r="O240" s="24"/>
      <c r="P240" s="24" t="str">
        <f>IFERROR(__xludf.DUMMYFUNCTION("""COMPUTED_VALUE"""),"The suspect was stopped on traffic. The suspect produced a weapon and fired at officer. The officer and suspect began struggling over the gun. The officer's partner commanded the suspect to drop the weapon but refused. In fear of officer's live, officer d"&amp;"ischarged his weapon and killed the suspect.")</f>
        <v>The suspect was stopped on traffic. The suspect produced a weapon and fired at officer. The officer and suspect began struggling over the gun. The officer's partner commanded the suspect to drop the weapon but refused. In fear of officer's live, officer discharged his weapon and killed the suspect.</v>
      </c>
      <c r="Q240" s="24"/>
      <c r="R240" s="24"/>
      <c r="S240" s="24"/>
      <c r="T240" s="24"/>
      <c r="U240" s="24"/>
      <c r="V240" s="24"/>
      <c r="W240" s="24"/>
      <c r="X240" s="24"/>
      <c r="Y240" s="24"/>
      <c r="Z240" s="24"/>
    </row>
    <row r="241" hidden="1">
      <c r="A241" s="29"/>
      <c r="B241" s="24"/>
      <c r="C241" s="24"/>
      <c r="D241" s="26"/>
      <c r="E241" s="26"/>
      <c r="F241" s="26"/>
      <c r="G241" s="26"/>
      <c r="H241" s="26"/>
      <c r="I241" s="27" t="str">
        <f>IFERROR(__xludf.DUMMYFUNCTION("""COMPUTED_VALUE"""),"M")</f>
        <v>M</v>
      </c>
      <c r="J241" s="27" t="str">
        <f>IFERROR(__xludf.DUMMYFUNCTION("""COMPUTED_VALUE"""),"P")</f>
        <v>P</v>
      </c>
      <c r="K241" s="27">
        <f>IFERROR(__xludf.DUMMYFUNCTION("""COMPUTED_VALUE"""),26.0)</f>
        <v>26</v>
      </c>
      <c r="L241" s="27" t="str">
        <f>IFERROR(__xludf.DUMMYFUNCTION("""COMPUTED_VALUE"""),"None")</f>
        <v>None</v>
      </c>
      <c r="M241" s="27" t="str">
        <f>IFERROR(__xludf.DUMMYFUNCTION("""COMPUTED_VALUE"""),"Y")</f>
        <v>Y</v>
      </c>
      <c r="N241" s="24"/>
      <c r="O241" s="24"/>
      <c r="P241" s="24"/>
      <c r="Q241" s="24"/>
      <c r="R241" s="24"/>
      <c r="S241" s="24"/>
      <c r="T241" s="24"/>
      <c r="U241" s="24"/>
      <c r="V241" s="24"/>
      <c r="W241" s="24"/>
      <c r="X241" s="24"/>
      <c r="Y241" s="24"/>
      <c r="Z241" s="24"/>
    </row>
    <row r="242" hidden="1">
      <c r="A242" s="29">
        <f>IFERROR(__xludf.DUMMYFUNCTION("""COMPUTED_VALUE"""),41905.0)</f>
        <v>41905</v>
      </c>
      <c r="B242" s="24">
        <f>IFERROR(__xludf.DUMMYFUNCTION("""COMPUTED_VALUE"""),1.20847114E8)</f>
        <v>120847114</v>
      </c>
      <c r="C242" s="24" t="str">
        <f>IFERROR(__xludf.DUMMYFUNCTION("""COMPUTED_VALUE"""),"4830 HOLLOWAY DR")</f>
        <v>4830 HOLLOWAY DR</v>
      </c>
      <c r="D242" s="26" t="str">
        <f>IFERROR(__xludf.DUMMYFUNCTION("""COMPUTED_VALUE"""),"M")</f>
        <v>M</v>
      </c>
      <c r="E242" s="26" t="str">
        <f>IFERROR(__xludf.DUMMYFUNCTION("""COMPUTED_VALUE"""),"B")</f>
        <v>B</v>
      </c>
      <c r="F242" s="26">
        <f>IFERROR(__xludf.DUMMYFUNCTION("""COMPUTED_VALUE"""),25.0)</f>
        <v>25</v>
      </c>
      <c r="G242" s="26" t="str">
        <f>IFERROR(__xludf.DUMMYFUNCTION("""COMPUTED_VALUE"""),"Wounded")</f>
        <v>Wounded</v>
      </c>
      <c r="H242" s="26" t="str">
        <f>IFERROR(__xludf.DUMMYFUNCTION("""COMPUTED_VALUE"""),"Vehicle")</f>
        <v>Vehicle</v>
      </c>
      <c r="I242" s="27" t="str">
        <f>IFERROR(__xludf.DUMMYFUNCTION("""COMPUTED_VALUE"""),"M")</f>
        <v>M</v>
      </c>
      <c r="J242" s="27" t="str">
        <f>IFERROR(__xludf.DUMMYFUNCTION("""COMPUTED_VALUE"""),"W")</f>
        <v>W</v>
      </c>
      <c r="K242" s="27">
        <f>IFERROR(__xludf.DUMMYFUNCTION("""COMPUTED_VALUE"""),28.0)</f>
        <v>28</v>
      </c>
      <c r="L242" s="27" t="str">
        <f>IFERROR(__xludf.DUMMYFUNCTION("""COMPUTED_VALUE"""),"None")</f>
        <v>None</v>
      </c>
      <c r="M242" s="27" t="str">
        <f>IFERROR(__xludf.DUMMYFUNCTION("""COMPUTED_VALUE"""),"Y")</f>
        <v>Y</v>
      </c>
      <c r="N242" s="24"/>
      <c r="O242" s="24"/>
      <c r="P242" s="28" t="str">
        <f>IFERROR(__xludf.DUMMYFUNCTION("""COMPUTED_VALUE"""),"Officer responded to a wanted suspect being at location. Officers arrived and observed the suspect inside a vehicle. When they attempted to apprehend him, he tried to run over the officers with his vehicle. Officers discharged their duty weapons and wound"&amp;"ed him. Officers treated with minor injuries.")</f>
        <v>Officer responded to a wanted suspect being at location. Officers arrived and observed the suspect inside a vehicle. When they attempted to apprehend him, he tried to run over the officers with his vehicle. Officers discharged their duty weapons and wounded him. Officers treated with minor injuries.</v>
      </c>
      <c r="Q242" s="24"/>
      <c r="R242" s="24"/>
      <c r="S242" s="24"/>
      <c r="T242" s="24"/>
      <c r="U242" s="24"/>
      <c r="V242" s="24"/>
      <c r="W242" s="24"/>
      <c r="X242" s="24"/>
      <c r="Y242" s="24"/>
      <c r="Z242" s="24"/>
    </row>
    <row r="243" hidden="1">
      <c r="A243" s="29"/>
      <c r="B243" s="24"/>
      <c r="C243" s="24"/>
      <c r="D243" s="26"/>
      <c r="E243" s="26"/>
      <c r="F243" s="26"/>
      <c r="G243" s="26"/>
      <c r="H243" s="26" t="str">
        <f>IFERROR(__xludf.DUMMYFUNCTION("""COMPUTED_VALUE"""),"Vehicle")</f>
        <v>Vehicle</v>
      </c>
      <c r="I243" s="27" t="str">
        <f>IFERROR(__xludf.DUMMYFUNCTION("""COMPUTED_VALUE"""),"M")</f>
        <v>M</v>
      </c>
      <c r="J243" s="27" t="str">
        <f>IFERROR(__xludf.DUMMYFUNCTION("""COMPUTED_VALUE"""),"W")</f>
        <v>W</v>
      </c>
      <c r="K243" s="27">
        <f>IFERROR(__xludf.DUMMYFUNCTION("""COMPUTED_VALUE"""),30.0)</f>
        <v>30</v>
      </c>
      <c r="L243" s="27" t="str">
        <f>IFERROR(__xludf.DUMMYFUNCTION("""COMPUTED_VALUE"""),"None")</f>
        <v>None</v>
      </c>
      <c r="M243" s="27" t="str">
        <f>IFERROR(__xludf.DUMMYFUNCTION("""COMPUTED_VALUE"""),"Y")</f>
        <v>Y</v>
      </c>
      <c r="N243" s="24"/>
      <c r="O243" s="24"/>
      <c r="P243" s="24"/>
      <c r="Q243" s="24"/>
      <c r="R243" s="24"/>
      <c r="S243" s="24"/>
      <c r="T243" s="24"/>
      <c r="U243" s="24"/>
      <c r="V243" s="24"/>
      <c r="W243" s="24"/>
      <c r="X243" s="24"/>
      <c r="Y243" s="24"/>
      <c r="Z243" s="24"/>
    </row>
    <row r="244" hidden="1">
      <c r="A244" s="29">
        <f>IFERROR(__xludf.DUMMYFUNCTION("""COMPUTED_VALUE"""),41899.0)</f>
        <v>41899</v>
      </c>
      <c r="B244" s="24">
        <f>IFERROR(__xludf.DUMMYFUNCTION("""COMPUTED_VALUE"""),1.18130414E8)</f>
        <v>118130414</v>
      </c>
      <c r="C244" s="24" t="str">
        <f>IFERROR(__xludf.DUMMYFUNCTION("""COMPUTED_VALUE"""),"1903 ROSEWOOD LN")</f>
        <v>1903 ROSEWOOD LN</v>
      </c>
      <c r="D244" s="26" t="str">
        <f>IFERROR(__xludf.DUMMYFUNCTION("""COMPUTED_VALUE"""),"M")</f>
        <v>M</v>
      </c>
      <c r="E244" s="26" t="str">
        <f>IFERROR(__xludf.DUMMYFUNCTION("""COMPUTED_VALUE"""),"W")</f>
        <v>W</v>
      </c>
      <c r="F244" s="26">
        <f>IFERROR(__xludf.DUMMYFUNCTION("""COMPUTED_VALUE"""),44.0)</f>
        <v>44</v>
      </c>
      <c r="G244" s="26" t="str">
        <f>IFERROR(__xludf.DUMMYFUNCTION("""COMPUTED_VALUE"""),"Wounded")</f>
        <v>Wounded</v>
      </c>
      <c r="H244" s="26" t="str">
        <f>IFERROR(__xludf.DUMMYFUNCTION("""COMPUTED_VALUE"""),"Firearm")</f>
        <v>Firearm</v>
      </c>
      <c r="I244" s="27" t="str">
        <f>IFERROR(__xludf.DUMMYFUNCTION("""COMPUTED_VALUE"""),"M")</f>
        <v>M</v>
      </c>
      <c r="J244" s="27" t="str">
        <f>IFERROR(__xludf.DUMMYFUNCTION("""COMPUTED_VALUE"""),"W")</f>
        <v>W</v>
      </c>
      <c r="K244" s="27">
        <f>IFERROR(__xludf.DUMMYFUNCTION("""COMPUTED_VALUE"""),41.0)</f>
        <v>41</v>
      </c>
      <c r="L244" s="27" t="str">
        <f>IFERROR(__xludf.DUMMYFUNCTION("""COMPUTED_VALUE"""),"None")</f>
        <v>None</v>
      </c>
      <c r="M244" s="27" t="str">
        <f>IFERROR(__xludf.DUMMYFUNCTION("""COMPUTED_VALUE"""),"Y")</f>
        <v>Y</v>
      </c>
      <c r="N244" s="24"/>
      <c r="O244" s="24"/>
      <c r="P244" s="28" t="str">
        <f>IFERROR(__xludf.DUMMYFUNCTION("""COMPUTED_VALUE"""),"HPD Narcotics Officer executing a search warrant with DEA. Officer shot suspect 1 time in abdomen. Suspect is expected to survive in injury.")</f>
        <v>HPD Narcotics Officer executing a search warrant with DEA. Officer shot suspect 1 time in abdomen. Suspect is expected to survive in injury.</v>
      </c>
      <c r="Q244" s="24"/>
      <c r="R244" s="24"/>
      <c r="S244" s="24"/>
      <c r="T244" s="24"/>
      <c r="U244" s="24"/>
      <c r="V244" s="24"/>
      <c r="W244" s="24"/>
      <c r="X244" s="24"/>
      <c r="Y244" s="24"/>
      <c r="Z244" s="24"/>
    </row>
    <row r="245">
      <c r="A245" s="29"/>
      <c r="B245" s="24"/>
      <c r="C245" s="24"/>
      <c r="D245" s="26" t="str">
        <f>IFERROR(__xludf.DUMMYFUNCTION("""COMPUTED_VALUE"""),"F")</f>
        <v>F</v>
      </c>
      <c r="E245" s="26" t="str">
        <f>IFERROR(__xludf.DUMMYFUNCTION("""COMPUTED_VALUE"""),"W")</f>
        <v>W</v>
      </c>
      <c r="F245" s="26">
        <f>IFERROR(__xludf.DUMMYFUNCTION("""COMPUTED_VALUE"""),38.0)</f>
        <v>38</v>
      </c>
      <c r="G245" s="26" t="str">
        <f>IFERROR(__xludf.DUMMYFUNCTION("""COMPUTED_VALUE"""),"None")</f>
        <v>None</v>
      </c>
      <c r="H245" s="26" t="str">
        <f>IFERROR(__xludf.DUMMYFUNCTION("""COMPUTED_VALUE"""),"None")</f>
        <v>None</v>
      </c>
      <c r="I245" s="27"/>
      <c r="J245" s="27"/>
      <c r="K245" s="27"/>
      <c r="L245" s="27"/>
      <c r="M245" s="27"/>
      <c r="N245" s="24"/>
      <c r="O245" s="24"/>
      <c r="P245" s="28"/>
      <c r="Q245" s="24"/>
      <c r="R245" s="24"/>
      <c r="S245" s="24"/>
      <c r="T245" s="24"/>
      <c r="U245" s="24"/>
      <c r="V245" s="24"/>
      <c r="W245" s="24"/>
      <c r="X245" s="24"/>
      <c r="Y245" s="24"/>
      <c r="Z245" s="24"/>
    </row>
    <row r="246">
      <c r="A246" s="29"/>
      <c r="B246" s="24"/>
      <c r="C246" s="24"/>
      <c r="D246" s="26" t="str">
        <f>IFERROR(__xludf.DUMMYFUNCTION("""COMPUTED_VALUE"""),"M")</f>
        <v>M</v>
      </c>
      <c r="E246" s="26" t="str">
        <f>IFERROR(__xludf.DUMMYFUNCTION("""COMPUTED_VALUE"""),"W")</f>
        <v>W</v>
      </c>
      <c r="F246" s="26">
        <f>IFERROR(__xludf.DUMMYFUNCTION("""COMPUTED_VALUE"""),20.0)</f>
        <v>20</v>
      </c>
      <c r="G246" s="26" t="str">
        <f>IFERROR(__xludf.DUMMYFUNCTION("""COMPUTED_VALUE"""),"None")</f>
        <v>None</v>
      </c>
      <c r="H246" s="26" t="str">
        <f>IFERROR(__xludf.DUMMYFUNCTION("""COMPUTED_VALUE"""),"None")</f>
        <v>None</v>
      </c>
      <c r="I246" s="27"/>
      <c r="J246" s="27"/>
      <c r="K246" s="27"/>
      <c r="L246" s="27"/>
      <c r="M246" s="27"/>
      <c r="N246" s="24"/>
      <c r="O246" s="24"/>
      <c r="P246" s="28"/>
      <c r="Q246" s="24"/>
      <c r="R246" s="24"/>
      <c r="S246" s="24"/>
      <c r="T246" s="24"/>
      <c r="U246" s="24"/>
      <c r="V246" s="24"/>
      <c r="W246" s="24"/>
      <c r="X246" s="24"/>
      <c r="Y246" s="24"/>
      <c r="Z246" s="24"/>
    </row>
    <row r="247" hidden="1">
      <c r="A247" s="29">
        <f>IFERROR(__xludf.DUMMYFUNCTION("""COMPUTED_VALUE"""),41864.0)</f>
        <v>41864</v>
      </c>
      <c r="B247" s="24">
        <f>IFERROR(__xludf.DUMMYFUNCTION("""COMPUTED_VALUE"""),1.02070914E8)</f>
        <v>102070914</v>
      </c>
      <c r="C247" s="24" t="str">
        <f>IFERROR(__xludf.DUMMYFUNCTION("""COMPUTED_VALUE"""),"11960 AIRLINE DR")</f>
        <v>11960 AIRLINE DR</v>
      </c>
      <c r="D247" s="26" t="str">
        <f>IFERROR(__xludf.DUMMYFUNCTION("""COMPUTED_VALUE"""),"M")</f>
        <v>M</v>
      </c>
      <c r="E247" s="26" t="str">
        <f>IFERROR(__xludf.DUMMYFUNCTION("""COMPUTED_VALUE"""),"H")</f>
        <v>H</v>
      </c>
      <c r="F247" s="26">
        <f>IFERROR(__xludf.DUMMYFUNCTION("""COMPUTED_VALUE"""),28.0)</f>
        <v>28</v>
      </c>
      <c r="G247" s="26" t="str">
        <f>IFERROR(__xludf.DUMMYFUNCTION("""COMPUTED_VALUE"""),"Killed")</f>
        <v>Killed</v>
      </c>
      <c r="H247" s="26" t="str">
        <f>IFERROR(__xludf.DUMMYFUNCTION("""COMPUTED_VALUE"""),"Firearm")</f>
        <v>Firearm</v>
      </c>
      <c r="I247" s="27" t="str">
        <f>IFERROR(__xludf.DUMMYFUNCTION("""COMPUTED_VALUE"""),"M")</f>
        <v>M</v>
      </c>
      <c r="J247" s="27" t="str">
        <f>IFERROR(__xludf.DUMMYFUNCTION("""COMPUTED_VALUE"""),"W")</f>
        <v>W</v>
      </c>
      <c r="K247" s="27">
        <f>IFERROR(__xludf.DUMMYFUNCTION("""COMPUTED_VALUE"""),28.0)</f>
        <v>28</v>
      </c>
      <c r="L247" s="27" t="str">
        <f>IFERROR(__xludf.DUMMYFUNCTION("""COMPUTED_VALUE"""),"Wounded")</f>
        <v>Wounded</v>
      </c>
      <c r="M247" s="27" t="str">
        <f>IFERROR(__xludf.DUMMYFUNCTION("""COMPUTED_VALUE"""),"Y")</f>
        <v>Y</v>
      </c>
      <c r="N247" s="24"/>
      <c r="O247" s="24"/>
      <c r="P247" s="24" t="str">
        <f>IFERROR(__xludf.DUMMYFUNCTION("""COMPUTED_VALUE"""),"Officers were dispatched to a suspicious persons call, arrived on scene, and located the individual. The suspect was grabbed by an officer and a struggle ensued. The suspect discharged his firearm striking the officer's vest along his left side. The wound"&amp;"ed officer shot and killed the suspect.")</f>
        <v>Officers were dispatched to a suspicious persons call, arrived on scene, and located the individual. The suspect was grabbed by an officer and a struggle ensued. The suspect discharged his firearm striking the officer's vest along his left side. The wounded officer shot and killed the suspect.</v>
      </c>
      <c r="Q247" s="24"/>
      <c r="R247" s="24"/>
      <c r="S247" s="24"/>
      <c r="T247" s="24"/>
      <c r="U247" s="24"/>
      <c r="V247" s="24"/>
      <c r="W247" s="24"/>
      <c r="X247" s="24"/>
      <c r="Y247" s="24"/>
      <c r="Z247" s="24"/>
    </row>
    <row r="248" hidden="1">
      <c r="A248" s="29">
        <f>IFERROR(__xludf.DUMMYFUNCTION("""COMPUTED_VALUE"""),41864.0)</f>
        <v>41864</v>
      </c>
      <c r="B248" s="24">
        <f>IFERROR(__xludf.DUMMYFUNCTION("""COMPUTED_VALUE"""),1.02260814E8)</f>
        <v>102260814</v>
      </c>
      <c r="C248" s="24" t="str">
        <f>IFERROR(__xludf.DUMMYFUNCTION("""COMPUTED_VALUE"""),"14700 REDBUD")</f>
        <v>14700 REDBUD</v>
      </c>
      <c r="D248" s="26" t="str">
        <f>IFERROR(__xludf.DUMMYFUNCTION("""COMPUTED_VALUE"""),"M")</f>
        <v>M</v>
      </c>
      <c r="E248" s="26" t="str">
        <f>IFERROR(__xludf.DUMMYFUNCTION("""COMPUTED_VALUE"""),"H")</f>
        <v>H</v>
      </c>
      <c r="F248" s="26">
        <f>IFERROR(__xludf.DUMMYFUNCTION("""COMPUTED_VALUE"""),40.0)</f>
        <v>40</v>
      </c>
      <c r="G248" s="26" t="str">
        <f>IFERROR(__xludf.DUMMYFUNCTION("""COMPUTED_VALUE"""),"Killed")</f>
        <v>Killed</v>
      </c>
      <c r="H248" s="26" t="str">
        <f>IFERROR(__xludf.DUMMYFUNCTION("""COMPUTED_VALUE"""),"Firearm")</f>
        <v>Firearm</v>
      </c>
      <c r="I248" s="27" t="str">
        <f>IFERROR(__xludf.DUMMYFUNCTION("""COMPUTED_VALUE"""),"M")</f>
        <v>M</v>
      </c>
      <c r="J248" s="27" t="str">
        <f>IFERROR(__xludf.DUMMYFUNCTION("""COMPUTED_VALUE"""),"W")</f>
        <v>W</v>
      </c>
      <c r="K248" s="27">
        <f>IFERROR(__xludf.DUMMYFUNCTION("""COMPUTED_VALUE"""),32.0)</f>
        <v>32</v>
      </c>
      <c r="L248" s="27" t="str">
        <f>IFERROR(__xludf.DUMMYFUNCTION("""COMPUTED_VALUE"""),"None")</f>
        <v>None</v>
      </c>
      <c r="M248" s="27" t="str">
        <f>IFERROR(__xludf.DUMMYFUNCTION("""COMPUTED_VALUE"""),"Y")</f>
        <v>Y</v>
      </c>
      <c r="N248" s="24"/>
      <c r="O248" s="24"/>
      <c r="P248" s="24" t="str">
        <f>IFERROR(__xludf.DUMMYFUNCTION("""COMPUTED_VALUE"""),"HPD officers conducted a traffic stop in Harris County that originated within the city limits of Houston. The suspect ignored officer commands, yelled obscenities, and grabbed a gun. In fear of his life, the officer shot and killed the suspect.")</f>
        <v>HPD officers conducted a traffic stop in Harris County that originated within the city limits of Houston. The suspect ignored officer commands, yelled obscenities, and grabbed a gun. In fear of his life, the officer shot and killed the suspect.</v>
      </c>
      <c r="Q248" s="24"/>
      <c r="R248" s="24"/>
      <c r="S248" s="24"/>
      <c r="T248" s="24"/>
      <c r="U248" s="24"/>
      <c r="V248" s="24"/>
      <c r="W248" s="24"/>
      <c r="X248" s="24"/>
      <c r="Y248" s="24"/>
      <c r="Z248" s="24"/>
    </row>
    <row r="249">
      <c r="A249" s="29">
        <f>IFERROR(__xludf.DUMMYFUNCTION("""COMPUTED_VALUE"""),41854.0)</f>
        <v>41854</v>
      </c>
      <c r="B249" s="24">
        <f>IFERROR(__xludf.DUMMYFUNCTION("""COMPUTED_VALUE"""),9.7245814E7)</f>
        <v>97245814</v>
      </c>
      <c r="C249" s="24" t="str">
        <f>IFERROR(__xludf.DUMMYFUNCTION("""COMPUTED_VALUE"""),"2903 FANNIN")</f>
        <v>2903 FANNIN</v>
      </c>
      <c r="D249" s="26" t="str">
        <f>IFERROR(__xludf.DUMMYFUNCTION("""COMPUTED_VALUE"""),"M")</f>
        <v>M</v>
      </c>
      <c r="E249" s="26" t="str">
        <f>IFERROR(__xludf.DUMMYFUNCTION("""COMPUTED_VALUE"""),"B")</f>
        <v>B</v>
      </c>
      <c r="F249" s="26"/>
      <c r="G249" s="26" t="str">
        <f>IFERROR(__xludf.DUMMYFUNCTION("""COMPUTED_VALUE"""),"None")</f>
        <v>None</v>
      </c>
      <c r="H249" s="26" t="str">
        <f>IFERROR(__xludf.DUMMYFUNCTION("""COMPUTED_VALUE"""),"Physical Force")</f>
        <v>Physical Force</v>
      </c>
      <c r="I249" s="27" t="str">
        <f>IFERROR(__xludf.DUMMYFUNCTION("""COMPUTED_VALUE"""),"M")</f>
        <v>M</v>
      </c>
      <c r="J249" s="27" t="str">
        <f>IFERROR(__xludf.DUMMYFUNCTION("""COMPUTED_VALUE"""),"H")</f>
        <v>H</v>
      </c>
      <c r="K249" s="27">
        <f>IFERROR(__xludf.DUMMYFUNCTION("""COMPUTED_VALUE"""),45.0)</f>
        <v>45</v>
      </c>
      <c r="L249" s="27" t="str">
        <f>IFERROR(__xludf.DUMMYFUNCTION("""COMPUTED_VALUE"""),"Wounded")</f>
        <v>Wounded</v>
      </c>
      <c r="M249" s="27" t="str">
        <f>IFERROR(__xludf.DUMMYFUNCTION("""COMPUTED_VALUE"""),"N")</f>
        <v>N</v>
      </c>
      <c r="N249" s="24"/>
      <c r="O249" s="24"/>
      <c r="P249" s="28" t="str">
        <f>IFERROR(__xludf.DUMMYFUNCTION("""COMPUTED_VALUE"""),"Officer was asked for assistance by an unknown black male. As they were walking toward a vehicle another black male joined them and both males began stringing the officer with hands and feet. Officer drew and fired weapon. Both suspects fled after dischar"&amp;"ge. No one belived to be shot.")</f>
        <v>Officer was asked for assistance by an unknown black male. As they were walking toward a vehicle another black male joined them and both males began stringing the officer with hands and feet. Officer drew and fired weapon. Both suspects fled after discharge. No one belived to be shot.</v>
      </c>
      <c r="Q249" s="24"/>
      <c r="R249" s="24"/>
      <c r="S249" s="24"/>
      <c r="T249" s="24"/>
      <c r="U249" s="24"/>
      <c r="V249" s="24"/>
      <c r="W249" s="24"/>
      <c r="X249" s="24"/>
      <c r="Y249" s="24"/>
      <c r="Z249" s="24"/>
    </row>
    <row r="250">
      <c r="A250" s="29"/>
      <c r="B250" s="24"/>
      <c r="C250" s="24"/>
      <c r="D250" s="26" t="str">
        <f>IFERROR(__xludf.DUMMYFUNCTION("""COMPUTED_VALUE"""),"M")</f>
        <v>M</v>
      </c>
      <c r="E250" s="26" t="str">
        <f>IFERROR(__xludf.DUMMYFUNCTION("""COMPUTED_VALUE"""),"B")</f>
        <v>B</v>
      </c>
      <c r="F250" s="26"/>
      <c r="G250" s="26" t="str">
        <f>IFERROR(__xludf.DUMMYFUNCTION("""COMPUTED_VALUE"""),"None")</f>
        <v>None</v>
      </c>
      <c r="H250" s="26" t="str">
        <f>IFERROR(__xludf.DUMMYFUNCTION("""COMPUTED_VALUE"""),"Physical Force")</f>
        <v>Physical Force</v>
      </c>
      <c r="I250" s="27"/>
      <c r="J250" s="27"/>
      <c r="K250" s="27"/>
      <c r="L250" s="27"/>
      <c r="M250" s="27"/>
      <c r="N250" s="24"/>
      <c r="O250" s="24"/>
      <c r="P250" s="28"/>
      <c r="Q250" s="24"/>
      <c r="R250" s="24"/>
      <c r="S250" s="24"/>
      <c r="T250" s="24"/>
      <c r="U250" s="24"/>
      <c r="V250" s="24"/>
      <c r="W250" s="24"/>
      <c r="X250" s="24"/>
      <c r="Y250" s="24"/>
      <c r="Z250" s="24"/>
    </row>
    <row r="251" hidden="1">
      <c r="A251" s="29">
        <f>IFERROR(__xludf.DUMMYFUNCTION("""COMPUTED_VALUE"""),41849.0)</f>
        <v>41849</v>
      </c>
      <c r="B251" s="24">
        <f>IFERROR(__xludf.DUMMYFUNCTION("""COMPUTED_VALUE"""),9.5144314E7)</f>
        <v>95144314</v>
      </c>
      <c r="C251" s="24" t="str">
        <f>IFERROR(__xludf.DUMMYFUNCTION("""COMPUTED_VALUE"""),"10406 AMBLEWOOD DR")</f>
        <v>10406 AMBLEWOOD DR</v>
      </c>
      <c r="D251" s="26" t="str">
        <f>IFERROR(__xludf.DUMMYFUNCTION("""COMPUTED_VALUE"""),"Juvenile")</f>
        <v>Juvenile</v>
      </c>
      <c r="E251" s="26" t="str">
        <f>IFERROR(__xludf.DUMMYFUNCTION("""COMPUTED_VALUE"""),"Juvenile")</f>
        <v>Juvenile</v>
      </c>
      <c r="F251" s="26"/>
      <c r="G251" s="26" t="str">
        <f>IFERROR(__xludf.DUMMYFUNCTION("""COMPUTED_VALUE"""),"Wounded")</f>
        <v>Wounded</v>
      </c>
      <c r="H251" s="26" t="str">
        <f>IFERROR(__xludf.DUMMYFUNCTION("""COMPUTED_VALUE"""),"None")</f>
        <v>None</v>
      </c>
      <c r="I251" s="27" t="str">
        <f>IFERROR(__xludf.DUMMYFUNCTION("""COMPUTED_VALUE"""),"M")</f>
        <v>M</v>
      </c>
      <c r="J251" s="27" t="str">
        <f>IFERROR(__xludf.DUMMYFUNCTION("""COMPUTED_VALUE"""),"H")</f>
        <v>H</v>
      </c>
      <c r="K251" s="27">
        <f>IFERROR(__xludf.DUMMYFUNCTION("""COMPUTED_VALUE"""),26.0)</f>
        <v>26</v>
      </c>
      <c r="L251" s="27" t="str">
        <f>IFERROR(__xludf.DUMMYFUNCTION("""COMPUTED_VALUE"""),"None")</f>
        <v>None</v>
      </c>
      <c r="M251" s="27" t="str">
        <f>IFERROR(__xludf.DUMMYFUNCTION("""COMPUTED_VALUE"""),"Y")</f>
        <v>Y</v>
      </c>
      <c r="N251" s="24"/>
      <c r="O251" s="24"/>
      <c r="P251" s="28" t="str">
        <f>IFERROR(__xludf.DUMMYFUNCTION("""COMPUTED_VALUE"""),"Burglary suspect fled on foot. Officer pursued suspect. The suspect reached toward waistband when officer caught the suspect. Officer discharged forearm striking the suspect in the leg")</f>
        <v>Burglary suspect fled on foot. Officer pursued suspect. The suspect reached toward waistband when officer caught the suspect. Officer discharged forearm striking the suspect in the leg</v>
      </c>
      <c r="Q251" s="24"/>
      <c r="R251" s="24"/>
      <c r="S251" s="24"/>
      <c r="T251" s="24"/>
      <c r="U251" s="24"/>
      <c r="V251" s="24"/>
      <c r="W251" s="24"/>
      <c r="X251" s="24"/>
      <c r="Y251" s="24"/>
      <c r="Z251" s="24"/>
    </row>
    <row r="252">
      <c r="A252" s="29">
        <f>IFERROR(__xludf.DUMMYFUNCTION("""COMPUTED_VALUE"""),41847.0)</f>
        <v>41847</v>
      </c>
      <c r="B252" s="24">
        <f>IFERROR(__xludf.DUMMYFUNCTION("""COMPUTED_VALUE"""),9.4268814E7)</f>
        <v>94268814</v>
      </c>
      <c r="C252" s="24" t="str">
        <f>IFERROR(__xludf.DUMMYFUNCTION("""COMPUTED_VALUE"""),"3103 Dacca Drive")</f>
        <v>3103 Dacca Drive</v>
      </c>
      <c r="D252" s="26" t="str">
        <f>IFERROR(__xludf.DUMMYFUNCTION("""COMPUTED_VALUE"""),"M")</f>
        <v>M</v>
      </c>
      <c r="E252" s="26" t="str">
        <f>IFERROR(__xludf.DUMMYFUNCTION("""COMPUTED_VALUE"""),"B")</f>
        <v>B</v>
      </c>
      <c r="F252" s="26">
        <f>IFERROR(__xludf.DUMMYFUNCTION("""COMPUTED_VALUE"""),22.0)</f>
        <v>22</v>
      </c>
      <c r="G252" s="26" t="str">
        <f>IFERROR(__xludf.DUMMYFUNCTION("""COMPUTED_VALUE"""),"None")</f>
        <v>None</v>
      </c>
      <c r="H252" s="26" t="str">
        <f>IFERROR(__xludf.DUMMYFUNCTION("""COMPUTED_VALUE"""),"None")</f>
        <v>None</v>
      </c>
      <c r="I252" s="27" t="str">
        <f>IFERROR(__xludf.DUMMYFUNCTION("""COMPUTED_VALUE"""),"M")</f>
        <v>M</v>
      </c>
      <c r="J252" s="27" t="str">
        <f>IFERROR(__xludf.DUMMYFUNCTION("""COMPUTED_VALUE"""),"B")</f>
        <v>B</v>
      </c>
      <c r="K252" s="27">
        <f>IFERROR(__xludf.DUMMYFUNCTION("""COMPUTED_VALUE"""),47.0)</f>
        <v>47</v>
      </c>
      <c r="L252" s="27" t="str">
        <f>IFERROR(__xludf.DUMMYFUNCTION("""COMPUTED_VALUE"""),"None")</f>
        <v>None</v>
      </c>
      <c r="M252" s="27" t="str">
        <f>IFERROR(__xludf.DUMMYFUNCTION("""COMPUTED_VALUE"""),"Y")</f>
        <v>Y</v>
      </c>
      <c r="N252" s="24"/>
      <c r="O252" s="24"/>
      <c r="P252" s="28" t="str">
        <f>IFERROR(__xludf.DUMMYFUNCTION("""COMPUTED_VALUE"""),"Robbery suspect hid in trash can. Officer searched area and as he lifted the lid to the trash can, the suspect jumped up from within the can. Officer discharged his weapon - did not strike suspect. Suspect was then arrested.")</f>
        <v>Robbery suspect hid in trash can. Officer searched area and as he lifted the lid to the trash can, the suspect jumped up from within the can. Officer discharged his weapon - did not strike suspect. Suspect was then arrested.</v>
      </c>
      <c r="Q252" s="24"/>
      <c r="R252" s="24"/>
      <c r="S252" s="24"/>
      <c r="T252" s="24"/>
      <c r="U252" s="24"/>
      <c r="V252" s="24"/>
      <c r="W252" s="24"/>
      <c r="X252" s="24"/>
      <c r="Y252" s="24"/>
      <c r="Z252" s="24"/>
    </row>
    <row r="253">
      <c r="A253" s="29"/>
      <c r="B253" s="24"/>
      <c r="C253" s="24"/>
      <c r="D253" s="26" t="str">
        <f>IFERROR(__xludf.DUMMYFUNCTION("""COMPUTED_VALUE"""),"M")</f>
        <v>M</v>
      </c>
      <c r="E253" s="26" t="str">
        <f>IFERROR(__xludf.DUMMYFUNCTION("""COMPUTED_VALUE"""),"B")</f>
        <v>B</v>
      </c>
      <c r="F253" s="26">
        <f>IFERROR(__xludf.DUMMYFUNCTION("""COMPUTED_VALUE"""),27.0)</f>
        <v>27</v>
      </c>
      <c r="G253" s="26" t="str">
        <f>IFERROR(__xludf.DUMMYFUNCTION("""COMPUTED_VALUE"""),"None")</f>
        <v>None</v>
      </c>
      <c r="H253" s="26" t="str">
        <f>IFERROR(__xludf.DUMMYFUNCTION("""COMPUTED_VALUE"""),"Firearm")</f>
        <v>Firearm</v>
      </c>
      <c r="I253" s="27"/>
      <c r="J253" s="27"/>
      <c r="K253" s="27"/>
      <c r="L253" s="27"/>
      <c r="M253" s="27"/>
      <c r="N253" s="24"/>
      <c r="O253" s="24"/>
      <c r="P253" s="28"/>
      <c r="Q253" s="24"/>
      <c r="R253" s="24"/>
      <c r="S253" s="24"/>
      <c r="T253" s="24"/>
      <c r="U253" s="24"/>
      <c r="V253" s="24"/>
      <c r="W253" s="24"/>
      <c r="X253" s="24"/>
      <c r="Y253" s="24"/>
      <c r="Z253" s="24"/>
    </row>
    <row r="254" hidden="1">
      <c r="A254" s="29">
        <f>IFERROR(__xludf.DUMMYFUNCTION("""COMPUTED_VALUE"""),41764.0)</f>
        <v>41764</v>
      </c>
      <c r="B254" s="24">
        <f>IFERROR(__xludf.DUMMYFUNCTION("""COMPUTED_VALUE"""),5.5474514E7)</f>
        <v>55474514</v>
      </c>
      <c r="C254" s="24" t="str">
        <f>IFERROR(__xludf.DUMMYFUNCTION("""COMPUTED_VALUE"""),"6406 BELARBOR ST")</f>
        <v>6406 BELARBOR ST</v>
      </c>
      <c r="D254" s="26" t="str">
        <f>IFERROR(__xludf.DUMMYFUNCTION("""COMPUTED_VALUE"""),"M")</f>
        <v>M</v>
      </c>
      <c r="E254" s="26" t="str">
        <f>IFERROR(__xludf.DUMMYFUNCTION("""COMPUTED_VALUE"""),"B")</f>
        <v>B</v>
      </c>
      <c r="F254" s="26">
        <f>IFERROR(__xludf.DUMMYFUNCTION("""COMPUTED_VALUE"""),34.0)</f>
        <v>34</v>
      </c>
      <c r="G254" s="26" t="str">
        <f>IFERROR(__xludf.DUMMYFUNCTION("""COMPUTED_VALUE"""),"Killed")</f>
        <v>Killed</v>
      </c>
      <c r="H254" s="26" t="str">
        <f>IFERROR(__xludf.DUMMYFUNCTION("""COMPUTED_VALUE"""),"Firearm")</f>
        <v>Firearm</v>
      </c>
      <c r="I254" s="27" t="str">
        <f>IFERROR(__xludf.DUMMYFUNCTION("""COMPUTED_VALUE"""),"M")</f>
        <v>M</v>
      </c>
      <c r="J254" s="27" t="str">
        <f>IFERROR(__xludf.DUMMYFUNCTION("""COMPUTED_VALUE"""),"W")</f>
        <v>W</v>
      </c>
      <c r="K254" s="27">
        <f>IFERROR(__xludf.DUMMYFUNCTION("""COMPUTED_VALUE"""),38.0)</f>
        <v>38</v>
      </c>
      <c r="L254" s="27" t="str">
        <f>IFERROR(__xludf.DUMMYFUNCTION("""COMPUTED_VALUE"""),"None")</f>
        <v>None</v>
      </c>
      <c r="M254" s="27" t="str">
        <f>IFERROR(__xludf.DUMMYFUNCTION("""COMPUTED_VALUE"""),"Y")</f>
        <v>Y</v>
      </c>
      <c r="N254" s="24"/>
      <c r="O254" s="24"/>
      <c r="P254" s="24" t="str">
        <f>IFERROR(__xludf.DUMMYFUNCTION("""COMPUTED_VALUE"""),"Suspect fled from the officer. Suspect was attempting to jump a fence when the officer caught up to him. The suspect turned with a weapon in his hand pointed toward the officer. THe officer discharged his weapon striking and killing the suspect.")</f>
        <v>Suspect fled from the officer. Suspect was attempting to jump a fence when the officer caught up to him. The suspect turned with a weapon in his hand pointed toward the officer. THe officer discharged his weapon striking and killing the suspect.</v>
      </c>
      <c r="Q254" s="24"/>
      <c r="R254" s="24"/>
      <c r="S254" s="24"/>
      <c r="T254" s="24"/>
      <c r="U254" s="24"/>
      <c r="V254" s="24"/>
      <c r="W254" s="24"/>
      <c r="X254" s="24"/>
      <c r="Y254" s="24"/>
      <c r="Z254" s="24"/>
    </row>
    <row r="255">
      <c r="A255" s="29"/>
      <c r="B255" s="24"/>
      <c r="C255" s="24"/>
      <c r="D255" s="26" t="str">
        <f>IFERROR(__xludf.DUMMYFUNCTION("""COMPUTED_VALUE"""),"M")</f>
        <v>M</v>
      </c>
      <c r="E255" s="26" t="str">
        <f>IFERROR(__xludf.DUMMYFUNCTION("""COMPUTED_VALUE"""),"B")</f>
        <v>B</v>
      </c>
      <c r="F255" s="26">
        <f>IFERROR(__xludf.DUMMYFUNCTION("""COMPUTED_VALUE"""),32.0)</f>
        <v>32</v>
      </c>
      <c r="G255" s="26" t="str">
        <f>IFERROR(__xludf.DUMMYFUNCTION("""COMPUTED_VALUE"""),"None")</f>
        <v>None</v>
      </c>
      <c r="H255" s="26" t="str">
        <f>IFERROR(__xludf.DUMMYFUNCTION("""COMPUTED_VALUE"""),"None")</f>
        <v>None</v>
      </c>
      <c r="I255" s="27"/>
      <c r="J255" s="27"/>
      <c r="K255" s="27"/>
      <c r="L255" s="27"/>
      <c r="M255" s="27"/>
      <c r="N255" s="24"/>
      <c r="O255" s="24"/>
      <c r="P255" s="28"/>
      <c r="Q255" s="24"/>
      <c r="R255" s="24"/>
      <c r="S255" s="24"/>
      <c r="T255" s="24"/>
      <c r="U255" s="24"/>
      <c r="V255" s="24"/>
      <c r="W255" s="24"/>
      <c r="X255" s="24"/>
      <c r="Y255" s="24"/>
      <c r="Z255" s="24"/>
    </row>
    <row r="256" hidden="1">
      <c r="A256" s="29">
        <f>IFERROR(__xludf.DUMMYFUNCTION("""COMPUTED_VALUE"""),41760.0)</f>
        <v>41760</v>
      </c>
      <c r="B256" s="24">
        <f>IFERROR(__xludf.DUMMYFUNCTION("""COMPUTED_VALUE"""),5.3375914E7)</f>
        <v>53375914</v>
      </c>
      <c r="C256" s="24" t="str">
        <f>IFERROR(__xludf.DUMMYFUNCTION("""COMPUTED_VALUE"""),"6211 COLLINGSWORTH")</f>
        <v>6211 COLLINGSWORTH</v>
      </c>
      <c r="D256" s="26" t="str">
        <f>IFERROR(__xludf.DUMMYFUNCTION("""COMPUTED_VALUE"""),"M")</f>
        <v>M</v>
      </c>
      <c r="E256" s="26" t="str">
        <f>IFERROR(__xludf.DUMMYFUNCTION("""COMPUTED_VALUE"""),"B")</f>
        <v>B</v>
      </c>
      <c r="F256" s="26">
        <f>IFERROR(__xludf.DUMMYFUNCTION("""COMPUTED_VALUE"""),27.0)</f>
        <v>27</v>
      </c>
      <c r="G256" s="26" t="str">
        <f>IFERROR(__xludf.DUMMYFUNCTION("""COMPUTED_VALUE"""),"Wounded")</f>
        <v>Wounded</v>
      </c>
      <c r="H256" s="26" t="str">
        <f>IFERROR(__xludf.DUMMYFUNCTION("""COMPUTED_VALUE"""),"Metal Pole")</f>
        <v>Metal Pole</v>
      </c>
      <c r="I256" s="27" t="str">
        <f>IFERROR(__xludf.DUMMYFUNCTION("""COMPUTED_VALUE"""),"M")</f>
        <v>M</v>
      </c>
      <c r="J256" s="27" t="str">
        <f>IFERROR(__xludf.DUMMYFUNCTION("""COMPUTED_VALUE"""),"B")</f>
        <v>B</v>
      </c>
      <c r="K256" s="27">
        <f>IFERROR(__xludf.DUMMYFUNCTION("""COMPUTED_VALUE"""),34.0)</f>
        <v>34</v>
      </c>
      <c r="L256" s="27" t="str">
        <f>IFERROR(__xludf.DUMMYFUNCTION("""COMPUTED_VALUE"""),"None")</f>
        <v>None</v>
      </c>
      <c r="M256" s="27" t="str">
        <f>IFERROR(__xludf.DUMMYFUNCTION("""COMPUTED_VALUE"""),"Y")</f>
        <v>Y</v>
      </c>
      <c r="N256" s="24"/>
      <c r="O256" s="24"/>
      <c r="P256" s="28" t="str">
        <f>IFERROR(__xludf.DUMMYFUNCTION("""COMPUTED_VALUE"""),"Person was a suspect to a home invasion call. Officer found him weilding a iron pole and swinging at the officers. Stun guns were deployed but did not affect the suspect. A bean bag shot gun was going to be deployed at which time the suspect began moving "&amp;"toward the officers with the metal pipe. Officer discharged his firearm striking the suspect.")</f>
        <v>Person was a suspect to a home invasion call. Officer found him weilding a iron pole and swinging at the officers. Stun guns were deployed but did not affect the suspect. A bean bag shot gun was going to be deployed at which time the suspect began moving toward the officers with the metal pipe. Officer discharged his firearm striking the suspect.</v>
      </c>
      <c r="Q256" s="24"/>
      <c r="R256" s="24"/>
      <c r="S256" s="24"/>
      <c r="T256" s="24"/>
      <c r="U256" s="24"/>
      <c r="V256" s="24"/>
      <c r="W256" s="24"/>
      <c r="X256" s="24"/>
      <c r="Y256" s="24"/>
      <c r="Z256" s="24"/>
    </row>
    <row r="257">
      <c r="A257" s="29">
        <f>IFERROR(__xludf.DUMMYFUNCTION("""COMPUTED_VALUE"""),41718.0)</f>
        <v>41718</v>
      </c>
      <c r="B257" s="24">
        <f>IFERROR(__xludf.DUMMYFUNCTION("""COMPUTED_VALUE"""),3.4188114E7)</f>
        <v>34188114</v>
      </c>
      <c r="C257" s="24" t="str">
        <f>IFERROR(__xludf.DUMMYFUNCTION("""COMPUTED_VALUE"""),"11050 SOUTHWEST FWY OB")</f>
        <v>11050 SOUTHWEST FWY OB</v>
      </c>
      <c r="D257" s="26" t="str">
        <f>IFERROR(__xludf.DUMMYFUNCTION("""COMPUTED_VALUE"""),"M")</f>
        <v>M</v>
      </c>
      <c r="E257" s="26" t="str">
        <f>IFERROR(__xludf.DUMMYFUNCTION("""COMPUTED_VALUE"""),"B")</f>
        <v>B</v>
      </c>
      <c r="F257" s="26"/>
      <c r="G257" s="26" t="str">
        <f>IFERROR(__xludf.DUMMYFUNCTION("""COMPUTED_VALUE"""),"Unknown")</f>
        <v>Unknown</v>
      </c>
      <c r="H257" s="26" t="str">
        <f>IFERROR(__xludf.DUMMYFUNCTION("""COMPUTED_VALUE"""),"Firearm")</f>
        <v>Firearm</v>
      </c>
      <c r="I257" s="27" t="str">
        <f>IFERROR(__xludf.DUMMYFUNCTION("""COMPUTED_VALUE"""),"M")</f>
        <v>M</v>
      </c>
      <c r="J257" s="27" t="str">
        <f>IFERROR(__xludf.DUMMYFUNCTION("""COMPUTED_VALUE"""),"H")</f>
        <v>H</v>
      </c>
      <c r="K257" s="27">
        <f>IFERROR(__xludf.DUMMYFUNCTION("""COMPUTED_VALUE"""),32.0)</f>
        <v>32</v>
      </c>
      <c r="L257" s="27" t="str">
        <f>IFERROR(__xludf.DUMMYFUNCTION("""COMPUTED_VALUE"""),"None")</f>
        <v>None</v>
      </c>
      <c r="M257" s="27" t="str">
        <f>IFERROR(__xludf.DUMMYFUNCTION("""COMPUTED_VALUE"""),"Y")</f>
        <v>Y</v>
      </c>
      <c r="N257" s="24"/>
      <c r="O257" s="24"/>
      <c r="P257" s="28" t="str">
        <f>IFERROR(__xludf.DUMMYFUNCTION("""COMPUTED_VALUE"""),"Officers responded to loud noise complaint and were advised that occupants of a vehicle were shooting at persons. The suspected vehicle was driving at the officers. The officers attempted to move to safety but the vehicle swerved toward the officer. The o"&amp;"fficer discharged his weapon at the vehicle. Unknown if anyone was injured.")</f>
        <v>Officers responded to loud noise complaint and were advised that occupants of a vehicle were shooting at persons. The suspected vehicle was driving at the officers. The officers attempted to move to safety but the vehicle swerved toward the officer. The officer discharged his weapon at the vehicle. Unknown if anyone was injured.</v>
      </c>
      <c r="Q257" s="24"/>
      <c r="R257" s="24"/>
      <c r="S257" s="24"/>
      <c r="T257" s="24"/>
      <c r="U257" s="24"/>
      <c r="V257" s="24"/>
      <c r="W257" s="24"/>
      <c r="X257" s="24"/>
      <c r="Y257" s="24"/>
      <c r="Z257" s="24"/>
    </row>
    <row r="258" hidden="1">
      <c r="A258" s="29">
        <f>IFERROR(__xludf.DUMMYFUNCTION("""COMPUTED_VALUE"""),41716.0)</f>
        <v>41716</v>
      </c>
      <c r="B258" s="24">
        <f>IFERROR(__xludf.DUMMYFUNCTION("""COMPUTED_VALUE"""),3.3110514E7)</f>
        <v>33110514</v>
      </c>
      <c r="C258" s="24" t="str">
        <f>IFERROR(__xludf.DUMMYFUNCTION("""COMPUTED_VALUE"""),"2219 Stevens")</f>
        <v>2219 Stevens</v>
      </c>
      <c r="D258" s="26" t="str">
        <f>IFERROR(__xludf.DUMMYFUNCTION("""COMPUTED_VALUE"""),"M")</f>
        <v>M</v>
      </c>
      <c r="E258" s="26" t="str">
        <f>IFERROR(__xludf.DUMMYFUNCTION("""COMPUTED_VALUE"""),"B")</f>
        <v>B</v>
      </c>
      <c r="F258" s="26">
        <f>IFERROR(__xludf.DUMMYFUNCTION("""COMPUTED_VALUE"""),34.0)</f>
        <v>34</v>
      </c>
      <c r="G258" s="26" t="str">
        <f>IFERROR(__xludf.DUMMYFUNCTION("""COMPUTED_VALUE"""),"Wounded")</f>
        <v>Wounded</v>
      </c>
      <c r="H258" s="26" t="str">
        <f>IFERROR(__xludf.DUMMYFUNCTION("""COMPUTED_VALUE"""),"None")</f>
        <v>None</v>
      </c>
      <c r="I258" s="27" t="str">
        <f>IFERROR(__xludf.DUMMYFUNCTION("""COMPUTED_VALUE"""),"M")</f>
        <v>M</v>
      </c>
      <c r="J258" s="27" t="str">
        <f>IFERROR(__xludf.DUMMYFUNCTION("""COMPUTED_VALUE"""),"B")</f>
        <v>B</v>
      </c>
      <c r="K258" s="27">
        <f>IFERROR(__xludf.DUMMYFUNCTION("""COMPUTED_VALUE"""),39.0)</f>
        <v>39</v>
      </c>
      <c r="L258" s="27" t="str">
        <f>IFERROR(__xludf.DUMMYFUNCTION("""COMPUTED_VALUE"""),"None")</f>
        <v>None</v>
      </c>
      <c r="M258" s="27" t="str">
        <f>IFERROR(__xludf.DUMMYFUNCTION("""COMPUTED_VALUE"""),"Y")</f>
        <v>Y</v>
      </c>
      <c r="N258" s="24"/>
      <c r="O258" s="24"/>
      <c r="P258" s="28" t="str">
        <f>IFERROR(__xludf.DUMMYFUNCTION("""COMPUTED_VALUE"""),"Officers responded to a family violence call. When officers entered the residence the suspect ran to the front of the house spun around in a shooting position pointing something black at the officers. One officer discharged his weapon striking the suspect"&amp;" in the chest. The suspect was transported to Ben Taub.")</f>
        <v>Officers responded to a family violence call. When officers entered the residence the suspect ran to the front of the house spun around in a shooting position pointing something black at the officers. One officer discharged his weapon striking the suspect in the chest. The suspect was transported to Ben Taub.</v>
      </c>
      <c r="Q258" s="24"/>
      <c r="R258" s="24"/>
      <c r="S258" s="24"/>
      <c r="T258" s="24"/>
      <c r="U258" s="24"/>
      <c r="V258" s="24"/>
      <c r="W258" s="24"/>
      <c r="X258" s="24"/>
      <c r="Y258" s="24"/>
      <c r="Z258" s="24"/>
    </row>
    <row r="259" hidden="1">
      <c r="A259" s="29">
        <f>IFERROR(__xludf.DUMMYFUNCTION("""COMPUTED_VALUE"""),41715.0)</f>
        <v>41715</v>
      </c>
      <c r="B259" s="24">
        <f>IFERROR(__xludf.DUMMYFUNCTION("""COMPUTED_VALUE"""),3.2413614E7)</f>
        <v>32413614</v>
      </c>
      <c r="C259" s="24" t="str">
        <f>IFERROR(__xludf.DUMMYFUNCTION("""COMPUTED_VALUE"""),"9638 PLAINFIELD")</f>
        <v>9638 PLAINFIELD</v>
      </c>
      <c r="D259" s="26" t="str">
        <f>IFERROR(__xludf.DUMMYFUNCTION("""COMPUTED_VALUE"""),"M")</f>
        <v>M</v>
      </c>
      <c r="E259" s="26" t="str">
        <f>IFERROR(__xludf.DUMMYFUNCTION("""COMPUTED_VALUE"""),"B")</f>
        <v>B</v>
      </c>
      <c r="F259" s="26">
        <f>IFERROR(__xludf.DUMMYFUNCTION("""COMPUTED_VALUE"""),26.0)</f>
        <v>26</v>
      </c>
      <c r="G259" s="26" t="str">
        <f>IFERROR(__xludf.DUMMYFUNCTION("""COMPUTED_VALUE"""),"Killed")</f>
        <v>Killed</v>
      </c>
      <c r="H259" s="26" t="str">
        <f>IFERROR(__xludf.DUMMYFUNCTION("""COMPUTED_VALUE"""),"Physical Force")</f>
        <v>Physical Force</v>
      </c>
      <c r="I259" s="27" t="str">
        <f>IFERROR(__xludf.DUMMYFUNCTION("""COMPUTED_VALUE"""),"M")</f>
        <v>M</v>
      </c>
      <c r="J259" s="27" t="str">
        <f>IFERROR(__xludf.DUMMYFUNCTION("""COMPUTED_VALUE"""),"P")</f>
        <v>P</v>
      </c>
      <c r="K259" s="27">
        <f>IFERROR(__xludf.DUMMYFUNCTION("""COMPUTED_VALUE"""),41.0)</f>
        <v>41</v>
      </c>
      <c r="L259" s="27" t="str">
        <f>IFERROR(__xludf.DUMMYFUNCTION("""COMPUTED_VALUE"""),"None")</f>
        <v>None</v>
      </c>
      <c r="M259" s="27" t="str">
        <f>IFERROR(__xludf.DUMMYFUNCTION("""COMPUTED_VALUE"""),"Y")</f>
        <v>Y</v>
      </c>
      <c r="N259" s="24"/>
      <c r="O259" s="24"/>
      <c r="P259" s="24" t="str">
        <f>IFERROR(__xludf.DUMMYFUNCTION("""COMPUTED_VALUE"""),"The officer gained initial control of the robbery suspect and was bale to place one cuff on him prior to the suspect breaking free. the officer followed the suspect, maintaining a safe distance, as the suspect would walk and then stop to threaten t he off"&amp;"icer. The gap between the officer and the suspect continued to diminish until the officer felt that the suspect was intent on injuring him or that the suspect wanted the officer to shoot him. The officer discharged his weapon striking the complainant in t"&amp;"he chest - killing him.")</f>
        <v>The officer gained initial control of the robbery suspect and was bale to place one cuff on him prior to the suspect breaking free. the officer followed the suspect, maintaining a safe distance, as the suspect would walk and then stop to threaten t he officer. The gap between the officer and the suspect continued to diminish until the officer felt that the suspect was intent on injuring him or that the suspect wanted the officer to shoot him. The officer discharged his weapon striking the complainant in the chest - killing him.</v>
      </c>
      <c r="Q259" s="24"/>
      <c r="R259" s="24"/>
      <c r="S259" s="24"/>
      <c r="T259" s="24"/>
      <c r="U259" s="24"/>
      <c r="V259" s="24"/>
      <c r="W259" s="24"/>
      <c r="X259" s="24"/>
      <c r="Y259" s="24"/>
      <c r="Z259" s="24"/>
    </row>
    <row r="260">
      <c r="A260" s="29">
        <f>IFERROR(__xludf.DUMMYFUNCTION("""COMPUTED_VALUE"""),41711.0)</f>
        <v>41711</v>
      </c>
      <c r="B260" s="24">
        <f>IFERROR(__xludf.DUMMYFUNCTION("""COMPUTED_VALUE"""),3.0609914E7)</f>
        <v>30609914</v>
      </c>
      <c r="C260" s="24" t="str">
        <f>IFERROR(__xludf.DUMMYFUNCTION("""COMPUTED_VALUE"""),"7300 ARDMORE ST")</f>
        <v>7300 ARDMORE ST</v>
      </c>
      <c r="D260" s="26" t="str">
        <f>IFERROR(__xludf.DUMMYFUNCTION("""COMPUTED_VALUE"""),"M")</f>
        <v>M</v>
      </c>
      <c r="E260" s="26" t="str">
        <f>IFERROR(__xludf.DUMMYFUNCTION("""COMPUTED_VALUE"""),"B")</f>
        <v>B</v>
      </c>
      <c r="F260" s="26">
        <f>IFERROR(__xludf.DUMMYFUNCTION("""COMPUTED_VALUE"""),47.0)</f>
        <v>47</v>
      </c>
      <c r="G260" s="26" t="str">
        <f>IFERROR(__xludf.DUMMYFUNCTION("""COMPUTED_VALUE"""),"Unknown")</f>
        <v>Unknown</v>
      </c>
      <c r="H260" s="26" t="str">
        <f>IFERROR(__xludf.DUMMYFUNCTION("""COMPUTED_VALUE"""),"Vehicle")</f>
        <v>Vehicle</v>
      </c>
      <c r="I260" s="27" t="str">
        <f>IFERROR(__xludf.DUMMYFUNCTION("""COMPUTED_VALUE"""),"M")</f>
        <v>M</v>
      </c>
      <c r="J260" s="27" t="str">
        <f>IFERROR(__xludf.DUMMYFUNCTION("""COMPUTED_VALUE"""),"H")</f>
        <v>H</v>
      </c>
      <c r="K260" s="27">
        <f>IFERROR(__xludf.DUMMYFUNCTION("""COMPUTED_VALUE"""),40.0)</f>
        <v>40</v>
      </c>
      <c r="L260" s="27" t="str">
        <f>IFERROR(__xludf.DUMMYFUNCTION("""COMPUTED_VALUE"""),"None")</f>
        <v>None</v>
      </c>
      <c r="M260" s="27" t="str">
        <f>IFERROR(__xludf.DUMMYFUNCTION("""COMPUTED_VALUE"""),"Y")</f>
        <v>Y</v>
      </c>
      <c r="N260" s="24"/>
      <c r="O260" s="24"/>
      <c r="P260" s="28" t="str">
        <f>IFERROR(__xludf.DUMMYFUNCTION("""COMPUTED_VALUE"""),"Officer responded to a BMV in progress and observed 2 suspects behind the complainant's vehicle with tires removed. The officer gave verbal commands to suspects who ignored and got into their vehicle drove toward officer. Fearing for his life, officer dis"&amp;"charged his weapon. 1 suspect arrested, 1 fled the scene.")</f>
        <v>Officer responded to a BMV in progress and observed 2 suspects behind the complainant's vehicle with tires removed. The officer gave verbal commands to suspects who ignored and got into their vehicle drove toward officer. Fearing for his life, officer discharged his weapon. 1 suspect arrested, 1 fled the scene.</v>
      </c>
      <c r="Q260" s="24"/>
      <c r="R260" s="24"/>
      <c r="S260" s="24"/>
      <c r="T260" s="24"/>
      <c r="U260" s="24"/>
      <c r="V260" s="24"/>
      <c r="W260" s="24"/>
      <c r="X260" s="24"/>
      <c r="Y260" s="24"/>
      <c r="Z260" s="24"/>
    </row>
    <row r="261" hidden="1">
      <c r="A261" s="29"/>
      <c r="B261" s="24"/>
      <c r="C261" s="24"/>
      <c r="D261" s="26" t="str">
        <f>IFERROR(__xludf.DUMMYFUNCTION("""COMPUTED_VALUE"""),"M")</f>
        <v>M</v>
      </c>
      <c r="E261" s="26" t="str">
        <f>IFERROR(__xludf.DUMMYFUNCTION("""COMPUTED_VALUE"""),"B")</f>
        <v>B</v>
      </c>
      <c r="F261" s="26">
        <f>IFERROR(__xludf.DUMMYFUNCTION("""COMPUTED_VALUE"""),49.0)</f>
        <v>49</v>
      </c>
      <c r="G261" s="26" t="str">
        <f>IFERROR(__xludf.DUMMYFUNCTION("""COMPUTED_VALUE"""),"Wounded")</f>
        <v>Wounded</v>
      </c>
      <c r="H261" s="26" t="str">
        <f>IFERROR(__xludf.DUMMYFUNCTION("""COMPUTED_VALUE"""),"Vehicle")</f>
        <v>Vehicle</v>
      </c>
      <c r="I261" s="27"/>
      <c r="J261" s="27"/>
      <c r="K261" s="27"/>
      <c r="L261" s="27"/>
      <c r="M261" s="27"/>
      <c r="N261" s="24"/>
      <c r="O261" s="24"/>
      <c r="P261" s="28"/>
      <c r="Q261" s="24"/>
      <c r="R261" s="24"/>
      <c r="S261" s="24"/>
      <c r="T261" s="24"/>
      <c r="U261" s="24"/>
      <c r="V261" s="24"/>
      <c r="W261" s="24"/>
      <c r="X261" s="24"/>
      <c r="Y261" s="24"/>
      <c r="Z261" s="24"/>
    </row>
    <row r="262">
      <c r="A262" s="29">
        <f>IFERROR(__xludf.DUMMYFUNCTION("""COMPUTED_VALUE"""),41704.0)</f>
        <v>41704</v>
      </c>
      <c r="B262" s="24">
        <f>IFERROR(__xludf.DUMMYFUNCTION("""COMPUTED_VALUE"""),2.7504414E7)</f>
        <v>27504414</v>
      </c>
      <c r="C262" s="24" t="str">
        <f>IFERROR(__xludf.DUMMYFUNCTION("""COMPUTED_VALUE"""),"Protected By Law")</f>
        <v>Protected By Law</v>
      </c>
      <c r="D262" s="26" t="str">
        <f>IFERROR(__xludf.DUMMYFUNCTION("""COMPUTED_VALUE"""),"U")</f>
        <v>U</v>
      </c>
      <c r="E262" s="26" t="str">
        <f>IFERROR(__xludf.DUMMYFUNCTION("""COMPUTED_VALUE"""),"U")</f>
        <v>U</v>
      </c>
      <c r="F262" s="26"/>
      <c r="G262" s="26" t="str">
        <f>IFERROR(__xludf.DUMMYFUNCTION("""COMPUTED_VALUE"""),"Unknown")</f>
        <v>Unknown</v>
      </c>
      <c r="H262" s="26" t="str">
        <f>IFERROR(__xludf.DUMMYFUNCTION("""COMPUTED_VALUE"""),"None")</f>
        <v>None</v>
      </c>
      <c r="I262" s="27" t="str">
        <f>IFERROR(__xludf.DUMMYFUNCTION("""COMPUTED_VALUE"""),"M")</f>
        <v>M</v>
      </c>
      <c r="J262" s="27" t="str">
        <f>IFERROR(__xludf.DUMMYFUNCTION("""COMPUTED_VALUE"""),"B")</f>
        <v>B</v>
      </c>
      <c r="K262" s="27">
        <f>IFERROR(__xludf.DUMMYFUNCTION("""COMPUTED_VALUE"""),37.0)</f>
        <v>37</v>
      </c>
      <c r="L262" s="27" t="str">
        <f>IFERROR(__xludf.DUMMYFUNCTION("""COMPUTED_VALUE"""),"None")</f>
        <v>None</v>
      </c>
      <c r="M262" s="27" t="str">
        <f>IFERROR(__xludf.DUMMYFUNCTION("""COMPUTED_VALUE"""),"N")</f>
        <v>N</v>
      </c>
      <c r="N262" s="24"/>
      <c r="O262" s="24"/>
      <c r="P262" s="28" t="str">
        <f>IFERROR(__xludf.DUMMYFUNCTION("""COMPUTED_VALUE"""),"An off-duty HPD office was at his home sleeping when 3 suspects forced entry into his apartment. One of the suspects was holding gun which turned out to be a BB gun. Not knowing that information, the officer feared for his life and fired three times at th"&amp;"e suspect holding the gun. The suspect was pronounced DOA.")</f>
        <v>An off-duty HPD office was at his home sleeping when 3 suspects forced entry into his apartment. One of the suspects was holding gun which turned out to be a BB gun. Not knowing that information, the officer feared for his life and fired three times at the suspect holding the gun. The suspect was pronounced DOA.</v>
      </c>
      <c r="Q262" s="24"/>
      <c r="R262" s="24"/>
      <c r="S262" s="24"/>
      <c r="T262" s="24"/>
      <c r="U262" s="24"/>
      <c r="V262" s="24"/>
      <c r="W262" s="24"/>
      <c r="X262" s="24"/>
      <c r="Y262" s="24"/>
      <c r="Z262" s="24"/>
    </row>
    <row r="263" hidden="1">
      <c r="A263" s="29"/>
      <c r="B263" s="24"/>
      <c r="C263" s="24"/>
      <c r="D263" s="26" t="str">
        <f>IFERROR(__xludf.DUMMYFUNCTION("""COMPUTED_VALUE"""),"Juvenile")</f>
        <v>Juvenile</v>
      </c>
      <c r="E263" s="26" t="str">
        <f>IFERROR(__xludf.DUMMYFUNCTION("""COMPUTED_VALUE"""),"Juvenile")</f>
        <v>Juvenile</v>
      </c>
      <c r="F263" s="26"/>
      <c r="G263" s="26" t="str">
        <f>IFERROR(__xludf.DUMMYFUNCTION("""COMPUTED_VALUE"""),"Killed")</f>
        <v>Killed</v>
      </c>
      <c r="H263" s="26" t="str">
        <f>IFERROR(__xludf.DUMMYFUNCTION("""COMPUTED_VALUE"""),"BB Gun")</f>
        <v>BB Gun</v>
      </c>
      <c r="I263" s="27"/>
      <c r="J263" s="27"/>
      <c r="K263" s="27"/>
      <c r="L263" s="27"/>
      <c r="M263" s="27"/>
      <c r="N263" s="24"/>
      <c r="O263" s="24"/>
      <c r="P263" s="24"/>
      <c r="Q263" s="24"/>
      <c r="R263" s="24"/>
      <c r="S263" s="24"/>
      <c r="T263" s="24"/>
      <c r="U263" s="24"/>
      <c r="V263" s="24"/>
      <c r="W263" s="24"/>
      <c r="X263" s="24"/>
      <c r="Y263" s="24"/>
      <c r="Z263" s="24"/>
    </row>
    <row r="264" hidden="1">
      <c r="A264" s="29">
        <f>IFERROR(__xludf.DUMMYFUNCTION("""COMPUTED_VALUE"""),41697.0)</f>
        <v>41697</v>
      </c>
      <c r="B264" s="24">
        <f>IFERROR(__xludf.DUMMYFUNCTION("""COMPUTED_VALUE"""),2.4475814E7)</f>
        <v>24475814</v>
      </c>
      <c r="C264" s="24" t="str">
        <f>IFERROR(__xludf.DUMMYFUNCTION("""COMPUTED_VALUE"""),"914 DALLAS ST")</f>
        <v>914 DALLAS ST</v>
      </c>
      <c r="D264" s="26" t="str">
        <f>IFERROR(__xludf.DUMMYFUNCTION("""COMPUTED_VALUE"""),"M")</f>
        <v>M</v>
      </c>
      <c r="E264" s="26" t="str">
        <f>IFERROR(__xludf.DUMMYFUNCTION("""COMPUTED_VALUE"""),"B")</f>
        <v>B</v>
      </c>
      <c r="F264" s="26">
        <f>IFERROR(__xludf.DUMMYFUNCTION("""COMPUTED_VALUE"""),54.0)</f>
        <v>54</v>
      </c>
      <c r="G264" s="26" t="str">
        <f>IFERROR(__xludf.DUMMYFUNCTION("""COMPUTED_VALUE"""),"Wounded")</f>
        <v>Wounded</v>
      </c>
      <c r="H264" s="26" t="str">
        <f>IFERROR(__xludf.DUMMYFUNCTION("""COMPUTED_VALUE"""),"Lumber")</f>
        <v>Lumber</v>
      </c>
      <c r="I264" s="27" t="str">
        <f>IFERROR(__xludf.DUMMYFUNCTION("""COMPUTED_VALUE"""),"M")</f>
        <v>M</v>
      </c>
      <c r="J264" s="27" t="str">
        <f>IFERROR(__xludf.DUMMYFUNCTION("""COMPUTED_VALUE"""),"W")</f>
        <v>W</v>
      </c>
      <c r="K264" s="27">
        <f>IFERROR(__xludf.DUMMYFUNCTION("""COMPUTED_VALUE"""),27.0)</f>
        <v>27</v>
      </c>
      <c r="L264" s="27" t="str">
        <f>IFERROR(__xludf.DUMMYFUNCTION("""COMPUTED_VALUE"""),"None")</f>
        <v>None</v>
      </c>
      <c r="M264" s="27" t="str">
        <f>IFERROR(__xludf.DUMMYFUNCTION("""COMPUTED_VALUE"""),"Y")</f>
        <v>Y</v>
      </c>
      <c r="N264" s="24"/>
      <c r="O264" s="24"/>
      <c r="P264" s="28" t="str">
        <f>IFERROR(__xludf.DUMMYFUNCTION("""COMPUTED_VALUE"""),"On-duty officer was informed that the suspect had stolen an item. The officer followed the suspect into the street and identified himself. Suspect walked away, picked up a piece of lumber and swinging it at officer in close range. Fearing for his life, th"&amp;"e officer discharged his firearm and shot him in the arm.")</f>
        <v>On-duty officer was informed that the suspect had stolen an item. The officer followed the suspect into the street and identified himself. Suspect walked away, picked up a piece of lumber and swinging it at officer in close range. Fearing for his life, the officer discharged his firearm and shot him in the arm.</v>
      </c>
      <c r="Q264" s="24"/>
      <c r="R264" s="24"/>
      <c r="S264" s="24"/>
      <c r="T264" s="24"/>
      <c r="U264" s="24"/>
      <c r="V264" s="24"/>
      <c r="W264" s="24"/>
      <c r="X264" s="24"/>
      <c r="Y264" s="24"/>
      <c r="Z264" s="24"/>
    </row>
    <row r="265" hidden="1">
      <c r="A265" s="29">
        <f>IFERROR(__xludf.DUMMYFUNCTION("""COMPUTED_VALUE"""),41686.0)</f>
        <v>41686</v>
      </c>
      <c r="B265" s="24">
        <f>IFERROR(__xludf.DUMMYFUNCTION("""COMPUTED_VALUE"""),1.9897714E7)</f>
        <v>19897714</v>
      </c>
      <c r="C265" s="24" t="str">
        <f>IFERROR(__xludf.DUMMYFUNCTION("""COMPUTED_VALUE"""),"700 W GULF BANK RD")</f>
        <v>700 W GULF BANK RD</v>
      </c>
      <c r="D265" s="26" t="str">
        <f>IFERROR(__xludf.DUMMYFUNCTION("""COMPUTED_VALUE"""),"Juvenile")</f>
        <v>Juvenile</v>
      </c>
      <c r="E265" s="26" t="str">
        <f>IFERROR(__xludf.DUMMYFUNCTION("""COMPUTED_VALUE"""),"Juvenile")</f>
        <v>Juvenile</v>
      </c>
      <c r="F265" s="26"/>
      <c r="G265" s="26" t="str">
        <f>IFERROR(__xludf.DUMMYFUNCTION("""COMPUTED_VALUE"""),"Killed")</f>
        <v>Killed</v>
      </c>
      <c r="H265" s="26" t="str">
        <f>IFERROR(__xludf.DUMMYFUNCTION("""COMPUTED_VALUE"""),"BB Gun")</f>
        <v>BB Gun</v>
      </c>
      <c r="I265" s="27" t="str">
        <f>IFERROR(__xludf.DUMMYFUNCTION("""COMPUTED_VALUE"""),"M")</f>
        <v>M</v>
      </c>
      <c r="J265" s="27" t="str">
        <f>IFERROR(__xludf.DUMMYFUNCTION("""COMPUTED_VALUE"""),"H")</f>
        <v>H</v>
      </c>
      <c r="K265" s="27">
        <f>IFERROR(__xludf.DUMMYFUNCTION("""COMPUTED_VALUE"""),48.0)</f>
        <v>48</v>
      </c>
      <c r="L265" s="27" t="str">
        <f>IFERROR(__xludf.DUMMYFUNCTION("""COMPUTED_VALUE"""),"None")</f>
        <v>None</v>
      </c>
      <c r="M265" s="27" t="str">
        <f>IFERROR(__xludf.DUMMYFUNCTION("""COMPUTED_VALUE"""),"N")</f>
        <v>N</v>
      </c>
      <c r="N265" s="24"/>
      <c r="O265" s="24"/>
      <c r="P265" s="24" t="str">
        <f>IFERROR(__xludf.DUMMYFUNCTION("""COMPUTED_VALUE"""),"Off Duty HPD officer observed a robbery in progress when the officer intervened, the suspect revealed he had a pistol and pulled it on the officer. The HPD officer pulled his own weapon and discharged it striking the suspect in the chest and the left leg."&amp;" Suspect was able to flee the scene but was later found dead.")</f>
        <v>Off Duty HPD officer observed a robbery in progress when the officer intervened, the suspect revealed he had a pistol and pulled it on the officer. The HPD officer pulled his own weapon and discharged it striking the suspect in the chest and the left leg. Suspect was able to flee the scene but was later found dead.</v>
      </c>
      <c r="Q265" s="24"/>
      <c r="R265" s="24"/>
      <c r="S265" s="24"/>
      <c r="T265" s="24"/>
      <c r="U265" s="24"/>
      <c r="V265" s="24"/>
      <c r="W265" s="24"/>
      <c r="X265" s="24"/>
      <c r="Y265" s="24"/>
      <c r="Z265" s="24"/>
    </row>
    <row r="266">
      <c r="A266" s="29"/>
      <c r="B266" s="24"/>
      <c r="C266" s="24"/>
      <c r="D266" s="26" t="str">
        <f>IFERROR(__xludf.DUMMYFUNCTION("""COMPUTED_VALUE"""),"Juvenile")</f>
        <v>Juvenile</v>
      </c>
      <c r="E266" s="26" t="str">
        <f>IFERROR(__xludf.DUMMYFUNCTION("""COMPUTED_VALUE"""),"Juvenile")</f>
        <v>Juvenile</v>
      </c>
      <c r="F266" s="26"/>
      <c r="G266" s="26" t="str">
        <f>IFERROR(__xludf.DUMMYFUNCTION("""COMPUTED_VALUE"""),"None")</f>
        <v>None</v>
      </c>
      <c r="H266" s="26" t="str">
        <f>IFERROR(__xludf.DUMMYFUNCTION("""COMPUTED_VALUE"""),"None")</f>
        <v>None</v>
      </c>
      <c r="I266" s="27"/>
      <c r="J266" s="27"/>
      <c r="K266" s="27"/>
      <c r="L266" s="27"/>
      <c r="M266" s="27"/>
      <c r="N266" s="24"/>
      <c r="O266" s="24"/>
      <c r="P266" s="28"/>
      <c r="Q266" s="24"/>
      <c r="R266" s="24"/>
      <c r="S266" s="24"/>
      <c r="T266" s="24"/>
      <c r="U266" s="24"/>
      <c r="V266" s="24"/>
      <c r="W266" s="24"/>
      <c r="X266" s="24"/>
      <c r="Y266" s="24"/>
      <c r="Z266" s="24"/>
    </row>
    <row r="267">
      <c r="A267" s="29">
        <f>IFERROR(__xludf.DUMMYFUNCTION("""COMPUTED_VALUE"""),41684.0)</f>
        <v>41684</v>
      </c>
      <c r="B267" s="24">
        <f>IFERROR(__xludf.DUMMYFUNCTION("""COMPUTED_VALUE"""),1.9009014E7)</f>
        <v>19009014</v>
      </c>
      <c r="C267" s="24" t="str">
        <f>IFERROR(__xludf.DUMMYFUNCTION("""COMPUTED_VALUE"""),"6568 T.C.JESTER BLVD.")</f>
        <v>6568 T.C.JESTER BLVD.</v>
      </c>
      <c r="D267" s="26" t="str">
        <f>IFERROR(__xludf.DUMMYFUNCTION("""COMPUTED_VALUE"""),"M")</f>
        <v>M</v>
      </c>
      <c r="E267" s="26" t="str">
        <f>IFERROR(__xludf.DUMMYFUNCTION("""COMPUTED_VALUE"""),"B")</f>
        <v>B</v>
      </c>
      <c r="F267" s="26">
        <f>IFERROR(__xludf.DUMMYFUNCTION("""COMPUTED_VALUE"""),19.0)</f>
        <v>19</v>
      </c>
      <c r="G267" s="26" t="str">
        <f>IFERROR(__xludf.DUMMYFUNCTION("""COMPUTED_VALUE"""),"None")</f>
        <v>None</v>
      </c>
      <c r="H267" s="26" t="str">
        <f>IFERROR(__xludf.DUMMYFUNCTION("""COMPUTED_VALUE"""),"None")</f>
        <v>None</v>
      </c>
      <c r="I267" s="27" t="str">
        <f>IFERROR(__xludf.DUMMYFUNCTION("""COMPUTED_VALUE"""),"M")</f>
        <v>M</v>
      </c>
      <c r="J267" s="27" t="str">
        <f>IFERROR(__xludf.DUMMYFUNCTION("""COMPUTED_VALUE"""),"W")</f>
        <v>W</v>
      </c>
      <c r="K267" s="27">
        <f>IFERROR(__xludf.DUMMYFUNCTION("""COMPUTED_VALUE"""),33.0)</f>
        <v>33</v>
      </c>
      <c r="L267" s="27" t="str">
        <f>IFERROR(__xludf.DUMMYFUNCTION("""COMPUTED_VALUE"""),"None")</f>
        <v>None</v>
      </c>
      <c r="M267" s="27" t="str">
        <f>IFERROR(__xludf.DUMMYFUNCTION("""COMPUTED_VALUE"""),"Y")</f>
        <v>Y</v>
      </c>
      <c r="N267" s="24"/>
      <c r="O267" s="24"/>
      <c r="P267" s="28" t="str">
        <f>IFERROR(__xludf.DUMMYFUNCTION("""COMPUTED_VALUE"""),"On duty HPD officer responding to hold-up alarm encountered three suspects exiting the business. One of the fleeing suspect pointed a weapon at the officer. The officer discharged his weapon at the suspect but missed. All three suspects were apprehended a"&amp;"nd the stolen money and property were recovered. One suspect received minor injuries from a K9.")</f>
        <v>On duty HPD officer responding to hold-up alarm encountered three suspects exiting the business. One of the fleeing suspect pointed a weapon at the officer. The officer discharged his weapon at the suspect but missed. All three suspects were apprehended and the stolen money and property were recovered. One suspect received minor injuries from a K9.</v>
      </c>
      <c r="Q267" s="24"/>
      <c r="R267" s="24"/>
      <c r="S267" s="24"/>
      <c r="T267" s="24"/>
      <c r="U267" s="24"/>
      <c r="V267" s="24"/>
      <c r="W267" s="24"/>
      <c r="X267" s="24"/>
      <c r="Y267" s="24"/>
      <c r="Z267" s="24"/>
    </row>
    <row r="268">
      <c r="A268" s="29"/>
      <c r="B268" s="24"/>
      <c r="C268" s="24"/>
      <c r="D268" s="26" t="str">
        <f>IFERROR(__xludf.DUMMYFUNCTION("""COMPUTED_VALUE"""),"Juvenile")</f>
        <v>Juvenile</v>
      </c>
      <c r="E268" s="26" t="str">
        <f>IFERROR(__xludf.DUMMYFUNCTION("""COMPUTED_VALUE"""),"Juvenile")</f>
        <v>Juvenile</v>
      </c>
      <c r="F268" s="26"/>
      <c r="G268" s="26" t="str">
        <f>IFERROR(__xludf.DUMMYFUNCTION("""COMPUTED_VALUE"""),"None")</f>
        <v>None</v>
      </c>
      <c r="H268" s="26" t="str">
        <f>IFERROR(__xludf.DUMMYFUNCTION("""COMPUTED_VALUE"""),"None")</f>
        <v>None</v>
      </c>
      <c r="I268" s="27"/>
      <c r="J268" s="27"/>
      <c r="K268" s="27"/>
      <c r="L268" s="27"/>
      <c r="M268" s="27"/>
      <c r="N268" s="24"/>
      <c r="O268" s="24"/>
      <c r="P268" s="28"/>
      <c r="Q268" s="24"/>
      <c r="R268" s="24"/>
      <c r="S268" s="24"/>
      <c r="T268" s="24"/>
      <c r="U268" s="24"/>
      <c r="V268" s="24"/>
      <c r="W268" s="24"/>
      <c r="X268" s="24"/>
      <c r="Y268" s="24"/>
      <c r="Z268" s="24"/>
    </row>
    <row r="269" hidden="1">
      <c r="A269" s="29"/>
      <c r="B269" s="24"/>
      <c r="C269" s="24"/>
      <c r="D269" s="26" t="str">
        <f>IFERROR(__xludf.DUMMYFUNCTION("""COMPUTED_VALUE"""),"M")</f>
        <v>M</v>
      </c>
      <c r="E269" s="26" t="str">
        <f>IFERROR(__xludf.DUMMYFUNCTION("""COMPUTED_VALUE"""),"B")</f>
        <v>B</v>
      </c>
      <c r="F269" s="26">
        <f>IFERROR(__xludf.DUMMYFUNCTION("""COMPUTED_VALUE"""),19.0)</f>
        <v>19</v>
      </c>
      <c r="G269" s="26" t="str">
        <f>IFERROR(__xludf.DUMMYFUNCTION("""COMPUTED_VALUE"""),"Wounded")</f>
        <v>Wounded</v>
      </c>
      <c r="H269" s="26" t="str">
        <f>IFERROR(__xludf.DUMMYFUNCTION("""COMPUTED_VALUE"""),"Firearm")</f>
        <v>Firearm</v>
      </c>
      <c r="I269" s="27"/>
      <c r="J269" s="27"/>
      <c r="K269" s="27"/>
      <c r="L269" s="27"/>
      <c r="M269" s="27"/>
      <c r="N269" s="24"/>
      <c r="O269" s="24"/>
      <c r="P269" s="28"/>
      <c r="Q269" s="24"/>
      <c r="R269" s="24"/>
      <c r="S269" s="24"/>
      <c r="T269" s="24"/>
      <c r="U269" s="24"/>
      <c r="V269" s="24"/>
      <c r="W269" s="24"/>
      <c r="X269" s="24"/>
      <c r="Y269" s="24"/>
      <c r="Z269" s="24"/>
    </row>
    <row r="270">
      <c r="A270" s="29">
        <f>IFERROR(__xludf.DUMMYFUNCTION("""COMPUTED_VALUE"""),41679.0)</f>
        <v>41679</v>
      </c>
      <c r="B270" s="24">
        <f>IFERROR(__xludf.DUMMYFUNCTION("""COMPUTED_VALUE"""),1.6581114E7)</f>
        <v>16581114</v>
      </c>
      <c r="C270" s="24" t="str">
        <f>IFERROR(__xludf.DUMMYFUNCTION("""COMPUTED_VALUE"""),"3900 PORTSMOUTH")</f>
        <v>3900 PORTSMOUTH</v>
      </c>
      <c r="D270" s="26" t="str">
        <f>IFERROR(__xludf.DUMMYFUNCTION("""COMPUTED_VALUE"""),"Juvenile")</f>
        <v>Juvenile</v>
      </c>
      <c r="E270" s="26" t="str">
        <f>IFERROR(__xludf.DUMMYFUNCTION("""COMPUTED_VALUE"""),"Juvenile")</f>
        <v>Juvenile</v>
      </c>
      <c r="F270" s="26"/>
      <c r="G270" s="26" t="str">
        <f>IFERROR(__xludf.DUMMYFUNCTION("""COMPUTED_VALUE"""),"None")</f>
        <v>None</v>
      </c>
      <c r="H270" s="26" t="str">
        <f>IFERROR(__xludf.DUMMYFUNCTION("""COMPUTED_VALUE"""),"None")</f>
        <v>None</v>
      </c>
      <c r="I270" s="27" t="str">
        <f>IFERROR(__xludf.DUMMYFUNCTION("""COMPUTED_VALUE"""),"M")</f>
        <v>M</v>
      </c>
      <c r="J270" s="27" t="str">
        <f>IFERROR(__xludf.DUMMYFUNCTION("""COMPUTED_VALUE"""),"B")</f>
        <v>B</v>
      </c>
      <c r="K270" s="27">
        <f>IFERROR(__xludf.DUMMYFUNCTION("""COMPUTED_VALUE"""),42.0)</f>
        <v>42</v>
      </c>
      <c r="L270" s="27" t="str">
        <f>IFERROR(__xludf.DUMMYFUNCTION("""COMPUTED_VALUE"""),"None")</f>
        <v>None</v>
      </c>
      <c r="M270" s="27" t="str">
        <f>IFERROR(__xludf.DUMMYFUNCTION("""COMPUTED_VALUE"""),"N")</f>
        <v>N</v>
      </c>
      <c r="N270" s="24"/>
      <c r="O270" s="24"/>
      <c r="P270" s="28" t="str">
        <f>IFERROR(__xludf.DUMMYFUNCTION("""COMPUTED_VALUE"""),"The HPD officer was off-duty and his girlfriend were walking on the street when three suspects approached them. The suspects displayed a handgun (BB) and demanded the property of the complainants. The officer drew his weapon firing and striking two of the"&amp;" suspects. Two suspects injured, all three apprehended.")</f>
        <v>The HPD officer was off-duty and his girlfriend were walking on the street when three suspects approached them. The suspects displayed a handgun (BB) and demanded the property of the complainants. The officer drew his weapon firing and striking two of the suspects. Two suspects injured, all three apprehended.</v>
      </c>
      <c r="Q270" s="24"/>
      <c r="R270" s="24"/>
      <c r="S270" s="24"/>
      <c r="T270" s="24"/>
      <c r="U270" s="24"/>
      <c r="V270" s="24"/>
      <c r="W270" s="24"/>
      <c r="X270" s="24"/>
      <c r="Y270" s="24"/>
      <c r="Z270" s="24"/>
    </row>
    <row r="271" hidden="1">
      <c r="A271" s="29"/>
      <c r="B271" s="24"/>
      <c r="C271" s="24"/>
      <c r="D271" s="26" t="str">
        <f>IFERROR(__xludf.DUMMYFUNCTION("""COMPUTED_VALUE"""),"Juvenile")</f>
        <v>Juvenile</v>
      </c>
      <c r="E271" s="26" t="str">
        <f>IFERROR(__xludf.DUMMYFUNCTION("""COMPUTED_VALUE"""),"Juvenile")</f>
        <v>Juvenile</v>
      </c>
      <c r="F271" s="26"/>
      <c r="G271" s="26" t="str">
        <f>IFERROR(__xludf.DUMMYFUNCTION("""COMPUTED_VALUE"""),"Wounded")</f>
        <v>Wounded</v>
      </c>
      <c r="H271" s="26" t="str">
        <f>IFERROR(__xludf.DUMMYFUNCTION("""COMPUTED_VALUE"""),"BB Gun")</f>
        <v>BB Gun</v>
      </c>
      <c r="I271" s="27"/>
      <c r="J271" s="27"/>
      <c r="K271" s="27"/>
      <c r="L271" s="27"/>
      <c r="M271" s="27"/>
      <c r="N271" s="24"/>
      <c r="O271" s="24"/>
      <c r="P271" s="28"/>
      <c r="Q271" s="24"/>
      <c r="R271" s="24"/>
      <c r="S271" s="24"/>
      <c r="T271" s="24"/>
      <c r="U271" s="24"/>
      <c r="V271" s="24"/>
      <c r="W271" s="24"/>
      <c r="X271" s="24"/>
      <c r="Y271" s="24"/>
      <c r="Z271" s="24"/>
    </row>
    <row r="272" hidden="1">
      <c r="A272" s="29"/>
      <c r="B272" s="24"/>
      <c r="C272" s="24"/>
      <c r="D272" s="26" t="str">
        <f>IFERROR(__xludf.DUMMYFUNCTION("""COMPUTED_VALUE"""),"M")</f>
        <v>M</v>
      </c>
      <c r="E272" s="26" t="str">
        <f>IFERROR(__xludf.DUMMYFUNCTION("""COMPUTED_VALUE"""),"W")</f>
        <v>W</v>
      </c>
      <c r="F272" s="26">
        <f>IFERROR(__xludf.DUMMYFUNCTION("""COMPUTED_VALUE"""),18.0)</f>
        <v>18</v>
      </c>
      <c r="G272" s="26" t="str">
        <f>IFERROR(__xludf.DUMMYFUNCTION("""COMPUTED_VALUE"""),"Wounded")</f>
        <v>Wounded</v>
      </c>
      <c r="H272" s="26" t="str">
        <f>IFERROR(__xludf.DUMMYFUNCTION("""COMPUTED_VALUE"""),"None")</f>
        <v>None</v>
      </c>
      <c r="I272" s="27"/>
      <c r="J272" s="27"/>
      <c r="K272" s="27"/>
      <c r="L272" s="27"/>
      <c r="M272" s="27"/>
      <c r="N272" s="24"/>
      <c r="O272" s="24"/>
      <c r="P272" s="28"/>
      <c r="Q272" s="24"/>
      <c r="R272" s="24"/>
      <c r="S272" s="24"/>
      <c r="T272" s="24"/>
      <c r="U272" s="24"/>
      <c r="V272" s="24"/>
      <c r="W272" s="24"/>
      <c r="X272" s="24"/>
      <c r="Y272" s="24"/>
      <c r="Z272" s="24"/>
    </row>
    <row r="273" hidden="1">
      <c r="A273" s="29">
        <f>IFERROR(__xludf.DUMMYFUNCTION("""COMPUTED_VALUE"""),41662.0)</f>
        <v>41662</v>
      </c>
      <c r="B273" s="24">
        <f>IFERROR(__xludf.DUMMYFUNCTION("""COMPUTED_VALUE"""),9805514.0)</f>
        <v>9805514</v>
      </c>
      <c r="C273" s="24" t="str">
        <f>IFERROR(__xludf.DUMMYFUNCTION("""COMPUTED_VALUE"""),"855 GREENS RD")</f>
        <v>855 GREENS RD</v>
      </c>
      <c r="D273" s="26" t="str">
        <f>IFERROR(__xludf.DUMMYFUNCTION("""COMPUTED_VALUE"""),"M")</f>
        <v>M</v>
      </c>
      <c r="E273" s="26" t="str">
        <f>IFERROR(__xludf.DUMMYFUNCTION("""COMPUTED_VALUE"""),"B")</f>
        <v>B</v>
      </c>
      <c r="F273" s="26">
        <f>IFERROR(__xludf.DUMMYFUNCTION("""COMPUTED_VALUE"""),24.0)</f>
        <v>24</v>
      </c>
      <c r="G273" s="26" t="str">
        <f>IFERROR(__xludf.DUMMYFUNCTION("""COMPUTED_VALUE"""),"Killed")</f>
        <v>Killed</v>
      </c>
      <c r="H273" s="26" t="str">
        <f>IFERROR(__xludf.DUMMYFUNCTION("""COMPUTED_VALUE"""),"Firearm")</f>
        <v>Firearm</v>
      </c>
      <c r="I273" s="27" t="str">
        <f>IFERROR(__xludf.DUMMYFUNCTION("""COMPUTED_VALUE"""),"M")</f>
        <v>M</v>
      </c>
      <c r="J273" s="27" t="str">
        <f>IFERROR(__xludf.DUMMYFUNCTION("""COMPUTED_VALUE"""),"W")</f>
        <v>W</v>
      </c>
      <c r="K273" s="27">
        <f>IFERROR(__xludf.DUMMYFUNCTION("""COMPUTED_VALUE"""),28.0)</f>
        <v>28</v>
      </c>
      <c r="L273" s="27" t="str">
        <f>IFERROR(__xludf.DUMMYFUNCTION("""COMPUTED_VALUE"""),"None")</f>
        <v>None</v>
      </c>
      <c r="M273" s="27" t="str">
        <f>IFERROR(__xludf.DUMMYFUNCTION("""COMPUTED_VALUE"""),"Y")</f>
        <v>Y</v>
      </c>
      <c r="N273" s="24"/>
      <c r="O273" s="24"/>
      <c r="P273" s="24" t="str">
        <f>IFERROR(__xludf.DUMMYFUNCTION("""COMPUTED_VALUE"""),"Police shot and killed a suspected armed robber during a pursuit that ended in a neighborhood near Greenspoint Mall in north Houston. After crashing, the suspect fired upon police, fled on foot, and again raised his firearm at the officer who shot and kil"&amp;"led the suspect.")</f>
        <v>Police shot and killed a suspected armed robber during a pursuit that ended in a neighborhood near Greenspoint Mall in north Houston. After crashing, the suspect fired upon police, fled on foot, and again raised his firearm at the officer who shot and killed the suspect.</v>
      </c>
      <c r="Q273" s="24"/>
      <c r="R273" s="24"/>
      <c r="S273" s="24"/>
      <c r="T273" s="24"/>
      <c r="U273" s="24"/>
      <c r="V273" s="24"/>
      <c r="W273" s="24"/>
      <c r="X273" s="24"/>
      <c r="Y273" s="24"/>
      <c r="Z273" s="24"/>
    </row>
    <row r="274" hidden="1">
      <c r="A274" s="29"/>
      <c r="B274" s="24"/>
      <c r="C274" s="24"/>
      <c r="D274" s="26"/>
      <c r="E274" s="26"/>
      <c r="F274" s="26"/>
      <c r="G274" s="26"/>
      <c r="H274" s="26"/>
      <c r="I274" s="27" t="str">
        <f>IFERROR(__xludf.DUMMYFUNCTION("""COMPUTED_VALUE"""),"M")</f>
        <v>M</v>
      </c>
      <c r="J274" s="27" t="str">
        <f>IFERROR(__xludf.DUMMYFUNCTION("""COMPUTED_VALUE"""),"W")</f>
        <v>W</v>
      </c>
      <c r="K274" s="27">
        <f>IFERROR(__xludf.DUMMYFUNCTION("""COMPUTED_VALUE"""),33.0)</f>
        <v>33</v>
      </c>
      <c r="L274" s="27" t="str">
        <f>IFERROR(__xludf.DUMMYFUNCTION("""COMPUTED_VALUE"""),"None")</f>
        <v>None</v>
      </c>
      <c r="M274" s="27" t="str">
        <f>IFERROR(__xludf.DUMMYFUNCTION("""COMPUTED_VALUE"""),"Y")</f>
        <v>Y</v>
      </c>
      <c r="N274" s="24"/>
      <c r="O274" s="24"/>
      <c r="P274" s="24"/>
      <c r="Q274" s="24"/>
      <c r="R274" s="24"/>
      <c r="S274" s="24"/>
      <c r="T274" s="24"/>
      <c r="U274" s="24"/>
      <c r="V274" s="24"/>
      <c r="W274" s="24"/>
      <c r="X274" s="24"/>
      <c r="Y274" s="24"/>
      <c r="Z274" s="24"/>
    </row>
    <row r="275" hidden="1">
      <c r="A275" s="29">
        <f>IFERROR(__xludf.DUMMYFUNCTION("""COMPUTED_VALUE"""),41658.0)</f>
        <v>41658</v>
      </c>
      <c r="B275" s="24">
        <f>IFERROR(__xludf.DUMMYFUNCTION("""COMPUTED_VALUE"""),7934614.0)</f>
        <v>7934614</v>
      </c>
      <c r="C275" s="24" t="str">
        <f>IFERROR(__xludf.DUMMYFUNCTION("""COMPUTED_VALUE"""),"9220 NATHANIEL")</f>
        <v>9220 NATHANIEL</v>
      </c>
      <c r="D275" s="26" t="str">
        <f>IFERROR(__xludf.DUMMYFUNCTION("""COMPUTED_VALUE"""),"M")</f>
        <v>M</v>
      </c>
      <c r="E275" s="26" t="str">
        <f>IFERROR(__xludf.DUMMYFUNCTION("""COMPUTED_VALUE"""),"B")</f>
        <v>B</v>
      </c>
      <c r="F275" s="26">
        <f>IFERROR(__xludf.DUMMYFUNCTION("""COMPUTED_VALUE"""),23.0)</f>
        <v>23</v>
      </c>
      <c r="G275" s="26" t="str">
        <f>IFERROR(__xludf.DUMMYFUNCTION("""COMPUTED_VALUE"""),"Wounded")</f>
        <v>Wounded</v>
      </c>
      <c r="H275" s="26" t="str">
        <f>IFERROR(__xludf.DUMMYFUNCTION("""COMPUTED_VALUE"""),"Firearm")</f>
        <v>Firearm</v>
      </c>
      <c r="I275" s="27" t="str">
        <f>IFERROR(__xludf.DUMMYFUNCTION("""COMPUTED_VALUE"""),"M")</f>
        <v>M</v>
      </c>
      <c r="J275" s="27" t="str">
        <f>IFERROR(__xludf.DUMMYFUNCTION("""COMPUTED_VALUE"""),"H")</f>
        <v>H</v>
      </c>
      <c r="K275" s="27">
        <f>IFERROR(__xludf.DUMMYFUNCTION("""COMPUTED_VALUE"""),23.0)</f>
        <v>23</v>
      </c>
      <c r="L275" s="27" t="str">
        <f>IFERROR(__xludf.DUMMYFUNCTION("""COMPUTED_VALUE"""),"None")</f>
        <v>None</v>
      </c>
      <c r="M275" s="27" t="str">
        <f>IFERROR(__xludf.DUMMYFUNCTION("""COMPUTED_VALUE"""),"Y")</f>
        <v>Y</v>
      </c>
      <c r="N275" s="24"/>
      <c r="O275" s="24"/>
      <c r="P275" s="28" t="str">
        <f>IFERROR(__xludf.DUMMYFUNCTION("""COMPUTED_VALUE"""),"Officers located a stolen vehilce, pursued it until it crashed. The driver fled on foot and firing a shot at another officer, who fired his weapon not striking the suspect. Suspect was apprehended with the aid a K-9 unit who after being kicked retaliated "&amp;"against the suspect.")</f>
        <v>Officers located a stolen vehilce, pursued it until it crashed. The driver fled on foot and firing a shot at another officer, who fired his weapon not striking the suspect. Suspect was apprehended with the aid a K-9 unit who after being kicked retaliated against the suspect.</v>
      </c>
      <c r="Q275" s="24"/>
      <c r="R275" s="24"/>
      <c r="S275" s="24"/>
      <c r="T275" s="24"/>
      <c r="U275" s="24"/>
      <c r="V275" s="24"/>
      <c r="W275" s="24"/>
      <c r="X275" s="24"/>
      <c r="Y275" s="24"/>
      <c r="Z275" s="24"/>
    </row>
    <row r="276" hidden="1">
      <c r="A276" s="29">
        <f>IFERROR(__xludf.DUMMYFUNCTION("""COMPUTED_VALUE"""),41655.0)</f>
        <v>41655</v>
      </c>
      <c r="B276" s="24">
        <f>IFERROR(__xludf.DUMMYFUNCTION("""COMPUTED_VALUE"""),6830214.0)</f>
        <v>6830214</v>
      </c>
      <c r="C276" s="24" t="str">
        <f>IFERROR(__xludf.DUMMYFUNCTION("""COMPUTED_VALUE"""),"5700 W LITTLE YORK RD")</f>
        <v>5700 W LITTLE YORK RD</v>
      </c>
      <c r="D276" s="26" t="str">
        <f>IFERROR(__xludf.DUMMYFUNCTION("""COMPUTED_VALUE"""),"M")</f>
        <v>M</v>
      </c>
      <c r="E276" s="26" t="str">
        <f>IFERROR(__xludf.DUMMYFUNCTION("""COMPUTED_VALUE"""),"B")</f>
        <v>B</v>
      </c>
      <c r="F276" s="26">
        <f>IFERROR(__xludf.DUMMYFUNCTION("""COMPUTED_VALUE"""),26.0)</f>
        <v>26</v>
      </c>
      <c r="G276" s="26" t="str">
        <f>IFERROR(__xludf.DUMMYFUNCTION("""COMPUTED_VALUE"""),"Killed")</f>
        <v>Killed</v>
      </c>
      <c r="H276" s="26" t="str">
        <f>IFERROR(__xludf.DUMMYFUNCTION("""COMPUTED_VALUE"""),"None")</f>
        <v>None</v>
      </c>
      <c r="I276" s="27" t="str">
        <f>IFERROR(__xludf.DUMMYFUNCTION("""COMPUTED_VALUE"""),"M")</f>
        <v>M</v>
      </c>
      <c r="J276" s="27" t="str">
        <f>IFERROR(__xludf.DUMMYFUNCTION("""COMPUTED_VALUE"""),"H")</f>
        <v>H</v>
      </c>
      <c r="K276" s="27">
        <f>IFERROR(__xludf.DUMMYFUNCTION("""COMPUTED_VALUE"""),34.0)</f>
        <v>34</v>
      </c>
      <c r="L276" s="27" t="str">
        <f>IFERROR(__xludf.DUMMYFUNCTION("""COMPUTED_VALUE"""),"None")</f>
        <v>None</v>
      </c>
      <c r="M276" s="27" t="str">
        <f>IFERROR(__xludf.DUMMYFUNCTION("""COMPUTED_VALUE"""),"N")</f>
        <v>N</v>
      </c>
      <c r="N276" s="24"/>
      <c r="O276" s="24"/>
      <c r="P276" s="24" t="str">
        <f>IFERROR(__xludf.DUMMYFUNCTION("""COMPUTED_VALUE"""),"Off-duty officer working an extra-job confronted a suspicious suspect looking in the windows of closed businesses. When the officer challenged the suspect, he ran around a dark corner and made a fertive motion. Officer believed he was in danger discharged"&amp;" his weapon killing the suspect.")</f>
        <v>Off-duty officer working an extra-job confronted a suspicious suspect looking in the windows of closed businesses. When the officer challenged the suspect, he ran around a dark corner and made a fertive motion. Officer believed he was in danger discharged his weapon killing the suspect.</v>
      </c>
      <c r="Q276" s="24"/>
      <c r="R276" s="24"/>
      <c r="S276" s="24"/>
      <c r="T276" s="24"/>
      <c r="U276" s="24"/>
      <c r="V276" s="24"/>
      <c r="W276" s="24"/>
      <c r="X276" s="24"/>
      <c r="Y276" s="24"/>
      <c r="Z276" s="24"/>
    </row>
    <row r="277" hidden="1">
      <c r="A277" s="29">
        <f>IFERROR(__xludf.DUMMYFUNCTION("""COMPUTED_VALUE"""),41652.0)</f>
        <v>41652</v>
      </c>
      <c r="B277" s="24">
        <f>IFERROR(__xludf.DUMMYFUNCTION("""COMPUTED_VALUE"""),5578914.0)</f>
        <v>5578914</v>
      </c>
      <c r="C277" s="24" t="str">
        <f>IFERROR(__xludf.DUMMYFUNCTION("""COMPUTED_VALUE"""),"08125 MILLS")</f>
        <v>08125 MILLS</v>
      </c>
      <c r="D277" s="26" t="str">
        <f>IFERROR(__xludf.DUMMYFUNCTION("""COMPUTED_VALUE"""),"M")</f>
        <v>M</v>
      </c>
      <c r="E277" s="26" t="str">
        <f>IFERROR(__xludf.DUMMYFUNCTION("""COMPUTED_VALUE"""),"W")</f>
        <v>W</v>
      </c>
      <c r="F277" s="26">
        <f>IFERROR(__xludf.DUMMYFUNCTION("""COMPUTED_VALUE"""),36.0)</f>
        <v>36</v>
      </c>
      <c r="G277" s="26" t="str">
        <f>IFERROR(__xludf.DUMMYFUNCTION("""COMPUTED_VALUE"""),"Wounded")</f>
        <v>Wounded</v>
      </c>
      <c r="H277" s="26" t="str">
        <f>IFERROR(__xludf.DUMMYFUNCTION("""COMPUTED_VALUE"""),"Knife")</f>
        <v>Knife</v>
      </c>
      <c r="I277" s="27" t="str">
        <f>IFERROR(__xludf.DUMMYFUNCTION("""COMPUTED_VALUE"""),"M")</f>
        <v>M</v>
      </c>
      <c r="J277" s="27" t="str">
        <f>IFERROR(__xludf.DUMMYFUNCTION("""COMPUTED_VALUE"""),"W")</f>
        <v>W</v>
      </c>
      <c r="K277" s="27">
        <f>IFERROR(__xludf.DUMMYFUNCTION("""COMPUTED_VALUE"""),28.0)</f>
        <v>28</v>
      </c>
      <c r="L277" s="27" t="str">
        <f>IFERROR(__xludf.DUMMYFUNCTION("""COMPUTED_VALUE"""),"None")</f>
        <v>None</v>
      </c>
      <c r="M277" s="27" t="str">
        <f>IFERROR(__xludf.DUMMYFUNCTION("""COMPUTED_VALUE"""),"Y")</f>
        <v>Y</v>
      </c>
      <c r="N277" s="24"/>
      <c r="O277" s="24"/>
      <c r="P277" s="28" t="str">
        <f>IFERROR(__xludf.DUMMYFUNCTION("""COMPUTED_VALUE"""),"Two patrol officers responded to a domestic distubance call at an apartment complex. Upon arrival, officers asked complainant questions regarding the distubance, before she could answer, suspect opened the door and charging at officers with a knife. Offic"&amp;"er discharged two time at suspect, suspect expected to suvive.")</f>
        <v>Two patrol officers responded to a domestic distubance call at an apartment complex. Upon arrival, officers asked complainant questions regarding the distubance, before she could answer, suspect opened the door and charging at officers with a knife. Officer discharged two time at suspect, suspect expected to suvive.</v>
      </c>
      <c r="Q277" s="24"/>
      <c r="R277" s="24"/>
      <c r="S277" s="24"/>
      <c r="T277" s="24"/>
      <c r="U277" s="24"/>
      <c r="V277" s="24"/>
      <c r="W277" s="24"/>
      <c r="X277" s="24"/>
      <c r="Y277" s="24"/>
      <c r="Z277" s="24"/>
    </row>
    <row r="278">
      <c r="A278" s="29">
        <f>IFERROR(__xludf.DUMMYFUNCTION("""COMPUTED_VALUE"""),41651.0)</f>
        <v>41651</v>
      </c>
      <c r="B278" s="24">
        <f>IFERROR(__xludf.DUMMYFUNCTION("""COMPUTED_VALUE"""),4732914.0)</f>
        <v>4732914</v>
      </c>
      <c r="C278" s="24" t="str">
        <f>IFERROR(__xludf.DUMMYFUNCTION("""COMPUTED_VALUE"""),"10516 KATY FWY OB")</f>
        <v>10516 KATY FWY OB</v>
      </c>
      <c r="D278" s="26" t="str">
        <f>IFERROR(__xludf.DUMMYFUNCTION("""COMPUTED_VALUE"""),"M")</f>
        <v>M</v>
      </c>
      <c r="E278" s="26" t="str">
        <f>IFERROR(__xludf.DUMMYFUNCTION("""COMPUTED_VALUE"""),"W")</f>
        <v>W</v>
      </c>
      <c r="F278" s="26">
        <f>IFERROR(__xludf.DUMMYFUNCTION("""COMPUTED_VALUE"""),22.0)</f>
        <v>22</v>
      </c>
      <c r="G278" s="26" t="str">
        <f>IFERROR(__xludf.DUMMYFUNCTION("""COMPUTED_VALUE"""),"None")</f>
        <v>None</v>
      </c>
      <c r="H278" s="26" t="str">
        <f>IFERROR(__xludf.DUMMYFUNCTION("""COMPUTED_VALUE"""),"Firearm")</f>
        <v>Firearm</v>
      </c>
      <c r="I278" s="27" t="str">
        <f>IFERROR(__xludf.DUMMYFUNCTION("""COMPUTED_VALUE"""),"M")</f>
        <v>M</v>
      </c>
      <c r="J278" s="27" t="str">
        <f>IFERROR(__xludf.DUMMYFUNCTION("""COMPUTED_VALUE"""),"H")</f>
        <v>H</v>
      </c>
      <c r="K278" s="27">
        <f>IFERROR(__xludf.DUMMYFUNCTION("""COMPUTED_VALUE"""),40.0)</f>
        <v>40</v>
      </c>
      <c r="L278" s="27" t="str">
        <f>IFERROR(__xludf.DUMMYFUNCTION("""COMPUTED_VALUE"""),"None")</f>
        <v>None</v>
      </c>
      <c r="M278" s="27" t="str">
        <f>IFERROR(__xludf.DUMMYFUNCTION("""COMPUTED_VALUE"""),"N")</f>
        <v>N</v>
      </c>
      <c r="N278" s="24"/>
      <c r="O278" s="24"/>
      <c r="P278" s="28" t="str">
        <f>IFERROR(__xludf.DUMMYFUNCTION("""COMPUTED_VALUE"""),"Two officers working a uniformed extra job responded to an on-viewed assault. Upon arriving at the vehicle where the assault occurred, one officer saw a pistol between he legs of the suspect who drove off and fired a single shot. The officer returned fire"&amp;"d and shortly afterwards the suspect was apprehended.")</f>
        <v>Two officers working a uniformed extra job responded to an on-viewed assault. Upon arriving at the vehicle where the assault occurred, one officer saw a pistol between he legs of the suspect who drove off and fired a single shot. The officer returned fired and shortly afterwards the suspect was apprehended.</v>
      </c>
      <c r="Q278" s="24"/>
      <c r="R278" s="24"/>
      <c r="S278" s="24"/>
      <c r="T278" s="24"/>
      <c r="U278" s="24"/>
      <c r="V278" s="24"/>
      <c r="W278" s="24"/>
      <c r="X278" s="24"/>
      <c r="Y278" s="24"/>
      <c r="Z278" s="24"/>
    </row>
    <row r="279">
      <c r="A279" s="29">
        <f>IFERROR(__xludf.DUMMYFUNCTION("""COMPUTED_VALUE"""),41634.0)</f>
        <v>41634</v>
      </c>
      <c r="B279" s="24">
        <f>IFERROR(__xludf.DUMMYFUNCTION("""COMPUTED_VALUE"""),1.60489413E8)</f>
        <v>160489413</v>
      </c>
      <c r="C279" s="24" t="str">
        <f>IFERROR(__xludf.DUMMYFUNCTION("""COMPUTED_VALUE"""),"12606 WESTPARK DR")</f>
        <v>12606 WESTPARK DR</v>
      </c>
      <c r="D279" s="26" t="str">
        <f>IFERROR(__xludf.DUMMYFUNCTION("""COMPUTED_VALUE"""),"M")</f>
        <v>M</v>
      </c>
      <c r="E279" s="26" t="str">
        <f>IFERROR(__xludf.DUMMYFUNCTION("""COMPUTED_VALUE"""),"B")</f>
        <v>B</v>
      </c>
      <c r="F279" s="26"/>
      <c r="G279" s="26" t="str">
        <f>IFERROR(__xludf.DUMMYFUNCTION("""COMPUTED_VALUE"""),"Unknown")</f>
        <v>Unknown</v>
      </c>
      <c r="H279" s="26" t="str">
        <f>IFERROR(__xludf.DUMMYFUNCTION("""COMPUTED_VALUE"""),"Vehicle")</f>
        <v>Vehicle</v>
      </c>
      <c r="I279" s="27" t="str">
        <f>IFERROR(__xludf.DUMMYFUNCTION("""COMPUTED_VALUE"""),"M")</f>
        <v>M</v>
      </c>
      <c r="J279" s="27" t="str">
        <f>IFERROR(__xludf.DUMMYFUNCTION("""COMPUTED_VALUE"""),"B")</f>
        <v>B</v>
      </c>
      <c r="K279" s="27">
        <f>IFERROR(__xludf.DUMMYFUNCTION("""COMPUTED_VALUE"""),41.0)</f>
        <v>41</v>
      </c>
      <c r="L279" s="27" t="str">
        <f>IFERROR(__xludf.DUMMYFUNCTION("""COMPUTED_VALUE"""),"None")</f>
        <v>None</v>
      </c>
      <c r="M279" s="27" t="str">
        <f>IFERROR(__xludf.DUMMYFUNCTION("""COMPUTED_VALUE"""),"Y")</f>
        <v>Y</v>
      </c>
      <c r="N279" s="24"/>
      <c r="O279" s="24"/>
      <c r="P279" s="28" t="str">
        <f>IFERROR(__xludf.DUMMYFUNCTION("""COMPUTED_VALUE"""),"The officer pulled into a parking lot and observed an unknown BM exiting the store carrying a box with store clerk in pursuit. The officer commanded the suspect to stop. The suspect was able to get into his vehicle and attempted to run over the officer. T"&amp;"he officer pulled his weapon and discharged twice at the suspect's vehicle. The suspect fled the scene. It unclear if the suspect was injured.")</f>
        <v>The officer pulled into a parking lot and observed an unknown BM exiting the store carrying a box with store clerk in pursuit. The officer commanded the suspect to stop. The suspect was able to get into his vehicle and attempted to run over the officer. The officer pulled his weapon and discharged twice at the suspect's vehicle. The suspect fled the scene. It unclear if the suspect was injured.</v>
      </c>
      <c r="Q279" s="24"/>
      <c r="R279" s="24"/>
      <c r="S279" s="24"/>
      <c r="T279" s="24"/>
      <c r="U279" s="24"/>
      <c r="V279" s="24"/>
      <c r="W279" s="24"/>
      <c r="X279" s="24"/>
      <c r="Y279" s="24"/>
      <c r="Z279" s="24"/>
    </row>
    <row r="280">
      <c r="A280" s="29">
        <f>IFERROR(__xludf.DUMMYFUNCTION("""COMPUTED_VALUE"""),41617.0)</f>
        <v>41617</v>
      </c>
      <c r="B280" s="24">
        <f>IFERROR(__xludf.DUMMYFUNCTION("""COMPUTED_VALUE"""),1.53332913E8)</f>
        <v>153332913</v>
      </c>
      <c r="C280" s="24" t="str">
        <f>IFERROR(__xludf.DUMMYFUNCTION("""COMPUTED_VALUE"""),"3528 N BRAESWOOD BLVD")</f>
        <v>3528 N BRAESWOOD BLVD</v>
      </c>
      <c r="D280" s="26" t="str">
        <f>IFERROR(__xludf.DUMMYFUNCTION("""COMPUTED_VALUE"""),"M")</f>
        <v>M</v>
      </c>
      <c r="E280" s="26" t="str">
        <f>IFERROR(__xludf.DUMMYFUNCTION("""COMPUTED_VALUE"""),"W")</f>
        <v>W</v>
      </c>
      <c r="F280" s="26">
        <f>IFERROR(__xludf.DUMMYFUNCTION("""COMPUTED_VALUE"""),30.0)</f>
        <v>30</v>
      </c>
      <c r="G280" s="26" t="str">
        <f>IFERROR(__xludf.DUMMYFUNCTION("""COMPUTED_VALUE"""),"None")</f>
        <v>None</v>
      </c>
      <c r="H280" s="26" t="str">
        <f>IFERROR(__xludf.DUMMYFUNCTION("""COMPUTED_VALUE"""),"None")</f>
        <v>None</v>
      </c>
      <c r="I280" s="27" t="str">
        <f>IFERROR(__xludf.DUMMYFUNCTION("""COMPUTED_VALUE"""),"M")</f>
        <v>M</v>
      </c>
      <c r="J280" s="27" t="str">
        <f>IFERROR(__xludf.DUMMYFUNCTION("""COMPUTED_VALUE"""),"W")</f>
        <v>W</v>
      </c>
      <c r="K280" s="27">
        <f>IFERROR(__xludf.DUMMYFUNCTION("""COMPUTED_VALUE"""),50.0)</f>
        <v>50</v>
      </c>
      <c r="L280" s="27" t="str">
        <f>IFERROR(__xludf.DUMMYFUNCTION("""COMPUTED_VALUE"""),"None")</f>
        <v>None</v>
      </c>
      <c r="M280" s="27" t="str">
        <f>IFERROR(__xludf.DUMMYFUNCTION("""COMPUTED_VALUE"""),"Y")</f>
        <v>Y</v>
      </c>
      <c r="N280" s="24"/>
      <c r="O280" s="24"/>
      <c r="P280" s="28" t="str">
        <f>IFERROR(__xludf.DUMMYFUNCTION("""COMPUTED_VALUE"""),"The suspect made forced entry into the complainants residence in an attempt to take several articles. The responding officer was charged by the suspect causing the officer to discharge his firearm one time, missing the suspect. The suspect was arrested an"&amp;"d charged.")</f>
        <v>The suspect made forced entry into the complainants residence in an attempt to take several articles. The responding officer was charged by the suspect causing the officer to discharge his firearm one time, missing the suspect. The suspect was arrested and charged.</v>
      </c>
      <c r="Q280" s="24"/>
      <c r="R280" s="24"/>
      <c r="S280" s="24"/>
      <c r="T280" s="24"/>
      <c r="U280" s="24"/>
      <c r="V280" s="24"/>
      <c r="W280" s="24"/>
      <c r="X280" s="24"/>
      <c r="Y280" s="24"/>
      <c r="Z280" s="24"/>
    </row>
    <row r="281">
      <c r="A281" s="29">
        <f>IFERROR(__xludf.DUMMYFUNCTION("""COMPUTED_VALUE"""),41609.0)</f>
        <v>41609</v>
      </c>
      <c r="B281" s="24">
        <f>IFERROR(__xludf.DUMMYFUNCTION("""COMPUTED_VALUE"""),1.49898913E8)</f>
        <v>149898913</v>
      </c>
      <c r="C281" s="24" t="str">
        <f>IFERROR(__xludf.DUMMYFUNCTION("""COMPUTED_VALUE"""),"7001 HILLCROFT")</f>
        <v>7001 HILLCROFT</v>
      </c>
      <c r="D281" s="26" t="str">
        <f>IFERROR(__xludf.DUMMYFUNCTION("""COMPUTED_VALUE"""),"M")</f>
        <v>M</v>
      </c>
      <c r="E281" s="26" t="str">
        <f>IFERROR(__xludf.DUMMYFUNCTION("""COMPUTED_VALUE"""),"H")</f>
        <v>H</v>
      </c>
      <c r="F281" s="26">
        <f>IFERROR(__xludf.DUMMYFUNCTION("""COMPUTED_VALUE"""),24.0)</f>
        <v>24</v>
      </c>
      <c r="G281" s="26" t="str">
        <f>IFERROR(__xludf.DUMMYFUNCTION("""COMPUTED_VALUE"""),"None")</f>
        <v>None</v>
      </c>
      <c r="H281" s="26" t="str">
        <f>IFERROR(__xludf.DUMMYFUNCTION("""COMPUTED_VALUE"""),"None")</f>
        <v>None</v>
      </c>
      <c r="I281" s="27" t="str">
        <f>IFERROR(__xludf.DUMMYFUNCTION("""COMPUTED_VALUE"""),"M")</f>
        <v>M</v>
      </c>
      <c r="J281" s="27" t="str">
        <f>IFERROR(__xludf.DUMMYFUNCTION("""COMPUTED_VALUE"""),"H")</f>
        <v>H</v>
      </c>
      <c r="K281" s="27">
        <f>IFERROR(__xludf.DUMMYFUNCTION("""COMPUTED_VALUE"""),28.0)</f>
        <v>28</v>
      </c>
      <c r="L281" s="27" t="str">
        <f>IFERROR(__xludf.DUMMYFUNCTION("""COMPUTED_VALUE"""),"None")</f>
        <v>None</v>
      </c>
      <c r="M281" s="27" t="str">
        <f>IFERROR(__xludf.DUMMYFUNCTION("""COMPUTED_VALUE"""),"Y")</f>
        <v>Y</v>
      </c>
      <c r="N281" s="24"/>
      <c r="O281" s="24"/>
      <c r="P281" s="28" t="str">
        <f>IFERROR(__xludf.DUMMYFUNCTION("""COMPUTED_VALUE"""),"An officer responded to an Assist the Officer call. The suspect was inside with the complainant and refused to exit the apartment. As an officer approached the back window it exploded outward putting the officer in fear of his life and fired into the apar"&amp;"tment. There were no injuries and suspect sent to a psychological center.")</f>
        <v>An officer responded to an Assist the Officer call. The suspect was inside with the complainant and refused to exit the apartment. As an officer approached the back window it exploded outward putting the officer in fear of his life and fired into the apartment. There were no injuries and suspect sent to a psychological center.</v>
      </c>
      <c r="Q281" s="24"/>
      <c r="R281" s="24"/>
      <c r="S281" s="24"/>
      <c r="T281" s="24"/>
      <c r="U281" s="24"/>
      <c r="V281" s="24"/>
      <c r="W281" s="24"/>
      <c r="X281" s="24"/>
      <c r="Y281" s="24"/>
      <c r="Z281" s="24"/>
    </row>
    <row r="282">
      <c r="A282" s="29">
        <f>IFERROR(__xludf.DUMMYFUNCTION("""COMPUTED_VALUE"""),41608.0)</f>
        <v>41608</v>
      </c>
      <c r="B282" s="24">
        <f>IFERROR(__xludf.DUMMYFUNCTION("""COMPUTED_VALUE"""),1.50207613E8)</f>
        <v>150207613</v>
      </c>
      <c r="C282" s="24" t="str">
        <f>IFERROR(__xludf.DUMMYFUNCTION("""COMPUTED_VALUE"""),"6800 MISTY MORNING TRACE")</f>
        <v>6800 MISTY MORNING TRACE</v>
      </c>
      <c r="D282" s="26" t="str">
        <f>IFERROR(__xludf.DUMMYFUNCTION("""COMPUTED_VALUE"""),"M")</f>
        <v>M</v>
      </c>
      <c r="E282" s="26" t="str">
        <f>IFERROR(__xludf.DUMMYFUNCTION("""COMPUTED_VALUE"""),"B")</f>
        <v>B</v>
      </c>
      <c r="F282" s="26">
        <f>IFERROR(__xludf.DUMMYFUNCTION("""COMPUTED_VALUE"""),18.0)</f>
        <v>18</v>
      </c>
      <c r="G282" s="26" t="str">
        <f>IFERROR(__xludf.DUMMYFUNCTION("""COMPUTED_VALUE"""),"None")</f>
        <v>None</v>
      </c>
      <c r="H282" s="26" t="str">
        <f>IFERROR(__xludf.DUMMYFUNCTION("""COMPUTED_VALUE"""),"None")</f>
        <v>None</v>
      </c>
      <c r="I282" s="27" t="str">
        <f>IFERROR(__xludf.DUMMYFUNCTION("""COMPUTED_VALUE"""),"M")</f>
        <v>M</v>
      </c>
      <c r="J282" s="27" t="str">
        <f>IFERROR(__xludf.DUMMYFUNCTION("""COMPUTED_VALUE"""),"H")</f>
        <v>H</v>
      </c>
      <c r="K282" s="27">
        <f>IFERROR(__xludf.DUMMYFUNCTION("""COMPUTED_VALUE"""),33.0)</f>
        <v>33</v>
      </c>
      <c r="L282" s="27" t="str">
        <f>IFERROR(__xludf.DUMMYFUNCTION("""COMPUTED_VALUE"""),"None")</f>
        <v>None</v>
      </c>
      <c r="M282" s="27" t="str">
        <f>IFERROR(__xludf.DUMMYFUNCTION("""COMPUTED_VALUE"""),"N")</f>
        <v>N</v>
      </c>
      <c r="N282" s="24"/>
      <c r="O282" s="24"/>
      <c r="P282" s="28" t="str">
        <f>IFERROR(__xludf.DUMMYFUNCTION("""COMPUTED_VALUE"""),"An off duty robbery officer shot at a car burglar at 0400 in Ft. Bend County. Multiple suspects were apprehended by Fort Bend County Sheriff's Deputies. There were no injuries.")</f>
        <v>An off duty robbery officer shot at a car burglar at 0400 in Ft. Bend County. Multiple suspects were apprehended by Fort Bend County Sheriff's Deputies. There were no injuries.</v>
      </c>
      <c r="Q282" s="24"/>
      <c r="R282" s="24"/>
      <c r="S282" s="24"/>
      <c r="T282" s="24"/>
      <c r="U282" s="24"/>
      <c r="V282" s="24"/>
      <c r="W282" s="24"/>
      <c r="X282" s="24"/>
      <c r="Y282" s="24"/>
      <c r="Z282" s="24"/>
    </row>
    <row r="283">
      <c r="A283" s="29"/>
      <c r="B283" s="24"/>
      <c r="C283" s="24"/>
      <c r="D283" s="26" t="str">
        <f>IFERROR(__xludf.DUMMYFUNCTION("""COMPUTED_VALUE"""),"M")</f>
        <v>M</v>
      </c>
      <c r="E283" s="26" t="str">
        <f>IFERROR(__xludf.DUMMYFUNCTION("""COMPUTED_VALUE"""),"H")</f>
        <v>H</v>
      </c>
      <c r="F283" s="26">
        <f>IFERROR(__xludf.DUMMYFUNCTION("""COMPUTED_VALUE"""),16.0)</f>
        <v>16</v>
      </c>
      <c r="G283" s="26" t="str">
        <f>IFERROR(__xludf.DUMMYFUNCTION("""COMPUTED_VALUE"""),"None")</f>
        <v>None</v>
      </c>
      <c r="H283" s="26" t="str">
        <f>IFERROR(__xludf.DUMMYFUNCTION("""COMPUTED_VALUE"""),"None")</f>
        <v>None</v>
      </c>
      <c r="I283" s="27"/>
      <c r="J283" s="27"/>
      <c r="K283" s="27"/>
      <c r="L283" s="27"/>
      <c r="M283" s="27"/>
      <c r="N283" s="24"/>
      <c r="O283" s="24"/>
      <c r="P283" s="28"/>
      <c r="Q283" s="24"/>
      <c r="R283" s="24"/>
      <c r="S283" s="24"/>
      <c r="T283" s="24"/>
      <c r="U283" s="24"/>
      <c r="V283" s="24"/>
      <c r="W283" s="24"/>
      <c r="X283" s="24"/>
      <c r="Y283" s="24"/>
      <c r="Z283" s="24"/>
    </row>
    <row r="284">
      <c r="A284" s="29"/>
      <c r="B284" s="24"/>
      <c r="C284" s="24"/>
      <c r="D284" s="26" t="str">
        <f>IFERROR(__xludf.DUMMYFUNCTION("""COMPUTED_VALUE"""),"M")</f>
        <v>M</v>
      </c>
      <c r="E284" s="26" t="str">
        <f>IFERROR(__xludf.DUMMYFUNCTION("""COMPUTED_VALUE"""),"H")</f>
        <v>H</v>
      </c>
      <c r="F284" s="26">
        <f>IFERROR(__xludf.DUMMYFUNCTION("""COMPUTED_VALUE"""),18.0)</f>
        <v>18</v>
      </c>
      <c r="G284" s="26" t="str">
        <f>IFERROR(__xludf.DUMMYFUNCTION("""COMPUTED_VALUE"""),"None")</f>
        <v>None</v>
      </c>
      <c r="H284" s="26" t="str">
        <f>IFERROR(__xludf.DUMMYFUNCTION("""COMPUTED_VALUE"""),"None")</f>
        <v>None</v>
      </c>
      <c r="I284" s="27"/>
      <c r="J284" s="27"/>
      <c r="K284" s="27"/>
      <c r="L284" s="27"/>
      <c r="M284" s="27"/>
      <c r="N284" s="24"/>
      <c r="O284" s="24"/>
      <c r="P284" s="28"/>
      <c r="Q284" s="24"/>
      <c r="R284" s="24"/>
      <c r="S284" s="24"/>
      <c r="T284" s="24"/>
      <c r="U284" s="24"/>
      <c r="V284" s="24"/>
      <c r="W284" s="24"/>
      <c r="X284" s="24"/>
      <c r="Y284" s="24"/>
      <c r="Z284" s="24"/>
    </row>
    <row r="285">
      <c r="A285" s="29"/>
      <c r="B285" s="24"/>
      <c r="C285" s="24"/>
      <c r="D285" s="26" t="str">
        <f>IFERROR(__xludf.DUMMYFUNCTION("""COMPUTED_VALUE"""),"M")</f>
        <v>M</v>
      </c>
      <c r="E285" s="26" t="str">
        <f>IFERROR(__xludf.DUMMYFUNCTION("""COMPUTED_VALUE"""),"H")</f>
        <v>H</v>
      </c>
      <c r="F285" s="26">
        <f>IFERROR(__xludf.DUMMYFUNCTION("""COMPUTED_VALUE"""),18.0)</f>
        <v>18</v>
      </c>
      <c r="G285" s="26" t="str">
        <f>IFERROR(__xludf.DUMMYFUNCTION("""COMPUTED_VALUE"""),"None")</f>
        <v>None</v>
      </c>
      <c r="H285" s="26" t="str">
        <f>IFERROR(__xludf.DUMMYFUNCTION("""COMPUTED_VALUE"""),"None")</f>
        <v>None</v>
      </c>
      <c r="I285" s="27"/>
      <c r="J285" s="27"/>
      <c r="K285" s="27"/>
      <c r="L285" s="27"/>
      <c r="M285" s="27"/>
      <c r="N285" s="24"/>
      <c r="O285" s="24"/>
      <c r="P285" s="28"/>
      <c r="Q285" s="24"/>
      <c r="R285" s="24"/>
      <c r="S285" s="24"/>
      <c r="T285" s="24"/>
      <c r="U285" s="24"/>
      <c r="V285" s="24"/>
      <c r="W285" s="24"/>
      <c r="X285" s="24"/>
      <c r="Y285" s="24"/>
      <c r="Z285" s="24"/>
    </row>
    <row r="286">
      <c r="A286" s="29"/>
      <c r="B286" s="24"/>
      <c r="C286" s="24"/>
      <c r="D286" s="26" t="str">
        <f>IFERROR(__xludf.DUMMYFUNCTION("""COMPUTED_VALUE"""),"M")</f>
        <v>M</v>
      </c>
      <c r="E286" s="26" t="str">
        <f>IFERROR(__xludf.DUMMYFUNCTION("""COMPUTED_VALUE"""),"H")</f>
        <v>H</v>
      </c>
      <c r="F286" s="26">
        <f>IFERROR(__xludf.DUMMYFUNCTION("""COMPUTED_VALUE"""),16.0)</f>
        <v>16</v>
      </c>
      <c r="G286" s="26" t="str">
        <f>IFERROR(__xludf.DUMMYFUNCTION("""COMPUTED_VALUE"""),"None")</f>
        <v>None</v>
      </c>
      <c r="H286" s="26" t="str">
        <f>IFERROR(__xludf.DUMMYFUNCTION("""COMPUTED_VALUE"""),"None")</f>
        <v>None</v>
      </c>
      <c r="I286" s="27"/>
      <c r="J286" s="27"/>
      <c r="K286" s="27"/>
      <c r="L286" s="27"/>
      <c r="M286" s="27"/>
      <c r="N286" s="24"/>
      <c r="O286" s="24"/>
      <c r="P286" s="28"/>
      <c r="Q286" s="24"/>
      <c r="R286" s="24"/>
      <c r="S286" s="24"/>
      <c r="T286" s="24"/>
      <c r="U286" s="24"/>
      <c r="V286" s="24"/>
      <c r="W286" s="24"/>
      <c r="X286" s="24"/>
      <c r="Y286" s="24"/>
      <c r="Z286" s="24"/>
    </row>
    <row r="287">
      <c r="A287" s="29"/>
      <c r="B287" s="24"/>
      <c r="C287" s="24"/>
      <c r="D287" s="26" t="str">
        <f>IFERROR(__xludf.DUMMYFUNCTION("""COMPUTED_VALUE"""),"M")</f>
        <v>M</v>
      </c>
      <c r="E287" s="26" t="str">
        <f>IFERROR(__xludf.DUMMYFUNCTION("""COMPUTED_VALUE"""),"B")</f>
        <v>B</v>
      </c>
      <c r="F287" s="26">
        <f>IFERROR(__xludf.DUMMYFUNCTION("""COMPUTED_VALUE"""),17.0)</f>
        <v>17</v>
      </c>
      <c r="G287" s="26" t="str">
        <f>IFERROR(__xludf.DUMMYFUNCTION("""COMPUTED_VALUE"""),"None")</f>
        <v>None</v>
      </c>
      <c r="H287" s="26" t="str">
        <f>IFERROR(__xludf.DUMMYFUNCTION("""COMPUTED_VALUE"""),"None")</f>
        <v>None</v>
      </c>
      <c r="I287" s="27"/>
      <c r="J287" s="27"/>
      <c r="K287" s="27"/>
      <c r="L287" s="27"/>
      <c r="M287" s="27"/>
      <c r="N287" s="24"/>
      <c r="O287" s="24"/>
      <c r="P287" s="28"/>
      <c r="Q287" s="24"/>
      <c r="R287" s="24"/>
      <c r="S287" s="24"/>
      <c r="T287" s="24"/>
      <c r="U287" s="24"/>
      <c r="V287" s="24"/>
      <c r="W287" s="24"/>
      <c r="X287" s="24"/>
      <c r="Y287" s="24"/>
      <c r="Z287" s="24"/>
    </row>
    <row r="288" hidden="1">
      <c r="A288" s="29">
        <f>IFERROR(__xludf.DUMMYFUNCTION("""COMPUTED_VALUE"""),41581.0)</f>
        <v>41581</v>
      </c>
      <c r="B288" s="24">
        <f>IFERROR(__xludf.DUMMYFUNCTION("""COMPUTED_VALUE"""),1.37943813E8)</f>
        <v>137943813</v>
      </c>
      <c r="C288" s="24" t="str">
        <f>IFERROR(__xludf.DUMMYFUNCTION("""COMPUTED_VALUE"""),"14001 FONDREN RD")</f>
        <v>14001 FONDREN RD</v>
      </c>
      <c r="D288" s="26" t="str">
        <f>IFERROR(__xludf.DUMMYFUNCTION("""COMPUTED_VALUE"""),"M")</f>
        <v>M</v>
      </c>
      <c r="E288" s="26" t="str">
        <f>IFERROR(__xludf.DUMMYFUNCTION("""COMPUTED_VALUE"""),"B")</f>
        <v>B</v>
      </c>
      <c r="F288" s="26">
        <f>IFERROR(__xludf.DUMMYFUNCTION("""COMPUTED_VALUE"""),17.0)</f>
        <v>17</v>
      </c>
      <c r="G288" s="26" t="str">
        <f>IFERROR(__xludf.DUMMYFUNCTION("""COMPUTED_VALUE"""),"Wounded")</f>
        <v>Wounded</v>
      </c>
      <c r="H288" s="26" t="str">
        <f>IFERROR(__xludf.DUMMYFUNCTION("""COMPUTED_VALUE"""),"Firearm")</f>
        <v>Firearm</v>
      </c>
      <c r="I288" s="27" t="str">
        <f>IFERROR(__xludf.DUMMYFUNCTION("""COMPUTED_VALUE"""),"M")</f>
        <v>M</v>
      </c>
      <c r="J288" s="27" t="str">
        <f>IFERROR(__xludf.DUMMYFUNCTION("""COMPUTED_VALUE"""),"H")</f>
        <v>H</v>
      </c>
      <c r="K288" s="27">
        <f>IFERROR(__xludf.DUMMYFUNCTION("""COMPUTED_VALUE"""),36.0)</f>
        <v>36</v>
      </c>
      <c r="L288" s="27" t="str">
        <f>IFERROR(__xludf.DUMMYFUNCTION("""COMPUTED_VALUE"""),"None")</f>
        <v>None</v>
      </c>
      <c r="M288" s="27" t="str">
        <f>IFERROR(__xludf.DUMMYFUNCTION("""COMPUTED_VALUE"""),"Y")</f>
        <v>Y</v>
      </c>
      <c r="N288" s="24"/>
      <c r="O288" s="24"/>
      <c r="P288" s="28" t="str">
        <f>IFERROR(__xludf.DUMMYFUNCTION("""COMPUTED_VALUE"""),"The suspect was observed driving a reportedly stolen vehicle during the course of apprehension, the suspect refused verbal commands and attempted to extricate the officer's duty weapon. In response the officer discharged his weapon at the suspect striking"&amp;" him on the left side.")</f>
        <v>The suspect was observed driving a reportedly stolen vehicle during the course of apprehension, the suspect refused verbal commands and attempted to extricate the officer's duty weapon. In response the officer discharged his weapon at the suspect striking him on the left side.</v>
      </c>
      <c r="Q288" s="24"/>
      <c r="R288" s="24"/>
      <c r="S288" s="24"/>
      <c r="T288" s="24"/>
      <c r="U288" s="24"/>
      <c r="V288" s="24"/>
      <c r="W288" s="24"/>
      <c r="X288" s="24"/>
      <c r="Y288" s="24"/>
      <c r="Z288" s="24"/>
    </row>
    <row r="289" hidden="1">
      <c r="A289" s="29">
        <f>IFERROR(__xludf.DUMMYFUNCTION("""COMPUTED_VALUE"""),41571.0)</f>
        <v>41571</v>
      </c>
      <c r="B289" s="24">
        <f>IFERROR(__xludf.DUMMYFUNCTION("""COMPUTED_VALUE"""),1.33633813E8)</f>
        <v>133633813</v>
      </c>
      <c r="C289" s="24" t="str">
        <f>IFERROR(__xludf.DUMMYFUNCTION("""COMPUTED_VALUE"""),"10225 SCOTT")</f>
        <v>10225 SCOTT</v>
      </c>
      <c r="D289" s="26" t="str">
        <f>IFERROR(__xludf.DUMMYFUNCTION("""COMPUTED_VALUE"""),"M")</f>
        <v>M</v>
      </c>
      <c r="E289" s="26" t="str">
        <f>IFERROR(__xludf.DUMMYFUNCTION("""COMPUTED_VALUE"""),"B")</f>
        <v>B</v>
      </c>
      <c r="F289" s="26">
        <f>IFERROR(__xludf.DUMMYFUNCTION("""COMPUTED_VALUE"""),22.0)</f>
        <v>22</v>
      </c>
      <c r="G289" s="26" t="str">
        <f>IFERROR(__xludf.DUMMYFUNCTION("""COMPUTED_VALUE"""),"Killed")</f>
        <v>Killed</v>
      </c>
      <c r="H289" s="26" t="str">
        <f>IFERROR(__xludf.DUMMYFUNCTION("""COMPUTED_VALUE"""),"Knife")</f>
        <v>Knife</v>
      </c>
      <c r="I289" s="27" t="str">
        <f>IFERROR(__xludf.DUMMYFUNCTION("""COMPUTED_VALUE"""),"M")</f>
        <v>M</v>
      </c>
      <c r="J289" s="27" t="str">
        <f>IFERROR(__xludf.DUMMYFUNCTION("""COMPUTED_VALUE"""),"H")</f>
        <v>H</v>
      </c>
      <c r="K289" s="27">
        <f>IFERROR(__xludf.DUMMYFUNCTION("""COMPUTED_VALUE"""),22.0)</f>
        <v>22</v>
      </c>
      <c r="L289" s="27" t="str">
        <f>IFERROR(__xludf.DUMMYFUNCTION("""COMPUTED_VALUE"""),"None")</f>
        <v>None</v>
      </c>
      <c r="M289" s="27" t="str">
        <f>IFERROR(__xludf.DUMMYFUNCTION("""COMPUTED_VALUE"""),"Y")</f>
        <v>Y</v>
      </c>
      <c r="N289" s="24"/>
      <c r="O289" s="24"/>
      <c r="P289" s="24" t="str">
        <f>IFERROR(__xludf.DUMMYFUNCTION("""COMPUTED_VALUE"""),"Suspect ignored officer's commands to drop the knife. Suspect attempted to stab a female and an officer in fear of the complainant's life shot and killed the suspect.")</f>
        <v>Suspect ignored officer's commands to drop the knife. Suspect attempted to stab a female and an officer in fear of the complainant's life shot and killed the suspect.</v>
      </c>
      <c r="Q289" s="24"/>
      <c r="R289" s="24"/>
      <c r="S289" s="24"/>
      <c r="T289" s="24"/>
      <c r="U289" s="24"/>
      <c r="V289" s="24"/>
      <c r="W289" s="24"/>
      <c r="X289" s="24"/>
      <c r="Y289" s="24"/>
      <c r="Z289" s="24"/>
    </row>
    <row r="290" hidden="1">
      <c r="A290" s="29">
        <f>IFERROR(__xludf.DUMMYFUNCTION("""COMPUTED_VALUE"""),41547.0)</f>
        <v>41547</v>
      </c>
      <c r="B290" s="24">
        <f>IFERROR(__xludf.DUMMYFUNCTION("""COMPUTED_VALUE"""),1.22668913E8)</f>
        <v>122668913</v>
      </c>
      <c r="C290" s="24" t="str">
        <f>IFERROR(__xludf.DUMMYFUNCTION("""COMPUTED_VALUE"""),"6060 GULFTON")</f>
        <v>6060 GULFTON</v>
      </c>
      <c r="D290" s="26" t="str">
        <f>IFERROR(__xludf.DUMMYFUNCTION("""COMPUTED_VALUE"""),"M")</f>
        <v>M</v>
      </c>
      <c r="E290" s="26" t="str">
        <f>IFERROR(__xludf.DUMMYFUNCTION("""COMPUTED_VALUE"""),"W")</f>
        <v>W</v>
      </c>
      <c r="F290" s="26">
        <f>IFERROR(__xludf.DUMMYFUNCTION("""COMPUTED_VALUE"""),25.0)</f>
        <v>25</v>
      </c>
      <c r="G290" s="26" t="str">
        <f>IFERROR(__xludf.DUMMYFUNCTION("""COMPUTED_VALUE"""),"Wounded")</f>
        <v>Wounded</v>
      </c>
      <c r="H290" s="26" t="str">
        <f>IFERROR(__xludf.DUMMYFUNCTION("""COMPUTED_VALUE"""),"Glass Shard")</f>
        <v>Glass Shard</v>
      </c>
      <c r="I290" s="27" t="str">
        <f>IFERROR(__xludf.DUMMYFUNCTION("""COMPUTED_VALUE"""),"M")</f>
        <v>M</v>
      </c>
      <c r="J290" s="27" t="str">
        <f>IFERROR(__xludf.DUMMYFUNCTION("""COMPUTED_VALUE"""),"W")</f>
        <v>W</v>
      </c>
      <c r="K290" s="27">
        <f>IFERROR(__xludf.DUMMYFUNCTION("""COMPUTED_VALUE"""),53.0)</f>
        <v>53</v>
      </c>
      <c r="L290" s="27" t="str">
        <f>IFERROR(__xludf.DUMMYFUNCTION("""COMPUTED_VALUE"""),"None")</f>
        <v>None</v>
      </c>
      <c r="M290" s="27" t="str">
        <f>IFERROR(__xludf.DUMMYFUNCTION("""COMPUTED_VALUE"""),"Y")</f>
        <v>Y</v>
      </c>
      <c r="N290" s="24"/>
      <c r="O290" s="24"/>
      <c r="P290" s="28" t="str">
        <f>IFERROR(__xludf.DUMMYFUNCTION("""COMPUTED_VALUE"""),"Suspect dives outside of a house through a window and refuses to comply with officer's commands. The suspect charges the officer with a glass shard in hand. The officer in fear for his life shoots the suspect twice. The suspect is hospitalized but expecte"&amp;"d to survive.")</f>
        <v>Suspect dives outside of a house through a window and refuses to comply with officer's commands. The suspect charges the officer with a glass shard in hand. The officer in fear for his life shoots the suspect twice. The suspect is hospitalized but expected to survive.</v>
      </c>
      <c r="Q290" s="24"/>
      <c r="R290" s="24"/>
      <c r="S290" s="24"/>
      <c r="T290" s="24"/>
      <c r="U290" s="24"/>
      <c r="V290" s="24"/>
      <c r="W290" s="24"/>
      <c r="X290" s="24"/>
      <c r="Y290" s="24"/>
      <c r="Z290" s="24"/>
    </row>
    <row r="291" hidden="1">
      <c r="A291" s="29">
        <f>IFERROR(__xludf.DUMMYFUNCTION("""COMPUTED_VALUE"""),41543.0)</f>
        <v>41543</v>
      </c>
      <c r="B291" s="24">
        <f>IFERROR(__xludf.DUMMYFUNCTION("""COMPUTED_VALUE"""),1.20839113E8)</f>
        <v>120839113</v>
      </c>
      <c r="C291" s="24" t="str">
        <f>IFERROR(__xludf.DUMMYFUNCTION("""COMPUTED_VALUE"""),"2600 HADLEY ST")</f>
        <v>2600 HADLEY ST</v>
      </c>
      <c r="D291" s="26" t="str">
        <f>IFERROR(__xludf.DUMMYFUNCTION("""COMPUTED_VALUE"""),"M")</f>
        <v>M</v>
      </c>
      <c r="E291" s="26" t="str">
        <f>IFERROR(__xludf.DUMMYFUNCTION("""COMPUTED_VALUE"""),"B")</f>
        <v>B</v>
      </c>
      <c r="F291" s="26">
        <f>IFERROR(__xludf.DUMMYFUNCTION("""COMPUTED_VALUE"""),24.0)</f>
        <v>24</v>
      </c>
      <c r="G291" s="26" t="str">
        <f>IFERROR(__xludf.DUMMYFUNCTION("""COMPUTED_VALUE"""),"Wounded")</f>
        <v>Wounded</v>
      </c>
      <c r="H291" s="26" t="str">
        <f>IFERROR(__xludf.DUMMYFUNCTION("""COMPUTED_VALUE"""),"Firearm")</f>
        <v>Firearm</v>
      </c>
      <c r="I291" s="27" t="str">
        <f>IFERROR(__xludf.DUMMYFUNCTION("""COMPUTED_VALUE"""),"M")</f>
        <v>M</v>
      </c>
      <c r="J291" s="27" t="str">
        <f>IFERROR(__xludf.DUMMYFUNCTION("""COMPUTED_VALUE"""),"B")</f>
        <v>B</v>
      </c>
      <c r="K291" s="27">
        <f>IFERROR(__xludf.DUMMYFUNCTION("""COMPUTED_VALUE"""),28.0)</f>
        <v>28</v>
      </c>
      <c r="L291" s="27" t="str">
        <f>IFERROR(__xludf.DUMMYFUNCTION("""COMPUTED_VALUE"""),"None")</f>
        <v>None</v>
      </c>
      <c r="M291" s="27" t="str">
        <f>IFERROR(__xludf.DUMMYFUNCTION("""COMPUTED_VALUE"""),"Y")</f>
        <v>Y</v>
      </c>
      <c r="N291" s="24"/>
      <c r="O291" s="24"/>
      <c r="P291" s="28" t="str">
        <f>IFERROR(__xludf.DUMMYFUNCTION("""COMPUTED_VALUE"""),"HPD officers patrolling 10 District observed two suspects walking in the street where a sidewalk was provided. When the officers attempted to stop the suspects they fled capture by running in different directions. One suspect produced a weapon and was sho"&amp;"t by the officer.")</f>
        <v>HPD officers patrolling 10 District observed two suspects walking in the street where a sidewalk was provided. When the officers attempted to stop the suspects they fled capture by running in different directions. One suspect produced a weapon and was shot by the officer.</v>
      </c>
      <c r="Q291" s="24"/>
      <c r="R291" s="24"/>
      <c r="S291" s="24"/>
      <c r="T291" s="24"/>
      <c r="U291" s="24"/>
      <c r="V291" s="24"/>
      <c r="W291" s="24"/>
      <c r="X291" s="24"/>
      <c r="Y291" s="24"/>
      <c r="Z291" s="24"/>
    </row>
    <row r="292">
      <c r="A292" s="29"/>
      <c r="B292" s="24"/>
      <c r="C292" s="24"/>
      <c r="D292" s="26" t="str">
        <f>IFERROR(__xludf.DUMMYFUNCTION("""COMPUTED_VALUE"""),"M")</f>
        <v>M</v>
      </c>
      <c r="E292" s="26" t="str">
        <f>IFERROR(__xludf.DUMMYFUNCTION("""COMPUTED_VALUE"""),"B")</f>
        <v>B</v>
      </c>
      <c r="F292" s="26">
        <f>IFERROR(__xludf.DUMMYFUNCTION("""COMPUTED_VALUE"""),20.0)</f>
        <v>20</v>
      </c>
      <c r="G292" s="26" t="str">
        <f>IFERROR(__xludf.DUMMYFUNCTION("""COMPUTED_VALUE"""),"None")</f>
        <v>None</v>
      </c>
      <c r="H292" s="26" t="str">
        <f>IFERROR(__xludf.DUMMYFUNCTION("""COMPUTED_VALUE"""),"Firearm")</f>
        <v>Firearm</v>
      </c>
      <c r="I292" s="27"/>
      <c r="J292" s="27"/>
      <c r="K292" s="27"/>
      <c r="L292" s="27"/>
      <c r="M292" s="27"/>
      <c r="N292" s="24"/>
      <c r="O292" s="24"/>
      <c r="P292" s="28"/>
      <c r="Q292" s="24"/>
      <c r="R292" s="24"/>
      <c r="S292" s="24"/>
      <c r="T292" s="24"/>
      <c r="U292" s="24"/>
      <c r="V292" s="24"/>
      <c r="W292" s="24"/>
      <c r="X292" s="24"/>
      <c r="Y292" s="24"/>
      <c r="Z292" s="24"/>
    </row>
    <row r="293" hidden="1">
      <c r="A293" s="29">
        <f>IFERROR(__xludf.DUMMYFUNCTION("""COMPUTED_VALUE"""),41542.0)</f>
        <v>41542</v>
      </c>
      <c r="B293" s="24">
        <f>IFERROR(__xludf.DUMMYFUNCTION("""COMPUTED_VALUE"""),1.20421213E8)</f>
        <v>120421213</v>
      </c>
      <c r="C293" s="24" t="str">
        <f>IFERROR(__xludf.DUMMYFUNCTION("""COMPUTED_VALUE"""),"00000 OUTSIDE")</f>
        <v>00000 OUTSIDE</v>
      </c>
      <c r="D293" s="26" t="str">
        <f>IFERROR(__xludf.DUMMYFUNCTION("""COMPUTED_VALUE"""),"M")</f>
        <v>M</v>
      </c>
      <c r="E293" s="26" t="str">
        <f>IFERROR(__xludf.DUMMYFUNCTION("""COMPUTED_VALUE"""),"H")</f>
        <v>H</v>
      </c>
      <c r="F293" s="26">
        <f>IFERROR(__xludf.DUMMYFUNCTION("""COMPUTED_VALUE"""),55.0)</f>
        <v>55</v>
      </c>
      <c r="G293" s="26" t="str">
        <f>IFERROR(__xludf.DUMMYFUNCTION("""COMPUTED_VALUE"""),"Killed")</f>
        <v>Killed</v>
      </c>
      <c r="H293" s="26" t="str">
        <f>IFERROR(__xludf.DUMMYFUNCTION("""COMPUTED_VALUE"""),"Firearm")</f>
        <v>Firearm</v>
      </c>
      <c r="I293" s="27" t="str">
        <f>IFERROR(__xludf.DUMMYFUNCTION("""COMPUTED_VALUE"""),"M")</f>
        <v>M</v>
      </c>
      <c r="J293" s="27" t="str">
        <f>IFERROR(__xludf.DUMMYFUNCTION("""COMPUTED_VALUE"""),"W")</f>
        <v>W</v>
      </c>
      <c r="K293" s="27">
        <f>IFERROR(__xludf.DUMMYFUNCTION("""COMPUTED_VALUE"""),50.0)</f>
        <v>50</v>
      </c>
      <c r="L293" s="27" t="str">
        <f>IFERROR(__xludf.DUMMYFUNCTION("""COMPUTED_VALUE"""),"None")</f>
        <v>None</v>
      </c>
      <c r="M293" s="27" t="str">
        <f>IFERROR(__xludf.DUMMYFUNCTION("""COMPUTED_VALUE"""),"Y")</f>
        <v>Y</v>
      </c>
      <c r="N293" s="24"/>
      <c r="O293" s="24"/>
      <c r="P293" s="24" t="str">
        <f>IFERROR(__xludf.DUMMYFUNCTION("""COMPUTED_VALUE"""),"HPD SWAT officers were assisting HPD Narcotic Officers execute a search warrant. The suspect was shot and killed during the no-knock warrant entry after the suspect pointed a firearm at the officers.")</f>
        <v>HPD SWAT officers were assisting HPD Narcotic Officers execute a search warrant. The suspect was shot and killed during the no-knock warrant entry after the suspect pointed a firearm at the officers.</v>
      </c>
      <c r="Q293" s="24"/>
      <c r="R293" s="24"/>
      <c r="S293" s="24"/>
      <c r="T293" s="24"/>
      <c r="U293" s="24"/>
      <c r="V293" s="24"/>
      <c r="W293" s="24"/>
      <c r="X293" s="24"/>
      <c r="Y293" s="24"/>
      <c r="Z293" s="24"/>
    </row>
    <row r="294" hidden="1">
      <c r="A294" s="29">
        <f>IFERROR(__xludf.DUMMYFUNCTION("""COMPUTED_VALUE"""),41530.0)</f>
        <v>41530</v>
      </c>
      <c r="B294" s="24">
        <f>IFERROR(__xludf.DUMMYFUNCTION("""COMPUTED_VALUE"""),1.15266113E8)</f>
        <v>115266113</v>
      </c>
      <c r="C294" s="24" t="str">
        <f>IFERROR(__xludf.DUMMYFUNCTION("""COMPUTED_VALUE"""),"13600 EAST FWY OB")</f>
        <v>13600 EAST FWY OB</v>
      </c>
      <c r="D294" s="26" t="str">
        <f>IFERROR(__xludf.DUMMYFUNCTION("""COMPUTED_VALUE"""),"M")</f>
        <v>M</v>
      </c>
      <c r="E294" s="26" t="str">
        <f>IFERROR(__xludf.DUMMYFUNCTION("""COMPUTED_VALUE"""),"H")</f>
        <v>H</v>
      </c>
      <c r="F294" s="26">
        <f>IFERROR(__xludf.DUMMYFUNCTION("""COMPUTED_VALUE"""),23.0)</f>
        <v>23</v>
      </c>
      <c r="G294" s="26" t="str">
        <f>IFERROR(__xludf.DUMMYFUNCTION("""COMPUTED_VALUE"""),"Wounded")</f>
        <v>Wounded</v>
      </c>
      <c r="H294" s="26" t="str">
        <f>IFERROR(__xludf.DUMMYFUNCTION("""COMPUTED_VALUE"""),"Firearm")</f>
        <v>Firearm</v>
      </c>
      <c r="I294" s="27" t="str">
        <f>IFERROR(__xludf.DUMMYFUNCTION("""COMPUTED_VALUE"""),"M")</f>
        <v>M</v>
      </c>
      <c r="J294" s="27" t="str">
        <f>IFERROR(__xludf.DUMMYFUNCTION("""COMPUTED_VALUE"""),"H")</f>
        <v>H</v>
      </c>
      <c r="K294" s="27">
        <f>IFERROR(__xludf.DUMMYFUNCTION("""COMPUTED_VALUE"""),52.0)</f>
        <v>52</v>
      </c>
      <c r="L294" s="27" t="str">
        <f>IFERROR(__xludf.DUMMYFUNCTION("""COMPUTED_VALUE"""),"None")</f>
        <v>None</v>
      </c>
      <c r="M294" s="27" t="str">
        <f>IFERROR(__xludf.DUMMYFUNCTION("""COMPUTED_VALUE"""),"Y")</f>
        <v>Y</v>
      </c>
      <c r="N294" s="24"/>
      <c r="O294" s="24"/>
      <c r="P294" s="28" t="str">
        <f>IFERROR(__xludf.DUMMYFUNCTION("""COMPUTED_VALUE"""),"Officers were investigating BMVs, one suspect attempted to evade arrest by jumping into the suspect's vehicle and at a high rate of speed left the road way crashing the stolen vehicle. The suspect fled on foot, pointing his weapon at pursing officers. Off"&amp;"icers fired at and wounded the suspect. No HPD officers were injured.")</f>
        <v>Officers were investigating BMVs, one suspect attempted to evade arrest by jumping into the suspect's vehicle and at a high rate of speed left the road way crashing the stolen vehicle. The suspect fled on foot, pointing his weapon at pursing officers. Officers fired at and wounded the suspect. No HPD officers were injured.</v>
      </c>
      <c r="Q294" s="24"/>
      <c r="R294" s="24"/>
      <c r="S294" s="24"/>
      <c r="T294" s="24"/>
      <c r="U294" s="24"/>
      <c r="V294" s="24"/>
      <c r="W294" s="24"/>
      <c r="X294" s="24"/>
      <c r="Y294" s="24"/>
      <c r="Z294" s="24"/>
    </row>
    <row r="295">
      <c r="A295" s="29"/>
      <c r="B295" s="24"/>
      <c r="C295" s="24"/>
      <c r="D295" s="26" t="str">
        <f>IFERROR(__xludf.DUMMYFUNCTION("""COMPUTED_VALUE"""),"M")</f>
        <v>M</v>
      </c>
      <c r="E295" s="26" t="str">
        <f>IFERROR(__xludf.DUMMYFUNCTION("""COMPUTED_VALUE"""),"H")</f>
        <v>H</v>
      </c>
      <c r="F295" s="26">
        <f>IFERROR(__xludf.DUMMYFUNCTION("""COMPUTED_VALUE"""),17.0)</f>
        <v>17</v>
      </c>
      <c r="G295" s="26" t="str">
        <f>IFERROR(__xludf.DUMMYFUNCTION("""COMPUTED_VALUE"""),"None")</f>
        <v>None</v>
      </c>
      <c r="H295" s="26" t="str">
        <f>IFERROR(__xludf.DUMMYFUNCTION("""COMPUTED_VALUE"""),"None")</f>
        <v>None</v>
      </c>
      <c r="I295" s="27"/>
      <c r="J295" s="27"/>
      <c r="K295" s="27"/>
      <c r="L295" s="27"/>
      <c r="M295" s="27"/>
      <c r="N295" s="24"/>
      <c r="O295" s="24"/>
      <c r="P295" s="28"/>
      <c r="Q295" s="24"/>
      <c r="R295" s="24"/>
      <c r="S295" s="24"/>
      <c r="T295" s="24"/>
      <c r="U295" s="24"/>
      <c r="V295" s="24"/>
      <c r="W295" s="24"/>
      <c r="X295" s="24"/>
      <c r="Y295" s="24"/>
      <c r="Z295" s="24"/>
    </row>
    <row r="296">
      <c r="A296" s="29"/>
      <c r="B296" s="24"/>
      <c r="C296" s="24"/>
      <c r="D296" s="26" t="str">
        <f>IFERROR(__xludf.DUMMYFUNCTION("""COMPUTED_VALUE"""),"M")</f>
        <v>M</v>
      </c>
      <c r="E296" s="26" t="str">
        <f>IFERROR(__xludf.DUMMYFUNCTION("""COMPUTED_VALUE"""),"H")</f>
        <v>H</v>
      </c>
      <c r="F296" s="26">
        <f>IFERROR(__xludf.DUMMYFUNCTION("""COMPUTED_VALUE"""),17.0)</f>
        <v>17</v>
      </c>
      <c r="G296" s="26" t="str">
        <f>IFERROR(__xludf.DUMMYFUNCTION("""COMPUTED_VALUE"""),"None")</f>
        <v>None</v>
      </c>
      <c r="H296" s="26" t="str">
        <f>IFERROR(__xludf.DUMMYFUNCTION("""COMPUTED_VALUE"""),"None")</f>
        <v>None</v>
      </c>
      <c r="I296" s="27"/>
      <c r="J296" s="27"/>
      <c r="K296" s="27"/>
      <c r="L296" s="27"/>
      <c r="M296" s="27"/>
      <c r="N296" s="24"/>
      <c r="O296" s="24"/>
      <c r="P296" s="28"/>
      <c r="Q296" s="24"/>
      <c r="R296" s="24"/>
      <c r="S296" s="24"/>
      <c r="T296" s="24"/>
      <c r="U296" s="24"/>
      <c r="V296" s="24"/>
      <c r="W296" s="24"/>
      <c r="X296" s="24"/>
      <c r="Y296" s="24"/>
      <c r="Z296" s="24"/>
    </row>
    <row r="297">
      <c r="A297" s="29"/>
      <c r="B297" s="24"/>
      <c r="C297" s="24"/>
      <c r="D297" s="26" t="str">
        <f>IFERROR(__xludf.DUMMYFUNCTION("""COMPUTED_VALUE"""),"M")</f>
        <v>M</v>
      </c>
      <c r="E297" s="26" t="str">
        <f>IFERROR(__xludf.DUMMYFUNCTION("""COMPUTED_VALUE"""),"H")</f>
        <v>H</v>
      </c>
      <c r="F297" s="26">
        <f>IFERROR(__xludf.DUMMYFUNCTION("""COMPUTED_VALUE"""),23.0)</f>
        <v>23</v>
      </c>
      <c r="G297" s="26" t="str">
        <f>IFERROR(__xludf.DUMMYFUNCTION("""COMPUTED_VALUE"""),"None")</f>
        <v>None</v>
      </c>
      <c r="H297" s="26" t="str">
        <f>IFERROR(__xludf.DUMMYFUNCTION("""COMPUTED_VALUE"""),"None")</f>
        <v>None</v>
      </c>
      <c r="I297" s="27"/>
      <c r="J297" s="27"/>
      <c r="K297" s="27"/>
      <c r="L297" s="27"/>
      <c r="M297" s="27"/>
      <c r="N297" s="24"/>
      <c r="O297" s="24"/>
      <c r="P297" s="28"/>
      <c r="Q297" s="24"/>
      <c r="R297" s="24"/>
      <c r="S297" s="24"/>
      <c r="T297" s="24"/>
      <c r="U297" s="24"/>
      <c r="V297" s="24"/>
      <c r="W297" s="24"/>
      <c r="X297" s="24"/>
      <c r="Y297" s="24"/>
      <c r="Z297" s="24"/>
    </row>
    <row r="298" hidden="1">
      <c r="A298" s="29">
        <f>IFERROR(__xludf.DUMMYFUNCTION("""COMPUTED_VALUE"""),41526.0)</f>
        <v>41526</v>
      </c>
      <c r="B298" s="24">
        <f>IFERROR(__xludf.DUMMYFUNCTION("""COMPUTED_VALUE"""),1.13255013E8)</f>
        <v>113255013</v>
      </c>
      <c r="C298" s="24" t="str">
        <f>IFERROR(__xludf.DUMMYFUNCTION("""COMPUTED_VALUE"""),"2000 ALLEN PKWY OB")</f>
        <v>2000 ALLEN PKWY OB</v>
      </c>
      <c r="D298" s="26" t="str">
        <f>IFERROR(__xludf.DUMMYFUNCTION("""COMPUTED_VALUE"""),"M")</f>
        <v>M</v>
      </c>
      <c r="E298" s="26" t="str">
        <f>IFERROR(__xludf.DUMMYFUNCTION("""COMPUTED_VALUE"""),"W")</f>
        <v>W</v>
      </c>
      <c r="F298" s="26">
        <f>IFERROR(__xludf.DUMMYFUNCTION("""COMPUTED_VALUE"""),27.0)</f>
        <v>27</v>
      </c>
      <c r="G298" s="26" t="str">
        <f>IFERROR(__xludf.DUMMYFUNCTION("""COMPUTED_VALUE"""),"Killed")</f>
        <v>Killed</v>
      </c>
      <c r="H298" s="26" t="str">
        <f>IFERROR(__xludf.DUMMYFUNCTION("""COMPUTED_VALUE"""),"Firearm")</f>
        <v>Firearm</v>
      </c>
      <c r="I298" s="27" t="str">
        <f>IFERROR(__xludf.DUMMYFUNCTION("""COMPUTED_VALUE"""),"M")</f>
        <v>M</v>
      </c>
      <c r="J298" s="27" t="str">
        <f>IFERROR(__xludf.DUMMYFUNCTION("""COMPUTED_VALUE"""),"W")</f>
        <v>W</v>
      </c>
      <c r="K298" s="27">
        <f>IFERROR(__xludf.DUMMYFUNCTION("""COMPUTED_VALUE"""),29.0)</f>
        <v>29</v>
      </c>
      <c r="L298" s="27" t="str">
        <f>IFERROR(__xludf.DUMMYFUNCTION("""COMPUTED_VALUE"""),"None")</f>
        <v>None</v>
      </c>
      <c r="M298" s="27" t="str">
        <f>IFERROR(__xludf.DUMMYFUNCTION("""COMPUTED_VALUE"""),"Y")</f>
        <v>Y</v>
      </c>
      <c r="N298" s="24"/>
      <c r="O298" s="24"/>
      <c r="P298" s="24" t="str">
        <f>IFERROR(__xludf.DUMMYFUNCTION("""COMPUTED_VALUE"""),"Officers conducted a traffic stop. The driver ignored officers commands to exit the vehicle, drove off, and fired upon officers running to their patrol cars. Suspect fired upon officers again while evading, exited car, fired again, and was ultimately kill"&amp;"ed by officers in fear of their lives.")</f>
        <v>Officers conducted a traffic stop. The driver ignored officers commands to exit the vehicle, drove off, and fired upon officers running to their patrol cars. Suspect fired upon officers again while evading, exited car, fired again, and was ultimately killed by officers in fear of their lives.</v>
      </c>
      <c r="Q298" s="24"/>
      <c r="R298" s="24"/>
      <c r="S298" s="24"/>
      <c r="T298" s="24"/>
      <c r="U298" s="24"/>
      <c r="V298" s="24"/>
      <c r="W298" s="24"/>
      <c r="X298" s="24"/>
      <c r="Y298" s="24"/>
      <c r="Z298" s="24"/>
    </row>
    <row r="299" hidden="1">
      <c r="A299" s="29"/>
      <c r="B299" s="24"/>
      <c r="C299" s="24"/>
      <c r="D299" s="26"/>
      <c r="E299" s="26"/>
      <c r="F299" s="26"/>
      <c r="G299" s="26"/>
      <c r="H299" s="26"/>
      <c r="I299" s="27" t="str">
        <f>IFERROR(__xludf.DUMMYFUNCTION("""COMPUTED_VALUE"""),"M")</f>
        <v>M</v>
      </c>
      <c r="J299" s="27" t="str">
        <f>IFERROR(__xludf.DUMMYFUNCTION("""COMPUTED_VALUE"""),"H")</f>
        <v>H</v>
      </c>
      <c r="K299" s="27">
        <f>IFERROR(__xludf.DUMMYFUNCTION("""COMPUTED_VALUE"""),30.0)</f>
        <v>30</v>
      </c>
      <c r="L299" s="27" t="str">
        <f>IFERROR(__xludf.DUMMYFUNCTION("""COMPUTED_VALUE"""),"None")</f>
        <v>None</v>
      </c>
      <c r="M299" s="27" t="str">
        <f>IFERROR(__xludf.DUMMYFUNCTION("""COMPUTED_VALUE"""),"Y")</f>
        <v>Y</v>
      </c>
      <c r="N299" s="24"/>
      <c r="O299" s="24"/>
      <c r="P299" s="24"/>
      <c r="Q299" s="24"/>
      <c r="R299" s="24"/>
      <c r="S299" s="24"/>
      <c r="T299" s="24"/>
      <c r="U299" s="24"/>
      <c r="V299" s="24"/>
      <c r="W299" s="24"/>
      <c r="X299" s="24"/>
      <c r="Y299" s="24"/>
      <c r="Z299" s="24"/>
    </row>
    <row r="300">
      <c r="A300" s="29"/>
      <c r="B300" s="24"/>
      <c r="C300" s="24"/>
      <c r="D300" s="26" t="str">
        <f>IFERROR(__xludf.DUMMYFUNCTION("""COMPUTED_VALUE"""),"F")</f>
        <v>F</v>
      </c>
      <c r="E300" s="26" t="str">
        <f>IFERROR(__xludf.DUMMYFUNCTION("""COMPUTED_VALUE"""),"W")</f>
        <v>W</v>
      </c>
      <c r="F300" s="26">
        <f>IFERROR(__xludf.DUMMYFUNCTION("""COMPUTED_VALUE"""),39.0)</f>
        <v>39</v>
      </c>
      <c r="G300" s="26" t="str">
        <f>IFERROR(__xludf.DUMMYFUNCTION("""COMPUTED_VALUE"""),"None")</f>
        <v>None</v>
      </c>
      <c r="H300" s="26" t="str">
        <f>IFERROR(__xludf.DUMMYFUNCTION("""COMPUTED_VALUE"""),"None")</f>
        <v>None</v>
      </c>
      <c r="I300" s="27" t="str">
        <f>IFERROR(__xludf.DUMMYFUNCTION("""COMPUTED_VALUE"""),"M")</f>
        <v>M</v>
      </c>
      <c r="J300" s="27" t="str">
        <f>IFERROR(__xludf.DUMMYFUNCTION("""COMPUTED_VALUE"""),"W")</f>
        <v>W</v>
      </c>
      <c r="K300" s="27">
        <f>IFERROR(__xludf.DUMMYFUNCTION("""COMPUTED_VALUE"""),29.0)</f>
        <v>29</v>
      </c>
      <c r="L300" s="27" t="str">
        <f>IFERROR(__xludf.DUMMYFUNCTION("""COMPUTED_VALUE"""),"None")</f>
        <v>None</v>
      </c>
      <c r="M300" s="27" t="str">
        <f>IFERROR(__xludf.DUMMYFUNCTION("""COMPUTED_VALUE"""),"Y")</f>
        <v>Y</v>
      </c>
      <c r="N300" s="24"/>
      <c r="O300" s="24"/>
      <c r="P300" s="28"/>
      <c r="Q300" s="24"/>
      <c r="R300" s="24"/>
      <c r="S300" s="24"/>
      <c r="T300" s="24"/>
      <c r="U300" s="24"/>
      <c r="V300" s="24"/>
      <c r="W300" s="24"/>
      <c r="X300" s="24"/>
      <c r="Y300" s="24"/>
      <c r="Z300" s="24"/>
    </row>
    <row r="301" hidden="1">
      <c r="A301" s="29"/>
      <c r="B301" s="24"/>
      <c r="C301" s="24"/>
      <c r="D301" s="26"/>
      <c r="E301" s="26"/>
      <c r="F301" s="26"/>
      <c r="G301" s="26"/>
      <c r="H301" s="26"/>
      <c r="I301" s="27" t="str">
        <f>IFERROR(__xludf.DUMMYFUNCTION("""COMPUTED_VALUE"""),"M")</f>
        <v>M</v>
      </c>
      <c r="J301" s="27" t="str">
        <f>IFERROR(__xludf.DUMMYFUNCTION("""COMPUTED_VALUE"""),"W")</f>
        <v>W</v>
      </c>
      <c r="K301" s="27">
        <f>IFERROR(__xludf.DUMMYFUNCTION("""COMPUTED_VALUE"""),25.0)</f>
        <v>25</v>
      </c>
      <c r="L301" s="27" t="str">
        <f>IFERROR(__xludf.DUMMYFUNCTION("""COMPUTED_VALUE"""),"None")</f>
        <v>None</v>
      </c>
      <c r="M301" s="27" t="str">
        <f>IFERROR(__xludf.DUMMYFUNCTION("""COMPUTED_VALUE"""),"Y")</f>
        <v>Y</v>
      </c>
      <c r="N301" s="24"/>
      <c r="O301" s="24"/>
      <c r="P301" s="24"/>
      <c r="Q301" s="24"/>
      <c r="R301" s="24"/>
      <c r="S301" s="24"/>
      <c r="T301" s="24"/>
      <c r="U301" s="24"/>
      <c r="V301" s="24"/>
      <c r="W301" s="24"/>
      <c r="X301" s="24"/>
      <c r="Y301" s="24"/>
      <c r="Z301" s="24"/>
    </row>
    <row r="302" hidden="1">
      <c r="A302" s="29">
        <f>IFERROR(__xludf.DUMMYFUNCTION("""COMPUTED_VALUE"""),41518.0)</f>
        <v>41518</v>
      </c>
      <c r="B302" s="24">
        <f>IFERROR(__xludf.DUMMYFUNCTION("""COMPUTED_VALUE"""),1.10045013E8)</f>
        <v>110045013</v>
      </c>
      <c r="C302" s="24" t="str">
        <f>IFERROR(__xludf.DUMMYFUNCTION("""COMPUTED_VALUE"""),"9290 WOODFAIR DR")</f>
        <v>9290 WOODFAIR DR</v>
      </c>
      <c r="D302" s="26" t="str">
        <f>IFERROR(__xludf.DUMMYFUNCTION("""COMPUTED_VALUE"""),"M")</f>
        <v>M</v>
      </c>
      <c r="E302" s="26" t="str">
        <f>IFERROR(__xludf.DUMMYFUNCTION("""COMPUTED_VALUE"""),"H")</f>
        <v>H</v>
      </c>
      <c r="F302" s="26">
        <f>IFERROR(__xludf.DUMMYFUNCTION("""COMPUTED_VALUE"""),28.0)</f>
        <v>28</v>
      </c>
      <c r="G302" s="26" t="str">
        <f>IFERROR(__xludf.DUMMYFUNCTION("""COMPUTED_VALUE"""),"Killed")</f>
        <v>Killed</v>
      </c>
      <c r="H302" s="26" t="str">
        <f>IFERROR(__xludf.DUMMYFUNCTION("""COMPUTED_VALUE"""),"Firearm")</f>
        <v>Firearm</v>
      </c>
      <c r="I302" s="27" t="str">
        <f>IFERROR(__xludf.DUMMYFUNCTION("""COMPUTED_VALUE"""),"M")</f>
        <v>M</v>
      </c>
      <c r="J302" s="27" t="str">
        <f>IFERROR(__xludf.DUMMYFUNCTION("""COMPUTED_VALUE"""),"H")</f>
        <v>H</v>
      </c>
      <c r="K302" s="27">
        <f>IFERROR(__xludf.DUMMYFUNCTION("""COMPUTED_VALUE"""),23.0)</f>
        <v>23</v>
      </c>
      <c r="L302" s="27" t="str">
        <f>IFERROR(__xludf.DUMMYFUNCTION("""COMPUTED_VALUE"""),"None")</f>
        <v>None</v>
      </c>
      <c r="M302" s="27" t="str">
        <f>IFERROR(__xludf.DUMMYFUNCTION("""COMPUTED_VALUE"""),"Y")</f>
        <v>Y</v>
      </c>
      <c r="N302" s="24"/>
      <c r="O302" s="24"/>
      <c r="P302" s="24" t="str">
        <f>IFERROR(__xludf.DUMMYFUNCTION("""COMPUTED_VALUE"""),"Responded to a disturbance where witnesses said the suspect had a weapon. The officers demanded the suspect remove his hands from his pockets, suspect produced a weapon, one officer fired multiple time striking and killing the suspect.")</f>
        <v>Responded to a disturbance where witnesses said the suspect had a weapon. The officers demanded the suspect remove his hands from his pockets, suspect produced a weapon, one officer fired multiple time striking and killing the suspect.</v>
      </c>
      <c r="Q302" s="24"/>
      <c r="R302" s="24"/>
      <c r="S302" s="24"/>
      <c r="T302" s="24"/>
      <c r="U302" s="24"/>
      <c r="V302" s="24"/>
      <c r="W302" s="24"/>
      <c r="X302" s="24"/>
      <c r="Y302" s="24"/>
      <c r="Z302" s="24"/>
    </row>
    <row r="303" hidden="1">
      <c r="A303" s="29">
        <f>IFERROR(__xludf.DUMMYFUNCTION("""COMPUTED_VALUE"""),41508.0)</f>
        <v>41508</v>
      </c>
      <c r="B303" s="24">
        <f>IFERROR(__xludf.DUMMYFUNCTION("""COMPUTED_VALUE"""),1.05776713E8)</f>
        <v>105776713</v>
      </c>
      <c r="C303" s="24" t="str">
        <f>IFERROR(__xludf.DUMMYFUNCTION("""COMPUTED_VALUE"""),"13662 WESTHEIMER RD")</f>
        <v>13662 WESTHEIMER RD</v>
      </c>
      <c r="D303" s="26" t="str">
        <f>IFERROR(__xludf.DUMMYFUNCTION("""COMPUTED_VALUE"""),"M")</f>
        <v>M</v>
      </c>
      <c r="E303" s="26" t="str">
        <f>IFERROR(__xludf.DUMMYFUNCTION("""COMPUTED_VALUE"""),"B")</f>
        <v>B</v>
      </c>
      <c r="F303" s="26">
        <f>IFERROR(__xludf.DUMMYFUNCTION("""COMPUTED_VALUE"""),32.0)</f>
        <v>32</v>
      </c>
      <c r="G303" s="26" t="str">
        <f>IFERROR(__xludf.DUMMYFUNCTION("""COMPUTED_VALUE"""),"Wounded")</f>
        <v>Wounded</v>
      </c>
      <c r="H303" s="26" t="str">
        <f>IFERROR(__xludf.DUMMYFUNCTION("""COMPUTED_VALUE"""),"Firearm")</f>
        <v>Firearm</v>
      </c>
      <c r="I303" s="27" t="str">
        <f>IFERROR(__xludf.DUMMYFUNCTION("""COMPUTED_VALUE"""),"M")</f>
        <v>M</v>
      </c>
      <c r="J303" s="27" t="str">
        <f>IFERROR(__xludf.DUMMYFUNCTION("""COMPUTED_VALUE"""),"W")</f>
        <v>W</v>
      </c>
      <c r="K303" s="27">
        <f>IFERROR(__xludf.DUMMYFUNCTION("""COMPUTED_VALUE"""),42.0)</f>
        <v>42</v>
      </c>
      <c r="L303" s="27" t="str">
        <f>IFERROR(__xludf.DUMMYFUNCTION("""COMPUTED_VALUE"""),"None")</f>
        <v>None</v>
      </c>
      <c r="M303" s="27" t="str">
        <f>IFERROR(__xludf.DUMMYFUNCTION("""COMPUTED_VALUE"""),"Y")</f>
        <v>Y</v>
      </c>
      <c r="N303" s="24"/>
      <c r="O303" s="24"/>
      <c r="P303" s="28" t="str">
        <f>IFERROR(__xludf.DUMMYFUNCTION("""COMPUTED_VALUE"""),"On duty HPD officers responded to a robbery. One susp. was arrested and handcuffed. Susp produced a weapon fired at HPD SGT. who returned fire; susp fled the building firing at a second officer who returned fire. Susp fled and was found later with gunshot"&amp;" wounds.")</f>
        <v>On duty HPD officers responded to a robbery. One susp. was arrested and handcuffed. Susp produced a weapon fired at HPD SGT. who returned fire; susp fled the building firing at a second officer who returned fire. Susp fled and was found later with gunshot wounds.</v>
      </c>
      <c r="Q303" s="24"/>
      <c r="R303" s="24"/>
      <c r="S303" s="24"/>
      <c r="T303" s="24"/>
      <c r="U303" s="24"/>
      <c r="V303" s="24"/>
      <c r="W303" s="24"/>
      <c r="X303" s="24"/>
      <c r="Y303" s="24"/>
      <c r="Z303" s="24"/>
    </row>
    <row r="304" hidden="1">
      <c r="A304" s="29"/>
      <c r="B304" s="24"/>
      <c r="C304" s="24"/>
      <c r="D304" s="26"/>
      <c r="E304" s="26"/>
      <c r="F304" s="26"/>
      <c r="G304" s="26"/>
      <c r="H304" s="26"/>
      <c r="I304" s="27" t="str">
        <f>IFERROR(__xludf.DUMMYFUNCTION("""COMPUTED_VALUE"""),"M")</f>
        <v>M</v>
      </c>
      <c r="J304" s="27" t="str">
        <f>IFERROR(__xludf.DUMMYFUNCTION("""COMPUTED_VALUE"""),"P")</f>
        <v>P</v>
      </c>
      <c r="K304" s="27">
        <f>IFERROR(__xludf.DUMMYFUNCTION("""COMPUTED_VALUE"""),43.0)</f>
        <v>43</v>
      </c>
      <c r="L304" s="27" t="str">
        <f>IFERROR(__xludf.DUMMYFUNCTION("""COMPUTED_VALUE"""),"None")</f>
        <v>None</v>
      </c>
      <c r="M304" s="27" t="str">
        <f>IFERROR(__xludf.DUMMYFUNCTION("""COMPUTED_VALUE"""),"Y")</f>
        <v>Y</v>
      </c>
      <c r="N304" s="24"/>
      <c r="O304" s="24"/>
      <c r="P304" s="24"/>
      <c r="Q304" s="24"/>
      <c r="R304" s="24"/>
      <c r="S304" s="24"/>
      <c r="T304" s="24"/>
      <c r="U304" s="24"/>
      <c r="V304" s="24"/>
      <c r="W304" s="24"/>
      <c r="X304" s="24"/>
      <c r="Y304" s="24"/>
      <c r="Z304" s="24"/>
    </row>
    <row r="305">
      <c r="A305" s="29">
        <f>IFERROR(__xludf.DUMMYFUNCTION("""COMPUTED_VALUE"""),41493.0)</f>
        <v>41493</v>
      </c>
      <c r="B305" s="24">
        <f>IFERROR(__xludf.DUMMYFUNCTION("""COMPUTED_VALUE"""),9.8692013E7)</f>
        <v>98692013</v>
      </c>
      <c r="C305" s="24" t="str">
        <f>IFERROR(__xludf.DUMMYFUNCTION("""COMPUTED_VALUE"""),"660 MAXEY RD")</f>
        <v>660 MAXEY RD</v>
      </c>
      <c r="D305" s="26" t="str">
        <f>IFERROR(__xludf.DUMMYFUNCTION("""COMPUTED_VALUE"""),"M")</f>
        <v>M</v>
      </c>
      <c r="E305" s="26" t="str">
        <f>IFERROR(__xludf.DUMMYFUNCTION("""COMPUTED_VALUE"""),"H")</f>
        <v>H</v>
      </c>
      <c r="F305" s="26">
        <f>IFERROR(__xludf.DUMMYFUNCTION("""COMPUTED_VALUE"""),52.0)</f>
        <v>52</v>
      </c>
      <c r="G305" s="26" t="str">
        <f>IFERROR(__xludf.DUMMYFUNCTION("""COMPUTED_VALUE"""),"None")</f>
        <v>None</v>
      </c>
      <c r="H305" s="26" t="str">
        <f>IFERROR(__xludf.DUMMYFUNCTION("""COMPUTED_VALUE"""),"Firearm")</f>
        <v>Firearm</v>
      </c>
      <c r="I305" s="27" t="str">
        <f>IFERROR(__xludf.DUMMYFUNCTION("""COMPUTED_VALUE"""),"M")</f>
        <v>M</v>
      </c>
      <c r="J305" s="27" t="str">
        <f>IFERROR(__xludf.DUMMYFUNCTION("""COMPUTED_VALUE"""),"W")</f>
        <v>W</v>
      </c>
      <c r="K305" s="27">
        <f>IFERROR(__xludf.DUMMYFUNCTION("""COMPUTED_VALUE"""),43.0)</f>
        <v>43</v>
      </c>
      <c r="L305" s="27" t="str">
        <f>IFERROR(__xludf.DUMMYFUNCTION("""COMPUTED_VALUE"""),"None")</f>
        <v>None</v>
      </c>
      <c r="M305" s="27" t="str">
        <f>IFERROR(__xludf.DUMMYFUNCTION("""COMPUTED_VALUE"""),"Y")</f>
        <v>Y</v>
      </c>
      <c r="N305" s="24"/>
      <c r="O305" s="24"/>
      <c r="P305" s="28" t="str">
        <f>IFERROR(__xludf.DUMMYFUNCTION("""COMPUTED_VALUE"""),"On duty officers responded to discharging firearms call for service. The suspect continued shooting his AK-47 at police cars and officers as they arrived. One officer returned fire. The suspect was taken into custody without further incident by SWAT offic"&amp;"ers.")</f>
        <v>On duty officers responded to discharging firearms call for service. The suspect continued shooting his AK-47 at police cars and officers as they arrived. One officer returned fire. The suspect was taken into custody without further incident by SWAT officers.</v>
      </c>
      <c r="Q305" s="24"/>
      <c r="R305" s="24"/>
      <c r="S305" s="24"/>
      <c r="T305" s="24"/>
      <c r="U305" s="24"/>
      <c r="V305" s="24"/>
      <c r="W305" s="24"/>
      <c r="X305" s="24"/>
      <c r="Y305" s="24"/>
      <c r="Z305" s="24"/>
    </row>
    <row r="306" hidden="1">
      <c r="A306" s="29">
        <f>IFERROR(__xludf.DUMMYFUNCTION("""COMPUTED_VALUE"""),41491.0)</f>
        <v>41491</v>
      </c>
      <c r="B306" s="24">
        <f>IFERROR(__xludf.DUMMYFUNCTION("""COMPUTED_VALUE"""),9.7994313E7)</f>
        <v>97994313</v>
      </c>
      <c r="C306" s="24" t="str">
        <f>IFERROR(__xludf.DUMMYFUNCTION("""COMPUTED_VALUE"""),"5725 FONDREN RD")</f>
        <v>5725 FONDREN RD</v>
      </c>
      <c r="D306" s="26" t="str">
        <f>IFERROR(__xludf.DUMMYFUNCTION("""COMPUTED_VALUE"""),"M")</f>
        <v>M</v>
      </c>
      <c r="E306" s="26" t="str">
        <f>IFERROR(__xludf.DUMMYFUNCTION("""COMPUTED_VALUE"""),"H")</f>
        <v>H</v>
      </c>
      <c r="F306" s="26">
        <f>IFERROR(__xludf.DUMMYFUNCTION("""COMPUTED_VALUE"""),28.0)</f>
        <v>28</v>
      </c>
      <c r="G306" s="26" t="str">
        <f>IFERROR(__xludf.DUMMYFUNCTION("""COMPUTED_VALUE"""),"Killed")</f>
        <v>Killed</v>
      </c>
      <c r="H306" s="26" t="str">
        <f>IFERROR(__xludf.DUMMYFUNCTION("""COMPUTED_VALUE"""),"Firearm")</f>
        <v>Firearm</v>
      </c>
      <c r="I306" s="27" t="str">
        <f>IFERROR(__xludf.DUMMYFUNCTION("""COMPUTED_VALUE"""),"M")</f>
        <v>M</v>
      </c>
      <c r="J306" s="27" t="str">
        <f>IFERROR(__xludf.DUMMYFUNCTION("""COMPUTED_VALUE"""),"W")</f>
        <v>W</v>
      </c>
      <c r="K306" s="27">
        <f>IFERROR(__xludf.DUMMYFUNCTION("""COMPUTED_VALUE"""),47.0)</f>
        <v>47</v>
      </c>
      <c r="L306" s="27" t="str">
        <f>IFERROR(__xludf.DUMMYFUNCTION("""COMPUTED_VALUE"""),"None")</f>
        <v>None</v>
      </c>
      <c r="M306" s="27" t="str">
        <f>IFERROR(__xludf.DUMMYFUNCTION("""COMPUTED_VALUE"""),"Y")</f>
        <v>Y</v>
      </c>
      <c r="N306" s="24"/>
      <c r="O306" s="24"/>
      <c r="P306" s="24" t="str">
        <f>IFERROR(__xludf.DUMMYFUNCTION("""COMPUTED_VALUE"""),"On duty officers responded to a call of Discharging Firearms. When the officers arrived the suspect began shooting at the responding officers. K-9 officer responding to assist the officer. The suspect tried to shoot the K-9 officer, who returned fire kill"&amp;"ing the suspect.")</f>
        <v>On duty officers responded to a call of Discharging Firearms. When the officers arrived the suspect began shooting at the responding officers. K-9 officer responding to assist the officer. The suspect tried to shoot the K-9 officer, who returned fire killing the suspect.</v>
      </c>
      <c r="Q306" s="24"/>
      <c r="R306" s="24"/>
      <c r="S306" s="24"/>
      <c r="T306" s="24"/>
      <c r="U306" s="24"/>
      <c r="V306" s="24"/>
      <c r="W306" s="24"/>
      <c r="X306" s="24"/>
      <c r="Y306" s="24"/>
      <c r="Z306" s="24"/>
    </row>
    <row r="307" hidden="1">
      <c r="A307" s="29"/>
      <c r="B307" s="24"/>
      <c r="C307" s="24"/>
      <c r="D307" s="26"/>
      <c r="E307" s="26"/>
      <c r="F307" s="26"/>
      <c r="G307" s="26"/>
      <c r="H307" s="26" t="str">
        <f>IFERROR(__xludf.DUMMYFUNCTION("""COMPUTED_VALUE"""),"Firearm")</f>
        <v>Firearm</v>
      </c>
      <c r="I307" s="27" t="str">
        <f>IFERROR(__xludf.DUMMYFUNCTION("""COMPUTED_VALUE"""),"F")</f>
        <v>F</v>
      </c>
      <c r="J307" s="27" t="str">
        <f>IFERROR(__xludf.DUMMYFUNCTION("""COMPUTED_VALUE"""),"H")</f>
        <v>H</v>
      </c>
      <c r="K307" s="27">
        <f>IFERROR(__xludf.DUMMYFUNCTION("""COMPUTED_VALUE"""),28.0)</f>
        <v>28</v>
      </c>
      <c r="L307" s="27" t="str">
        <f>IFERROR(__xludf.DUMMYFUNCTION("""COMPUTED_VALUE"""),"None")</f>
        <v>None</v>
      </c>
      <c r="M307" s="27" t="str">
        <f>IFERROR(__xludf.DUMMYFUNCTION("""COMPUTED_VALUE"""),"Y")</f>
        <v>Y</v>
      </c>
      <c r="N307" s="24"/>
      <c r="O307" s="24"/>
      <c r="P307" s="24"/>
      <c r="Q307" s="24"/>
      <c r="R307" s="24"/>
      <c r="S307" s="24"/>
      <c r="T307" s="24"/>
      <c r="U307" s="24"/>
      <c r="V307" s="24"/>
      <c r="W307" s="24"/>
      <c r="X307" s="24"/>
      <c r="Y307" s="24"/>
      <c r="Z307" s="24"/>
    </row>
    <row r="308" hidden="1">
      <c r="A308" s="29">
        <f>IFERROR(__xludf.DUMMYFUNCTION("""COMPUTED_VALUE"""),41440.0)</f>
        <v>41440</v>
      </c>
      <c r="B308" s="24">
        <f>IFERROR(__xludf.DUMMYFUNCTION("""COMPUTED_VALUE"""),7.4452613E7)</f>
        <v>74452613</v>
      </c>
      <c r="C308" s="24" t="str">
        <f>IFERROR(__xludf.DUMMYFUNCTION("""COMPUTED_VALUE"""),"8875 W BELLFORT ST")</f>
        <v>8875 W BELLFORT ST</v>
      </c>
      <c r="D308" s="26" t="str">
        <f>IFERROR(__xludf.DUMMYFUNCTION("""COMPUTED_VALUE"""),"M")</f>
        <v>M</v>
      </c>
      <c r="E308" s="26" t="str">
        <f>IFERROR(__xludf.DUMMYFUNCTION("""COMPUTED_VALUE"""),"B")</f>
        <v>B</v>
      </c>
      <c r="F308" s="26">
        <f>IFERROR(__xludf.DUMMYFUNCTION("""COMPUTED_VALUE"""),34.0)</f>
        <v>34</v>
      </c>
      <c r="G308" s="26" t="str">
        <f>IFERROR(__xludf.DUMMYFUNCTION("""COMPUTED_VALUE"""),"Wounded")</f>
        <v>Wounded</v>
      </c>
      <c r="H308" s="26" t="str">
        <f>IFERROR(__xludf.DUMMYFUNCTION("""COMPUTED_VALUE"""),"Vehicle")</f>
        <v>Vehicle</v>
      </c>
      <c r="I308" s="27" t="str">
        <f>IFERROR(__xludf.DUMMYFUNCTION("""COMPUTED_VALUE"""),"M")</f>
        <v>M</v>
      </c>
      <c r="J308" s="27" t="str">
        <f>IFERROR(__xludf.DUMMYFUNCTION("""COMPUTED_VALUE"""),"H")</f>
        <v>H</v>
      </c>
      <c r="K308" s="27">
        <f>IFERROR(__xludf.DUMMYFUNCTION("""COMPUTED_VALUE"""),42.0)</f>
        <v>42</v>
      </c>
      <c r="L308" s="27" t="str">
        <f>IFERROR(__xludf.DUMMYFUNCTION("""COMPUTED_VALUE"""),"None")</f>
        <v>None</v>
      </c>
      <c r="M308" s="27" t="str">
        <f>IFERROR(__xludf.DUMMYFUNCTION("""COMPUTED_VALUE"""),"Y")</f>
        <v>Y</v>
      </c>
      <c r="N308" s="24"/>
      <c r="O308" s="24"/>
      <c r="P308" s="28" t="str">
        <f>IFERROR(__xludf.DUMMYFUNCTION("""COMPUTED_VALUE"""),"Two HPD officers arrive at location and observed the suspect stabbing the victim. The officers ordered the suspect to cease the attack but the victim refused to comply and placed vehicle in reverse towards the victim. One officer fired and appeared to str"&amp;"ike the suspect.")</f>
        <v>Two HPD officers arrive at location and observed the suspect stabbing the victim. The officers ordered the suspect to cease the attack but the victim refused to comply and placed vehicle in reverse towards the victim. One officer fired and appeared to strike the suspect.</v>
      </c>
      <c r="Q308" s="24"/>
      <c r="R308" s="24"/>
      <c r="S308" s="24"/>
      <c r="T308" s="24"/>
      <c r="U308" s="24"/>
      <c r="V308" s="24"/>
      <c r="W308" s="24"/>
      <c r="X308" s="24"/>
      <c r="Y308" s="24"/>
      <c r="Z308" s="24"/>
    </row>
    <row r="309">
      <c r="A309" s="29">
        <f>IFERROR(__xludf.DUMMYFUNCTION("""COMPUTED_VALUE"""),41427.0)</f>
        <v>41427</v>
      </c>
      <c r="B309" s="24">
        <f>IFERROR(__xludf.DUMMYFUNCTION("""COMPUTED_VALUE"""),6.8384613E7)</f>
        <v>68384613</v>
      </c>
      <c r="C309" s="24" t="str">
        <f>IFERROR(__xludf.DUMMYFUNCTION("""COMPUTED_VALUE"""),"16031 CLARKE SPRINGS DR")</f>
        <v>16031 CLARKE SPRINGS DR</v>
      </c>
      <c r="D309" s="26" t="str">
        <f>IFERROR(__xludf.DUMMYFUNCTION("""COMPUTED_VALUE"""),"M")</f>
        <v>M</v>
      </c>
      <c r="E309" s="26" t="str">
        <f>IFERROR(__xludf.DUMMYFUNCTION("""COMPUTED_VALUE"""),"B")</f>
        <v>B</v>
      </c>
      <c r="F309" s="26">
        <f>IFERROR(__xludf.DUMMYFUNCTION("""COMPUTED_VALUE"""),14.0)</f>
        <v>14</v>
      </c>
      <c r="G309" s="26" t="str">
        <f>IFERROR(__xludf.DUMMYFUNCTION("""COMPUTED_VALUE"""),"None")</f>
        <v>None</v>
      </c>
      <c r="H309" s="26" t="str">
        <f>IFERROR(__xludf.DUMMYFUNCTION("""COMPUTED_VALUE"""),"None")</f>
        <v>None</v>
      </c>
      <c r="I309" s="27" t="str">
        <f>IFERROR(__xludf.DUMMYFUNCTION("""COMPUTED_VALUE"""),"M")</f>
        <v>M</v>
      </c>
      <c r="J309" s="27" t="str">
        <f>IFERROR(__xludf.DUMMYFUNCTION("""COMPUTED_VALUE"""),"H")</f>
        <v>H</v>
      </c>
      <c r="K309" s="27">
        <f>IFERROR(__xludf.DUMMYFUNCTION("""COMPUTED_VALUE"""),36.0)</f>
        <v>36</v>
      </c>
      <c r="L309" s="27" t="str">
        <f>IFERROR(__xludf.DUMMYFUNCTION("""COMPUTED_VALUE"""),"None")</f>
        <v>None</v>
      </c>
      <c r="M309" s="27" t="str">
        <f>IFERROR(__xludf.DUMMYFUNCTION("""COMPUTED_VALUE"""),"Y")</f>
        <v>Y</v>
      </c>
      <c r="N309" s="24"/>
      <c r="O309" s="24"/>
      <c r="P309" s="28" t="str">
        <f>IFERROR(__xludf.DUMMYFUNCTION("""COMPUTED_VALUE"""),"An HPD officer was chasing a stolen vehicle, suspect evaded, and one of the suspects pointed a rifle at the officer. The officer, in fear of his life, shot and missed the suspect. Suspect arrested and charged.")</f>
        <v>An HPD officer was chasing a stolen vehicle, suspect evaded, and one of the suspects pointed a rifle at the officer. The officer, in fear of his life, shot and missed the suspect. Suspect arrested and charged.</v>
      </c>
      <c r="Q309" s="24"/>
      <c r="R309" s="24"/>
      <c r="S309" s="24"/>
      <c r="T309" s="24"/>
      <c r="U309" s="24"/>
      <c r="V309" s="24"/>
      <c r="W309" s="24"/>
      <c r="X309" s="24"/>
      <c r="Y309" s="24"/>
      <c r="Z309" s="24"/>
    </row>
    <row r="310">
      <c r="A310" s="29"/>
      <c r="B310" s="24"/>
      <c r="C310" s="24"/>
      <c r="D310" s="26" t="str">
        <f>IFERROR(__xludf.DUMMYFUNCTION("""COMPUTED_VALUE"""),"M")</f>
        <v>M</v>
      </c>
      <c r="E310" s="26" t="str">
        <f>IFERROR(__xludf.DUMMYFUNCTION("""COMPUTED_VALUE"""),"B")</f>
        <v>B</v>
      </c>
      <c r="F310" s="26">
        <f>IFERROR(__xludf.DUMMYFUNCTION("""COMPUTED_VALUE"""),15.0)</f>
        <v>15</v>
      </c>
      <c r="G310" s="26" t="str">
        <f>IFERROR(__xludf.DUMMYFUNCTION("""COMPUTED_VALUE"""),"None")</f>
        <v>None</v>
      </c>
      <c r="H310" s="26" t="str">
        <f>IFERROR(__xludf.DUMMYFUNCTION("""COMPUTED_VALUE"""),"None")</f>
        <v>None</v>
      </c>
      <c r="I310" s="27"/>
      <c r="J310" s="27"/>
      <c r="K310" s="27"/>
      <c r="L310" s="27"/>
      <c r="M310" s="27"/>
      <c r="N310" s="24"/>
      <c r="O310" s="24"/>
      <c r="P310" s="28"/>
      <c r="Q310" s="24"/>
      <c r="R310" s="24"/>
      <c r="S310" s="24"/>
      <c r="T310" s="24"/>
      <c r="U310" s="24"/>
      <c r="V310" s="24"/>
      <c r="W310" s="24"/>
      <c r="X310" s="24"/>
      <c r="Y310" s="24"/>
      <c r="Z310" s="24"/>
    </row>
    <row r="311">
      <c r="A311" s="29"/>
      <c r="B311" s="24"/>
      <c r="C311" s="24"/>
      <c r="D311" s="26" t="str">
        <f>IFERROR(__xludf.DUMMYFUNCTION("""COMPUTED_VALUE"""),"M")</f>
        <v>M</v>
      </c>
      <c r="E311" s="26" t="str">
        <f>IFERROR(__xludf.DUMMYFUNCTION("""COMPUTED_VALUE"""),"B")</f>
        <v>B</v>
      </c>
      <c r="F311" s="26">
        <f>IFERROR(__xludf.DUMMYFUNCTION("""COMPUTED_VALUE"""),16.0)</f>
        <v>16</v>
      </c>
      <c r="G311" s="26" t="str">
        <f>IFERROR(__xludf.DUMMYFUNCTION("""COMPUTED_VALUE"""),"None")</f>
        <v>None</v>
      </c>
      <c r="H311" s="26" t="str">
        <f>IFERROR(__xludf.DUMMYFUNCTION("""COMPUTED_VALUE"""),"None")</f>
        <v>None</v>
      </c>
      <c r="I311" s="27"/>
      <c r="J311" s="27"/>
      <c r="K311" s="27"/>
      <c r="L311" s="27"/>
      <c r="M311" s="27"/>
      <c r="N311" s="24"/>
      <c r="O311" s="24"/>
      <c r="P311" s="28"/>
      <c r="Q311" s="24"/>
      <c r="R311" s="24"/>
      <c r="S311" s="24"/>
      <c r="T311" s="24"/>
      <c r="U311" s="24"/>
      <c r="V311" s="24"/>
      <c r="W311" s="24"/>
      <c r="X311" s="24"/>
      <c r="Y311" s="24"/>
      <c r="Z311" s="24"/>
    </row>
    <row r="312">
      <c r="A312" s="29"/>
      <c r="B312" s="24"/>
      <c r="C312" s="24"/>
      <c r="D312" s="26" t="str">
        <f>IFERROR(__xludf.DUMMYFUNCTION("""COMPUTED_VALUE"""),"M")</f>
        <v>M</v>
      </c>
      <c r="E312" s="26" t="str">
        <f>IFERROR(__xludf.DUMMYFUNCTION("""COMPUTED_VALUE"""),"B")</f>
        <v>B</v>
      </c>
      <c r="F312" s="26"/>
      <c r="G312" s="26" t="str">
        <f>IFERROR(__xludf.DUMMYFUNCTION("""COMPUTED_VALUE"""),"None")</f>
        <v>None</v>
      </c>
      <c r="H312" s="26" t="str">
        <f>IFERROR(__xludf.DUMMYFUNCTION("""COMPUTED_VALUE"""),"Firearm")</f>
        <v>Firearm</v>
      </c>
      <c r="I312" s="27"/>
      <c r="J312" s="27"/>
      <c r="K312" s="27"/>
      <c r="L312" s="27"/>
      <c r="M312" s="27"/>
      <c r="N312" s="24"/>
      <c r="O312" s="24"/>
      <c r="P312" s="28"/>
      <c r="Q312" s="24"/>
      <c r="R312" s="24"/>
      <c r="S312" s="24"/>
      <c r="T312" s="24"/>
      <c r="U312" s="24"/>
      <c r="V312" s="24"/>
      <c r="W312" s="24"/>
      <c r="X312" s="24"/>
      <c r="Y312" s="24"/>
      <c r="Z312" s="24"/>
    </row>
    <row r="313" hidden="1">
      <c r="A313" s="29">
        <f>IFERROR(__xludf.DUMMYFUNCTION("""COMPUTED_VALUE"""),41425.0)</f>
        <v>41425</v>
      </c>
      <c r="B313" s="24">
        <f>IFERROR(__xludf.DUMMYFUNCTION("""COMPUTED_VALUE"""),6.7283213E7)</f>
        <v>67283213</v>
      </c>
      <c r="C313" s="24" t="str">
        <f>IFERROR(__xludf.DUMMYFUNCTION("""COMPUTED_VALUE"""),"12710 BRANT ROCK DR")</f>
        <v>12710 BRANT ROCK DR</v>
      </c>
      <c r="D313" s="26" t="str">
        <f>IFERROR(__xludf.DUMMYFUNCTION("""COMPUTED_VALUE"""),"M")</f>
        <v>M</v>
      </c>
      <c r="E313" s="26" t="str">
        <f>IFERROR(__xludf.DUMMYFUNCTION("""COMPUTED_VALUE"""),"B")</f>
        <v>B</v>
      </c>
      <c r="F313" s="26">
        <f>IFERROR(__xludf.DUMMYFUNCTION("""COMPUTED_VALUE"""),21.0)</f>
        <v>21</v>
      </c>
      <c r="G313" s="26" t="str">
        <f>IFERROR(__xludf.DUMMYFUNCTION("""COMPUTED_VALUE"""),"Wounded")</f>
        <v>Wounded</v>
      </c>
      <c r="H313" s="26" t="str">
        <f>IFERROR(__xludf.DUMMYFUNCTION("""COMPUTED_VALUE"""),"Firearm")</f>
        <v>Firearm</v>
      </c>
      <c r="I313" s="27" t="str">
        <f>IFERROR(__xludf.DUMMYFUNCTION("""COMPUTED_VALUE"""),"M")</f>
        <v>M</v>
      </c>
      <c r="J313" s="27" t="str">
        <f>IFERROR(__xludf.DUMMYFUNCTION("""COMPUTED_VALUE"""),"W")</f>
        <v>W</v>
      </c>
      <c r="K313" s="27">
        <f>IFERROR(__xludf.DUMMYFUNCTION("""COMPUTED_VALUE"""),29.0)</f>
        <v>29</v>
      </c>
      <c r="L313" s="27" t="str">
        <f>IFERROR(__xludf.DUMMYFUNCTION("""COMPUTED_VALUE"""),"None")</f>
        <v>None</v>
      </c>
      <c r="M313" s="27" t="str">
        <f>IFERROR(__xludf.DUMMYFUNCTION("""COMPUTED_VALUE"""),"Y")</f>
        <v>Y</v>
      </c>
      <c r="N313" s="24"/>
      <c r="O313" s="24"/>
      <c r="P313" s="28" t="str">
        <f>IFERROR(__xludf.DUMMYFUNCTION("""COMPUTED_VALUE"""),"While officers were attempting to serve a felony warrant, the suspect opened the door, produced a firearm, and pointed it in their direction. An officer in fear of his life shot and wounded the suspect.")</f>
        <v>While officers were attempting to serve a felony warrant, the suspect opened the door, produced a firearm, and pointed it in their direction. An officer in fear of his life shot and wounded the suspect.</v>
      </c>
      <c r="Q313" s="24"/>
      <c r="R313" s="24"/>
      <c r="S313" s="24"/>
      <c r="T313" s="24"/>
      <c r="U313" s="24"/>
      <c r="V313" s="24"/>
      <c r="W313" s="24"/>
      <c r="X313" s="24"/>
      <c r="Y313" s="24"/>
      <c r="Z313" s="24"/>
    </row>
    <row r="314">
      <c r="A314" s="29">
        <f>IFERROR(__xludf.DUMMYFUNCTION("""COMPUTED_VALUE"""),41390.0)</f>
        <v>41390</v>
      </c>
      <c r="B314" s="24">
        <f>IFERROR(__xludf.DUMMYFUNCTION("""COMPUTED_VALUE"""),1355467.0)</f>
        <v>1355467</v>
      </c>
      <c r="C314" s="24" t="str">
        <f>IFERROR(__xludf.DUMMYFUNCTION("""COMPUTED_VALUE"""),"7044 FM 1960 E, Humble, TX")</f>
        <v>7044 FM 1960 E, Humble, TX</v>
      </c>
      <c r="D314" s="26" t="str">
        <f>IFERROR(__xludf.DUMMYFUNCTION("""COMPUTED_VALUE"""),"M")</f>
        <v>M</v>
      </c>
      <c r="E314" s="26" t="str">
        <f>IFERROR(__xludf.DUMMYFUNCTION("""COMPUTED_VALUE"""),"U")</f>
        <v>U</v>
      </c>
      <c r="F314" s="26">
        <f>IFERROR(__xludf.DUMMYFUNCTION("""COMPUTED_VALUE"""),23.0)</f>
        <v>23</v>
      </c>
      <c r="G314" s="26" t="str">
        <f>IFERROR(__xludf.DUMMYFUNCTION("""COMPUTED_VALUE"""),"None")</f>
        <v>None</v>
      </c>
      <c r="H314" s="26" t="str">
        <f>IFERROR(__xludf.DUMMYFUNCTION("""COMPUTED_VALUE"""),"Firearm")</f>
        <v>Firearm</v>
      </c>
      <c r="I314" s="27" t="str">
        <f>IFERROR(__xludf.DUMMYFUNCTION("""COMPUTED_VALUE"""),"M")</f>
        <v>M</v>
      </c>
      <c r="J314" s="27" t="str">
        <f>IFERROR(__xludf.DUMMYFUNCTION("""COMPUTED_VALUE"""),"W")</f>
        <v>W</v>
      </c>
      <c r="K314" s="27">
        <f>IFERROR(__xludf.DUMMYFUNCTION("""COMPUTED_VALUE"""),56.0)</f>
        <v>56</v>
      </c>
      <c r="L314" s="27" t="str">
        <f>IFERROR(__xludf.DUMMYFUNCTION("""COMPUTED_VALUE"""),"None")</f>
        <v>None</v>
      </c>
      <c r="M314" s="27" t="str">
        <f>IFERROR(__xludf.DUMMYFUNCTION("""COMPUTED_VALUE"""),"N")</f>
        <v>N</v>
      </c>
      <c r="N314" s="24"/>
      <c r="O314" s="24"/>
      <c r="P314" s="28" t="str">
        <f>IFERROR(__xludf.DUMMYFUNCTION("""COMPUTED_VALUE"""),"An off-duty HPD officer entered the bank in Humble, was forced to the floor, and disarmed at gunpoint. The officer's partner was outside, observed the robbers exit, demanded their surrender, and killed one suspect after a shotgun was aimed at the officer.")</f>
        <v>An off-duty HPD officer entered the bank in Humble, was forced to the floor, and disarmed at gunpoint. The officer's partner was outside, observed the robbers exit, demanded their surrender, and killed one suspect after a shotgun was aimed at the officer.</v>
      </c>
      <c r="Q314" s="24"/>
      <c r="R314" s="24"/>
      <c r="S314" s="24"/>
      <c r="T314" s="24"/>
      <c r="U314" s="24"/>
      <c r="V314" s="24"/>
      <c r="W314" s="24"/>
      <c r="X314" s="24"/>
      <c r="Y314" s="24"/>
      <c r="Z314" s="24"/>
    </row>
    <row r="315">
      <c r="A315" s="29"/>
      <c r="B315" s="24"/>
      <c r="C315" s="24"/>
      <c r="D315" s="26" t="str">
        <f>IFERROR(__xludf.DUMMYFUNCTION("""COMPUTED_VALUE"""),"M")</f>
        <v>M</v>
      </c>
      <c r="E315" s="26" t="str">
        <f>IFERROR(__xludf.DUMMYFUNCTION("""COMPUTED_VALUE"""),"B")</f>
        <v>B</v>
      </c>
      <c r="F315" s="26">
        <f>IFERROR(__xludf.DUMMYFUNCTION("""COMPUTED_VALUE"""),21.0)</f>
        <v>21</v>
      </c>
      <c r="G315" s="26" t="str">
        <f>IFERROR(__xludf.DUMMYFUNCTION("""COMPUTED_VALUE"""),"None")</f>
        <v>None</v>
      </c>
      <c r="H315" s="26" t="str">
        <f>IFERROR(__xludf.DUMMYFUNCTION("""COMPUTED_VALUE"""),"Firearm")</f>
        <v>Firearm</v>
      </c>
      <c r="I315" s="27"/>
      <c r="J315" s="27"/>
      <c r="K315" s="27"/>
      <c r="L315" s="27"/>
      <c r="M315" s="27"/>
      <c r="N315" s="24"/>
      <c r="O315" s="24"/>
      <c r="P315" s="28"/>
      <c r="Q315" s="24"/>
      <c r="R315" s="24"/>
      <c r="S315" s="24"/>
      <c r="T315" s="24"/>
      <c r="U315" s="24"/>
      <c r="V315" s="24"/>
      <c r="W315" s="24"/>
      <c r="X315" s="24"/>
      <c r="Y315" s="24"/>
      <c r="Z315" s="24"/>
    </row>
    <row r="316" hidden="1">
      <c r="A316" s="29"/>
      <c r="B316" s="24"/>
      <c r="C316" s="24"/>
      <c r="D316" s="26" t="str">
        <f>IFERROR(__xludf.DUMMYFUNCTION("""COMPUTED_VALUE"""),"M")</f>
        <v>M</v>
      </c>
      <c r="E316" s="26" t="str">
        <f>IFERROR(__xludf.DUMMYFUNCTION("""COMPUTED_VALUE"""),"B")</f>
        <v>B</v>
      </c>
      <c r="F316" s="26">
        <f>IFERROR(__xludf.DUMMYFUNCTION("""COMPUTED_VALUE"""),18.0)</f>
        <v>18</v>
      </c>
      <c r="G316" s="26" t="str">
        <f>IFERROR(__xludf.DUMMYFUNCTION("""COMPUTED_VALUE"""),"Killed")</f>
        <v>Killed</v>
      </c>
      <c r="H316" s="26" t="str">
        <f>IFERROR(__xludf.DUMMYFUNCTION("""COMPUTED_VALUE"""),"Firearm")</f>
        <v>Firearm</v>
      </c>
      <c r="I316" s="27"/>
      <c r="J316" s="27"/>
      <c r="K316" s="27"/>
      <c r="L316" s="27"/>
      <c r="M316" s="27"/>
      <c r="N316" s="24"/>
      <c r="O316" s="24"/>
      <c r="P316" s="24"/>
      <c r="Q316" s="24"/>
      <c r="R316" s="24"/>
      <c r="S316" s="24"/>
      <c r="T316" s="24"/>
      <c r="U316" s="24"/>
      <c r="V316" s="24"/>
      <c r="W316" s="24"/>
      <c r="X316" s="24"/>
      <c r="Y316" s="24"/>
      <c r="Z316" s="24"/>
    </row>
    <row r="317" hidden="1">
      <c r="A317" s="29">
        <f>IFERROR(__xludf.DUMMYFUNCTION("""COMPUTED_VALUE"""),41375.0)</f>
        <v>41375</v>
      </c>
      <c r="B317" s="24">
        <f>IFERROR(__xludf.DUMMYFUNCTION("""COMPUTED_VALUE"""),4.4046113E7)</f>
        <v>44046113</v>
      </c>
      <c r="C317" s="24" t="str">
        <f>IFERROR(__xludf.DUMMYFUNCTION("""COMPUTED_VALUE"""),"05887 WESTHEIMER RD B")</f>
        <v>05887 WESTHEIMER RD B</v>
      </c>
      <c r="D317" s="26" t="str">
        <f>IFERROR(__xludf.DUMMYFUNCTION("""COMPUTED_VALUE"""),"M")</f>
        <v>M</v>
      </c>
      <c r="E317" s="26" t="str">
        <f>IFERROR(__xludf.DUMMYFUNCTION("""COMPUTED_VALUE"""),"B")</f>
        <v>B</v>
      </c>
      <c r="F317" s="26">
        <f>IFERROR(__xludf.DUMMYFUNCTION("""COMPUTED_VALUE"""),30.0)</f>
        <v>30</v>
      </c>
      <c r="G317" s="26" t="str">
        <f>IFERROR(__xludf.DUMMYFUNCTION("""COMPUTED_VALUE"""),"Wounded")</f>
        <v>Wounded</v>
      </c>
      <c r="H317" s="26" t="str">
        <f>IFERROR(__xludf.DUMMYFUNCTION("""COMPUTED_VALUE"""),"Firearm")</f>
        <v>Firearm</v>
      </c>
      <c r="I317" s="27" t="str">
        <f>IFERROR(__xludf.DUMMYFUNCTION("""COMPUTED_VALUE"""),"M")</f>
        <v>M</v>
      </c>
      <c r="J317" s="27" t="str">
        <f>IFERROR(__xludf.DUMMYFUNCTION("""COMPUTED_VALUE"""),"H")</f>
        <v>H</v>
      </c>
      <c r="K317" s="27">
        <f>IFERROR(__xludf.DUMMYFUNCTION("""COMPUTED_VALUE"""),37.0)</f>
        <v>37</v>
      </c>
      <c r="L317" s="27" t="str">
        <f>IFERROR(__xludf.DUMMYFUNCTION("""COMPUTED_VALUE"""),"None")</f>
        <v>None</v>
      </c>
      <c r="M317" s="27" t="str">
        <f>IFERROR(__xludf.DUMMYFUNCTION("""COMPUTED_VALUE"""),"Y")</f>
        <v>Y</v>
      </c>
      <c r="N317" s="24"/>
      <c r="O317" s="24"/>
      <c r="P317" s="28" t="str">
        <f>IFERROR(__xludf.DUMMYFUNCTION("""COMPUTED_VALUE"""),"Two armed suspects entered and attempted to rob a jewelry store. One of the suspects pointed a pistol at an HPD officer working an extra job. The officer shot and wounded the suspect. The second suspect fired at the officer, missed, and fled the scene.")</f>
        <v>Two armed suspects entered and attempted to rob a jewelry store. One of the suspects pointed a pistol at an HPD officer working an extra job. The officer shot and wounded the suspect. The second suspect fired at the officer, missed, and fled the scene.</v>
      </c>
      <c r="Q317" s="24"/>
      <c r="R317" s="24"/>
      <c r="S317" s="24"/>
      <c r="T317" s="24"/>
      <c r="U317" s="24"/>
      <c r="V317" s="24"/>
      <c r="W317" s="24"/>
      <c r="X317" s="24"/>
      <c r="Y317" s="24"/>
      <c r="Z317" s="24"/>
    </row>
    <row r="318">
      <c r="A318" s="29"/>
      <c r="B318" s="24"/>
      <c r="C318" s="24"/>
      <c r="D318" s="26" t="str">
        <f>IFERROR(__xludf.DUMMYFUNCTION("""COMPUTED_VALUE"""),"M")</f>
        <v>M</v>
      </c>
      <c r="E318" s="26" t="str">
        <f>IFERROR(__xludf.DUMMYFUNCTION("""COMPUTED_VALUE"""),"B")</f>
        <v>B</v>
      </c>
      <c r="F318" s="26"/>
      <c r="G318" s="26" t="str">
        <f>IFERROR(__xludf.DUMMYFUNCTION("""COMPUTED_VALUE"""),"None")</f>
        <v>None</v>
      </c>
      <c r="H318" s="26" t="str">
        <f>IFERROR(__xludf.DUMMYFUNCTION("""COMPUTED_VALUE"""),"Firearm")</f>
        <v>Firearm</v>
      </c>
      <c r="I318" s="27"/>
      <c r="J318" s="27"/>
      <c r="K318" s="27"/>
      <c r="L318" s="27"/>
      <c r="M318" s="27"/>
      <c r="N318" s="24"/>
      <c r="O318" s="24"/>
      <c r="P318" s="28"/>
      <c r="Q318" s="24"/>
      <c r="R318" s="24"/>
      <c r="S318" s="24"/>
      <c r="T318" s="24"/>
      <c r="U318" s="24"/>
      <c r="V318" s="24"/>
      <c r="W318" s="24"/>
      <c r="X318" s="24"/>
      <c r="Y318" s="24"/>
      <c r="Z318" s="24"/>
    </row>
    <row r="319">
      <c r="A319" s="29">
        <f>IFERROR(__xludf.DUMMYFUNCTION("""COMPUTED_VALUE"""),41374.0)</f>
        <v>41374</v>
      </c>
      <c r="B319" s="24">
        <f>IFERROR(__xludf.DUMMYFUNCTION("""COMPUTED_VALUE"""),4.3485213E7)</f>
        <v>43485213</v>
      </c>
      <c r="C319" s="24" t="str">
        <f>IFERROR(__xludf.DUMMYFUNCTION("""COMPUTED_VALUE"""),"4700 ALLEN ST")</f>
        <v>4700 ALLEN ST</v>
      </c>
      <c r="D319" s="26" t="str">
        <f>IFERROR(__xludf.DUMMYFUNCTION("""COMPUTED_VALUE"""),"M")</f>
        <v>M</v>
      </c>
      <c r="E319" s="26" t="str">
        <f>IFERROR(__xludf.DUMMYFUNCTION("""COMPUTED_VALUE"""),"B")</f>
        <v>B</v>
      </c>
      <c r="F319" s="26">
        <f>IFERROR(__xludf.DUMMYFUNCTION("""COMPUTED_VALUE"""),24.0)</f>
        <v>24</v>
      </c>
      <c r="G319" s="26" t="str">
        <f>IFERROR(__xludf.DUMMYFUNCTION("""COMPUTED_VALUE"""),"None")</f>
        <v>None</v>
      </c>
      <c r="H319" s="26" t="str">
        <f>IFERROR(__xludf.DUMMYFUNCTION("""COMPUTED_VALUE"""),"Firearm")</f>
        <v>Firearm</v>
      </c>
      <c r="I319" s="27" t="str">
        <f>IFERROR(__xludf.DUMMYFUNCTION("""COMPUTED_VALUE"""),"M")</f>
        <v>M</v>
      </c>
      <c r="J319" s="27" t="str">
        <f>IFERROR(__xludf.DUMMYFUNCTION("""COMPUTED_VALUE"""),"W")</f>
        <v>W</v>
      </c>
      <c r="K319" s="27">
        <f>IFERROR(__xludf.DUMMYFUNCTION("""COMPUTED_VALUE"""),34.0)</f>
        <v>34</v>
      </c>
      <c r="L319" s="27" t="str">
        <f>IFERROR(__xludf.DUMMYFUNCTION("""COMPUTED_VALUE"""),"None")</f>
        <v>None</v>
      </c>
      <c r="M319" s="27" t="str">
        <f>IFERROR(__xludf.DUMMYFUNCTION("""COMPUTED_VALUE"""),"Y")</f>
        <v>Y</v>
      </c>
      <c r="N319" s="24"/>
      <c r="O319" s="24"/>
      <c r="P319" s="28" t="str">
        <f>IFERROR(__xludf.DUMMYFUNCTION("""COMPUTED_VALUE"""),"Off duty officers working an extra job encountered suspicious males at the parking lot. Officers attempted to stop the vehicle and investigate, but the driver pointed a pistol at one of the officers and attempted to run them over. Officers fired and misse"&amp;"d the suspects.")</f>
        <v>Off duty officers working an extra job encountered suspicious males at the parking lot. Officers attempted to stop the vehicle and investigate, but the driver pointed a pistol at one of the officers and attempted to run them over. Officers fired and missed the suspects.</v>
      </c>
      <c r="Q319" s="24"/>
      <c r="R319" s="24"/>
      <c r="S319" s="24"/>
      <c r="T319" s="24"/>
      <c r="U319" s="24"/>
      <c r="V319" s="24"/>
      <c r="W319" s="24"/>
      <c r="X319" s="24"/>
      <c r="Y319" s="24"/>
      <c r="Z319" s="24"/>
    </row>
    <row r="320">
      <c r="A320" s="29"/>
      <c r="B320" s="24"/>
      <c r="C320" s="24"/>
      <c r="D320" s="26" t="str">
        <f>IFERROR(__xludf.DUMMYFUNCTION("""COMPUTED_VALUE"""),"U")</f>
        <v>U</v>
      </c>
      <c r="E320" s="26" t="str">
        <f>IFERROR(__xludf.DUMMYFUNCTION("""COMPUTED_VALUE"""),"U")</f>
        <v>U</v>
      </c>
      <c r="F320" s="26"/>
      <c r="G320" s="26" t="str">
        <f>IFERROR(__xludf.DUMMYFUNCTION("""COMPUTED_VALUE"""),"None")</f>
        <v>None</v>
      </c>
      <c r="H320" s="26" t="str">
        <f>IFERROR(__xludf.DUMMYFUNCTION("""COMPUTED_VALUE"""),"None")</f>
        <v>None</v>
      </c>
      <c r="I320" s="27"/>
      <c r="J320" s="27"/>
      <c r="K320" s="27"/>
      <c r="L320" s="27"/>
      <c r="M320" s="27"/>
      <c r="N320" s="24"/>
      <c r="O320" s="24"/>
      <c r="P320" s="28"/>
      <c r="Q320" s="24"/>
      <c r="R320" s="24"/>
      <c r="S320" s="24"/>
      <c r="T320" s="24"/>
      <c r="U320" s="24"/>
      <c r="V320" s="24"/>
      <c r="W320" s="24"/>
      <c r="X320" s="24"/>
      <c r="Y320" s="24"/>
      <c r="Z320" s="24"/>
    </row>
    <row r="321">
      <c r="A321" s="29"/>
      <c r="B321" s="24"/>
      <c r="C321" s="24"/>
      <c r="D321" s="26" t="str">
        <f>IFERROR(__xludf.DUMMYFUNCTION("""COMPUTED_VALUE"""),"U")</f>
        <v>U</v>
      </c>
      <c r="E321" s="26" t="str">
        <f>IFERROR(__xludf.DUMMYFUNCTION("""COMPUTED_VALUE"""),"U")</f>
        <v>U</v>
      </c>
      <c r="F321" s="26"/>
      <c r="G321" s="26" t="str">
        <f>IFERROR(__xludf.DUMMYFUNCTION("""COMPUTED_VALUE"""),"None")</f>
        <v>None</v>
      </c>
      <c r="H321" s="26" t="str">
        <f>IFERROR(__xludf.DUMMYFUNCTION("""COMPUTED_VALUE"""),"None")</f>
        <v>None</v>
      </c>
      <c r="I321" s="27" t="str">
        <f>IFERROR(__xludf.DUMMYFUNCTION("""COMPUTED_VALUE"""),"M")</f>
        <v>M</v>
      </c>
      <c r="J321" s="27" t="str">
        <f>IFERROR(__xludf.DUMMYFUNCTION("""COMPUTED_VALUE"""),"H")</f>
        <v>H</v>
      </c>
      <c r="K321" s="27">
        <f>IFERROR(__xludf.DUMMYFUNCTION("""COMPUTED_VALUE"""),28.0)</f>
        <v>28</v>
      </c>
      <c r="L321" s="27" t="str">
        <f>IFERROR(__xludf.DUMMYFUNCTION("""COMPUTED_VALUE"""),"None")</f>
        <v>None</v>
      </c>
      <c r="M321" s="27" t="str">
        <f>IFERROR(__xludf.DUMMYFUNCTION("""COMPUTED_VALUE"""),"N")</f>
        <v>N</v>
      </c>
      <c r="N321" s="24"/>
      <c r="O321" s="24"/>
      <c r="P321" s="28"/>
      <c r="Q321" s="24"/>
      <c r="R321" s="24"/>
      <c r="S321" s="24"/>
      <c r="T321" s="24"/>
      <c r="U321" s="24"/>
      <c r="V321" s="24"/>
      <c r="W321" s="24"/>
      <c r="X321" s="24"/>
      <c r="Y321" s="24"/>
      <c r="Z321" s="24"/>
    </row>
    <row r="322">
      <c r="A322" s="29"/>
      <c r="B322" s="24"/>
      <c r="C322" s="24"/>
      <c r="D322" s="26" t="str">
        <f>IFERROR(__xludf.DUMMYFUNCTION("""COMPUTED_VALUE"""),"U")</f>
        <v>U</v>
      </c>
      <c r="E322" s="26" t="str">
        <f>IFERROR(__xludf.DUMMYFUNCTION("""COMPUTED_VALUE"""),"U")</f>
        <v>U</v>
      </c>
      <c r="F322" s="26"/>
      <c r="G322" s="26" t="str">
        <f>IFERROR(__xludf.DUMMYFUNCTION("""COMPUTED_VALUE"""),"None")</f>
        <v>None</v>
      </c>
      <c r="H322" s="26" t="str">
        <f>IFERROR(__xludf.DUMMYFUNCTION("""COMPUTED_VALUE"""),"None")</f>
        <v>None</v>
      </c>
      <c r="I322" s="27"/>
      <c r="J322" s="27"/>
      <c r="K322" s="27"/>
      <c r="L322" s="27"/>
      <c r="M322" s="27"/>
      <c r="N322" s="24"/>
      <c r="O322" s="24"/>
      <c r="P322" s="28"/>
      <c r="Q322" s="24"/>
      <c r="R322" s="24"/>
      <c r="S322" s="24"/>
      <c r="T322" s="24"/>
      <c r="U322" s="24"/>
      <c r="V322" s="24"/>
      <c r="W322" s="24"/>
      <c r="X322" s="24"/>
      <c r="Y322" s="24"/>
      <c r="Z322" s="24"/>
    </row>
    <row r="323">
      <c r="A323" s="29">
        <f>IFERROR(__xludf.DUMMYFUNCTION("""COMPUTED_VALUE"""),41370.0)</f>
        <v>41370</v>
      </c>
      <c r="B323" s="24">
        <f>IFERROR(__xludf.DUMMYFUNCTION("""COMPUTED_VALUE"""),4.1917613E7)</f>
        <v>41917613</v>
      </c>
      <c r="C323" s="24" t="str">
        <f>IFERROR(__xludf.DUMMYFUNCTION("""COMPUTED_VALUE"""),"4700 WENDA")</f>
        <v>4700 WENDA</v>
      </c>
      <c r="D323" s="26" t="str">
        <f>IFERROR(__xludf.DUMMYFUNCTION("""COMPUTED_VALUE"""),"M")</f>
        <v>M</v>
      </c>
      <c r="E323" s="26" t="str">
        <f>IFERROR(__xludf.DUMMYFUNCTION("""COMPUTED_VALUE"""),"B")</f>
        <v>B</v>
      </c>
      <c r="F323" s="26">
        <f>IFERROR(__xludf.DUMMYFUNCTION("""COMPUTED_VALUE"""),21.0)</f>
        <v>21</v>
      </c>
      <c r="G323" s="26" t="str">
        <f>IFERROR(__xludf.DUMMYFUNCTION("""COMPUTED_VALUE"""),"None")</f>
        <v>None</v>
      </c>
      <c r="H323" s="26" t="str">
        <f>IFERROR(__xludf.DUMMYFUNCTION("""COMPUTED_VALUE"""),"Firearm")</f>
        <v>Firearm</v>
      </c>
      <c r="I323" s="27" t="str">
        <f>IFERROR(__xludf.DUMMYFUNCTION("""COMPUTED_VALUE"""),"M")</f>
        <v>M</v>
      </c>
      <c r="J323" s="27" t="str">
        <f>IFERROR(__xludf.DUMMYFUNCTION("""COMPUTED_VALUE"""),"B")</f>
        <v>B</v>
      </c>
      <c r="K323" s="27">
        <f>IFERROR(__xludf.DUMMYFUNCTION("""COMPUTED_VALUE"""),43.0)</f>
        <v>43</v>
      </c>
      <c r="L323" s="27" t="str">
        <f>IFERROR(__xludf.DUMMYFUNCTION("""COMPUTED_VALUE"""),"None")</f>
        <v>None</v>
      </c>
      <c r="M323" s="27" t="str">
        <f>IFERROR(__xludf.DUMMYFUNCTION("""COMPUTED_VALUE"""),"Y")</f>
        <v>Y</v>
      </c>
      <c r="N323" s="24"/>
      <c r="O323" s="24"/>
      <c r="P323" s="28" t="str">
        <f>IFERROR(__xludf.DUMMYFUNCTION("""COMPUTED_VALUE"""),"During a traffic stop, a HPD officer confronted a suspect that fled on foot, jumped a fence, and brandished a handgun. One of the officers feared for his life and his partner's life, discharging his weapon. No injuries were reported at the time of this in"&amp;"cident and the passenger was arrested for P.O.M.")</f>
        <v>During a traffic stop, a HPD officer confronted a suspect that fled on foot, jumped a fence, and brandished a handgun. One of the officers feared for his life and his partner's life, discharging his weapon. No injuries were reported at the time of this incident and the passenger was arrested for P.O.M.</v>
      </c>
      <c r="Q323" s="24"/>
      <c r="R323" s="24"/>
      <c r="S323" s="24"/>
      <c r="T323" s="24"/>
      <c r="U323" s="24"/>
      <c r="V323" s="24"/>
      <c r="W323" s="24"/>
      <c r="X323" s="24"/>
      <c r="Y323" s="24"/>
      <c r="Z323" s="24"/>
    </row>
    <row r="324">
      <c r="A324" s="29"/>
      <c r="B324" s="24"/>
      <c r="C324" s="24"/>
      <c r="D324" s="26" t="str">
        <f>IFERROR(__xludf.DUMMYFUNCTION("""COMPUTED_VALUE"""),"M")</f>
        <v>M</v>
      </c>
      <c r="E324" s="26" t="str">
        <f>IFERROR(__xludf.DUMMYFUNCTION("""COMPUTED_VALUE"""),"B")</f>
        <v>B</v>
      </c>
      <c r="F324" s="26">
        <f>IFERROR(__xludf.DUMMYFUNCTION("""COMPUTED_VALUE"""),18.0)</f>
        <v>18</v>
      </c>
      <c r="G324" s="26" t="str">
        <f>IFERROR(__xludf.DUMMYFUNCTION("""COMPUTED_VALUE"""),"None")</f>
        <v>None</v>
      </c>
      <c r="H324" s="26" t="str">
        <f>IFERROR(__xludf.DUMMYFUNCTION("""COMPUTED_VALUE"""),"None")</f>
        <v>None</v>
      </c>
      <c r="I324" s="27"/>
      <c r="J324" s="27"/>
      <c r="K324" s="27"/>
      <c r="L324" s="27"/>
      <c r="M324" s="27"/>
      <c r="N324" s="24"/>
      <c r="O324" s="24"/>
      <c r="P324" s="28"/>
      <c r="Q324" s="24"/>
      <c r="R324" s="24"/>
      <c r="S324" s="24"/>
      <c r="T324" s="24"/>
      <c r="U324" s="24"/>
      <c r="V324" s="24"/>
      <c r="W324" s="24"/>
      <c r="X324" s="24"/>
      <c r="Y324" s="24"/>
      <c r="Z324" s="24"/>
    </row>
    <row r="325" hidden="1">
      <c r="A325" s="29">
        <f>IFERROR(__xludf.DUMMYFUNCTION("""COMPUTED_VALUE"""),41356.0)</f>
        <v>41356</v>
      </c>
      <c r="B325" s="24">
        <f>IFERROR(__xludf.DUMMYFUNCTION("""COMPUTED_VALUE"""),3.5614113E7)</f>
        <v>35614113</v>
      </c>
      <c r="C325" s="24" t="str">
        <f>IFERROR(__xludf.DUMMYFUNCTION("""COMPUTED_VALUE"""),"7411 BANYAN ST")</f>
        <v>7411 BANYAN ST</v>
      </c>
      <c r="D325" s="26" t="str">
        <f>IFERROR(__xludf.DUMMYFUNCTION("""COMPUTED_VALUE"""),"M")</f>
        <v>M</v>
      </c>
      <c r="E325" s="26" t="str">
        <f>IFERROR(__xludf.DUMMYFUNCTION("""COMPUTED_VALUE"""),"B")</f>
        <v>B</v>
      </c>
      <c r="F325" s="26">
        <f>IFERROR(__xludf.DUMMYFUNCTION("""COMPUTED_VALUE"""),44.0)</f>
        <v>44</v>
      </c>
      <c r="G325" s="26" t="str">
        <f>IFERROR(__xludf.DUMMYFUNCTION("""COMPUTED_VALUE"""),"Wounded")</f>
        <v>Wounded</v>
      </c>
      <c r="H325" s="26" t="str">
        <f>IFERROR(__xludf.DUMMYFUNCTION("""COMPUTED_VALUE"""),"Firearm")</f>
        <v>Firearm</v>
      </c>
      <c r="I325" s="27" t="str">
        <f>IFERROR(__xludf.DUMMYFUNCTION("""COMPUTED_VALUE"""),"M")</f>
        <v>M</v>
      </c>
      <c r="J325" s="27" t="str">
        <f>IFERROR(__xludf.DUMMYFUNCTION("""COMPUTED_VALUE"""),"W")</f>
        <v>W</v>
      </c>
      <c r="K325" s="27">
        <f>IFERROR(__xludf.DUMMYFUNCTION("""COMPUTED_VALUE"""),50.0)</f>
        <v>50</v>
      </c>
      <c r="L325" s="27" t="str">
        <f>IFERROR(__xludf.DUMMYFUNCTION("""COMPUTED_VALUE"""),"None")</f>
        <v>None</v>
      </c>
      <c r="M325" s="27" t="str">
        <f>IFERROR(__xludf.DUMMYFUNCTION("""COMPUTED_VALUE"""),"Y")</f>
        <v>Y</v>
      </c>
      <c r="N325" s="24"/>
      <c r="O325" s="24"/>
      <c r="P325" s="28" t="str">
        <f>IFERROR(__xludf.DUMMYFUNCTION("""COMPUTED_VALUE"""),"While ringing the doorbell, the patrol officer hears a loud blast from inside. SWAT was notified, attempted a rescue, and received gunfire from the suspect who fled out the back door. Upon exiting the suspect pointed a firearm at SWAT officers who shot th"&amp;"e suspect.")</f>
        <v>While ringing the doorbell, the patrol officer hears a loud blast from inside. SWAT was notified, attempted a rescue, and received gunfire from the suspect who fled out the back door. Upon exiting the suspect pointed a firearm at SWAT officers who shot the suspect.</v>
      </c>
      <c r="Q325" s="24"/>
      <c r="R325" s="24"/>
      <c r="S325" s="24"/>
      <c r="T325" s="24"/>
      <c r="U325" s="24"/>
      <c r="V325" s="24"/>
      <c r="W325" s="24"/>
      <c r="X325" s="24"/>
      <c r="Y325" s="24"/>
      <c r="Z325" s="24"/>
    </row>
    <row r="326" hidden="1">
      <c r="A326" s="29"/>
      <c r="B326" s="24"/>
      <c r="C326" s="24"/>
      <c r="D326" s="26"/>
      <c r="E326" s="26"/>
      <c r="F326" s="26"/>
      <c r="G326" s="26"/>
      <c r="H326" s="26"/>
      <c r="I326" s="27" t="str">
        <f>IFERROR(__xludf.DUMMYFUNCTION("""COMPUTED_VALUE"""),"M")</f>
        <v>M</v>
      </c>
      <c r="J326" s="27" t="str">
        <f>IFERROR(__xludf.DUMMYFUNCTION("""COMPUTED_VALUE"""),"W")</f>
        <v>W</v>
      </c>
      <c r="K326" s="27">
        <f>IFERROR(__xludf.DUMMYFUNCTION("""COMPUTED_VALUE"""),43.0)</f>
        <v>43</v>
      </c>
      <c r="L326" s="27" t="str">
        <f>IFERROR(__xludf.DUMMYFUNCTION("""COMPUTED_VALUE"""),"None")</f>
        <v>None</v>
      </c>
      <c r="M326" s="27" t="str">
        <f>IFERROR(__xludf.DUMMYFUNCTION("""COMPUTED_VALUE"""),"Y")</f>
        <v>Y</v>
      </c>
      <c r="N326" s="24"/>
      <c r="O326" s="24"/>
      <c r="P326" s="24"/>
      <c r="Q326" s="24"/>
      <c r="R326" s="24"/>
      <c r="S326" s="24"/>
      <c r="T326" s="24"/>
      <c r="U326" s="24"/>
      <c r="V326" s="24"/>
      <c r="W326" s="24"/>
      <c r="X326" s="24"/>
      <c r="Y326" s="24"/>
      <c r="Z326" s="24"/>
    </row>
    <row r="327" hidden="1">
      <c r="A327" s="29">
        <f>IFERROR(__xludf.DUMMYFUNCTION("""COMPUTED_VALUE"""),41353.0)</f>
        <v>41353</v>
      </c>
      <c r="B327" s="24">
        <f>IFERROR(__xludf.DUMMYFUNCTION("""COMPUTED_VALUE"""),3.4501713E7)</f>
        <v>34501713</v>
      </c>
      <c r="C327" s="24" t="str">
        <f>IFERROR(__xludf.DUMMYFUNCTION("""COMPUTED_VALUE"""),"JACINTO CITY TEXAS")</f>
        <v>JACINTO CITY TEXAS</v>
      </c>
      <c r="D327" s="26" t="str">
        <f>IFERROR(__xludf.DUMMYFUNCTION("""COMPUTED_VALUE"""),"M")</f>
        <v>M</v>
      </c>
      <c r="E327" s="26" t="str">
        <f>IFERROR(__xludf.DUMMYFUNCTION("""COMPUTED_VALUE"""),"H")</f>
        <v>H</v>
      </c>
      <c r="F327" s="26">
        <f>IFERROR(__xludf.DUMMYFUNCTION("""COMPUTED_VALUE"""),17.0)</f>
        <v>17</v>
      </c>
      <c r="G327" s="26" t="str">
        <f>IFERROR(__xludf.DUMMYFUNCTION("""COMPUTED_VALUE"""),"Wounded")</f>
        <v>Wounded</v>
      </c>
      <c r="H327" s="26" t="str">
        <f>IFERROR(__xludf.DUMMYFUNCTION("""COMPUTED_VALUE"""),"Firearm")</f>
        <v>Firearm</v>
      </c>
      <c r="I327" s="27" t="str">
        <f>IFERROR(__xludf.DUMMYFUNCTION("""COMPUTED_VALUE"""),"M")</f>
        <v>M</v>
      </c>
      <c r="J327" s="27" t="str">
        <f>IFERROR(__xludf.DUMMYFUNCTION("""COMPUTED_VALUE"""),"H")</f>
        <v>H</v>
      </c>
      <c r="K327" s="27">
        <f>IFERROR(__xludf.DUMMYFUNCTION("""COMPUTED_VALUE"""),45.0)</f>
        <v>45</v>
      </c>
      <c r="L327" s="27" t="str">
        <f>IFERROR(__xludf.DUMMYFUNCTION("""COMPUTED_VALUE"""),"None")</f>
        <v>None</v>
      </c>
      <c r="M327" s="27" t="str">
        <f>IFERROR(__xludf.DUMMYFUNCTION("""COMPUTED_VALUE"""),"Y")</f>
        <v>Y</v>
      </c>
      <c r="N327" s="24"/>
      <c r="O327" s="24"/>
      <c r="P327" s="28" t="str">
        <f>IFERROR(__xludf.DUMMYFUNCTION("""COMPUTED_VALUE"""),"Suspect shot two Jacinto City Officers who questioned him regarding a previous incident. One Officer was wounded in the chest and the other in the arm. Several officers and SWAT responded, suspect shot at officers again, SWAT returned fire and hit suspect"&amp;" in the leg.")</f>
        <v>Suspect shot two Jacinto City Officers who questioned him regarding a previous incident. One Officer was wounded in the chest and the other in the arm. Several officers and SWAT responded, suspect shot at officers again, SWAT returned fire and hit suspect in the leg.</v>
      </c>
      <c r="Q327" s="24"/>
      <c r="R327" s="24"/>
      <c r="S327" s="24"/>
      <c r="T327" s="24"/>
      <c r="U327" s="24"/>
      <c r="V327" s="24"/>
      <c r="W327" s="24"/>
      <c r="X327" s="24"/>
      <c r="Y327" s="24"/>
      <c r="Z327" s="24"/>
    </row>
    <row r="328" hidden="1">
      <c r="A328" s="29"/>
      <c r="B328" s="24"/>
      <c r="C328" s="24"/>
      <c r="D328" s="26"/>
      <c r="E328" s="26"/>
      <c r="F328" s="26"/>
      <c r="G328" s="26"/>
      <c r="H328" s="26"/>
      <c r="I328" s="27" t="str">
        <f>IFERROR(__xludf.DUMMYFUNCTION("""COMPUTED_VALUE"""),"M")</f>
        <v>M</v>
      </c>
      <c r="J328" s="27" t="str">
        <f>IFERROR(__xludf.DUMMYFUNCTION("""COMPUTED_VALUE"""),"H")</f>
        <v>H</v>
      </c>
      <c r="K328" s="27">
        <f>IFERROR(__xludf.DUMMYFUNCTION("""COMPUTED_VALUE"""),40.0)</f>
        <v>40</v>
      </c>
      <c r="L328" s="27" t="str">
        <f>IFERROR(__xludf.DUMMYFUNCTION("""COMPUTED_VALUE"""),"None")</f>
        <v>None</v>
      </c>
      <c r="M328" s="27" t="str">
        <f>IFERROR(__xludf.DUMMYFUNCTION("""COMPUTED_VALUE"""),"Y")</f>
        <v>Y</v>
      </c>
      <c r="N328" s="24"/>
      <c r="O328" s="24"/>
      <c r="P328" s="24"/>
      <c r="Q328" s="24"/>
      <c r="R328" s="24"/>
      <c r="S328" s="24"/>
      <c r="T328" s="24"/>
      <c r="U328" s="24"/>
      <c r="V328" s="24"/>
      <c r="W328" s="24"/>
      <c r="X328" s="24"/>
      <c r="Y328" s="24"/>
      <c r="Z328" s="24"/>
    </row>
    <row r="329" hidden="1">
      <c r="A329" s="29"/>
      <c r="B329" s="24"/>
      <c r="C329" s="24"/>
      <c r="D329" s="26"/>
      <c r="E329" s="26"/>
      <c r="F329" s="26"/>
      <c r="G329" s="26"/>
      <c r="H329" s="26"/>
      <c r="I329" s="27" t="str">
        <f>IFERROR(__xludf.DUMMYFUNCTION("""COMPUTED_VALUE"""),"M")</f>
        <v>M</v>
      </c>
      <c r="J329" s="27" t="str">
        <f>IFERROR(__xludf.DUMMYFUNCTION("""COMPUTED_VALUE"""),"W")</f>
        <v>W</v>
      </c>
      <c r="K329" s="27">
        <f>IFERROR(__xludf.DUMMYFUNCTION("""COMPUTED_VALUE"""),34.0)</f>
        <v>34</v>
      </c>
      <c r="L329" s="27" t="str">
        <f>IFERROR(__xludf.DUMMYFUNCTION("""COMPUTED_VALUE"""),"None")</f>
        <v>None</v>
      </c>
      <c r="M329" s="27" t="str">
        <f>IFERROR(__xludf.DUMMYFUNCTION("""COMPUTED_VALUE"""),"Y")</f>
        <v>Y</v>
      </c>
      <c r="N329" s="24"/>
      <c r="O329" s="24"/>
      <c r="P329" s="24"/>
      <c r="Q329" s="24"/>
      <c r="R329" s="24"/>
      <c r="S329" s="24"/>
      <c r="T329" s="24"/>
      <c r="U329" s="24"/>
      <c r="V329" s="24"/>
      <c r="W329" s="24"/>
      <c r="X329" s="24"/>
      <c r="Y329" s="24"/>
      <c r="Z329" s="24"/>
    </row>
    <row r="330" hidden="1">
      <c r="A330" s="29">
        <f>IFERROR(__xludf.DUMMYFUNCTION("""COMPUTED_VALUE"""),41352.0)</f>
        <v>41352</v>
      </c>
      <c r="B330" s="24">
        <f>IFERROR(__xludf.DUMMYFUNCTION("""COMPUTED_VALUE"""),3.3958813E7)</f>
        <v>33958813</v>
      </c>
      <c r="C330" s="24" t="str">
        <f>IFERROR(__xludf.DUMMYFUNCTION("""COMPUTED_VALUE"""),"6725 SHERWOOD DR")</f>
        <v>6725 SHERWOOD DR</v>
      </c>
      <c r="D330" s="26" t="str">
        <f>IFERROR(__xludf.DUMMYFUNCTION("""COMPUTED_VALUE"""),"M")</f>
        <v>M</v>
      </c>
      <c r="E330" s="26" t="str">
        <f>IFERROR(__xludf.DUMMYFUNCTION("""COMPUTED_VALUE"""),"B")</f>
        <v>B</v>
      </c>
      <c r="F330" s="26">
        <f>IFERROR(__xludf.DUMMYFUNCTION("""COMPUTED_VALUE"""),38.0)</f>
        <v>38</v>
      </c>
      <c r="G330" s="26" t="str">
        <f>IFERROR(__xludf.DUMMYFUNCTION("""COMPUTED_VALUE"""),"Wounded")</f>
        <v>Wounded</v>
      </c>
      <c r="H330" s="26" t="str">
        <f>IFERROR(__xludf.DUMMYFUNCTION("""COMPUTED_VALUE"""),"None")</f>
        <v>None</v>
      </c>
      <c r="I330" s="27" t="str">
        <f>IFERROR(__xludf.DUMMYFUNCTION("""COMPUTED_VALUE"""),"M")</f>
        <v>M</v>
      </c>
      <c r="J330" s="27" t="str">
        <f>IFERROR(__xludf.DUMMYFUNCTION("""COMPUTED_VALUE"""),"H")</f>
        <v>H</v>
      </c>
      <c r="K330" s="27">
        <f>IFERROR(__xludf.DUMMYFUNCTION("""COMPUTED_VALUE"""),48.0)</f>
        <v>48</v>
      </c>
      <c r="L330" s="27" t="str">
        <f>IFERROR(__xludf.DUMMYFUNCTION("""COMPUTED_VALUE"""),"None")</f>
        <v>None</v>
      </c>
      <c r="M330" s="27" t="str">
        <f>IFERROR(__xludf.DUMMYFUNCTION("""COMPUTED_VALUE"""),"Y")</f>
        <v>Y</v>
      </c>
      <c r="N330" s="24"/>
      <c r="O330" s="24"/>
      <c r="P330" s="28" t="str">
        <f>IFERROR(__xludf.DUMMYFUNCTION("""COMPUTED_VALUE"""),"While executing a search warrant, the suspect ran into a back room, reached into his waistband, and ignored verbal commands given by the officers. An officer feared the suspect was reaching for a weapon and shot the suspect. A pellet gun was found near su"&amp;"spect.")</f>
        <v>While executing a search warrant, the suspect ran into a back room, reached into his waistband, and ignored verbal commands given by the officers. An officer feared the suspect was reaching for a weapon and shot the suspect. A pellet gun was found near suspect.</v>
      </c>
      <c r="Q330" s="24"/>
      <c r="R330" s="24"/>
      <c r="S330" s="24"/>
      <c r="T330" s="24"/>
      <c r="U330" s="24"/>
      <c r="V330" s="24"/>
      <c r="W330" s="24"/>
      <c r="X330" s="24"/>
      <c r="Y330" s="24"/>
      <c r="Z330" s="24"/>
    </row>
    <row r="331" hidden="1">
      <c r="A331" s="29">
        <f>IFERROR(__xludf.DUMMYFUNCTION("""COMPUTED_VALUE"""),41351.0)</f>
        <v>41351</v>
      </c>
      <c r="B331" s="24">
        <f>IFERROR(__xludf.DUMMYFUNCTION("""COMPUTED_VALUE"""),3.3144013E7)</f>
        <v>33144013</v>
      </c>
      <c r="C331" s="24" t="str">
        <f>IFERROR(__xludf.DUMMYFUNCTION("""COMPUTED_VALUE"""),"600 SADDLE ROCK DR")</f>
        <v>600 SADDLE ROCK DR</v>
      </c>
      <c r="D331" s="26" t="str">
        <f>IFERROR(__xludf.DUMMYFUNCTION("""COMPUTED_VALUE"""),"M")</f>
        <v>M</v>
      </c>
      <c r="E331" s="26" t="str">
        <f>IFERROR(__xludf.DUMMYFUNCTION("""COMPUTED_VALUE"""),"H")</f>
        <v>H</v>
      </c>
      <c r="F331" s="26">
        <f>IFERROR(__xludf.DUMMYFUNCTION("""COMPUTED_VALUE"""),33.0)</f>
        <v>33</v>
      </c>
      <c r="G331" s="26" t="str">
        <f>IFERROR(__xludf.DUMMYFUNCTION("""COMPUTED_VALUE"""),"Killed")</f>
        <v>Killed</v>
      </c>
      <c r="H331" s="26" t="str">
        <f>IFERROR(__xludf.DUMMYFUNCTION("""COMPUTED_VALUE"""),"Firearm")</f>
        <v>Firearm</v>
      </c>
      <c r="I331" s="27" t="str">
        <f>IFERROR(__xludf.DUMMYFUNCTION("""COMPUTED_VALUE"""),"M")</f>
        <v>M</v>
      </c>
      <c r="J331" s="27" t="str">
        <f>IFERROR(__xludf.DUMMYFUNCTION("""COMPUTED_VALUE"""),"W")</f>
        <v>W</v>
      </c>
      <c r="K331" s="27">
        <f>IFERROR(__xludf.DUMMYFUNCTION("""COMPUTED_VALUE"""),27.0)</f>
        <v>27</v>
      </c>
      <c r="L331" s="27" t="str">
        <f>IFERROR(__xludf.DUMMYFUNCTION("""COMPUTED_VALUE"""),"None")</f>
        <v>None</v>
      </c>
      <c r="M331" s="27" t="str">
        <f>IFERROR(__xludf.DUMMYFUNCTION("""COMPUTED_VALUE"""),"Y")</f>
        <v>Y</v>
      </c>
      <c r="N331" s="24"/>
      <c r="O331" s="24"/>
      <c r="P331" s="24" t="str">
        <f>IFERROR(__xludf.DUMMYFUNCTION("""COMPUTED_VALUE"""),"While attempting to conduct a traffic stop, the suspect fired upon a pair of officers and striking one in both arms. The other officer returned fire killing the suspect.")</f>
        <v>While attempting to conduct a traffic stop, the suspect fired upon a pair of officers and striking one in both arms. The other officer returned fire killing the suspect.</v>
      </c>
      <c r="Q331" s="24"/>
      <c r="R331" s="24"/>
      <c r="S331" s="24"/>
      <c r="T331" s="24"/>
      <c r="U331" s="24"/>
      <c r="V331" s="24"/>
      <c r="W331" s="24"/>
      <c r="X331" s="24"/>
      <c r="Y331" s="24"/>
      <c r="Z331" s="24"/>
    </row>
    <row r="332" hidden="1">
      <c r="A332" s="29">
        <f>IFERROR(__xludf.DUMMYFUNCTION("""COMPUTED_VALUE"""),41336.0)</f>
        <v>41336</v>
      </c>
      <c r="B332" s="24">
        <f>IFERROR(__xludf.DUMMYFUNCTION("""COMPUTED_VALUE"""),2.6584013E7)</f>
        <v>26584013</v>
      </c>
      <c r="C332" s="24" t="str">
        <f>IFERROR(__xludf.DUMMYFUNCTION("""COMPUTED_VALUE"""),"5800 W AIRPORT BLVD")</f>
        <v>5800 W AIRPORT BLVD</v>
      </c>
      <c r="D332" s="26" t="str">
        <f>IFERROR(__xludf.DUMMYFUNCTION("""COMPUTED_VALUE"""),"M")</f>
        <v>M</v>
      </c>
      <c r="E332" s="26" t="str">
        <f>IFERROR(__xludf.DUMMYFUNCTION("""COMPUTED_VALUE"""),"B")</f>
        <v>B</v>
      </c>
      <c r="F332" s="26">
        <f>IFERROR(__xludf.DUMMYFUNCTION("""COMPUTED_VALUE"""),45.0)</f>
        <v>45</v>
      </c>
      <c r="G332" s="26" t="str">
        <f>IFERROR(__xludf.DUMMYFUNCTION("""COMPUTED_VALUE"""),"Wounded")</f>
        <v>Wounded</v>
      </c>
      <c r="H332" s="26" t="str">
        <f>IFERROR(__xludf.DUMMYFUNCTION("""COMPUTED_VALUE"""),"Firearm")</f>
        <v>Firearm</v>
      </c>
      <c r="I332" s="27" t="str">
        <f>IFERROR(__xludf.DUMMYFUNCTION("""COMPUTED_VALUE"""),"M")</f>
        <v>M</v>
      </c>
      <c r="J332" s="27" t="str">
        <f>IFERROR(__xludf.DUMMYFUNCTION("""COMPUTED_VALUE"""),"B")</f>
        <v>B</v>
      </c>
      <c r="K332" s="27">
        <f>IFERROR(__xludf.DUMMYFUNCTION("""COMPUTED_VALUE"""),44.0)</f>
        <v>44</v>
      </c>
      <c r="L332" s="27" t="str">
        <f>IFERROR(__xludf.DUMMYFUNCTION("""COMPUTED_VALUE"""),"None")</f>
        <v>None</v>
      </c>
      <c r="M332" s="27" t="str">
        <f>IFERROR(__xludf.DUMMYFUNCTION("""COMPUTED_VALUE"""),"Y")</f>
        <v>Y</v>
      </c>
      <c r="N332" s="24"/>
      <c r="O332" s="24"/>
      <c r="P332" s="28" t="str">
        <f>IFERROR(__xludf.DUMMYFUNCTION("""COMPUTED_VALUE"""),"Suspect discharged a firearm multiple times at HPD officers and citizens. HPD officers discharge their firearms at the suspect and wounded him.")</f>
        <v>Suspect discharged a firearm multiple times at HPD officers and citizens. HPD officers discharge their firearms at the suspect and wounded him.</v>
      </c>
      <c r="Q332" s="24"/>
      <c r="R332" s="24"/>
      <c r="S332" s="24"/>
      <c r="T332" s="24"/>
      <c r="U332" s="24"/>
      <c r="V332" s="24"/>
      <c r="W332" s="24"/>
      <c r="X332" s="24"/>
      <c r="Y332" s="24"/>
      <c r="Z332" s="24"/>
    </row>
    <row r="333" hidden="1">
      <c r="A333" s="29"/>
      <c r="B333" s="24"/>
      <c r="C333" s="24"/>
      <c r="D333" s="26"/>
      <c r="E333" s="26"/>
      <c r="F333" s="26"/>
      <c r="G333" s="26"/>
      <c r="H333" s="26"/>
      <c r="I333" s="27" t="str">
        <f>IFERROR(__xludf.DUMMYFUNCTION("""COMPUTED_VALUE"""),"M")</f>
        <v>M</v>
      </c>
      <c r="J333" s="27" t="str">
        <f>IFERROR(__xludf.DUMMYFUNCTION("""COMPUTED_VALUE"""),"B")</f>
        <v>B</v>
      </c>
      <c r="K333" s="27">
        <f>IFERROR(__xludf.DUMMYFUNCTION("""COMPUTED_VALUE"""),39.0)</f>
        <v>39</v>
      </c>
      <c r="L333" s="27" t="str">
        <f>IFERROR(__xludf.DUMMYFUNCTION("""COMPUTED_VALUE"""),"None")</f>
        <v>None</v>
      </c>
      <c r="M333" s="27" t="str">
        <f>IFERROR(__xludf.DUMMYFUNCTION("""COMPUTED_VALUE"""),"Y")</f>
        <v>Y</v>
      </c>
      <c r="N333" s="24"/>
      <c r="O333" s="24"/>
      <c r="P333" s="24"/>
      <c r="Q333" s="24"/>
      <c r="R333" s="24"/>
      <c r="S333" s="24"/>
      <c r="T333" s="24"/>
      <c r="U333" s="24"/>
      <c r="V333" s="24"/>
      <c r="W333" s="24"/>
      <c r="X333" s="24"/>
      <c r="Y333" s="24"/>
      <c r="Z333" s="24"/>
    </row>
    <row r="334" hidden="1">
      <c r="A334" s="29">
        <f>IFERROR(__xludf.DUMMYFUNCTION("""COMPUTED_VALUE"""),41333.0)</f>
        <v>41333</v>
      </c>
      <c r="B334" s="24">
        <f>IFERROR(__xludf.DUMMYFUNCTION("""COMPUTED_VALUE"""),2.5253413E7)</f>
        <v>25253413</v>
      </c>
      <c r="C334" s="24" t="str">
        <f>IFERROR(__xludf.DUMMYFUNCTION("""COMPUTED_VALUE"""),"4911 DUMFRIES DR")</f>
        <v>4911 DUMFRIES DR</v>
      </c>
      <c r="D334" s="26" t="str">
        <f>IFERROR(__xludf.DUMMYFUNCTION("""COMPUTED_VALUE"""),"M")</f>
        <v>M</v>
      </c>
      <c r="E334" s="26" t="str">
        <f>IFERROR(__xludf.DUMMYFUNCTION("""COMPUTED_VALUE"""),"B")</f>
        <v>B</v>
      </c>
      <c r="F334" s="26">
        <f>IFERROR(__xludf.DUMMYFUNCTION("""COMPUTED_VALUE"""),46.0)</f>
        <v>46</v>
      </c>
      <c r="G334" s="26" t="str">
        <f>IFERROR(__xludf.DUMMYFUNCTION("""COMPUTED_VALUE"""),"Killed")</f>
        <v>Killed</v>
      </c>
      <c r="H334" s="26" t="str">
        <f>IFERROR(__xludf.DUMMYFUNCTION("""COMPUTED_VALUE"""),"Scissors")</f>
        <v>Scissors</v>
      </c>
      <c r="I334" s="27" t="str">
        <f>IFERROR(__xludf.DUMMYFUNCTION("""COMPUTED_VALUE"""),"M")</f>
        <v>M</v>
      </c>
      <c r="J334" s="27" t="str">
        <f>IFERROR(__xludf.DUMMYFUNCTION("""COMPUTED_VALUE"""),"H")</f>
        <v>H</v>
      </c>
      <c r="K334" s="27">
        <f>IFERROR(__xludf.DUMMYFUNCTION("""COMPUTED_VALUE"""),28.0)</f>
        <v>28</v>
      </c>
      <c r="L334" s="27" t="str">
        <f>IFERROR(__xludf.DUMMYFUNCTION("""COMPUTED_VALUE"""),"None")</f>
        <v>None</v>
      </c>
      <c r="M334" s="27" t="str">
        <f>IFERROR(__xludf.DUMMYFUNCTION("""COMPUTED_VALUE"""),"Y")</f>
        <v>Y</v>
      </c>
      <c r="N334" s="24"/>
      <c r="O334" s="24"/>
      <c r="P334" s="24" t="str">
        <f>IFERROR(__xludf.DUMMYFUNCTION("""COMPUTED_VALUE"""),"Suspect charged at officer with scissors in his hand. Officer fearing for his life, discharged weapon at suspect multiple times. Suspect was struck with multiple rounds and collapsed to the ground and died.")</f>
        <v>Suspect charged at officer with scissors in his hand. Officer fearing for his life, discharged weapon at suspect multiple times. Suspect was struck with multiple rounds and collapsed to the ground and died.</v>
      </c>
      <c r="Q334" s="24"/>
      <c r="R334" s="24"/>
      <c r="S334" s="24"/>
      <c r="T334" s="24"/>
      <c r="U334" s="24"/>
      <c r="V334" s="24"/>
      <c r="W334" s="24"/>
      <c r="X334" s="24"/>
      <c r="Y334" s="24"/>
      <c r="Z334" s="24"/>
    </row>
    <row r="335">
      <c r="A335" s="29">
        <f>IFERROR(__xludf.DUMMYFUNCTION("""COMPUTED_VALUE"""),41320.0)</f>
        <v>41320</v>
      </c>
      <c r="B335" s="24">
        <f>IFERROR(__xludf.DUMMYFUNCTION("""COMPUTED_VALUE"""),1.9558313E7)</f>
        <v>19558313</v>
      </c>
      <c r="C335" s="24" t="str">
        <f>IFERROR(__xludf.DUMMYFUNCTION("""COMPUTED_VALUE"""),"1500 WASHINGTON AVE")</f>
        <v>1500 WASHINGTON AVE</v>
      </c>
      <c r="D335" s="26" t="str">
        <f>IFERROR(__xludf.DUMMYFUNCTION("""COMPUTED_VALUE"""),"M")</f>
        <v>M</v>
      </c>
      <c r="E335" s="26" t="str">
        <f>IFERROR(__xludf.DUMMYFUNCTION("""COMPUTED_VALUE"""),"H")</f>
        <v>H</v>
      </c>
      <c r="F335" s="26">
        <f>IFERROR(__xludf.DUMMYFUNCTION("""COMPUTED_VALUE"""),51.0)</f>
        <v>51</v>
      </c>
      <c r="G335" s="26" t="str">
        <f>IFERROR(__xludf.DUMMYFUNCTION("""COMPUTED_VALUE"""),"None")</f>
        <v>None</v>
      </c>
      <c r="H335" s="26" t="str">
        <f>IFERROR(__xludf.DUMMYFUNCTION("""COMPUTED_VALUE"""),"Vehicle")</f>
        <v>Vehicle</v>
      </c>
      <c r="I335" s="27" t="str">
        <f>IFERROR(__xludf.DUMMYFUNCTION("""COMPUTED_VALUE"""),"M")</f>
        <v>M</v>
      </c>
      <c r="J335" s="27" t="str">
        <f>IFERROR(__xludf.DUMMYFUNCTION("""COMPUTED_VALUE"""),"W")</f>
        <v>W</v>
      </c>
      <c r="K335" s="27">
        <f>IFERROR(__xludf.DUMMYFUNCTION("""COMPUTED_VALUE"""),30.0)</f>
        <v>30</v>
      </c>
      <c r="L335" s="27" t="str">
        <f>IFERROR(__xludf.DUMMYFUNCTION("""COMPUTED_VALUE"""),"None")</f>
        <v>None</v>
      </c>
      <c r="M335" s="27" t="str">
        <f>IFERROR(__xludf.DUMMYFUNCTION("""COMPUTED_VALUE"""),"Y")</f>
        <v>Y</v>
      </c>
      <c r="N335" s="24"/>
      <c r="O335" s="24"/>
      <c r="P335" s="28" t="str">
        <f>IFERROR(__xludf.DUMMYFUNCTION("""COMPUTED_VALUE"""),"While conducting a felony stop the suspect accelerated his vehicle toward the passenger side of the patrol car. Officers fearing for the passenger side officer's life discharged their firearm, missing the suspect. No injuries; suspect arrested.")</f>
        <v>While conducting a felony stop the suspect accelerated his vehicle toward the passenger side of the patrol car. Officers fearing for the passenger side officer's life discharged their firearm, missing the suspect. No injuries; suspect arrested.</v>
      </c>
      <c r="Q335" s="24"/>
      <c r="R335" s="24"/>
      <c r="S335" s="24"/>
      <c r="T335" s="24"/>
      <c r="U335" s="24"/>
      <c r="V335" s="24"/>
      <c r="W335" s="24"/>
      <c r="X335" s="24"/>
      <c r="Y335" s="24"/>
      <c r="Z335" s="24"/>
    </row>
    <row r="336" hidden="1">
      <c r="A336" s="29"/>
      <c r="B336" s="24"/>
      <c r="C336" s="24"/>
      <c r="D336" s="26"/>
      <c r="E336" s="26"/>
      <c r="F336" s="26"/>
      <c r="G336" s="26"/>
      <c r="H336" s="26"/>
      <c r="I336" s="27" t="str">
        <f>IFERROR(__xludf.DUMMYFUNCTION("""COMPUTED_VALUE"""),"M")</f>
        <v>M</v>
      </c>
      <c r="J336" s="27" t="str">
        <f>IFERROR(__xludf.DUMMYFUNCTION("""COMPUTED_VALUE"""),"W")</f>
        <v>W</v>
      </c>
      <c r="K336" s="27">
        <f>IFERROR(__xludf.DUMMYFUNCTION("""COMPUTED_VALUE"""),30.0)</f>
        <v>30</v>
      </c>
      <c r="L336" s="27" t="str">
        <f>IFERROR(__xludf.DUMMYFUNCTION("""COMPUTED_VALUE"""),"None")</f>
        <v>None</v>
      </c>
      <c r="M336" s="27" t="str">
        <f>IFERROR(__xludf.DUMMYFUNCTION("""COMPUTED_VALUE"""),"Y")</f>
        <v>Y</v>
      </c>
      <c r="N336" s="24"/>
      <c r="O336" s="24"/>
      <c r="P336" s="24"/>
      <c r="Q336" s="24"/>
      <c r="R336" s="24"/>
      <c r="S336" s="24"/>
      <c r="T336" s="24"/>
      <c r="U336" s="24"/>
      <c r="V336" s="24"/>
      <c r="W336" s="24"/>
      <c r="X336" s="24"/>
      <c r="Y336" s="24"/>
      <c r="Z336" s="24"/>
    </row>
    <row r="337" hidden="1">
      <c r="A337" s="29">
        <f>IFERROR(__xludf.DUMMYFUNCTION("""COMPUTED_VALUE"""),41318.0)</f>
        <v>41318</v>
      </c>
      <c r="B337" s="24">
        <f>IFERROR(__xludf.DUMMYFUNCTION("""COMPUTED_VALUE"""),1.8168313E7)</f>
        <v>18168313</v>
      </c>
      <c r="C337" s="24" t="str">
        <f>IFERROR(__xludf.DUMMYFUNCTION("""COMPUTED_VALUE"""),"15707 EASTEX FWY SER W")</f>
        <v>15707 EASTEX FWY SER W</v>
      </c>
      <c r="D337" s="26" t="str">
        <f>IFERROR(__xludf.DUMMYFUNCTION("""COMPUTED_VALUE"""),"M")</f>
        <v>M</v>
      </c>
      <c r="E337" s="26" t="str">
        <f>IFERROR(__xludf.DUMMYFUNCTION("""COMPUTED_VALUE"""),"B")</f>
        <v>B</v>
      </c>
      <c r="F337" s="26">
        <f>IFERROR(__xludf.DUMMYFUNCTION("""COMPUTED_VALUE"""),32.0)</f>
        <v>32</v>
      </c>
      <c r="G337" s="26" t="str">
        <f>IFERROR(__xludf.DUMMYFUNCTION("""COMPUTED_VALUE"""),"Wounded")</f>
        <v>Wounded</v>
      </c>
      <c r="H337" s="26" t="str">
        <f>IFERROR(__xludf.DUMMYFUNCTION("""COMPUTED_VALUE"""),"Firearm")</f>
        <v>Firearm</v>
      </c>
      <c r="I337" s="27" t="str">
        <f>IFERROR(__xludf.DUMMYFUNCTION("""COMPUTED_VALUE"""),"M")</f>
        <v>M</v>
      </c>
      <c r="J337" s="27" t="str">
        <f>IFERROR(__xludf.DUMMYFUNCTION("""COMPUTED_VALUE"""),"H")</f>
        <v>H</v>
      </c>
      <c r="K337" s="27">
        <f>IFERROR(__xludf.DUMMYFUNCTION("""COMPUTED_VALUE"""),31.0)</f>
        <v>31</v>
      </c>
      <c r="L337" s="27" t="str">
        <f>IFERROR(__xludf.DUMMYFUNCTION("""COMPUTED_VALUE"""),"None")</f>
        <v>None</v>
      </c>
      <c r="M337" s="27" t="str">
        <f>IFERROR(__xludf.DUMMYFUNCTION("""COMPUTED_VALUE"""),"Y")</f>
        <v>Y</v>
      </c>
      <c r="N337" s="24"/>
      <c r="O337" s="24"/>
      <c r="P337" s="28" t="str">
        <f>IFERROR(__xludf.DUMMYFUNCTION("""COMPUTED_VALUE"""),"Officers attempted to detain a suspect who resisted and reached in his vehicle near the backseat. Officer shot and injured the suspect. A handgun was found in rear seat of vehicle during crime scene processing.")</f>
        <v>Officers attempted to detain a suspect who resisted and reached in his vehicle near the backseat. Officer shot and injured the suspect. A handgun was found in rear seat of vehicle during crime scene processing.</v>
      </c>
      <c r="Q337" s="24"/>
      <c r="R337" s="24"/>
      <c r="S337" s="24"/>
      <c r="T337" s="24"/>
      <c r="U337" s="24"/>
      <c r="V337" s="24"/>
      <c r="W337" s="24"/>
      <c r="X337" s="24"/>
      <c r="Y337" s="24"/>
      <c r="Z337" s="24"/>
    </row>
    <row r="338" hidden="1">
      <c r="A338" s="29">
        <f>IFERROR(__xludf.DUMMYFUNCTION("""COMPUTED_VALUE"""),41318.0)</f>
        <v>41318</v>
      </c>
      <c r="B338" s="24">
        <f>IFERROR(__xludf.DUMMYFUNCTION("""COMPUTED_VALUE"""),1.8448313E7)</f>
        <v>18448313</v>
      </c>
      <c r="C338" s="24" t="str">
        <f>IFERROR(__xludf.DUMMYFUNCTION("""COMPUTED_VALUE"""),"2900 S GESSNER DR")</f>
        <v>2900 S GESSNER DR</v>
      </c>
      <c r="D338" s="26" t="str">
        <f>IFERROR(__xludf.DUMMYFUNCTION("""COMPUTED_VALUE"""),"M")</f>
        <v>M</v>
      </c>
      <c r="E338" s="26" t="str">
        <f>IFERROR(__xludf.DUMMYFUNCTION("""COMPUTED_VALUE"""),"B")</f>
        <v>B</v>
      </c>
      <c r="F338" s="26">
        <f>IFERROR(__xludf.DUMMYFUNCTION("""COMPUTED_VALUE"""),34.0)</f>
        <v>34</v>
      </c>
      <c r="G338" s="26" t="str">
        <f>IFERROR(__xludf.DUMMYFUNCTION("""COMPUTED_VALUE"""),"Killed")</f>
        <v>Killed</v>
      </c>
      <c r="H338" s="26" t="str">
        <f>IFERROR(__xludf.DUMMYFUNCTION("""COMPUTED_VALUE"""),"Knife")</f>
        <v>Knife</v>
      </c>
      <c r="I338" s="27" t="str">
        <f>IFERROR(__xludf.DUMMYFUNCTION("""COMPUTED_VALUE"""),"M")</f>
        <v>M</v>
      </c>
      <c r="J338" s="27" t="str">
        <f>IFERROR(__xludf.DUMMYFUNCTION("""COMPUTED_VALUE"""),"W")</f>
        <v>W</v>
      </c>
      <c r="K338" s="27">
        <f>IFERROR(__xludf.DUMMYFUNCTION("""COMPUTED_VALUE"""),37.0)</f>
        <v>37</v>
      </c>
      <c r="L338" s="27" t="str">
        <f>IFERROR(__xludf.DUMMYFUNCTION("""COMPUTED_VALUE"""),"None")</f>
        <v>None</v>
      </c>
      <c r="M338" s="27" t="str">
        <f>IFERROR(__xludf.DUMMYFUNCTION("""COMPUTED_VALUE"""),"Y")</f>
        <v>Y</v>
      </c>
      <c r="N338" s="24"/>
      <c r="O338" s="24"/>
      <c r="P338" s="24" t="str">
        <f>IFERROR(__xludf.DUMMYFUNCTION("""COMPUTED_VALUE"""),"Officers saw the suspect holding the child in his arm, continually putting a knife to the throat of the child. Suspect fled into the bathroom with the child. Officer fearing for the safety of the child, discharged his firearm killing the suspect.")</f>
        <v>Officers saw the suspect holding the child in his arm, continually putting a knife to the throat of the child. Suspect fled into the bathroom with the child. Officer fearing for the safety of the child, discharged his firearm killing the suspect.</v>
      </c>
      <c r="Q338" s="24"/>
      <c r="R338" s="24"/>
      <c r="S338" s="24"/>
      <c r="T338" s="24"/>
      <c r="U338" s="24"/>
      <c r="V338" s="24"/>
      <c r="W338" s="24"/>
      <c r="X338" s="24"/>
      <c r="Y338" s="24"/>
      <c r="Z338" s="24"/>
    </row>
    <row r="339">
      <c r="A339" s="29">
        <f>IFERROR(__xludf.DUMMYFUNCTION("""COMPUTED_VALUE"""),41313.0)</f>
        <v>41313</v>
      </c>
      <c r="B339" s="24">
        <f>IFERROR(__xludf.DUMMYFUNCTION("""COMPUTED_VALUE"""),1.6110813E7)</f>
        <v>16110813</v>
      </c>
      <c r="C339" s="24" t="str">
        <f>IFERROR(__xludf.DUMMYFUNCTION("""COMPUTED_VALUE"""),"11800 TAYLORCREST")</f>
        <v>11800 TAYLORCREST</v>
      </c>
      <c r="D339" s="26" t="str">
        <f>IFERROR(__xludf.DUMMYFUNCTION("""COMPUTED_VALUE"""),"M")</f>
        <v>M</v>
      </c>
      <c r="E339" s="26" t="str">
        <f>IFERROR(__xludf.DUMMYFUNCTION("""COMPUTED_VALUE"""),"W")</f>
        <v>W</v>
      </c>
      <c r="F339" s="26">
        <f>IFERROR(__xludf.DUMMYFUNCTION("""COMPUTED_VALUE"""),44.0)</f>
        <v>44</v>
      </c>
      <c r="G339" s="26" t="str">
        <f>IFERROR(__xludf.DUMMYFUNCTION("""COMPUTED_VALUE"""),"None")</f>
        <v>None</v>
      </c>
      <c r="H339" s="26" t="str">
        <f>IFERROR(__xludf.DUMMYFUNCTION("""COMPUTED_VALUE"""),"Vehicle")</f>
        <v>Vehicle</v>
      </c>
      <c r="I339" s="27" t="str">
        <f>IFERROR(__xludf.DUMMYFUNCTION("""COMPUTED_VALUE"""),"M")</f>
        <v>M</v>
      </c>
      <c r="J339" s="27" t="str">
        <f>IFERROR(__xludf.DUMMYFUNCTION("""COMPUTED_VALUE"""),"P")</f>
        <v>P</v>
      </c>
      <c r="K339" s="27">
        <f>IFERROR(__xludf.DUMMYFUNCTION("""COMPUTED_VALUE"""),29.0)</f>
        <v>29</v>
      </c>
      <c r="L339" s="27" t="str">
        <f>IFERROR(__xludf.DUMMYFUNCTION("""COMPUTED_VALUE"""),"None")</f>
        <v>None</v>
      </c>
      <c r="M339" s="27" t="str">
        <f>IFERROR(__xludf.DUMMYFUNCTION("""COMPUTED_VALUE"""),"Y")</f>
        <v>Y</v>
      </c>
      <c r="N339" s="24"/>
      <c r="O339" s="24"/>
      <c r="P339" s="28" t="str">
        <f>IFERROR(__xludf.DUMMYFUNCTION("""COMPUTED_VALUE"""),"HPD Officer initiated a traffic stop. The suspects fled in a vehicle which snagged on a concrete barrier. Officers approached, but driver gunned the vehicle and drove at officers who opened fire. No injuries occurred. Both were arrested.")</f>
        <v>HPD Officer initiated a traffic stop. The suspects fled in a vehicle which snagged on a concrete barrier. Officers approached, but driver gunned the vehicle and drove at officers who opened fire. No injuries occurred. Both were arrested.</v>
      </c>
      <c r="Q339" s="24"/>
      <c r="R339" s="24"/>
      <c r="S339" s="24"/>
      <c r="T339" s="24"/>
      <c r="U339" s="24"/>
      <c r="V339" s="24"/>
      <c r="W339" s="24"/>
      <c r="X339" s="24"/>
      <c r="Y339" s="24"/>
      <c r="Z339" s="24"/>
    </row>
    <row r="340">
      <c r="A340" s="29"/>
      <c r="B340" s="24"/>
      <c r="C340" s="24"/>
      <c r="D340" s="26" t="str">
        <f>IFERROR(__xludf.DUMMYFUNCTION("""COMPUTED_VALUE"""),"F")</f>
        <v>F</v>
      </c>
      <c r="E340" s="26" t="str">
        <f>IFERROR(__xludf.DUMMYFUNCTION("""COMPUTED_VALUE"""),"W")</f>
        <v>W</v>
      </c>
      <c r="F340" s="26">
        <f>IFERROR(__xludf.DUMMYFUNCTION("""COMPUTED_VALUE"""),38.0)</f>
        <v>38</v>
      </c>
      <c r="G340" s="26" t="str">
        <f>IFERROR(__xludf.DUMMYFUNCTION("""COMPUTED_VALUE"""),"None")</f>
        <v>None</v>
      </c>
      <c r="H340" s="26" t="str">
        <f>IFERROR(__xludf.DUMMYFUNCTION("""COMPUTED_VALUE"""),"None")</f>
        <v>None</v>
      </c>
      <c r="I340" s="27"/>
      <c r="J340" s="27"/>
      <c r="K340" s="27"/>
      <c r="L340" s="27"/>
      <c r="M340" s="27"/>
      <c r="N340" s="24"/>
      <c r="O340" s="24"/>
      <c r="P340" s="28"/>
      <c r="Q340" s="24"/>
      <c r="R340" s="24"/>
      <c r="S340" s="24"/>
      <c r="T340" s="24"/>
      <c r="U340" s="24"/>
      <c r="V340" s="24"/>
      <c r="W340" s="24"/>
      <c r="X340" s="24"/>
      <c r="Y340" s="24"/>
      <c r="Z340" s="24"/>
    </row>
    <row r="341" hidden="1">
      <c r="A341" s="29">
        <f>IFERROR(__xludf.DUMMYFUNCTION("""COMPUTED_VALUE"""),41307.0)</f>
        <v>41307</v>
      </c>
      <c r="B341" s="24">
        <f>IFERROR(__xludf.DUMMYFUNCTION("""COMPUTED_VALUE"""),1.3852913E7)</f>
        <v>13852913</v>
      </c>
      <c r="C341" s="24" t="str">
        <f>IFERROR(__xludf.DUMMYFUNCTION("""COMPUTED_VALUE"""),"614 W GREENS RD")</f>
        <v>614 W GREENS RD</v>
      </c>
      <c r="D341" s="26" t="str">
        <f>IFERROR(__xludf.DUMMYFUNCTION("""COMPUTED_VALUE"""),"M")</f>
        <v>M</v>
      </c>
      <c r="E341" s="26" t="str">
        <f>IFERROR(__xludf.DUMMYFUNCTION("""COMPUTED_VALUE"""),"B")</f>
        <v>B</v>
      </c>
      <c r="F341" s="26">
        <f>IFERROR(__xludf.DUMMYFUNCTION("""COMPUTED_VALUE"""),33.0)</f>
        <v>33</v>
      </c>
      <c r="G341" s="26" t="str">
        <f>IFERROR(__xludf.DUMMYFUNCTION("""COMPUTED_VALUE"""),"Wounded")</f>
        <v>Wounded</v>
      </c>
      <c r="H341" s="26" t="str">
        <f>IFERROR(__xludf.DUMMYFUNCTION("""COMPUTED_VALUE"""),"Vehicle")</f>
        <v>Vehicle</v>
      </c>
      <c r="I341" s="27" t="str">
        <f>IFERROR(__xludf.DUMMYFUNCTION("""COMPUTED_VALUE"""),"M")</f>
        <v>M</v>
      </c>
      <c r="J341" s="27" t="str">
        <f>IFERROR(__xludf.DUMMYFUNCTION("""COMPUTED_VALUE"""),"W")</f>
        <v>W</v>
      </c>
      <c r="K341" s="27">
        <f>IFERROR(__xludf.DUMMYFUNCTION("""COMPUTED_VALUE"""),34.0)</f>
        <v>34</v>
      </c>
      <c r="L341" s="27" t="str">
        <f>IFERROR(__xludf.DUMMYFUNCTION("""COMPUTED_VALUE"""),"None")</f>
        <v>None</v>
      </c>
      <c r="M341" s="27" t="str">
        <f>IFERROR(__xludf.DUMMYFUNCTION("""COMPUTED_VALUE"""),"Y")</f>
        <v>Y</v>
      </c>
      <c r="N341" s="24"/>
      <c r="O341" s="24"/>
      <c r="P341" s="28" t="str">
        <f>IFERROR(__xludf.DUMMYFUNCTION("""COMPUTED_VALUE"""),"Suspect took complainant's vehicle without consent. Suspect attempted to strike at least two officers with the van while fleeing. The HPD officers in fear of their life/lives of fellow officers, fired and struck the suspect in the leg.")</f>
        <v>Suspect took complainant's vehicle without consent. Suspect attempted to strike at least two officers with the van while fleeing. The HPD officers in fear of their life/lives of fellow officers, fired and struck the suspect in the leg.</v>
      </c>
      <c r="Q341" s="24"/>
      <c r="R341" s="24"/>
      <c r="S341" s="24"/>
      <c r="T341" s="24"/>
      <c r="U341" s="24"/>
      <c r="V341" s="24"/>
      <c r="W341" s="24"/>
      <c r="X341" s="24"/>
      <c r="Y341" s="24"/>
      <c r="Z341" s="24"/>
    </row>
    <row r="342" hidden="1">
      <c r="A342" s="29"/>
      <c r="B342" s="24"/>
      <c r="C342" s="24"/>
      <c r="D342" s="26"/>
      <c r="E342" s="26"/>
      <c r="F342" s="26"/>
      <c r="G342" s="26"/>
      <c r="H342" s="26"/>
      <c r="I342" s="27" t="str">
        <f>IFERROR(__xludf.DUMMYFUNCTION("""COMPUTED_VALUE"""),"M")</f>
        <v>M</v>
      </c>
      <c r="J342" s="27" t="str">
        <f>IFERROR(__xludf.DUMMYFUNCTION("""COMPUTED_VALUE"""),"H")</f>
        <v>H</v>
      </c>
      <c r="K342" s="27">
        <f>IFERROR(__xludf.DUMMYFUNCTION("""COMPUTED_VALUE"""),29.0)</f>
        <v>29</v>
      </c>
      <c r="L342" s="27" t="str">
        <f>IFERROR(__xludf.DUMMYFUNCTION("""COMPUTED_VALUE"""),"None")</f>
        <v>None</v>
      </c>
      <c r="M342" s="27" t="str">
        <f>IFERROR(__xludf.DUMMYFUNCTION("""COMPUTED_VALUE"""),"Y")</f>
        <v>Y</v>
      </c>
      <c r="N342" s="24"/>
      <c r="O342" s="24"/>
      <c r="P342" s="24"/>
      <c r="Q342" s="24"/>
      <c r="R342" s="24"/>
      <c r="S342" s="24"/>
      <c r="T342" s="24"/>
      <c r="U342" s="24"/>
      <c r="V342" s="24"/>
      <c r="W342" s="24"/>
      <c r="X342" s="24"/>
      <c r="Y342" s="24"/>
      <c r="Z342" s="24"/>
    </row>
    <row r="343" hidden="1">
      <c r="A343" s="29"/>
      <c r="B343" s="24"/>
      <c r="C343" s="24"/>
      <c r="D343" s="26"/>
      <c r="E343" s="26"/>
      <c r="F343" s="26"/>
      <c r="G343" s="26"/>
      <c r="H343" s="26"/>
      <c r="I343" s="27" t="str">
        <f>IFERROR(__xludf.DUMMYFUNCTION("""COMPUTED_VALUE"""),"M")</f>
        <v>M</v>
      </c>
      <c r="J343" s="27" t="str">
        <f>IFERROR(__xludf.DUMMYFUNCTION("""COMPUTED_VALUE"""),"H")</f>
        <v>H</v>
      </c>
      <c r="K343" s="27">
        <f>IFERROR(__xludf.DUMMYFUNCTION("""COMPUTED_VALUE"""),28.0)</f>
        <v>28</v>
      </c>
      <c r="L343" s="27" t="str">
        <f>IFERROR(__xludf.DUMMYFUNCTION("""COMPUTED_VALUE"""),"None")</f>
        <v>None</v>
      </c>
      <c r="M343" s="27" t="str">
        <f>IFERROR(__xludf.DUMMYFUNCTION("""COMPUTED_VALUE"""),"Y")</f>
        <v>Y</v>
      </c>
      <c r="N343" s="24"/>
      <c r="O343" s="24"/>
      <c r="P343" s="24"/>
      <c r="Q343" s="24"/>
      <c r="R343" s="24"/>
      <c r="S343" s="24"/>
      <c r="T343" s="24"/>
      <c r="U343" s="24"/>
      <c r="V343" s="24"/>
      <c r="W343" s="24"/>
      <c r="X343" s="24"/>
      <c r="Y343" s="24"/>
      <c r="Z343" s="24"/>
    </row>
    <row r="344">
      <c r="A344" s="29">
        <f>IFERROR(__xludf.DUMMYFUNCTION("""COMPUTED_VALUE"""),41290.0)</f>
        <v>41290</v>
      </c>
      <c r="B344" s="24">
        <f>IFERROR(__xludf.DUMMYFUNCTION("""COMPUTED_VALUE"""),6043313.0)</f>
        <v>6043313</v>
      </c>
      <c r="C344" s="24" t="str">
        <f>IFERROR(__xludf.DUMMYFUNCTION("""COMPUTED_VALUE"""),"10919 SAGETRAIL DR")</f>
        <v>10919 SAGETRAIL DR</v>
      </c>
      <c r="D344" s="26" t="str">
        <f>IFERROR(__xludf.DUMMYFUNCTION("""COMPUTED_VALUE"""),"M")</f>
        <v>M</v>
      </c>
      <c r="E344" s="26" t="str">
        <f>IFERROR(__xludf.DUMMYFUNCTION("""COMPUTED_VALUE"""),"W")</f>
        <v>W</v>
      </c>
      <c r="F344" s="26"/>
      <c r="G344" s="26" t="str">
        <f>IFERROR(__xludf.DUMMYFUNCTION("""COMPUTED_VALUE"""),"None")</f>
        <v>None</v>
      </c>
      <c r="H344" s="26" t="str">
        <f>IFERROR(__xludf.DUMMYFUNCTION("""COMPUTED_VALUE"""),"Unknown")</f>
        <v>Unknown</v>
      </c>
      <c r="I344" s="27" t="str">
        <f>IFERROR(__xludf.DUMMYFUNCTION("""COMPUTED_VALUE"""),"M")</f>
        <v>M</v>
      </c>
      <c r="J344" s="27" t="str">
        <f>IFERROR(__xludf.DUMMYFUNCTION("""COMPUTED_VALUE"""),"B")</f>
        <v>B</v>
      </c>
      <c r="K344" s="27">
        <f>IFERROR(__xludf.DUMMYFUNCTION("""COMPUTED_VALUE"""),47.0)</f>
        <v>47</v>
      </c>
      <c r="L344" s="27" t="str">
        <f>IFERROR(__xludf.DUMMYFUNCTION("""COMPUTED_VALUE"""),"None")</f>
        <v>None</v>
      </c>
      <c r="M344" s="27" t="str">
        <f>IFERROR(__xludf.DUMMYFUNCTION("""COMPUTED_VALUE"""),"N")</f>
        <v>N</v>
      </c>
      <c r="N344" s="24"/>
      <c r="O344" s="24"/>
      <c r="P344" s="28" t="str">
        <f>IFERROR(__xludf.DUMMYFUNCTION("""COMPUTED_VALUE"""),"Off duty officer at home noticed a suspect attempt to break into his parked car. Officer retrieved his firearm, ordered the suspect to halt, suspect charged the officer who fearing for his life fired upon the suspect who escaped. Injuries unknown.")</f>
        <v>Off duty officer at home noticed a suspect attempt to break into his parked car. Officer retrieved his firearm, ordered the suspect to halt, suspect charged the officer who fearing for his life fired upon the suspect who escaped. Injuries unknown.</v>
      </c>
      <c r="Q344" s="24"/>
      <c r="R344" s="24"/>
      <c r="S344" s="24"/>
      <c r="T344" s="24"/>
      <c r="U344" s="24"/>
      <c r="V344" s="24"/>
      <c r="W344" s="24"/>
      <c r="X344" s="24"/>
      <c r="Y344" s="24"/>
      <c r="Z344" s="24"/>
    </row>
    <row r="345" hidden="1">
      <c r="A345" s="29">
        <f>IFERROR(__xludf.DUMMYFUNCTION("""COMPUTED_VALUE"""),41286.0)</f>
        <v>41286</v>
      </c>
      <c r="B345" s="24">
        <f>IFERROR(__xludf.DUMMYFUNCTION("""COMPUTED_VALUE"""),4468713.0)</f>
        <v>4468713</v>
      </c>
      <c r="C345" s="24" t="str">
        <f>IFERROR(__xludf.DUMMYFUNCTION("""COMPUTED_VALUE"""),"2200 BASTROP ST")</f>
        <v>2200 BASTROP ST</v>
      </c>
      <c r="D345" s="26" t="str">
        <f>IFERROR(__xludf.DUMMYFUNCTION("""COMPUTED_VALUE"""),"M")</f>
        <v>M</v>
      </c>
      <c r="E345" s="26" t="str">
        <f>IFERROR(__xludf.DUMMYFUNCTION("""COMPUTED_VALUE"""),"B")</f>
        <v>B</v>
      </c>
      <c r="F345" s="26">
        <f>IFERROR(__xludf.DUMMYFUNCTION("""COMPUTED_VALUE"""),23.0)</f>
        <v>23</v>
      </c>
      <c r="G345" s="26" t="str">
        <f>IFERROR(__xludf.DUMMYFUNCTION("""COMPUTED_VALUE"""),"Wounded")</f>
        <v>Wounded</v>
      </c>
      <c r="H345" s="26" t="str">
        <f>IFERROR(__xludf.DUMMYFUNCTION("""COMPUTED_VALUE"""),"Firearm")</f>
        <v>Firearm</v>
      </c>
      <c r="I345" s="27" t="str">
        <f>IFERROR(__xludf.DUMMYFUNCTION("""COMPUTED_VALUE"""),"M")</f>
        <v>M</v>
      </c>
      <c r="J345" s="27" t="str">
        <f>IFERROR(__xludf.DUMMYFUNCTION("""COMPUTED_VALUE"""),"W")</f>
        <v>W</v>
      </c>
      <c r="K345" s="27">
        <f>IFERROR(__xludf.DUMMYFUNCTION("""COMPUTED_VALUE"""),27.0)</f>
        <v>27</v>
      </c>
      <c r="L345" s="27" t="str">
        <f>IFERROR(__xludf.DUMMYFUNCTION("""COMPUTED_VALUE"""),"None")</f>
        <v>None</v>
      </c>
      <c r="M345" s="27" t="str">
        <f>IFERROR(__xludf.DUMMYFUNCTION("""COMPUTED_VALUE"""),"Y")</f>
        <v>Y</v>
      </c>
      <c r="N345" s="24"/>
      <c r="O345" s="24"/>
      <c r="P345" s="28" t="str">
        <f>IFERROR(__xludf.DUMMYFUNCTION("""COMPUTED_VALUE"""),"On duty police units arrived to scene when a suspect previously displayed a weapon. Suspect refused verbal commands, reaches for his weapon, and put officers in fear of their life. Suspect was shot twice and is expected to survive.")</f>
        <v>On duty police units arrived to scene when a suspect previously displayed a weapon. Suspect refused verbal commands, reaches for his weapon, and put officers in fear of their life. Suspect was shot twice and is expected to survive.</v>
      </c>
      <c r="Q345" s="24"/>
      <c r="R345" s="24"/>
      <c r="S345" s="24"/>
      <c r="T345" s="24"/>
      <c r="U345" s="24"/>
      <c r="V345" s="24"/>
      <c r="W345" s="24"/>
      <c r="X345" s="24"/>
      <c r="Y345" s="24"/>
      <c r="Z345" s="24"/>
    </row>
    <row r="346" hidden="1">
      <c r="A346" s="29">
        <f>IFERROR(__xludf.DUMMYFUNCTION("""COMPUTED_VALUE"""),41286.0)</f>
        <v>41286</v>
      </c>
      <c r="B346" s="24">
        <f>IFERROR(__xludf.DUMMYFUNCTION("""COMPUTED_VALUE"""),4789613.0)</f>
        <v>4789613</v>
      </c>
      <c r="C346" s="24" t="str">
        <f>IFERROR(__xludf.DUMMYFUNCTION("""COMPUTED_VALUE"""),"1018 S GESSNER DR")</f>
        <v>1018 S GESSNER DR</v>
      </c>
      <c r="D346" s="26" t="str">
        <f>IFERROR(__xludf.DUMMYFUNCTION("""COMPUTED_VALUE"""),"M")</f>
        <v>M</v>
      </c>
      <c r="E346" s="26" t="str">
        <f>IFERROR(__xludf.DUMMYFUNCTION("""COMPUTED_VALUE"""),"B")</f>
        <v>B</v>
      </c>
      <c r="F346" s="26">
        <f>IFERROR(__xludf.DUMMYFUNCTION("""COMPUTED_VALUE"""),19.0)</f>
        <v>19</v>
      </c>
      <c r="G346" s="26" t="str">
        <f>IFERROR(__xludf.DUMMYFUNCTION("""COMPUTED_VALUE"""),"Wounded")</f>
        <v>Wounded</v>
      </c>
      <c r="H346" s="26" t="str">
        <f>IFERROR(__xludf.DUMMYFUNCTION("""COMPUTED_VALUE"""),"Firearm")</f>
        <v>Firearm</v>
      </c>
      <c r="I346" s="27" t="str">
        <f>IFERROR(__xludf.DUMMYFUNCTION("""COMPUTED_VALUE"""),"M")</f>
        <v>M</v>
      </c>
      <c r="J346" s="27" t="str">
        <f>IFERROR(__xludf.DUMMYFUNCTION("""COMPUTED_VALUE"""),"W")</f>
        <v>W</v>
      </c>
      <c r="K346" s="27">
        <f>IFERROR(__xludf.DUMMYFUNCTION("""COMPUTED_VALUE"""),33.0)</f>
        <v>33</v>
      </c>
      <c r="L346" s="27" t="str">
        <f>IFERROR(__xludf.DUMMYFUNCTION("""COMPUTED_VALUE"""),"None")</f>
        <v>None</v>
      </c>
      <c r="M346" s="27" t="str">
        <f>IFERROR(__xludf.DUMMYFUNCTION("""COMPUTED_VALUE"""),"N")</f>
        <v>N</v>
      </c>
      <c r="N346" s="24"/>
      <c r="O346" s="24"/>
      <c r="P346" s="28" t="str">
        <f>IFERROR(__xludf.DUMMYFUNCTION("""COMPUTED_VALUE"""),"Three armed unknown suspects walked into an electronics store, attempted to rob it, and were fired upon by an off-duty officer working an extra job.")</f>
        <v>Three armed unknown suspects walked into an electronics store, attempted to rob it, and were fired upon by an off-duty officer working an extra job.</v>
      </c>
      <c r="Q346" s="24"/>
      <c r="R346" s="24"/>
      <c r="S346" s="24"/>
      <c r="T346" s="24"/>
      <c r="U346" s="24"/>
      <c r="V346" s="24"/>
      <c r="W346" s="24"/>
      <c r="X346" s="24"/>
      <c r="Y346" s="24"/>
      <c r="Z346" s="24"/>
    </row>
    <row r="347">
      <c r="A347" s="29"/>
      <c r="B347" s="24"/>
      <c r="C347" s="24"/>
      <c r="D347" s="26" t="str">
        <f>IFERROR(__xludf.DUMMYFUNCTION("""COMPUTED_VALUE"""),"M")</f>
        <v>M</v>
      </c>
      <c r="E347" s="26" t="str">
        <f>IFERROR(__xludf.DUMMYFUNCTION("""COMPUTED_VALUE"""),"B")</f>
        <v>B</v>
      </c>
      <c r="F347" s="26">
        <f>IFERROR(__xludf.DUMMYFUNCTION("""COMPUTED_VALUE"""),18.0)</f>
        <v>18</v>
      </c>
      <c r="G347" s="26" t="str">
        <f>IFERROR(__xludf.DUMMYFUNCTION("""COMPUTED_VALUE"""),"None")</f>
        <v>None</v>
      </c>
      <c r="H347" s="26" t="str">
        <f>IFERROR(__xludf.DUMMYFUNCTION("""COMPUTED_VALUE"""),"None")</f>
        <v>None</v>
      </c>
      <c r="I347" s="27"/>
      <c r="J347" s="27"/>
      <c r="K347" s="27"/>
      <c r="L347" s="27"/>
      <c r="M347" s="27"/>
      <c r="N347" s="24"/>
      <c r="O347" s="24"/>
      <c r="P347" s="28"/>
      <c r="Q347" s="24"/>
      <c r="R347" s="24"/>
      <c r="S347" s="24"/>
      <c r="T347" s="24"/>
      <c r="U347" s="24"/>
      <c r="V347" s="24"/>
      <c r="W347" s="24"/>
      <c r="X347" s="24"/>
      <c r="Y347" s="24"/>
      <c r="Z347" s="24"/>
    </row>
    <row r="348">
      <c r="A348" s="29"/>
      <c r="B348" s="24"/>
      <c r="C348" s="24"/>
      <c r="D348" s="26" t="str">
        <f>IFERROR(__xludf.DUMMYFUNCTION("""COMPUTED_VALUE"""),"M")</f>
        <v>M</v>
      </c>
      <c r="E348" s="26" t="str">
        <f>IFERROR(__xludf.DUMMYFUNCTION("""COMPUTED_VALUE"""),"B")</f>
        <v>B</v>
      </c>
      <c r="F348" s="26">
        <f>IFERROR(__xludf.DUMMYFUNCTION("""COMPUTED_VALUE"""),22.0)</f>
        <v>22</v>
      </c>
      <c r="G348" s="26" t="str">
        <f>IFERROR(__xludf.DUMMYFUNCTION("""COMPUTED_VALUE"""),"None")</f>
        <v>None</v>
      </c>
      <c r="H348" s="26" t="str">
        <f>IFERROR(__xludf.DUMMYFUNCTION("""COMPUTED_VALUE"""),"None")</f>
        <v>None</v>
      </c>
      <c r="I348" s="27"/>
      <c r="J348" s="27"/>
      <c r="K348" s="27"/>
      <c r="L348" s="27"/>
      <c r="M348" s="27"/>
      <c r="N348" s="24"/>
      <c r="O348" s="24"/>
      <c r="P348" s="28"/>
      <c r="Q348" s="24"/>
      <c r="R348" s="24"/>
      <c r="S348" s="24"/>
      <c r="T348" s="24"/>
      <c r="U348" s="24"/>
      <c r="V348" s="24"/>
      <c r="W348" s="24"/>
      <c r="X348" s="24"/>
      <c r="Y348" s="24"/>
      <c r="Z348" s="24"/>
    </row>
    <row r="349">
      <c r="A349" s="29"/>
      <c r="B349" s="24"/>
      <c r="C349" s="24"/>
      <c r="D349" s="26" t="str">
        <f>IFERROR(__xludf.DUMMYFUNCTION("""COMPUTED_VALUE"""),"M")</f>
        <v>M</v>
      </c>
      <c r="E349" s="26" t="str">
        <f>IFERROR(__xludf.DUMMYFUNCTION("""COMPUTED_VALUE"""),"B")</f>
        <v>B</v>
      </c>
      <c r="F349" s="26">
        <f>IFERROR(__xludf.DUMMYFUNCTION("""COMPUTED_VALUE"""),17.0)</f>
        <v>17</v>
      </c>
      <c r="G349" s="26" t="str">
        <f>IFERROR(__xludf.DUMMYFUNCTION("""COMPUTED_VALUE"""),"None")</f>
        <v>None</v>
      </c>
      <c r="H349" s="26" t="str">
        <f>IFERROR(__xludf.DUMMYFUNCTION("""COMPUTED_VALUE"""),"None")</f>
        <v>None</v>
      </c>
      <c r="I349" s="27"/>
      <c r="J349" s="27"/>
      <c r="K349" s="27"/>
      <c r="L349" s="27"/>
      <c r="M349" s="27"/>
      <c r="N349" s="24"/>
      <c r="O349" s="24"/>
      <c r="P349" s="28"/>
      <c r="Q349" s="24"/>
      <c r="R349" s="24"/>
      <c r="S349" s="24"/>
      <c r="T349" s="24"/>
      <c r="U349" s="24"/>
      <c r="V349" s="24"/>
      <c r="W349" s="24"/>
      <c r="X349" s="24"/>
      <c r="Y349" s="24"/>
      <c r="Z349" s="24"/>
    </row>
    <row r="350">
      <c r="A350" s="29"/>
      <c r="B350" s="24"/>
      <c r="C350" s="24"/>
      <c r="D350" s="26" t="str">
        <f>IFERROR(__xludf.DUMMYFUNCTION("""COMPUTED_VALUE"""),"M")</f>
        <v>M</v>
      </c>
      <c r="E350" s="26" t="str">
        <f>IFERROR(__xludf.DUMMYFUNCTION("""COMPUTED_VALUE"""),"B")</f>
        <v>B</v>
      </c>
      <c r="F350" s="26">
        <f>IFERROR(__xludf.DUMMYFUNCTION("""COMPUTED_VALUE"""),20.0)</f>
        <v>20</v>
      </c>
      <c r="G350" s="26" t="str">
        <f>IFERROR(__xludf.DUMMYFUNCTION("""COMPUTED_VALUE"""),"None")</f>
        <v>None</v>
      </c>
      <c r="H350" s="26" t="str">
        <f>IFERROR(__xludf.DUMMYFUNCTION("""COMPUTED_VALUE"""),"Firearm")</f>
        <v>Firearm</v>
      </c>
      <c r="I350" s="27"/>
      <c r="J350" s="27"/>
      <c r="K350" s="27"/>
      <c r="L350" s="27"/>
      <c r="M350" s="27"/>
      <c r="N350" s="24"/>
      <c r="O350" s="24"/>
      <c r="P350" s="28"/>
      <c r="Q350" s="24"/>
      <c r="R350" s="24"/>
      <c r="S350" s="24"/>
      <c r="T350" s="24"/>
      <c r="U350" s="24"/>
      <c r="V350" s="24"/>
      <c r="W350" s="24"/>
      <c r="X350" s="24"/>
      <c r="Y350" s="24"/>
      <c r="Z350" s="24"/>
    </row>
    <row r="351">
      <c r="A351" s="29"/>
      <c r="B351" s="24"/>
      <c r="C351" s="24"/>
      <c r="D351" s="26" t="str">
        <f>IFERROR(__xludf.DUMMYFUNCTION("""COMPUTED_VALUE"""),"M")</f>
        <v>M</v>
      </c>
      <c r="E351" s="26" t="str">
        <f>IFERROR(__xludf.DUMMYFUNCTION("""COMPUTED_VALUE"""),"B")</f>
        <v>B</v>
      </c>
      <c r="F351" s="26">
        <f>IFERROR(__xludf.DUMMYFUNCTION("""COMPUTED_VALUE"""),19.0)</f>
        <v>19</v>
      </c>
      <c r="G351" s="26" t="str">
        <f>IFERROR(__xludf.DUMMYFUNCTION("""COMPUTED_VALUE"""),"None")</f>
        <v>None</v>
      </c>
      <c r="H351" s="26" t="str">
        <f>IFERROR(__xludf.DUMMYFUNCTION("""COMPUTED_VALUE"""),"Firearm")</f>
        <v>Firearm</v>
      </c>
      <c r="I351" s="27"/>
      <c r="J351" s="27"/>
      <c r="K351" s="27"/>
      <c r="L351" s="27"/>
      <c r="M351" s="27"/>
      <c r="N351" s="24"/>
      <c r="O351" s="24"/>
      <c r="P351" s="28"/>
      <c r="Q351" s="24"/>
      <c r="R351" s="24"/>
      <c r="S351" s="24"/>
      <c r="T351" s="24"/>
      <c r="U351" s="24"/>
      <c r="V351" s="24"/>
      <c r="W351" s="24"/>
      <c r="X351" s="24"/>
      <c r="Y351" s="24"/>
      <c r="Z351" s="24"/>
    </row>
    <row r="352">
      <c r="A352" s="29">
        <f>IFERROR(__xludf.DUMMYFUNCTION("""COMPUTED_VALUE"""),41278.0)</f>
        <v>41278</v>
      </c>
      <c r="B352" s="24">
        <f>IFERROR(__xludf.DUMMYFUNCTION("""COMPUTED_VALUE"""),1469213.0)</f>
        <v>1469213</v>
      </c>
      <c r="C352" s="24" t="str">
        <f>IFERROR(__xludf.DUMMYFUNCTION("""COMPUTED_VALUE"""),"1500 W BAY AREA BLVD")</f>
        <v>1500 W BAY AREA BLVD</v>
      </c>
      <c r="D352" s="26" t="str">
        <f>IFERROR(__xludf.DUMMYFUNCTION("""COMPUTED_VALUE"""),"M")</f>
        <v>M</v>
      </c>
      <c r="E352" s="26" t="str">
        <f>IFERROR(__xludf.DUMMYFUNCTION("""COMPUTED_VALUE"""),"B")</f>
        <v>B</v>
      </c>
      <c r="F352" s="26"/>
      <c r="G352" s="26" t="str">
        <f>IFERROR(__xludf.DUMMYFUNCTION("""COMPUTED_VALUE"""),"None")</f>
        <v>None</v>
      </c>
      <c r="H352" s="26" t="str">
        <f>IFERROR(__xludf.DUMMYFUNCTION("""COMPUTED_VALUE"""),"Unknown")</f>
        <v>Unknown</v>
      </c>
      <c r="I352" s="27" t="str">
        <f>IFERROR(__xludf.DUMMYFUNCTION("""COMPUTED_VALUE"""),"M")</f>
        <v>M</v>
      </c>
      <c r="J352" s="27" t="str">
        <f>IFERROR(__xludf.DUMMYFUNCTION("""COMPUTED_VALUE"""),"W")</f>
        <v>W</v>
      </c>
      <c r="K352" s="27">
        <f>IFERROR(__xludf.DUMMYFUNCTION("""COMPUTED_VALUE"""),40.0)</f>
        <v>40</v>
      </c>
      <c r="L352" s="27" t="str">
        <f>IFERROR(__xludf.DUMMYFUNCTION("""COMPUTED_VALUE"""),"None")</f>
        <v>None</v>
      </c>
      <c r="M352" s="27" t="str">
        <f>IFERROR(__xludf.DUMMYFUNCTION("""COMPUTED_VALUE"""),"Y")</f>
        <v>Y</v>
      </c>
      <c r="N352" s="24"/>
      <c r="O352" s="24"/>
      <c r="P352" s="28" t="str">
        <f>IFERROR(__xludf.DUMMYFUNCTION("""COMPUTED_VALUE"""),"Off-duty HPD officer working an extra job observed a suspect break into a Chevy truck. Suspect disobey officer's commands, made combative movement for his waistband, appeared to pull a item from his jacket, and the officer fired fearing for his life. Susp"&amp;"ect fled.")</f>
        <v>Off-duty HPD officer working an extra job observed a suspect break into a Chevy truck. Suspect disobey officer's commands, made combative movement for his waistband, appeared to pull a item from his jacket, and the officer fired fearing for his life. Suspect fled.</v>
      </c>
      <c r="Q352" s="24"/>
      <c r="R352" s="24"/>
      <c r="S352" s="24"/>
      <c r="T352" s="24"/>
      <c r="U352" s="24"/>
      <c r="V352" s="24"/>
      <c r="W352" s="24"/>
      <c r="X352" s="24"/>
      <c r="Y352" s="24"/>
      <c r="Z352" s="24"/>
    </row>
    <row r="353">
      <c r="A353" s="29"/>
      <c r="B353" s="24"/>
      <c r="C353" s="24"/>
      <c r="D353" s="26" t="str">
        <f>IFERROR(__xludf.DUMMYFUNCTION("""COMPUTED_VALUE"""),"M")</f>
        <v>M</v>
      </c>
      <c r="E353" s="26" t="str">
        <f>IFERROR(__xludf.DUMMYFUNCTION("""COMPUTED_VALUE"""),"B")</f>
        <v>B</v>
      </c>
      <c r="F353" s="26"/>
      <c r="G353" s="26" t="str">
        <f>IFERROR(__xludf.DUMMYFUNCTION("""COMPUTED_VALUE"""),"None")</f>
        <v>None</v>
      </c>
      <c r="H353" s="26" t="str">
        <f>IFERROR(__xludf.DUMMYFUNCTION("""COMPUTED_VALUE"""),"Unknown")</f>
        <v>Unknown</v>
      </c>
      <c r="I353" s="27"/>
      <c r="J353" s="27"/>
      <c r="K353" s="27"/>
      <c r="L353" s="27"/>
      <c r="M353" s="27"/>
      <c r="N353" s="24"/>
      <c r="O353" s="24"/>
      <c r="P353" s="28"/>
      <c r="Q353" s="24"/>
      <c r="R353" s="24"/>
      <c r="S353" s="24"/>
      <c r="T353" s="24"/>
      <c r="U353" s="24"/>
      <c r="V353" s="24"/>
      <c r="W353" s="24"/>
      <c r="X353" s="24"/>
      <c r="Y353" s="24"/>
      <c r="Z353" s="24"/>
    </row>
    <row r="354" hidden="1">
      <c r="A354" s="29">
        <f>IFERROR(__xludf.DUMMYFUNCTION("""COMPUTED_VALUE"""),41269.0)</f>
        <v>41269</v>
      </c>
      <c r="B354" s="24">
        <f>IFERROR(__xludf.DUMMYFUNCTION("""COMPUTED_VALUE"""),1.62463012E8)</f>
        <v>162463012</v>
      </c>
      <c r="C354" s="24" t="str">
        <f>IFERROR(__xludf.DUMMYFUNCTION("""COMPUTED_VALUE"""),"1500 Ruthven")</f>
        <v>1500 Ruthven</v>
      </c>
      <c r="D354" s="26" t="str">
        <f>IFERROR(__xludf.DUMMYFUNCTION("""COMPUTED_VALUE"""),"M")</f>
        <v>M</v>
      </c>
      <c r="E354" s="26" t="str">
        <f>IFERROR(__xludf.DUMMYFUNCTION("""COMPUTED_VALUE"""),"B")</f>
        <v>B</v>
      </c>
      <c r="F354" s="26">
        <f>IFERROR(__xludf.DUMMYFUNCTION("""COMPUTED_VALUE"""),41.0)</f>
        <v>41</v>
      </c>
      <c r="G354" s="26" t="str">
        <f>IFERROR(__xludf.DUMMYFUNCTION("""COMPUTED_VALUE"""),"Wounded")</f>
        <v>Wounded</v>
      </c>
      <c r="H354" s="26" t="str">
        <f>IFERROR(__xludf.DUMMYFUNCTION("""COMPUTED_VALUE"""),"Vehicle")</f>
        <v>Vehicle</v>
      </c>
      <c r="I354" s="27" t="str">
        <f>IFERROR(__xludf.DUMMYFUNCTION("""COMPUTED_VALUE"""),"M")</f>
        <v>M</v>
      </c>
      <c r="J354" s="27" t="str">
        <f>IFERROR(__xludf.DUMMYFUNCTION("""COMPUTED_VALUE"""),"W")</f>
        <v>W</v>
      </c>
      <c r="K354" s="27">
        <f>IFERROR(__xludf.DUMMYFUNCTION("""COMPUTED_VALUE"""),40.0)</f>
        <v>40</v>
      </c>
      <c r="L354" s="27" t="str">
        <f>IFERROR(__xludf.DUMMYFUNCTION("""COMPUTED_VALUE"""),"Wounded")</f>
        <v>Wounded</v>
      </c>
      <c r="M354" s="27" t="str">
        <f>IFERROR(__xludf.DUMMYFUNCTION("""COMPUTED_VALUE"""),"Y")</f>
        <v>Y</v>
      </c>
      <c r="N354" s="24"/>
      <c r="O354" s="24"/>
      <c r="P354" s="28" t="str">
        <f>IFERROR(__xludf.DUMMYFUNCTION("""COMPUTED_VALUE"""),"The suspect refused to get out of the car as order by the officers. Instead the suspect drove at the officer hitting him with the vehicle. The officer attempted to get out of the vehicles path but the suspect drove at the officer again. During this exchan"&amp;"ge the officer was able to shoot at the vehicle multiple times.")</f>
        <v>The suspect refused to get out of the car as order by the officers. Instead the suspect drove at the officer hitting him with the vehicle. The officer attempted to get out of the vehicles path but the suspect drove at the officer again. During this exchange the officer was able to shoot at the vehicle multiple times.</v>
      </c>
      <c r="Q354" s="24"/>
      <c r="R354" s="24"/>
      <c r="S354" s="24"/>
      <c r="T354" s="24"/>
      <c r="U354" s="24"/>
      <c r="V354" s="24"/>
      <c r="W354" s="24"/>
      <c r="X354" s="24"/>
      <c r="Y354" s="24"/>
      <c r="Z354" s="24"/>
    </row>
    <row r="355">
      <c r="A355" s="29">
        <f>IFERROR(__xludf.DUMMYFUNCTION("""COMPUTED_VALUE"""),41267.0)</f>
        <v>41267</v>
      </c>
      <c r="B355" s="24">
        <f>IFERROR(__xludf.DUMMYFUNCTION("""COMPUTED_VALUE"""),1.61401412E8)</f>
        <v>161401412</v>
      </c>
      <c r="C355" s="24" t="str">
        <f>IFERROR(__xludf.DUMMYFUNCTION("""COMPUTED_VALUE"""),"10900 Gulf Freeway")</f>
        <v>10900 Gulf Freeway</v>
      </c>
      <c r="D355" s="26" t="str">
        <f>IFERROR(__xludf.DUMMYFUNCTION("""COMPUTED_VALUE"""),"M")</f>
        <v>M</v>
      </c>
      <c r="E355" s="26" t="str">
        <f>IFERROR(__xludf.DUMMYFUNCTION("""COMPUTED_VALUE"""),"B")</f>
        <v>B</v>
      </c>
      <c r="F355" s="26">
        <f>IFERROR(__xludf.DUMMYFUNCTION("""COMPUTED_VALUE"""),42.0)</f>
        <v>42</v>
      </c>
      <c r="G355" s="26" t="str">
        <f>IFERROR(__xludf.DUMMYFUNCTION("""COMPUTED_VALUE"""),"None")</f>
        <v>None</v>
      </c>
      <c r="H355" s="26" t="str">
        <f>IFERROR(__xludf.DUMMYFUNCTION("""COMPUTED_VALUE"""),"Firearm")</f>
        <v>Firearm</v>
      </c>
      <c r="I355" s="27" t="str">
        <f>IFERROR(__xludf.DUMMYFUNCTION("""COMPUTED_VALUE"""),"M")</f>
        <v>M</v>
      </c>
      <c r="J355" s="27" t="str">
        <f>IFERROR(__xludf.DUMMYFUNCTION("""COMPUTED_VALUE"""),"H")</f>
        <v>H</v>
      </c>
      <c r="K355" s="27">
        <f>IFERROR(__xludf.DUMMYFUNCTION("""COMPUTED_VALUE"""),40.0)</f>
        <v>40</v>
      </c>
      <c r="L355" s="27" t="str">
        <f>IFERROR(__xludf.DUMMYFUNCTION("""COMPUTED_VALUE"""),"None")</f>
        <v>None</v>
      </c>
      <c r="M355" s="27" t="str">
        <f>IFERROR(__xludf.DUMMYFUNCTION("""COMPUTED_VALUE"""),"N")</f>
        <v>N</v>
      </c>
      <c r="N355" s="24"/>
      <c r="O355" s="24"/>
      <c r="P355" s="28" t="str">
        <f>IFERROR(__xludf.DUMMYFUNCTION("""COMPUTED_VALUE"""),"Two armed suspects attempted to rob a store where the officer was shopping. The officer confronted the robbery suspects and an exchange of gunfire occurred. The suspects fled the scene.")</f>
        <v>Two armed suspects attempted to rob a store where the officer was shopping. The officer confronted the robbery suspects and an exchange of gunfire occurred. The suspects fled the scene.</v>
      </c>
      <c r="Q355" s="24"/>
      <c r="R355" s="24"/>
      <c r="S355" s="24"/>
      <c r="T355" s="24"/>
      <c r="U355" s="24"/>
      <c r="V355" s="24"/>
      <c r="W355" s="24"/>
      <c r="X355" s="24"/>
      <c r="Y355" s="24"/>
      <c r="Z355" s="24"/>
    </row>
    <row r="356">
      <c r="A356" s="29"/>
      <c r="B356" s="24"/>
      <c r="C356" s="24"/>
      <c r="D356" s="26" t="str">
        <f>IFERROR(__xludf.DUMMYFUNCTION("""COMPUTED_VALUE"""),"M")</f>
        <v>M</v>
      </c>
      <c r="E356" s="26" t="str">
        <f>IFERROR(__xludf.DUMMYFUNCTION("""COMPUTED_VALUE"""),"B")</f>
        <v>B</v>
      </c>
      <c r="F356" s="26">
        <f>IFERROR(__xludf.DUMMYFUNCTION("""COMPUTED_VALUE"""),32.0)</f>
        <v>32</v>
      </c>
      <c r="G356" s="26" t="str">
        <f>IFERROR(__xludf.DUMMYFUNCTION("""COMPUTED_VALUE"""),"None")</f>
        <v>None</v>
      </c>
      <c r="H356" s="26" t="str">
        <f>IFERROR(__xludf.DUMMYFUNCTION("""COMPUTED_VALUE"""),"Firearm")</f>
        <v>Firearm</v>
      </c>
      <c r="I356" s="27"/>
      <c r="J356" s="27"/>
      <c r="K356" s="27"/>
      <c r="L356" s="27"/>
      <c r="M356" s="27"/>
      <c r="N356" s="24"/>
      <c r="O356" s="24"/>
      <c r="P356" s="28"/>
      <c r="Q356" s="24"/>
      <c r="R356" s="24"/>
      <c r="S356" s="24"/>
      <c r="T356" s="24"/>
      <c r="U356" s="24"/>
      <c r="V356" s="24"/>
      <c r="W356" s="24"/>
      <c r="X356" s="24"/>
      <c r="Y356" s="24"/>
      <c r="Z356" s="24"/>
    </row>
    <row r="357" hidden="1">
      <c r="A357" s="29">
        <f>IFERROR(__xludf.DUMMYFUNCTION("""COMPUTED_VALUE"""),41266.0)</f>
        <v>41266</v>
      </c>
      <c r="B357" s="24">
        <f>IFERROR(__xludf.DUMMYFUNCTION("""COMPUTED_VALUE"""),1.60908412E8)</f>
        <v>160908412</v>
      </c>
      <c r="C357" s="24" t="str">
        <f>IFERROR(__xludf.DUMMYFUNCTION("""COMPUTED_VALUE"""),"4827 Brisbane")</f>
        <v>4827 Brisbane</v>
      </c>
      <c r="D357" s="26" t="str">
        <f>IFERROR(__xludf.DUMMYFUNCTION("""COMPUTED_VALUE"""),"M")</f>
        <v>M</v>
      </c>
      <c r="E357" s="26" t="str">
        <f>IFERROR(__xludf.DUMMYFUNCTION("""COMPUTED_VALUE"""),"B")</f>
        <v>B</v>
      </c>
      <c r="F357" s="26">
        <f>IFERROR(__xludf.DUMMYFUNCTION("""COMPUTED_VALUE"""),43.0)</f>
        <v>43</v>
      </c>
      <c r="G357" s="26" t="str">
        <f>IFERROR(__xludf.DUMMYFUNCTION("""COMPUTED_VALUE"""),"Wounded")</f>
        <v>Wounded</v>
      </c>
      <c r="H357" s="26" t="str">
        <f>IFERROR(__xludf.DUMMYFUNCTION("""COMPUTED_VALUE"""),"Firearm")</f>
        <v>Firearm</v>
      </c>
      <c r="I357" s="27" t="str">
        <f>IFERROR(__xludf.DUMMYFUNCTION("""COMPUTED_VALUE"""),"M")</f>
        <v>M</v>
      </c>
      <c r="J357" s="27" t="str">
        <f>IFERROR(__xludf.DUMMYFUNCTION("""COMPUTED_VALUE"""),"W")</f>
        <v>W</v>
      </c>
      <c r="K357" s="27">
        <f>IFERROR(__xludf.DUMMYFUNCTION("""COMPUTED_VALUE"""),28.0)</f>
        <v>28</v>
      </c>
      <c r="L357" s="27" t="str">
        <f>IFERROR(__xludf.DUMMYFUNCTION("""COMPUTED_VALUE"""),"None")</f>
        <v>None</v>
      </c>
      <c r="M357" s="27" t="str">
        <f>IFERROR(__xludf.DUMMYFUNCTION("""COMPUTED_VALUE"""),"Y")</f>
        <v>Y</v>
      </c>
      <c r="N357" s="24"/>
      <c r="O357" s="24"/>
      <c r="P357" s="28" t="str">
        <f>IFERROR(__xludf.DUMMYFUNCTION("""COMPUTED_VALUE"""),"The suspect fired at the officer as the officer was arriving at an assault in progress call. The suspect then fled ina vehicle. The vehicle was pursued and at the conclusion of the pursuit, the suspect got out of the vehicle with a shotgun and pointed it "&amp;"at the officers causing them to shoot at the suspect.")</f>
        <v>The suspect fired at the officer as the officer was arriving at an assault in progress call. The suspect then fled ina vehicle. The vehicle was pursued and at the conclusion of the pursuit, the suspect got out of the vehicle with a shotgun and pointed it at the officers causing them to shoot at the suspect.</v>
      </c>
      <c r="Q357" s="24"/>
      <c r="R357" s="24"/>
      <c r="S357" s="24"/>
      <c r="T357" s="24"/>
      <c r="U357" s="24"/>
      <c r="V357" s="24"/>
      <c r="W357" s="24"/>
      <c r="X357" s="24"/>
      <c r="Y357" s="24"/>
      <c r="Z357" s="24"/>
    </row>
    <row r="358">
      <c r="A358" s="29">
        <f>IFERROR(__xludf.DUMMYFUNCTION("""COMPUTED_VALUE"""),41232.0)</f>
        <v>41232</v>
      </c>
      <c r="B358" s="24">
        <f>IFERROR(__xludf.DUMMYFUNCTION("""COMPUTED_VALUE"""),1.46038912E8)</f>
        <v>146038912</v>
      </c>
      <c r="C358" s="24" t="str">
        <f>IFERROR(__xludf.DUMMYFUNCTION("""COMPUTED_VALUE"""),"6910 Old North Belt Dr.")</f>
        <v>6910 Old North Belt Dr.</v>
      </c>
      <c r="D358" s="26" t="str">
        <f>IFERROR(__xludf.DUMMYFUNCTION("""COMPUTED_VALUE"""),"M")</f>
        <v>M</v>
      </c>
      <c r="E358" s="26" t="str">
        <f>IFERROR(__xludf.DUMMYFUNCTION("""COMPUTED_VALUE"""),"B")</f>
        <v>B</v>
      </c>
      <c r="F358" s="26">
        <f>IFERROR(__xludf.DUMMYFUNCTION("""COMPUTED_VALUE"""),37.0)</f>
        <v>37</v>
      </c>
      <c r="G358" s="26" t="str">
        <f>IFERROR(__xludf.DUMMYFUNCTION("""COMPUTED_VALUE"""),"None")</f>
        <v>None</v>
      </c>
      <c r="H358" s="26" t="str">
        <f>IFERROR(__xludf.DUMMYFUNCTION("""COMPUTED_VALUE"""),"Firearm")</f>
        <v>Firearm</v>
      </c>
      <c r="I358" s="27" t="str">
        <f>IFERROR(__xludf.DUMMYFUNCTION("""COMPUTED_VALUE"""),"M")</f>
        <v>M</v>
      </c>
      <c r="J358" s="27" t="str">
        <f>IFERROR(__xludf.DUMMYFUNCTION("""COMPUTED_VALUE"""),"H")</f>
        <v>H</v>
      </c>
      <c r="K358" s="27">
        <f>IFERROR(__xludf.DUMMYFUNCTION("""COMPUTED_VALUE"""),23.0)</f>
        <v>23</v>
      </c>
      <c r="L358" s="27" t="str">
        <f>IFERROR(__xludf.DUMMYFUNCTION("""COMPUTED_VALUE"""),"None")</f>
        <v>None</v>
      </c>
      <c r="M358" s="27" t="str">
        <f>IFERROR(__xludf.DUMMYFUNCTION("""COMPUTED_VALUE"""),"Y")</f>
        <v>Y</v>
      </c>
      <c r="N358" s="24"/>
      <c r="O358" s="24"/>
      <c r="P358" s="28" t="str">
        <f>IFERROR(__xludf.DUMMYFUNCTION("""COMPUTED_VALUE"""),"Officer was notified that an armed suspect was threatening to kill himself. When the officer pulled into the parking lot where the suspect was reported to be, the suspect shot at the officer. THe officer returned fire but missed. the suspect then ran from"&amp;" the scene but was chased and arrested by the officer.")</f>
        <v>Officer was notified that an armed suspect was threatening to kill himself. When the officer pulled into the parking lot where the suspect was reported to be, the suspect shot at the officer. THe officer returned fire but missed. the suspect then ran from the scene but was chased and arrested by the officer.</v>
      </c>
      <c r="Q358" s="24"/>
      <c r="R358" s="24"/>
      <c r="S358" s="24"/>
      <c r="T358" s="24"/>
      <c r="U358" s="24"/>
      <c r="V358" s="24"/>
      <c r="W358" s="24"/>
      <c r="X358" s="24"/>
      <c r="Y358" s="24"/>
      <c r="Z358" s="24"/>
    </row>
    <row r="359">
      <c r="A359" s="29">
        <f>IFERROR(__xludf.DUMMYFUNCTION("""COMPUTED_VALUE"""),41229.0)</f>
        <v>41229</v>
      </c>
      <c r="B359" s="24">
        <f>IFERROR(__xludf.DUMMYFUNCTION("""COMPUTED_VALUE"""),1.45242812E8)</f>
        <v>145242812</v>
      </c>
      <c r="C359" s="24" t="str">
        <f>IFERROR(__xludf.DUMMYFUNCTION("""COMPUTED_VALUE"""),"7313 Northline")</f>
        <v>7313 Northline</v>
      </c>
      <c r="D359" s="26" t="str">
        <f>IFERROR(__xludf.DUMMYFUNCTION("""COMPUTED_VALUE"""),"M")</f>
        <v>M</v>
      </c>
      <c r="E359" s="26" t="str">
        <f>IFERROR(__xludf.DUMMYFUNCTION("""COMPUTED_VALUE"""),"B")</f>
        <v>B</v>
      </c>
      <c r="F359" s="26">
        <f>IFERROR(__xludf.DUMMYFUNCTION("""COMPUTED_VALUE"""),21.0)</f>
        <v>21</v>
      </c>
      <c r="G359" s="26" t="str">
        <f>IFERROR(__xludf.DUMMYFUNCTION("""COMPUTED_VALUE"""),"None")</f>
        <v>None</v>
      </c>
      <c r="H359" s="26" t="str">
        <f>IFERROR(__xludf.DUMMYFUNCTION("""COMPUTED_VALUE"""),"None")</f>
        <v>None</v>
      </c>
      <c r="I359" s="27" t="str">
        <f>IFERROR(__xludf.DUMMYFUNCTION("""COMPUTED_VALUE"""),"M")</f>
        <v>M</v>
      </c>
      <c r="J359" s="27" t="str">
        <f>IFERROR(__xludf.DUMMYFUNCTION("""COMPUTED_VALUE"""),"W")</f>
        <v>W</v>
      </c>
      <c r="K359" s="27">
        <f>IFERROR(__xludf.DUMMYFUNCTION("""COMPUTED_VALUE"""),40.0)</f>
        <v>40</v>
      </c>
      <c r="L359" s="27" t="str">
        <f>IFERROR(__xludf.DUMMYFUNCTION("""COMPUTED_VALUE"""),"None")</f>
        <v>None</v>
      </c>
      <c r="M359" s="27" t="str">
        <f>IFERROR(__xludf.DUMMYFUNCTION("""COMPUTED_VALUE"""),"Y")</f>
        <v>Y</v>
      </c>
      <c r="N359" s="24"/>
      <c r="O359" s="24"/>
      <c r="P359" s="28" t="str">
        <f>IFERROR(__xludf.DUMMYFUNCTION("""COMPUTED_VALUE"""),"The officer was chasing a robbery suspect when the suspect slowed to a walk and was reaching into his pocket as he was turning to ward the officer. The officer believed the suspect was reaching for a weapon so he fired at the suspect but did not hit him.")</f>
        <v>The officer was chasing a robbery suspect when the suspect slowed to a walk and was reaching into his pocket as he was turning to ward the officer. The officer believed the suspect was reaching for a weapon so he fired at the suspect but did not hit him.</v>
      </c>
      <c r="Q359" s="24"/>
      <c r="R359" s="24"/>
      <c r="S359" s="24"/>
      <c r="T359" s="24"/>
      <c r="U359" s="24"/>
      <c r="V359" s="24"/>
      <c r="W359" s="24"/>
      <c r="X359" s="24"/>
      <c r="Y359" s="24"/>
      <c r="Z359" s="24"/>
    </row>
    <row r="360" hidden="1">
      <c r="A360" s="29">
        <f>IFERROR(__xludf.DUMMYFUNCTION("""COMPUTED_VALUE"""),41217.0)</f>
        <v>41217</v>
      </c>
      <c r="B360" s="24">
        <f>IFERROR(__xludf.DUMMYFUNCTION("""COMPUTED_VALUE"""),1.39910512E8)</f>
        <v>139910512</v>
      </c>
      <c r="C360" s="24" t="str">
        <f>IFERROR(__xludf.DUMMYFUNCTION("""COMPUTED_VALUE"""),"12810 Ashford Pine Dr.")</f>
        <v>12810 Ashford Pine Dr.</v>
      </c>
      <c r="D360" s="26" t="str">
        <f>IFERROR(__xludf.DUMMYFUNCTION("""COMPUTED_VALUE"""),"M")</f>
        <v>M</v>
      </c>
      <c r="E360" s="26" t="str">
        <f>IFERROR(__xludf.DUMMYFUNCTION("""COMPUTED_VALUE"""),"W")</f>
        <v>W</v>
      </c>
      <c r="F360" s="26">
        <f>IFERROR(__xludf.DUMMYFUNCTION("""COMPUTED_VALUE"""),46.0)</f>
        <v>46</v>
      </c>
      <c r="G360" s="26" t="str">
        <f>IFERROR(__xludf.DUMMYFUNCTION("""COMPUTED_VALUE"""),"Killed")</f>
        <v>Killed</v>
      </c>
      <c r="H360" s="26" t="str">
        <f>IFERROR(__xludf.DUMMYFUNCTION("""COMPUTED_VALUE"""),"Firearm")</f>
        <v>Firearm</v>
      </c>
      <c r="I360" s="27" t="str">
        <f>IFERROR(__xludf.DUMMYFUNCTION("""COMPUTED_VALUE"""),"M")</f>
        <v>M</v>
      </c>
      <c r="J360" s="27" t="str">
        <f>IFERROR(__xludf.DUMMYFUNCTION("""COMPUTED_VALUE"""),"W")</f>
        <v>W</v>
      </c>
      <c r="K360" s="27">
        <f>IFERROR(__xludf.DUMMYFUNCTION("""COMPUTED_VALUE"""),51.0)</f>
        <v>51</v>
      </c>
      <c r="L360" s="27" t="str">
        <f>IFERROR(__xludf.DUMMYFUNCTION("""COMPUTED_VALUE"""),"None")</f>
        <v>None</v>
      </c>
      <c r="M360" s="27" t="str">
        <f>IFERROR(__xludf.DUMMYFUNCTION("""COMPUTED_VALUE"""),"Y")</f>
        <v>Y</v>
      </c>
      <c r="N360" s="24"/>
      <c r="O360" s="24"/>
      <c r="P360" s="24" t="str">
        <f>IFERROR(__xludf.DUMMYFUNCTION("""COMPUTED_VALUE"""),"The suspect pointed a shotgun at officers who had responded to a suspicious person call. The officers fired at the suspect but missed at which time the suspect went into his home. SWAT was called and as they were going to gain entry into the home they wer"&amp;"e fired upon causing them to return fire.")</f>
        <v>The suspect pointed a shotgun at officers who had responded to a suspicious person call. The officers fired at the suspect but missed at which time the suspect went into his home. SWAT was called and as they were going to gain entry into the home they were fired upon causing them to return fire.</v>
      </c>
      <c r="Q360" s="24"/>
      <c r="R360" s="24"/>
      <c r="S360" s="24"/>
      <c r="T360" s="24"/>
      <c r="U360" s="24"/>
      <c r="V360" s="24"/>
      <c r="W360" s="24"/>
      <c r="X360" s="24"/>
      <c r="Y360" s="24"/>
      <c r="Z360" s="24"/>
    </row>
    <row r="361" hidden="1">
      <c r="A361" s="29"/>
      <c r="B361" s="24"/>
      <c r="C361" s="24"/>
      <c r="D361" s="26"/>
      <c r="E361" s="26"/>
      <c r="F361" s="26"/>
      <c r="G361" s="26"/>
      <c r="H361" s="26"/>
      <c r="I361" s="27" t="str">
        <f>IFERROR(__xludf.DUMMYFUNCTION("""COMPUTED_VALUE"""),"M")</f>
        <v>M</v>
      </c>
      <c r="J361" s="27" t="str">
        <f>IFERROR(__xludf.DUMMYFUNCTION("""COMPUTED_VALUE"""),"W")</f>
        <v>W</v>
      </c>
      <c r="K361" s="27">
        <f>IFERROR(__xludf.DUMMYFUNCTION("""COMPUTED_VALUE"""),49.0)</f>
        <v>49</v>
      </c>
      <c r="L361" s="27" t="str">
        <f>IFERROR(__xludf.DUMMYFUNCTION("""COMPUTED_VALUE"""),"None")</f>
        <v>None</v>
      </c>
      <c r="M361" s="27" t="str">
        <f>IFERROR(__xludf.DUMMYFUNCTION("""COMPUTED_VALUE"""),"Y")</f>
        <v>Y</v>
      </c>
      <c r="N361" s="24"/>
      <c r="O361" s="24"/>
      <c r="P361" s="24"/>
      <c r="Q361" s="24"/>
      <c r="R361" s="24"/>
      <c r="S361" s="24"/>
      <c r="T361" s="24"/>
      <c r="U361" s="24"/>
      <c r="V361" s="24"/>
      <c r="W361" s="24"/>
      <c r="X361" s="24"/>
      <c r="Y361" s="24"/>
      <c r="Z361" s="24"/>
    </row>
    <row r="362" hidden="1">
      <c r="A362" s="29">
        <f>IFERROR(__xludf.DUMMYFUNCTION("""COMPUTED_VALUE"""),41193.0)</f>
        <v>41193</v>
      </c>
      <c r="B362" s="24">
        <f>IFERROR(__xludf.DUMMYFUNCTION("""COMPUTED_VALUE"""),1.28938512E8)</f>
        <v>128938512</v>
      </c>
      <c r="C362" s="24" t="str">
        <f>IFERROR(__xludf.DUMMYFUNCTION("""COMPUTED_VALUE"""),"3300 Sampson")</f>
        <v>3300 Sampson</v>
      </c>
      <c r="D362" s="26" t="str">
        <f>IFERROR(__xludf.DUMMYFUNCTION("""COMPUTED_VALUE"""),"M")</f>
        <v>M</v>
      </c>
      <c r="E362" s="26" t="str">
        <f>IFERROR(__xludf.DUMMYFUNCTION("""COMPUTED_VALUE"""),"B")</f>
        <v>B</v>
      </c>
      <c r="F362" s="26">
        <f>IFERROR(__xludf.DUMMYFUNCTION("""COMPUTED_VALUE"""),38.0)</f>
        <v>38</v>
      </c>
      <c r="G362" s="26" t="str">
        <f>IFERROR(__xludf.DUMMYFUNCTION("""COMPUTED_VALUE"""),"Killed")</f>
        <v>Killed</v>
      </c>
      <c r="H362" s="26" t="str">
        <f>IFERROR(__xludf.DUMMYFUNCTION("""COMPUTED_VALUE"""),"None")</f>
        <v>None</v>
      </c>
      <c r="I362" s="27" t="str">
        <f>IFERROR(__xludf.DUMMYFUNCTION("""COMPUTED_VALUE"""),"M")</f>
        <v>M</v>
      </c>
      <c r="J362" s="27" t="str">
        <f>IFERROR(__xludf.DUMMYFUNCTION("""COMPUTED_VALUE"""),"B")</f>
        <v>B</v>
      </c>
      <c r="K362" s="27">
        <f>IFERROR(__xludf.DUMMYFUNCTION("""COMPUTED_VALUE"""),27.0)</f>
        <v>27</v>
      </c>
      <c r="L362" s="27" t="str">
        <f>IFERROR(__xludf.DUMMYFUNCTION("""COMPUTED_VALUE"""),"None")</f>
        <v>None</v>
      </c>
      <c r="M362" s="27" t="str">
        <f>IFERROR(__xludf.DUMMYFUNCTION("""COMPUTED_VALUE"""),"Y")</f>
        <v>Y</v>
      </c>
      <c r="N362" s="24"/>
      <c r="O362" s="24"/>
      <c r="P362" s="24" t="str">
        <f>IFERROR(__xludf.DUMMYFUNCTION("""COMPUTED_VALUE"""),"The suspect of a suspicious person call confronted the officer with his hand behind him as if he had a weapon. The suspect then moved towards the officer causing the officer to have to discharge his weapon at the suspect.")</f>
        <v>The suspect of a suspicious person call confronted the officer with his hand behind him as if he had a weapon. The suspect then moved towards the officer causing the officer to have to discharge his weapon at the suspect.</v>
      </c>
      <c r="Q362" s="24"/>
      <c r="R362" s="24"/>
      <c r="S362" s="24"/>
      <c r="T362" s="24"/>
      <c r="U362" s="24"/>
      <c r="V362" s="24"/>
      <c r="W362" s="24"/>
      <c r="X362" s="24"/>
      <c r="Y362" s="24"/>
      <c r="Z362" s="24"/>
    </row>
    <row r="363">
      <c r="A363" s="29">
        <f>IFERROR(__xludf.DUMMYFUNCTION("""COMPUTED_VALUE"""),41176.0)</f>
        <v>41176</v>
      </c>
      <c r="B363" s="24">
        <f>IFERROR(__xludf.DUMMYFUNCTION("""COMPUTED_VALUE"""),1.21514812E8)</f>
        <v>121514812</v>
      </c>
      <c r="C363" s="24" t="str">
        <f>IFERROR(__xludf.DUMMYFUNCTION("""COMPUTED_VALUE"""),"5800 South Gessner")</f>
        <v>5800 South Gessner</v>
      </c>
      <c r="D363" s="26" t="str">
        <f>IFERROR(__xludf.DUMMYFUNCTION("""COMPUTED_VALUE"""),"M")</f>
        <v>M</v>
      </c>
      <c r="E363" s="26" t="str">
        <f>IFERROR(__xludf.DUMMYFUNCTION("""COMPUTED_VALUE"""),"H")</f>
        <v>H</v>
      </c>
      <c r="F363" s="26">
        <f>IFERROR(__xludf.DUMMYFUNCTION("""COMPUTED_VALUE"""),25.0)</f>
        <v>25</v>
      </c>
      <c r="G363" s="26" t="str">
        <f>IFERROR(__xludf.DUMMYFUNCTION("""COMPUTED_VALUE"""),"None")</f>
        <v>None</v>
      </c>
      <c r="H363" s="26" t="str">
        <f>IFERROR(__xludf.DUMMYFUNCTION("""COMPUTED_VALUE"""),"None")</f>
        <v>None</v>
      </c>
      <c r="I363" s="27" t="str">
        <f>IFERROR(__xludf.DUMMYFUNCTION("""COMPUTED_VALUE"""),"M")</f>
        <v>M</v>
      </c>
      <c r="J363" s="27" t="str">
        <f>IFERROR(__xludf.DUMMYFUNCTION("""COMPUTED_VALUE"""),"H")</f>
        <v>H</v>
      </c>
      <c r="K363" s="27">
        <f>IFERROR(__xludf.DUMMYFUNCTION("""COMPUTED_VALUE"""),30.0)</f>
        <v>30</v>
      </c>
      <c r="L363" s="27" t="str">
        <f>IFERROR(__xludf.DUMMYFUNCTION("""COMPUTED_VALUE"""),"None")</f>
        <v>None</v>
      </c>
      <c r="M363" s="27" t="str">
        <f>IFERROR(__xludf.DUMMYFUNCTION("""COMPUTED_VALUE"""),"Y")</f>
        <v>Y</v>
      </c>
      <c r="N363" s="24"/>
      <c r="O363" s="24"/>
      <c r="P363" s="28" t="str">
        <f>IFERROR(__xludf.DUMMYFUNCTION("""COMPUTED_VALUE"""),"A burglary suspect was being chased by officers when he went into a back yard to hide. The officer attempted to open the gate but it would not open so he peered through the gate and saw the suspect reaching for his waistband. The officer shot at the suspe"&amp;"ct but did not hit him. The suspect then fled the scene.")</f>
        <v>A burglary suspect was being chased by officers when he went into a back yard to hide. The officer attempted to open the gate but it would not open so he peered through the gate and saw the suspect reaching for his waistband. The officer shot at the suspect but did not hit him. The suspect then fled the scene.</v>
      </c>
      <c r="Q363" s="24"/>
      <c r="R363" s="24"/>
      <c r="S363" s="24"/>
      <c r="T363" s="24"/>
      <c r="U363" s="24"/>
      <c r="V363" s="24"/>
      <c r="W363" s="24"/>
      <c r="X363" s="24"/>
      <c r="Y363" s="24"/>
      <c r="Z363" s="24"/>
    </row>
    <row r="364" hidden="1">
      <c r="A364" s="29">
        <f>IFERROR(__xludf.DUMMYFUNCTION("""COMPUTED_VALUE"""),41174.0)</f>
        <v>41174</v>
      </c>
      <c r="B364" s="24">
        <f>IFERROR(__xludf.DUMMYFUNCTION("""COMPUTED_VALUE"""),1.20646512E8)</f>
        <v>120646512</v>
      </c>
      <c r="C364" s="24" t="str">
        <f>IFERROR(__xludf.DUMMYFUNCTION("""COMPUTED_VALUE"""),"4309 Polk")</f>
        <v>4309 Polk</v>
      </c>
      <c r="D364" s="26" t="str">
        <f>IFERROR(__xludf.DUMMYFUNCTION("""COMPUTED_VALUE"""),"M")</f>
        <v>M</v>
      </c>
      <c r="E364" s="26" t="str">
        <f>IFERROR(__xludf.DUMMYFUNCTION("""COMPUTED_VALUE"""),"W")</f>
        <v>W</v>
      </c>
      <c r="F364" s="26">
        <f>IFERROR(__xludf.DUMMYFUNCTION("""COMPUTED_VALUE"""),45.0)</f>
        <v>45</v>
      </c>
      <c r="G364" s="26" t="str">
        <f>IFERROR(__xludf.DUMMYFUNCTION("""COMPUTED_VALUE"""),"Killed")</f>
        <v>Killed</v>
      </c>
      <c r="H364" s="26" t="str">
        <f>IFERROR(__xludf.DUMMYFUNCTION("""COMPUTED_VALUE"""),"Pen")</f>
        <v>Pen</v>
      </c>
      <c r="I364" s="27" t="str">
        <f>IFERROR(__xludf.DUMMYFUNCTION("""COMPUTED_VALUE"""),"M")</f>
        <v>M</v>
      </c>
      <c r="J364" s="27" t="str">
        <f>IFERROR(__xludf.DUMMYFUNCTION("""COMPUTED_VALUE"""),"H")</f>
        <v>H</v>
      </c>
      <c r="K364" s="27">
        <f>IFERROR(__xludf.DUMMYFUNCTION("""COMPUTED_VALUE"""),29.0)</f>
        <v>29</v>
      </c>
      <c r="L364" s="27" t="str">
        <f>IFERROR(__xludf.DUMMYFUNCTION("""COMPUTED_VALUE"""),"None")</f>
        <v>None</v>
      </c>
      <c r="M364" s="27" t="str">
        <f>IFERROR(__xludf.DUMMYFUNCTION("""COMPUTED_VALUE"""),"Y")</f>
        <v>Y</v>
      </c>
      <c r="N364" s="24"/>
      <c r="O364" s="24"/>
      <c r="P364" s="24" t="str">
        <f>IFERROR(__xludf.DUMMYFUNCTION("""COMPUTED_VALUE"""),"The officers arrived at the scene of a disturbance call and were informed that the suspect was being violent and threatened to kill the other residents at the location. The officers confronted the suspect at which time the suspect was moving towards one o"&amp;"f the officers with an object in his hand and he was making slashing movements. The other officer fearing that he was armed with a knife fired his weapon at the suspect.")</f>
        <v>The officers arrived at the scene of a disturbance call and were informed that the suspect was being violent and threatened to kill the other residents at the location. The officers confronted the suspect at which time the suspect was moving towards one of the officers with an object in his hand and he was making slashing movements. The other officer fearing that he was armed with a knife fired his weapon at the suspect.</v>
      </c>
      <c r="Q364" s="24"/>
      <c r="R364" s="24"/>
      <c r="S364" s="24"/>
      <c r="T364" s="24"/>
      <c r="U364" s="24"/>
      <c r="V364" s="24"/>
      <c r="W364" s="24"/>
      <c r="X364" s="24"/>
      <c r="Y364" s="24"/>
      <c r="Z364" s="24"/>
    </row>
    <row r="365">
      <c r="A365" s="29">
        <f>IFERROR(__xludf.DUMMYFUNCTION("""COMPUTED_VALUE"""),41174.0)</f>
        <v>41174</v>
      </c>
      <c r="B365" s="24">
        <f>IFERROR(__xludf.DUMMYFUNCTION("""COMPUTED_VALUE"""),1.21020212E8)</f>
        <v>121020212</v>
      </c>
      <c r="C365" s="24" t="str">
        <f>IFERROR(__xludf.DUMMYFUNCTION("""COMPUTED_VALUE"""),"2002 Dowling")</f>
        <v>2002 Dowling</v>
      </c>
      <c r="D365" s="26" t="str">
        <f>IFERROR(__xludf.DUMMYFUNCTION("""COMPUTED_VALUE"""),"M")</f>
        <v>M</v>
      </c>
      <c r="E365" s="26" t="str">
        <f>IFERROR(__xludf.DUMMYFUNCTION("""COMPUTED_VALUE"""),"B")</f>
        <v>B</v>
      </c>
      <c r="F365" s="26"/>
      <c r="G365" s="26" t="str">
        <f>IFERROR(__xludf.DUMMYFUNCTION("""COMPUTED_VALUE"""),"None")</f>
        <v>None</v>
      </c>
      <c r="H365" s="26" t="str">
        <f>IFERROR(__xludf.DUMMYFUNCTION("""COMPUTED_VALUE"""),"None")</f>
        <v>None</v>
      </c>
      <c r="I365" s="27" t="str">
        <f>IFERROR(__xludf.DUMMYFUNCTION("""COMPUTED_VALUE"""),"F")</f>
        <v>F</v>
      </c>
      <c r="J365" s="27" t="str">
        <f>IFERROR(__xludf.DUMMYFUNCTION("""COMPUTED_VALUE"""),"B")</f>
        <v>B</v>
      </c>
      <c r="K365" s="27">
        <f>IFERROR(__xludf.DUMMYFUNCTION("""COMPUTED_VALUE"""),45.0)</f>
        <v>45</v>
      </c>
      <c r="L365" s="27" t="str">
        <f>IFERROR(__xludf.DUMMYFUNCTION("""COMPUTED_VALUE"""),"None")</f>
        <v>None</v>
      </c>
      <c r="M365" s="27" t="str">
        <f>IFERROR(__xludf.DUMMYFUNCTION("""COMPUTED_VALUE"""),"Y")</f>
        <v>Y</v>
      </c>
      <c r="N365" s="24"/>
      <c r="O365" s="24"/>
      <c r="P365" s="28" t="str">
        <f>IFERROR(__xludf.DUMMYFUNCTION("""COMPUTED_VALUE"""),"Officers were in the process of detaining the occupants of a vehicle who were reported to have just robbed a convenience store. The passenger of the vehicle got out of the car and appeared to be getting on the ground but instead charged at one of teh offi"&amp;"cers. The officer fired at the suspect but missed. The suspect fled from the scene.")</f>
        <v>Officers were in the process of detaining the occupants of a vehicle who were reported to have just robbed a convenience store. The passenger of the vehicle got out of the car and appeared to be getting on the ground but instead charged at one of teh officers. The officer fired at the suspect but missed. The suspect fled from the scene.</v>
      </c>
      <c r="Q365" s="24"/>
      <c r="R365" s="24"/>
      <c r="S365" s="24"/>
      <c r="T365" s="24"/>
      <c r="U365" s="24"/>
      <c r="V365" s="24"/>
      <c r="W365" s="24"/>
      <c r="X365" s="24"/>
      <c r="Y365" s="24"/>
      <c r="Z365" s="24"/>
    </row>
    <row r="366" hidden="1">
      <c r="A366" s="29">
        <f>IFERROR(__xludf.DUMMYFUNCTION("""COMPUTED_VALUE"""),41172.0)</f>
        <v>41172</v>
      </c>
      <c r="B366" s="24">
        <f>IFERROR(__xludf.DUMMYFUNCTION("""COMPUTED_VALUE"""),1.20020212E8)</f>
        <v>120020212</v>
      </c>
      <c r="C366" s="24" t="str">
        <f>IFERROR(__xludf.DUMMYFUNCTION("""COMPUTED_VALUE"""),"2100 Cambridge St")</f>
        <v>2100 Cambridge St</v>
      </c>
      <c r="D366" s="26" t="str">
        <f>IFERROR(__xludf.DUMMYFUNCTION("""COMPUTED_VALUE"""),"M")</f>
        <v>M</v>
      </c>
      <c r="E366" s="26" t="str">
        <f>IFERROR(__xludf.DUMMYFUNCTION("""COMPUTED_VALUE"""),"B")</f>
        <v>B</v>
      </c>
      <c r="F366" s="26">
        <f>IFERROR(__xludf.DUMMYFUNCTION("""COMPUTED_VALUE"""),31.0)</f>
        <v>31</v>
      </c>
      <c r="G366" s="26" t="str">
        <f>IFERROR(__xludf.DUMMYFUNCTION("""COMPUTED_VALUE"""),"Wounded")</f>
        <v>Wounded</v>
      </c>
      <c r="H366" s="26" t="str">
        <f>IFERROR(__xludf.DUMMYFUNCTION("""COMPUTED_VALUE"""),"Firearm")</f>
        <v>Firearm</v>
      </c>
      <c r="I366" s="27" t="str">
        <f>IFERROR(__xludf.DUMMYFUNCTION("""COMPUTED_VALUE"""),"M")</f>
        <v>M</v>
      </c>
      <c r="J366" s="27" t="str">
        <f>IFERROR(__xludf.DUMMYFUNCTION("""COMPUTED_VALUE"""),"B")</f>
        <v>B</v>
      </c>
      <c r="K366" s="27">
        <f>IFERROR(__xludf.DUMMYFUNCTION("""COMPUTED_VALUE"""),26.0)</f>
        <v>26</v>
      </c>
      <c r="L366" s="27" t="str">
        <f>IFERROR(__xludf.DUMMYFUNCTION("""COMPUTED_VALUE"""),"None")</f>
        <v>None</v>
      </c>
      <c r="M366" s="27" t="str">
        <f>IFERROR(__xludf.DUMMYFUNCTION("""COMPUTED_VALUE"""),"Y")</f>
        <v>Y</v>
      </c>
      <c r="N366" s="24"/>
      <c r="O366" s="24"/>
      <c r="P366" s="28" t="str">
        <f>IFERROR(__xludf.DUMMYFUNCTION("""COMPUTED_VALUE"""),"The officer located a murder suspect walking down the street. The officer approached the suspect who then stopped and turned toward the officer while raising a weapon towards the officer causing the officer to shoot the suspect.")</f>
        <v>The officer located a murder suspect walking down the street. The officer approached the suspect who then stopped and turned toward the officer while raising a weapon towards the officer causing the officer to shoot the suspect.</v>
      </c>
      <c r="Q366" s="24"/>
      <c r="R366" s="24"/>
      <c r="S366" s="24"/>
      <c r="T366" s="24"/>
      <c r="U366" s="24"/>
      <c r="V366" s="24"/>
      <c r="W366" s="24"/>
      <c r="X366" s="24"/>
      <c r="Y366" s="24"/>
      <c r="Z366" s="24"/>
    </row>
    <row r="367" hidden="1">
      <c r="A367" s="29">
        <f>IFERROR(__xludf.DUMMYFUNCTION("""COMPUTED_VALUE"""),41168.0)</f>
        <v>41168</v>
      </c>
      <c r="B367" s="24">
        <f>IFERROR(__xludf.DUMMYFUNCTION("""COMPUTED_VALUE"""),1.18301912E8)</f>
        <v>118301912</v>
      </c>
      <c r="C367" s="24" t="str">
        <f>IFERROR(__xludf.DUMMYFUNCTION("""COMPUTED_VALUE"""),"8826 Beechnut")</f>
        <v>8826 Beechnut</v>
      </c>
      <c r="D367" s="26" t="str">
        <f>IFERROR(__xludf.DUMMYFUNCTION("""COMPUTED_VALUE"""),"M")</f>
        <v>M</v>
      </c>
      <c r="E367" s="26" t="str">
        <f>IFERROR(__xludf.DUMMYFUNCTION("""COMPUTED_VALUE"""),"H")</f>
        <v>H</v>
      </c>
      <c r="F367" s="26">
        <f>IFERROR(__xludf.DUMMYFUNCTION("""COMPUTED_VALUE"""),26.0)</f>
        <v>26</v>
      </c>
      <c r="G367" s="26" t="str">
        <f>IFERROR(__xludf.DUMMYFUNCTION("""COMPUTED_VALUE"""),"Wounded")</f>
        <v>Wounded</v>
      </c>
      <c r="H367" s="26" t="str">
        <f>IFERROR(__xludf.DUMMYFUNCTION("""COMPUTED_VALUE"""),"None")</f>
        <v>None</v>
      </c>
      <c r="I367" s="27" t="str">
        <f>IFERROR(__xludf.DUMMYFUNCTION("""COMPUTED_VALUE"""),"M")</f>
        <v>M</v>
      </c>
      <c r="J367" s="27" t="str">
        <f>IFERROR(__xludf.DUMMYFUNCTION("""COMPUTED_VALUE"""),"W")</f>
        <v>W</v>
      </c>
      <c r="K367" s="27">
        <f>IFERROR(__xludf.DUMMYFUNCTION("""COMPUTED_VALUE"""),29.0)</f>
        <v>29</v>
      </c>
      <c r="L367" s="27" t="str">
        <f>IFERROR(__xludf.DUMMYFUNCTION("""COMPUTED_VALUE"""),"None")</f>
        <v>None</v>
      </c>
      <c r="M367" s="27" t="str">
        <f>IFERROR(__xludf.DUMMYFUNCTION("""COMPUTED_VALUE"""),"Y")</f>
        <v>Y</v>
      </c>
      <c r="N367" s="24"/>
      <c r="O367" s="24"/>
      <c r="P367" s="28" t="str">
        <f>IFERROR(__xludf.DUMMYFUNCTION("""COMPUTED_VALUE"""),"Officers responded to an armed suspicious person call. The suspect was located and as the officers were giving verbal commands to the suspect, the suspect reached to the small of his back and pointed an object at the officers. The officers fired at the su"&amp;"spect striking him one time.")</f>
        <v>Officers responded to an armed suspicious person call. The suspect was located and as the officers were giving verbal commands to the suspect, the suspect reached to the small of his back and pointed an object at the officers. The officers fired at the suspect striking him one time.</v>
      </c>
      <c r="Q367" s="24"/>
      <c r="R367" s="24"/>
      <c r="S367" s="24"/>
      <c r="T367" s="24"/>
      <c r="U367" s="24"/>
      <c r="V367" s="24"/>
      <c r="W367" s="24"/>
      <c r="X367" s="24"/>
      <c r="Y367" s="24"/>
      <c r="Z367" s="24"/>
    </row>
    <row r="368" hidden="1">
      <c r="A368" s="29"/>
      <c r="B368" s="24"/>
      <c r="C368" s="24"/>
      <c r="D368" s="26"/>
      <c r="E368" s="26"/>
      <c r="F368" s="26"/>
      <c r="G368" s="26"/>
      <c r="H368" s="26" t="str">
        <f>IFERROR(__xludf.DUMMYFUNCTION("""COMPUTED_VALUE"""),"None")</f>
        <v>None</v>
      </c>
      <c r="I368" s="27" t="str">
        <f>IFERROR(__xludf.DUMMYFUNCTION("""COMPUTED_VALUE"""),"M")</f>
        <v>M</v>
      </c>
      <c r="J368" s="27" t="str">
        <f>IFERROR(__xludf.DUMMYFUNCTION("""COMPUTED_VALUE"""),"W")</f>
        <v>W</v>
      </c>
      <c r="K368" s="27">
        <f>IFERROR(__xludf.DUMMYFUNCTION("""COMPUTED_VALUE"""),26.0)</f>
        <v>26</v>
      </c>
      <c r="L368" s="27" t="str">
        <f>IFERROR(__xludf.DUMMYFUNCTION("""COMPUTED_VALUE"""),"None")</f>
        <v>None</v>
      </c>
      <c r="M368" s="27" t="str">
        <f>IFERROR(__xludf.DUMMYFUNCTION("""COMPUTED_VALUE"""),"Y")</f>
        <v>Y</v>
      </c>
      <c r="N368" s="24"/>
      <c r="O368" s="24"/>
      <c r="P368" s="24"/>
      <c r="Q368" s="24"/>
      <c r="R368" s="24"/>
      <c r="S368" s="24"/>
      <c r="T368" s="24"/>
      <c r="U368" s="24"/>
      <c r="V368" s="24"/>
      <c r="W368" s="24"/>
      <c r="X368" s="24"/>
      <c r="Y368" s="24"/>
      <c r="Z368" s="24"/>
    </row>
    <row r="369" hidden="1">
      <c r="A369" s="29"/>
      <c r="B369" s="24"/>
      <c r="C369" s="24"/>
      <c r="D369" s="26"/>
      <c r="E369" s="26"/>
      <c r="F369" s="26"/>
      <c r="G369" s="26"/>
      <c r="H369" s="26" t="str">
        <f>IFERROR(__xludf.DUMMYFUNCTION("""COMPUTED_VALUE"""),"None")</f>
        <v>None</v>
      </c>
      <c r="I369" s="27" t="str">
        <f>IFERROR(__xludf.DUMMYFUNCTION("""COMPUTED_VALUE"""),"M")</f>
        <v>M</v>
      </c>
      <c r="J369" s="27" t="str">
        <f>IFERROR(__xludf.DUMMYFUNCTION("""COMPUTED_VALUE"""),"W")</f>
        <v>W</v>
      </c>
      <c r="K369" s="27">
        <f>IFERROR(__xludf.DUMMYFUNCTION("""COMPUTED_VALUE"""),29.0)</f>
        <v>29</v>
      </c>
      <c r="L369" s="27" t="str">
        <f>IFERROR(__xludf.DUMMYFUNCTION("""COMPUTED_VALUE"""),"None")</f>
        <v>None</v>
      </c>
      <c r="M369" s="27" t="str">
        <f>IFERROR(__xludf.DUMMYFUNCTION("""COMPUTED_VALUE"""),"Y")</f>
        <v>Y</v>
      </c>
      <c r="N369" s="24"/>
      <c r="O369" s="24"/>
      <c r="P369" s="24"/>
      <c r="Q369" s="24"/>
      <c r="R369" s="24"/>
      <c r="S369" s="24"/>
      <c r="T369" s="24"/>
      <c r="U369" s="24"/>
      <c r="V369" s="24"/>
      <c r="W369" s="24"/>
      <c r="X369" s="24"/>
      <c r="Y369" s="24"/>
      <c r="Z369" s="24"/>
    </row>
    <row r="370" hidden="1">
      <c r="A370" s="29">
        <f>IFERROR(__xludf.DUMMYFUNCTION("""COMPUTED_VALUE"""),41167.0)</f>
        <v>41167</v>
      </c>
      <c r="B370" s="24">
        <f>IFERROR(__xludf.DUMMYFUNCTION("""COMPUTED_VALUE"""),1.17468112E8)</f>
        <v>117468112</v>
      </c>
      <c r="C370" s="24" t="str">
        <f>IFERROR(__xludf.DUMMYFUNCTION("""COMPUTED_VALUE"""),"4527 Lomitas")</f>
        <v>4527 Lomitas</v>
      </c>
      <c r="D370" s="26" t="str">
        <f>IFERROR(__xludf.DUMMYFUNCTION("""COMPUTED_VALUE"""),"M")</f>
        <v>M</v>
      </c>
      <c r="E370" s="26" t="str">
        <f>IFERROR(__xludf.DUMMYFUNCTION("""COMPUTED_VALUE"""),"H")</f>
        <v>H</v>
      </c>
      <c r="F370" s="26">
        <f>IFERROR(__xludf.DUMMYFUNCTION("""COMPUTED_VALUE"""),21.0)</f>
        <v>21</v>
      </c>
      <c r="G370" s="26" t="str">
        <f>IFERROR(__xludf.DUMMYFUNCTION("""COMPUTED_VALUE"""),"Wounded")</f>
        <v>Wounded</v>
      </c>
      <c r="H370" s="26" t="str">
        <f>IFERROR(__xludf.DUMMYFUNCTION("""COMPUTED_VALUE"""),"None")</f>
        <v>None</v>
      </c>
      <c r="I370" s="27" t="str">
        <f>IFERROR(__xludf.DUMMYFUNCTION("""COMPUTED_VALUE"""),"M")</f>
        <v>M</v>
      </c>
      <c r="J370" s="27" t="str">
        <f>IFERROR(__xludf.DUMMYFUNCTION("""COMPUTED_VALUE"""),"W")</f>
        <v>W</v>
      </c>
      <c r="K370" s="27">
        <f>IFERROR(__xludf.DUMMYFUNCTION("""COMPUTED_VALUE"""),29.0)</f>
        <v>29</v>
      </c>
      <c r="L370" s="27" t="str">
        <f>IFERROR(__xludf.DUMMYFUNCTION("""COMPUTED_VALUE"""),"None")</f>
        <v>None</v>
      </c>
      <c r="M370" s="27" t="str">
        <f>IFERROR(__xludf.DUMMYFUNCTION("""COMPUTED_VALUE"""),"N")</f>
        <v>N</v>
      </c>
      <c r="N370" s="24"/>
      <c r="O370" s="24"/>
      <c r="P370" s="28" t="str">
        <f>IFERROR(__xludf.DUMMYFUNCTION("""COMPUTED_VALUE"""),"Suspects who were involved in a disturbance got into a vehicle to flee the location. The vehicle was being driven at the officer who fired his weapon at the vehicle fearing that the driver was trying to hit him with the car.")</f>
        <v>Suspects who were involved in a disturbance got into a vehicle to flee the location. The vehicle was being driven at the officer who fired his weapon at the vehicle fearing that the driver was trying to hit him with the car.</v>
      </c>
      <c r="Q370" s="24"/>
      <c r="R370" s="24"/>
      <c r="S370" s="24"/>
      <c r="T370" s="24"/>
      <c r="U370" s="24"/>
      <c r="V370" s="24"/>
      <c r="W370" s="24"/>
      <c r="X370" s="24"/>
      <c r="Y370" s="24"/>
      <c r="Z370" s="24"/>
    </row>
    <row r="371" hidden="1">
      <c r="A371" s="29"/>
      <c r="B371" s="24"/>
      <c r="C371" s="24"/>
      <c r="D371" s="26" t="str">
        <f>IFERROR(__xludf.DUMMYFUNCTION("""COMPUTED_VALUE"""),"M")</f>
        <v>M</v>
      </c>
      <c r="E371" s="26" t="str">
        <f>IFERROR(__xludf.DUMMYFUNCTION("""COMPUTED_VALUE"""),"W")</f>
        <v>W</v>
      </c>
      <c r="F371" s="26">
        <f>IFERROR(__xludf.DUMMYFUNCTION("""COMPUTED_VALUE"""),21.0)</f>
        <v>21</v>
      </c>
      <c r="G371" s="26" t="str">
        <f>IFERROR(__xludf.DUMMYFUNCTION("""COMPUTED_VALUE"""),"Wounded")</f>
        <v>Wounded</v>
      </c>
      <c r="H371" s="26" t="str">
        <f>IFERROR(__xludf.DUMMYFUNCTION("""COMPUTED_VALUE"""),"Vehicle")</f>
        <v>Vehicle</v>
      </c>
      <c r="I371" s="27"/>
      <c r="J371" s="27"/>
      <c r="K371" s="27"/>
      <c r="L371" s="27"/>
      <c r="M371" s="27"/>
      <c r="N371" s="24"/>
      <c r="O371" s="24"/>
      <c r="P371" s="28"/>
      <c r="Q371" s="24"/>
      <c r="R371" s="24"/>
      <c r="S371" s="24"/>
      <c r="T371" s="24"/>
      <c r="U371" s="24"/>
      <c r="V371" s="24"/>
      <c r="W371" s="24"/>
      <c r="X371" s="24"/>
      <c r="Y371" s="24"/>
      <c r="Z371" s="24"/>
    </row>
    <row r="372" hidden="1">
      <c r="A372" s="29">
        <f>IFERROR(__xludf.DUMMYFUNCTION("""COMPUTED_VALUE"""),41165.0)</f>
        <v>41165</v>
      </c>
      <c r="B372" s="24">
        <f>IFERROR(__xludf.DUMMYFUNCTION("""COMPUTED_VALUE"""),1.16946712E8)</f>
        <v>116946712</v>
      </c>
      <c r="C372" s="24" t="str">
        <f>IFERROR(__xludf.DUMMYFUNCTION("""COMPUTED_VALUE"""),"1500 Nagle")</f>
        <v>1500 Nagle</v>
      </c>
      <c r="D372" s="26" t="str">
        <f>IFERROR(__xludf.DUMMYFUNCTION("""COMPUTED_VALUE"""),"M")</f>
        <v>M</v>
      </c>
      <c r="E372" s="26" t="str">
        <f>IFERROR(__xludf.DUMMYFUNCTION("""COMPUTED_VALUE"""),"B")</f>
        <v>B</v>
      </c>
      <c r="F372" s="26">
        <f>IFERROR(__xludf.DUMMYFUNCTION("""COMPUTED_VALUE"""),26.0)</f>
        <v>26</v>
      </c>
      <c r="G372" s="26" t="str">
        <f>IFERROR(__xludf.DUMMYFUNCTION("""COMPUTED_VALUE"""),"Killed")</f>
        <v>Killed</v>
      </c>
      <c r="H372" s="26" t="str">
        <f>IFERROR(__xludf.DUMMYFUNCTION("""COMPUTED_VALUE"""),"Knife")</f>
        <v>Knife</v>
      </c>
      <c r="I372" s="27" t="str">
        <f>IFERROR(__xludf.DUMMYFUNCTION("""COMPUTED_VALUE"""),"M")</f>
        <v>M</v>
      </c>
      <c r="J372" s="27" t="str">
        <f>IFERROR(__xludf.DUMMYFUNCTION("""COMPUTED_VALUE"""),"H")</f>
        <v>H</v>
      </c>
      <c r="K372" s="27">
        <f>IFERROR(__xludf.DUMMYFUNCTION("""COMPUTED_VALUE"""),33.0)</f>
        <v>33</v>
      </c>
      <c r="L372" s="27" t="str">
        <f>IFERROR(__xludf.DUMMYFUNCTION("""COMPUTED_VALUE"""),"None")</f>
        <v>None</v>
      </c>
      <c r="M372" s="27" t="str">
        <f>IFERROR(__xludf.DUMMYFUNCTION("""COMPUTED_VALUE"""),"Y")</f>
        <v>Y</v>
      </c>
      <c r="N372" s="24"/>
      <c r="O372" s="24"/>
      <c r="P372" s="24" t="str">
        <f>IFERROR(__xludf.DUMMYFUNCTION("""COMPUTED_VALUE"""),"Officers arrived at a scene to find a large group of people involved in a disturbance. As the officers tried to get control of the crowd, a suspect armed with a knife confronted the officers. The armed suspect refused to comply with the verbal commands of"&amp;" the officers forcing them to shoot him.")</f>
        <v>Officers arrived at a scene to find a large group of people involved in a disturbance. As the officers tried to get control of the crowd, a suspect armed with a knife confronted the officers. The armed suspect refused to comply with the verbal commands of the officers forcing them to shoot him.</v>
      </c>
      <c r="Q372" s="24"/>
      <c r="R372" s="24"/>
      <c r="S372" s="24"/>
      <c r="T372" s="24"/>
      <c r="U372" s="24"/>
      <c r="V372" s="24"/>
      <c r="W372" s="24"/>
      <c r="X372" s="24"/>
      <c r="Y372" s="24"/>
      <c r="Z372" s="24"/>
    </row>
    <row r="373" hidden="1">
      <c r="A373" s="29"/>
      <c r="B373" s="24"/>
      <c r="C373" s="24"/>
      <c r="D373" s="26"/>
      <c r="E373" s="26"/>
      <c r="F373" s="26"/>
      <c r="G373" s="26"/>
      <c r="H373" s="26"/>
      <c r="I373" s="27" t="str">
        <f>IFERROR(__xludf.DUMMYFUNCTION("""COMPUTED_VALUE"""),"M")</f>
        <v>M</v>
      </c>
      <c r="J373" s="27" t="str">
        <f>IFERROR(__xludf.DUMMYFUNCTION("""COMPUTED_VALUE"""),"W")</f>
        <v>W</v>
      </c>
      <c r="K373" s="27">
        <f>IFERROR(__xludf.DUMMYFUNCTION("""COMPUTED_VALUE"""),28.0)</f>
        <v>28</v>
      </c>
      <c r="L373" s="27" t="str">
        <f>IFERROR(__xludf.DUMMYFUNCTION("""COMPUTED_VALUE"""),"None")</f>
        <v>None</v>
      </c>
      <c r="M373" s="27" t="str">
        <f>IFERROR(__xludf.DUMMYFUNCTION("""COMPUTED_VALUE"""),"Y")</f>
        <v>Y</v>
      </c>
      <c r="N373" s="24"/>
      <c r="O373" s="24"/>
      <c r="P373" s="24"/>
      <c r="Q373" s="24"/>
      <c r="R373" s="24"/>
      <c r="S373" s="24"/>
      <c r="T373" s="24"/>
      <c r="U373" s="24"/>
      <c r="V373" s="24"/>
      <c r="W373" s="24"/>
      <c r="X373" s="24"/>
      <c r="Y373" s="24"/>
      <c r="Z373" s="24"/>
    </row>
    <row r="374" hidden="1">
      <c r="A374" s="29">
        <f>IFERROR(__xludf.DUMMYFUNCTION("""COMPUTED_VALUE"""),41142.0)</f>
        <v>41142</v>
      </c>
      <c r="B374" s="24">
        <f>IFERROR(__xludf.DUMMYFUNCTION("""COMPUTED_VALUE"""),1.06545312E8)</f>
        <v>106545312</v>
      </c>
      <c r="C374" s="24" t="str">
        <f>IFERROR(__xludf.DUMMYFUNCTION("""COMPUTED_VALUE"""),"6000 Black Maple")</f>
        <v>6000 Black Maple</v>
      </c>
      <c r="D374" s="26" t="str">
        <f>IFERROR(__xludf.DUMMYFUNCTION("""COMPUTED_VALUE"""),"M")</f>
        <v>M</v>
      </c>
      <c r="E374" s="26" t="str">
        <f>IFERROR(__xludf.DUMMYFUNCTION("""COMPUTED_VALUE"""),"B")</f>
        <v>B</v>
      </c>
      <c r="F374" s="26">
        <f>IFERROR(__xludf.DUMMYFUNCTION("""COMPUTED_VALUE"""),23.0)</f>
        <v>23</v>
      </c>
      <c r="G374" s="26" t="str">
        <f>IFERROR(__xludf.DUMMYFUNCTION("""COMPUTED_VALUE"""),"Wounded")</f>
        <v>Wounded</v>
      </c>
      <c r="H374" s="26" t="str">
        <f>IFERROR(__xludf.DUMMYFUNCTION("""COMPUTED_VALUE"""),"Firearm")</f>
        <v>Firearm</v>
      </c>
      <c r="I374" s="27" t="str">
        <f>IFERROR(__xludf.DUMMYFUNCTION("""COMPUTED_VALUE"""),"M")</f>
        <v>M</v>
      </c>
      <c r="J374" s="27" t="str">
        <f>IFERROR(__xludf.DUMMYFUNCTION("""COMPUTED_VALUE"""),"H")</f>
        <v>H</v>
      </c>
      <c r="K374" s="27">
        <f>IFERROR(__xludf.DUMMYFUNCTION("""COMPUTED_VALUE"""),28.0)</f>
        <v>28</v>
      </c>
      <c r="L374" s="27" t="str">
        <f>IFERROR(__xludf.DUMMYFUNCTION("""COMPUTED_VALUE"""),"None")</f>
        <v>None</v>
      </c>
      <c r="M374" s="27" t="str">
        <f>IFERROR(__xludf.DUMMYFUNCTION("""COMPUTED_VALUE"""),"Y")</f>
        <v>Y</v>
      </c>
      <c r="N374" s="24"/>
      <c r="O374" s="24"/>
      <c r="P374" s="28" t="str">
        <f>IFERROR(__xludf.DUMMYFUNCTION("""COMPUTED_VALUE"""),"A burglary suspect was fleeing on foot when he turned and fired a weapon at the officer who was chasing him. The officer returned fire and shot the suspect in the leg.")</f>
        <v>A burglary suspect was fleeing on foot when he turned and fired a weapon at the officer who was chasing him. The officer returned fire and shot the suspect in the leg.</v>
      </c>
      <c r="Q374" s="24"/>
      <c r="R374" s="24"/>
      <c r="S374" s="24"/>
      <c r="T374" s="24"/>
      <c r="U374" s="24"/>
      <c r="V374" s="24"/>
      <c r="W374" s="24"/>
      <c r="X374" s="24"/>
      <c r="Y374" s="24"/>
      <c r="Z374" s="24"/>
    </row>
    <row r="375">
      <c r="A375" s="29">
        <f>IFERROR(__xludf.DUMMYFUNCTION("""COMPUTED_VALUE"""),41139.0)</f>
        <v>41139</v>
      </c>
      <c r="B375" s="24">
        <f>IFERROR(__xludf.DUMMYFUNCTION("""COMPUTED_VALUE"""),1.05011912E8)</f>
        <v>105011912</v>
      </c>
      <c r="C375" s="24" t="str">
        <f>IFERROR(__xludf.DUMMYFUNCTION("""COMPUTED_VALUE"""),"4700 Gloryland")</f>
        <v>4700 Gloryland</v>
      </c>
      <c r="D375" s="26" t="str">
        <f>IFERROR(__xludf.DUMMYFUNCTION("""COMPUTED_VALUE"""),"U")</f>
        <v>U</v>
      </c>
      <c r="E375" s="26" t="str">
        <f>IFERROR(__xludf.DUMMYFUNCTION("""COMPUTED_VALUE"""),"U")</f>
        <v>U</v>
      </c>
      <c r="F375" s="26"/>
      <c r="G375" s="26" t="str">
        <f>IFERROR(__xludf.DUMMYFUNCTION("""COMPUTED_VALUE"""),"Unknown")</f>
        <v>Unknown</v>
      </c>
      <c r="H375" s="26" t="str">
        <f>IFERROR(__xludf.DUMMYFUNCTION("""COMPUTED_VALUE"""),"Firearm")</f>
        <v>Firearm</v>
      </c>
      <c r="I375" s="27" t="str">
        <f>IFERROR(__xludf.DUMMYFUNCTION("""COMPUTED_VALUE"""),"M")</f>
        <v>M</v>
      </c>
      <c r="J375" s="27" t="str">
        <f>IFERROR(__xludf.DUMMYFUNCTION("""COMPUTED_VALUE"""),"B")</f>
        <v>B</v>
      </c>
      <c r="K375" s="27">
        <f>IFERROR(__xludf.DUMMYFUNCTION("""COMPUTED_VALUE"""),23.0)</f>
        <v>23</v>
      </c>
      <c r="L375" s="27" t="str">
        <f>IFERROR(__xludf.DUMMYFUNCTION("""COMPUTED_VALUE"""),"None")</f>
        <v>None</v>
      </c>
      <c r="M375" s="27" t="str">
        <f>IFERROR(__xludf.DUMMYFUNCTION("""COMPUTED_VALUE"""),"N")</f>
        <v>N</v>
      </c>
      <c r="N375" s="24"/>
      <c r="O375" s="24"/>
      <c r="P375" s="28" t="str">
        <f>IFERROR(__xludf.DUMMYFUNCTION("""COMPUTED_VALUE"""),"Shots were heard outside a church during a funeral in which an officer was attending. The officer went outside and was told that the shooter had gotten into a vehicle. the officer saw the vehicle as it was leaving and began to run after it. The officer sa"&amp;"w the back passenger window down and then heard another gunshot. The officer belived that he was being shot at and returned fire. The vehicle then sped away from the location.")</f>
        <v>Shots were heard outside a church during a funeral in which an officer was attending. The officer went outside and was told that the shooter had gotten into a vehicle. the officer saw the vehicle as it was leaving and began to run after it. The officer saw the back passenger window down and then heard another gunshot. The officer belived that he was being shot at and returned fire. The vehicle then sped away from the location.</v>
      </c>
      <c r="Q375" s="24"/>
      <c r="R375" s="24"/>
      <c r="S375" s="24"/>
      <c r="T375" s="24"/>
      <c r="U375" s="24"/>
      <c r="V375" s="24"/>
      <c r="W375" s="24"/>
      <c r="X375" s="24"/>
      <c r="Y375" s="24"/>
      <c r="Z375" s="24"/>
    </row>
    <row r="376" hidden="1">
      <c r="A376" s="29">
        <f>IFERROR(__xludf.DUMMYFUNCTION("""COMPUTED_VALUE"""),41128.0)</f>
        <v>41128</v>
      </c>
      <c r="B376" s="24">
        <f>IFERROR(__xludf.DUMMYFUNCTION("""COMPUTED_VALUE"""),9.9971512E7)</f>
        <v>99971512</v>
      </c>
      <c r="C376" s="24" t="str">
        <f>IFERROR(__xludf.DUMMYFUNCTION("""COMPUTED_VALUE"""),"11727 W. Sam Houston Pkwy")</f>
        <v>11727 W. Sam Houston Pkwy</v>
      </c>
      <c r="D376" s="26" t="str">
        <f>IFERROR(__xludf.DUMMYFUNCTION("""COMPUTED_VALUE"""),"M")</f>
        <v>M</v>
      </c>
      <c r="E376" s="26" t="str">
        <f>IFERROR(__xludf.DUMMYFUNCTION("""COMPUTED_VALUE"""),"B")</f>
        <v>B</v>
      </c>
      <c r="F376" s="26">
        <f>IFERROR(__xludf.DUMMYFUNCTION("""COMPUTED_VALUE"""),33.0)</f>
        <v>33</v>
      </c>
      <c r="G376" s="26" t="str">
        <f>IFERROR(__xludf.DUMMYFUNCTION("""COMPUTED_VALUE"""),"Killed")</f>
        <v>Killed</v>
      </c>
      <c r="H376" s="26" t="str">
        <f>IFERROR(__xludf.DUMMYFUNCTION("""COMPUTED_VALUE"""),"Firearm")</f>
        <v>Firearm</v>
      </c>
      <c r="I376" s="27" t="str">
        <f>IFERROR(__xludf.DUMMYFUNCTION("""COMPUTED_VALUE"""),"M")</f>
        <v>M</v>
      </c>
      <c r="J376" s="27" t="str">
        <f>IFERROR(__xludf.DUMMYFUNCTION("""COMPUTED_VALUE"""),"W")</f>
        <v>W</v>
      </c>
      <c r="K376" s="27">
        <f>IFERROR(__xludf.DUMMYFUNCTION("""COMPUTED_VALUE"""),51.0)</f>
        <v>51</v>
      </c>
      <c r="L376" s="27" t="str">
        <f>IFERROR(__xludf.DUMMYFUNCTION("""COMPUTED_VALUE"""),"None")</f>
        <v>None</v>
      </c>
      <c r="M376" s="27" t="str">
        <f>IFERROR(__xludf.DUMMYFUNCTION("""COMPUTED_VALUE"""),"Y")</f>
        <v>Y</v>
      </c>
      <c r="N376" s="24"/>
      <c r="O376" s="24"/>
      <c r="P376" s="24" t="str">
        <f>IFERROR(__xludf.DUMMYFUNCTION("""COMPUTED_VALUE"""),"Officer responded to a call in which the suspcet had called his wife and threatened to go to her job and kill her. Upon arriving, the officer found the suspect and saw that he was hiding his hand behind his back. THe suspecty then made a sudden movement w"&amp;"ith his hand causing the officer to shoot the suspect.")</f>
        <v>Officer responded to a call in which the suspcet had called his wife and threatened to go to her job and kill her. Upon arriving, the officer found the suspect and saw that he was hiding his hand behind his back. THe suspecty then made a sudden movement with his hand causing the officer to shoot the suspect.</v>
      </c>
      <c r="Q376" s="24"/>
      <c r="R376" s="24"/>
      <c r="S376" s="24"/>
      <c r="T376" s="24"/>
      <c r="U376" s="24"/>
      <c r="V376" s="24"/>
      <c r="W376" s="24"/>
      <c r="X376" s="24"/>
      <c r="Y376" s="24"/>
      <c r="Z376" s="24"/>
    </row>
    <row r="377">
      <c r="A377" s="29">
        <f>IFERROR(__xludf.DUMMYFUNCTION("""COMPUTED_VALUE"""),41124.0)</f>
        <v>41124</v>
      </c>
      <c r="B377" s="24">
        <f>IFERROR(__xludf.DUMMYFUNCTION("""COMPUTED_VALUE"""),9.8051312E7)</f>
        <v>98051312</v>
      </c>
      <c r="C377" s="24" t="str">
        <f>IFERROR(__xludf.DUMMYFUNCTION("""COMPUTED_VALUE"""),"3100 Old Spanish Trail")</f>
        <v>3100 Old Spanish Trail</v>
      </c>
      <c r="D377" s="26" t="str">
        <f>IFERROR(__xludf.DUMMYFUNCTION("""COMPUTED_VALUE"""),"M")</f>
        <v>M</v>
      </c>
      <c r="E377" s="26" t="str">
        <f>IFERROR(__xludf.DUMMYFUNCTION("""COMPUTED_VALUE"""),"B")</f>
        <v>B</v>
      </c>
      <c r="F377" s="26">
        <f>IFERROR(__xludf.DUMMYFUNCTION("""COMPUTED_VALUE"""),17.0)</f>
        <v>17</v>
      </c>
      <c r="G377" s="26" t="str">
        <f>IFERROR(__xludf.DUMMYFUNCTION("""COMPUTED_VALUE"""),"None")</f>
        <v>None</v>
      </c>
      <c r="H377" s="26" t="str">
        <f>IFERROR(__xludf.DUMMYFUNCTION("""COMPUTED_VALUE"""),"Vehicle")</f>
        <v>Vehicle</v>
      </c>
      <c r="I377" s="27" t="str">
        <f>IFERROR(__xludf.DUMMYFUNCTION("""COMPUTED_VALUE"""),"M")</f>
        <v>M</v>
      </c>
      <c r="J377" s="27" t="str">
        <f>IFERROR(__xludf.DUMMYFUNCTION("""COMPUTED_VALUE"""),"B")</f>
        <v>B</v>
      </c>
      <c r="K377" s="27">
        <f>IFERROR(__xludf.DUMMYFUNCTION("""COMPUTED_VALUE"""),27.0)</f>
        <v>27</v>
      </c>
      <c r="L377" s="27" t="str">
        <f>IFERROR(__xludf.DUMMYFUNCTION("""COMPUTED_VALUE"""),"None")</f>
        <v>None</v>
      </c>
      <c r="M377" s="27" t="str">
        <f>IFERROR(__xludf.DUMMYFUNCTION("""COMPUTED_VALUE"""),"Y")</f>
        <v>Y</v>
      </c>
      <c r="N377" s="24"/>
      <c r="O377" s="24"/>
      <c r="P377" s="28" t="str">
        <f>IFERROR(__xludf.DUMMYFUNCTION("""COMPUTED_VALUE"""),"Officer observed a suspicious male walking between cars in business parking lot. The officer stopped the suspect to talk to him at which time the suspect ran from the officer and jumped into a waiting vehicle. The driver drove at the officer causing the o"&amp;"fficer to fire his weapon at the driver fearing that he was going to be run over.")</f>
        <v>Officer observed a suspicious male walking between cars in business parking lot. The officer stopped the suspect to talk to him at which time the suspect ran from the officer and jumped into a waiting vehicle. The driver drove at the officer causing the officer to fire his weapon at the driver fearing that he was going to be run over.</v>
      </c>
      <c r="Q377" s="24"/>
      <c r="R377" s="24"/>
      <c r="S377" s="24"/>
      <c r="T377" s="24"/>
      <c r="U377" s="24"/>
      <c r="V377" s="24"/>
      <c r="W377" s="24"/>
      <c r="X377" s="24"/>
      <c r="Y377" s="24"/>
      <c r="Z377" s="24"/>
    </row>
    <row r="378">
      <c r="A378" s="29"/>
      <c r="B378" s="24"/>
      <c r="C378" s="24"/>
      <c r="D378" s="26" t="str">
        <f>IFERROR(__xludf.DUMMYFUNCTION("""COMPUTED_VALUE"""),"M")</f>
        <v>M</v>
      </c>
      <c r="E378" s="26" t="str">
        <f>IFERROR(__xludf.DUMMYFUNCTION("""COMPUTED_VALUE"""),"B")</f>
        <v>B</v>
      </c>
      <c r="F378" s="26">
        <f>IFERROR(__xludf.DUMMYFUNCTION("""COMPUTED_VALUE"""),17.0)</f>
        <v>17</v>
      </c>
      <c r="G378" s="26" t="str">
        <f>IFERROR(__xludf.DUMMYFUNCTION("""COMPUTED_VALUE"""),"None")</f>
        <v>None</v>
      </c>
      <c r="H378" s="26" t="str">
        <f>IFERROR(__xludf.DUMMYFUNCTION("""COMPUTED_VALUE"""),"None")</f>
        <v>None</v>
      </c>
      <c r="I378" s="27"/>
      <c r="J378" s="27"/>
      <c r="K378" s="27"/>
      <c r="L378" s="27"/>
      <c r="M378" s="27"/>
      <c r="N378" s="24"/>
      <c r="O378" s="24"/>
      <c r="P378" s="28"/>
      <c r="Q378" s="24"/>
      <c r="R378" s="24"/>
      <c r="S378" s="24"/>
      <c r="T378" s="24"/>
      <c r="U378" s="24"/>
      <c r="V378" s="24"/>
      <c r="W378" s="24"/>
      <c r="X378" s="24"/>
      <c r="Y378" s="24"/>
      <c r="Z378" s="24"/>
    </row>
    <row r="379">
      <c r="A379" s="29">
        <f>IFERROR(__xludf.DUMMYFUNCTION("""COMPUTED_VALUE"""),41112.0)</f>
        <v>41112</v>
      </c>
      <c r="B379" s="24">
        <f>IFERROR(__xludf.DUMMYFUNCTION("""COMPUTED_VALUE"""),9.2642112E7)</f>
        <v>92642112</v>
      </c>
      <c r="C379" s="24" t="str">
        <f>IFERROR(__xludf.DUMMYFUNCTION("""COMPUTED_VALUE"""),"1600 N Wayside")</f>
        <v>1600 N Wayside</v>
      </c>
      <c r="D379" s="26" t="str">
        <f>IFERROR(__xludf.DUMMYFUNCTION("""COMPUTED_VALUE"""),"M")</f>
        <v>M</v>
      </c>
      <c r="E379" s="26" t="str">
        <f>IFERROR(__xludf.DUMMYFUNCTION("""COMPUTED_VALUE"""),"H")</f>
        <v>H</v>
      </c>
      <c r="F379" s="26"/>
      <c r="G379" s="26" t="str">
        <f>IFERROR(__xludf.DUMMYFUNCTION("""COMPUTED_VALUE"""),"None")</f>
        <v>None</v>
      </c>
      <c r="H379" s="26" t="str">
        <f>IFERROR(__xludf.DUMMYFUNCTION("""COMPUTED_VALUE"""),"Firearm")</f>
        <v>Firearm</v>
      </c>
      <c r="I379" s="27" t="str">
        <f>IFERROR(__xludf.DUMMYFUNCTION("""COMPUTED_VALUE"""),"M")</f>
        <v>M</v>
      </c>
      <c r="J379" s="27" t="str">
        <f>IFERROR(__xludf.DUMMYFUNCTION("""COMPUTED_VALUE"""),"H")</f>
        <v>H</v>
      </c>
      <c r="K379" s="27">
        <f>IFERROR(__xludf.DUMMYFUNCTION("""COMPUTED_VALUE"""),32.0)</f>
        <v>32</v>
      </c>
      <c r="L379" s="27" t="str">
        <f>IFERROR(__xludf.DUMMYFUNCTION("""COMPUTED_VALUE"""),"None")</f>
        <v>None</v>
      </c>
      <c r="M379" s="27" t="str">
        <f>IFERROR(__xludf.DUMMYFUNCTION("""COMPUTED_VALUE"""),"N")</f>
        <v>N</v>
      </c>
      <c r="N379" s="24"/>
      <c r="O379" s="24"/>
      <c r="P379" s="28" t="str">
        <f>IFERROR(__xludf.DUMMYFUNCTION("""COMPUTED_VALUE"""),"The officer was driving when a vehicle pulled up beside him. An occupant in the vehicle pointed a weapon at the officer causing the officer to shoot at the suspect vehicle.")</f>
        <v>The officer was driving when a vehicle pulled up beside him. An occupant in the vehicle pointed a weapon at the officer causing the officer to shoot at the suspect vehicle.</v>
      </c>
      <c r="Q379" s="24"/>
      <c r="R379" s="24"/>
      <c r="S379" s="24"/>
      <c r="T379" s="24"/>
      <c r="U379" s="24"/>
      <c r="V379" s="24"/>
      <c r="W379" s="24"/>
      <c r="X379" s="24"/>
      <c r="Y379" s="24"/>
      <c r="Z379" s="24"/>
    </row>
    <row r="380">
      <c r="A380" s="29"/>
      <c r="B380" s="24"/>
      <c r="C380" s="24"/>
      <c r="D380" s="26" t="str">
        <f>IFERROR(__xludf.DUMMYFUNCTION("""COMPUTED_VALUE"""),"M")</f>
        <v>M</v>
      </c>
      <c r="E380" s="26" t="str">
        <f>IFERROR(__xludf.DUMMYFUNCTION("""COMPUTED_VALUE"""),"H")</f>
        <v>H</v>
      </c>
      <c r="F380" s="26"/>
      <c r="G380" s="26" t="str">
        <f>IFERROR(__xludf.DUMMYFUNCTION("""COMPUTED_VALUE"""),"None")</f>
        <v>None</v>
      </c>
      <c r="H380" s="26" t="str">
        <f>IFERROR(__xludf.DUMMYFUNCTION("""COMPUTED_VALUE"""),"Firearm")</f>
        <v>Firearm</v>
      </c>
      <c r="I380" s="27"/>
      <c r="J380" s="27"/>
      <c r="K380" s="27"/>
      <c r="L380" s="27"/>
      <c r="M380" s="27"/>
      <c r="N380" s="24"/>
      <c r="O380" s="24"/>
      <c r="P380" s="28"/>
      <c r="Q380" s="24"/>
      <c r="R380" s="24"/>
      <c r="S380" s="24"/>
      <c r="T380" s="24"/>
      <c r="U380" s="24"/>
      <c r="V380" s="24"/>
      <c r="W380" s="24"/>
      <c r="X380" s="24"/>
      <c r="Y380" s="24"/>
      <c r="Z380" s="24"/>
    </row>
    <row r="381">
      <c r="A381" s="29">
        <f>IFERROR(__xludf.DUMMYFUNCTION("""COMPUTED_VALUE"""),41112.0)</f>
        <v>41112</v>
      </c>
      <c r="B381" s="24">
        <f>IFERROR(__xludf.DUMMYFUNCTION("""COMPUTED_VALUE"""),9.2756412E7)</f>
        <v>92756412</v>
      </c>
      <c r="C381" s="24" t="str">
        <f>IFERROR(__xludf.DUMMYFUNCTION("""COMPUTED_VALUE"""),"1000 McGowan")</f>
        <v>1000 McGowan</v>
      </c>
      <c r="D381" s="26" t="str">
        <f>IFERROR(__xludf.DUMMYFUNCTION("""COMPUTED_VALUE"""),"M")</f>
        <v>M</v>
      </c>
      <c r="E381" s="26" t="str">
        <f>IFERROR(__xludf.DUMMYFUNCTION("""COMPUTED_VALUE"""),"H")</f>
        <v>H</v>
      </c>
      <c r="F381" s="26">
        <f>IFERROR(__xludf.DUMMYFUNCTION("""COMPUTED_VALUE"""),37.0)</f>
        <v>37</v>
      </c>
      <c r="G381" s="26" t="str">
        <f>IFERROR(__xludf.DUMMYFUNCTION("""COMPUTED_VALUE"""),"None")</f>
        <v>None</v>
      </c>
      <c r="H381" s="26" t="str">
        <f>IFERROR(__xludf.DUMMYFUNCTION("""COMPUTED_VALUE"""),"None")</f>
        <v>None</v>
      </c>
      <c r="I381" s="27" t="str">
        <f>IFERROR(__xludf.DUMMYFUNCTION("""COMPUTED_VALUE"""),"M")</f>
        <v>M</v>
      </c>
      <c r="J381" s="27" t="str">
        <f>IFERROR(__xludf.DUMMYFUNCTION("""COMPUTED_VALUE"""),"H")</f>
        <v>H</v>
      </c>
      <c r="K381" s="27">
        <f>IFERROR(__xludf.DUMMYFUNCTION("""COMPUTED_VALUE"""),27.0)</f>
        <v>27</v>
      </c>
      <c r="L381" s="27" t="str">
        <f>IFERROR(__xludf.DUMMYFUNCTION("""COMPUTED_VALUE"""),"None")</f>
        <v>None</v>
      </c>
      <c r="M381" s="27" t="str">
        <f>IFERROR(__xludf.DUMMYFUNCTION("""COMPUTED_VALUE"""),"Y")</f>
        <v>Y</v>
      </c>
      <c r="N381" s="24"/>
      <c r="O381" s="24"/>
      <c r="P381" s="28" t="str">
        <f>IFERROR(__xludf.DUMMYFUNCTION("""COMPUTED_VALUE"""),"The officers were conducting a felony traffic stop after a pursuit ended by the suspect wrecking his vehicle. The suspect got out of the car but then reached back into the vehicle to get something. The suspect then made an erratic movement causing the off"&amp;"icers to believe he had retrieved a weapon from the car and was going to shoot at them. An officer fired his weapon at the suspect but did not hit him.")</f>
        <v>The officers were conducting a felony traffic stop after a pursuit ended by the suspect wrecking his vehicle. The suspect got out of the car but then reached back into the vehicle to get something. The suspect then made an erratic movement causing the officers to believe he had retrieved a weapon from the car and was going to shoot at them. An officer fired his weapon at the suspect but did not hit him.</v>
      </c>
      <c r="Q381" s="24"/>
      <c r="R381" s="24"/>
      <c r="S381" s="24"/>
      <c r="T381" s="24"/>
      <c r="U381" s="24"/>
      <c r="V381" s="24"/>
      <c r="W381" s="24"/>
      <c r="X381" s="24"/>
      <c r="Y381" s="24"/>
      <c r="Z381" s="24"/>
    </row>
    <row r="382" hidden="1">
      <c r="A382" s="29">
        <f>IFERROR(__xludf.DUMMYFUNCTION("""COMPUTED_VALUE"""),41099.0)</f>
        <v>41099</v>
      </c>
      <c r="B382" s="24">
        <f>IFERROR(__xludf.DUMMYFUNCTION("""COMPUTED_VALUE"""),8.6965012E7)</f>
        <v>86965012</v>
      </c>
      <c r="C382" s="24" t="str">
        <f>IFERROR(__xludf.DUMMYFUNCTION("""COMPUTED_VALUE"""),"7200 Bissonnet Street")</f>
        <v>7200 Bissonnet Street</v>
      </c>
      <c r="D382" s="26" t="str">
        <f>IFERROR(__xludf.DUMMYFUNCTION("""COMPUTED_VALUE"""),"M")</f>
        <v>M</v>
      </c>
      <c r="E382" s="26" t="str">
        <f>IFERROR(__xludf.DUMMYFUNCTION("""COMPUTED_VALUE"""),"H")</f>
        <v>H</v>
      </c>
      <c r="F382" s="26">
        <f>IFERROR(__xludf.DUMMYFUNCTION("""COMPUTED_VALUE"""),54.0)</f>
        <v>54</v>
      </c>
      <c r="G382" s="26" t="str">
        <f>IFERROR(__xludf.DUMMYFUNCTION("""COMPUTED_VALUE"""),"Killed")</f>
        <v>Killed</v>
      </c>
      <c r="H382" s="26" t="str">
        <f>IFERROR(__xludf.DUMMYFUNCTION("""COMPUTED_VALUE"""),"None")</f>
        <v>None</v>
      </c>
      <c r="I382" s="27" t="str">
        <f>IFERROR(__xludf.DUMMYFUNCTION("""COMPUTED_VALUE"""),"F")</f>
        <v>F</v>
      </c>
      <c r="J382" s="27" t="str">
        <f>IFERROR(__xludf.DUMMYFUNCTION("""COMPUTED_VALUE"""),"W")</f>
        <v>W</v>
      </c>
      <c r="K382" s="27">
        <f>IFERROR(__xludf.DUMMYFUNCTION("""COMPUTED_VALUE"""),28.0)</f>
        <v>28</v>
      </c>
      <c r="L382" s="27" t="str">
        <f>IFERROR(__xludf.DUMMYFUNCTION("""COMPUTED_VALUE"""),"None")</f>
        <v>None</v>
      </c>
      <c r="M382" s="27" t="str">
        <f>IFERROR(__xludf.DUMMYFUNCTION("""COMPUTED_VALUE"""),"Y")</f>
        <v>Y</v>
      </c>
      <c r="N382" s="24"/>
      <c r="O382" s="24"/>
      <c r="P382" s="24" t="str">
        <f>IFERROR(__xludf.DUMMYFUNCTION("""COMPUTED_VALUE"""),"Officers attempted to contain a group of males fitting the description of those involved in an assault in progress. One of the males was ignoring verbal commands. He was reaching into his waistband area as he was turning towards the officers. One of the r"&amp;"eponding officers belived that he was reaching for a weapon so the officer shot the suspect.")</f>
        <v>Officers attempted to contain a group of males fitting the description of those involved in an assault in progress. One of the males was ignoring verbal commands. He was reaching into his waistband area as he was turning towards the officers. One of the reponding officers belived that he was reaching for a weapon so the officer shot the suspect.</v>
      </c>
      <c r="Q382" s="24"/>
      <c r="R382" s="24"/>
      <c r="S382" s="24"/>
      <c r="T382" s="24"/>
      <c r="U382" s="24"/>
      <c r="V382" s="24"/>
      <c r="W382" s="24"/>
      <c r="X382" s="24"/>
      <c r="Y382" s="24"/>
      <c r="Z382" s="24"/>
    </row>
    <row r="383" hidden="1">
      <c r="A383" s="29">
        <f>IFERROR(__xludf.DUMMYFUNCTION("""COMPUTED_VALUE"""),41087.0)</f>
        <v>41087</v>
      </c>
      <c r="B383" s="24">
        <f>IFERROR(__xludf.DUMMYFUNCTION("""COMPUTED_VALUE"""),8.1382112E7)</f>
        <v>81382112</v>
      </c>
      <c r="C383" s="24" t="str">
        <f>IFERROR(__xludf.DUMMYFUNCTION("""COMPUTED_VALUE"""),"6000 Hollister")</f>
        <v>6000 Hollister</v>
      </c>
      <c r="D383" s="26" t="str">
        <f>IFERROR(__xludf.DUMMYFUNCTION("""COMPUTED_VALUE"""),"M")</f>
        <v>M</v>
      </c>
      <c r="E383" s="26" t="str">
        <f>IFERROR(__xludf.DUMMYFUNCTION("""COMPUTED_VALUE"""),"B")</f>
        <v>B</v>
      </c>
      <c r="F383" s="26">
        <f>IFERROR(__xludf.DUMMYFUNCTION("""COMPUTED_VALUE"""),39.0)</f>
        <v>39</v>
      </c>
      <c r="G383" s="26" t="str">
        <f>IFERROR(__xludf.DUMMYFUNCTION("""COMPUTED_VALUE"""),"Killed")</f>
        <v>Killed</v>
      </c>
      <c r="H383" s="26" t="str">
        <f>IFERROR(__xludf.DUMMYFUNCTION("""COMPUTED_VALUE"""),"Firearm")</f>
        <v>Firearm</v>
      </c>
      <c r="I383" s="27" t="str">
        <f>IFERROR(__xludf.DUMMYFUNCTION("""COMPUTED_VALUE"""),"M")</f>
        <v>M</v>
      </c>
      <c r="J383" s="27" t="str">
        <f>IFERROR(__xludf.DUMMYFUNCTION("""COMPUTED_VALUE"""),"W")</f>
        <v>W</v>
      </c>
      <c r="K383" s="27">
        <f>IFERROR(__xludf.DUMMYFUNCTION("""COMPUTED_VALUE"""),52.0)</f>
        <v>52</v>
      </c>
      <c r="L383" s="27" t="str">
        <f>IFERROR(__xludf.DUMMYFUNCTION("""COMPUTED_VALUE"""),"None")</f>
        <v>None</v>
      </c>
      <c r="M383" s="27" t="str">
        <f>IFERROR(__xludf.DUMMYFUNCTION("""COMPUTED_VALUE"""),"Y")</f>
        <v>Y</v>
      </c>
      <c r="N383" s="24"/>
      <c r="O383" s="24"/>
      <c r="P383" s="24" t="str">
        <f>IFERROR(__xludf.DUMMYFUNCTION("""COMPUTED_VALUE"""),"Officers responded to a scene in which multiple persons were reported to be shot. Upon arrival the suspect fired at the responding officers. The officers exchanged gunfire with the suspect who then forced a citizen from their vehicle and fled. As the offi"&amp;"cers pursued the suspect, the suspect continued to fire at the officers. The suspect eventually wrecked the vehicle and when the officers approached to apprehend him, they found the suspect unresponsive.")</f>
        <v>Officers responded to a scene in which multiple persons were reported to be shot. Upon arrival the suspect fired at the responding officers. The officers exchanged gunfire with the suspect who then forced a citizen from their vehicle and fled. As the officers pursued the suspect, the suspect continued to fire at the officers. The suspect eventually wrecked the vehicle and when the officers approached to apprehend him, they found the suspect unresponsive.</v>
      </c>
      <c r="Q383" s="24"/>
      <c r="R383" s="24"/>
      <c r="S383" s="24"/>
      <c r="T383" s="24"/>
      <c r="U383" s="24"/>
      <c r="V383" s="24"/>
      <c r="W383" s="24"/>
      <c r="X383" s="24"/>
      <c r="Y383" s="24"/>
      <c r="Z383" s="24"/>
    </row>
    <row r="384" hidden="1">
      <c r="A384" s="29"/>
      <c r="B384" s="24"/>
      <c r="C384" s="24"/>
      <c r="D384" s="26"/>
      <c r="E384" s="26"/>
      <c r="F384" s="26"/>
      <c r="G384" s="26"/>
      <c r="H384" s="26"/>
      <c r="I384" s="27" t="str">
        <f>IFERROR(__xludf.DUMMYFUNCTION("""COMPUTED_VALUE"""),"M")</f>
        <v>M</v>
      </c>
      <c r="J384" s="27" t="str">
        <f>IFERROR(__xludf.DUMMYFUNCTION("""COMPUTED_VALUE"""),"W")</f>
        <v>W</v>
      </c>
      <c r="K384" s="27">
        <f>IFERROR(__xludf.DUMMYFUNCTION("""COMPUTED_VALUE"""),46.0)</f>
        <v>46</v>
      </c>
      <c r="L384" s="27" t="str">
        <f>IFERROR(__xludf.DUMMYFUNCTION("""COMPUTED_VALUE"""),"None")</f>
        <v>None</v>
      </c>
      <c r="M384" s="27" t="str">
        <f>IFERROR(__xludf.DUMMYFUNCTION("""COMPUTED_VALUE"""),"Y")</f>
        <v>Y</v>
      </c>
      <c r="N384" s="24"/>
      <c r="O384" s="24"/>
      <c r="P384" s="24"/>
      <c r="Q384" s="24"/>
      <c r="R384" s="24"/>
      <c r="S384" s="24"/>
      <c r="T384" s="24"/>
      <c r="U384" s="24"/>
      <c r="V384" s="24"/>
      <c r="W384" s="24"/>
      <c r="X384" s="24"/>
      <c r="Y384" s="24"/>
      <c r="Z384" s="24"/>
    </row>
    <row r="385" hidden="1">
      <c r="A385" s="29"/>
      <c r="B385" s="24"/>
      <c r="C385" s="24"/>
      <c r="D385" s="26"/>
      <c r="E385" s="26"/>
      <c r="F385" s="26"/>
      <c r="G385" s="26"/>
      <c r="H385" s="26"/>
      <c r="I385" s="27" t="str">
        <f>IFERROR(__xludf.DUMMYFUNCTION("""COMPUTED_VALUE"""),"M")</f>
        <v>M</v>
      </c>
      <c r="J385" s="27" t="str">
        <f>IFERROR(__xludf.DUMMYFUNCTION("""COMPUTED_VALUE"""),"W")</f>
        <v>W</v>
      </c>
      <c r="K385" s="27">
        <f>IFERROR(__xludf.DUMMYFUNCTION("""COMPUTED_VALUE"""),49.0)</f>
        <v>49</v>
      </c>
      <c r="L385" s="27" t="str">
        <f>IFERROR(__xludf.DUMMYFUNCTION("""COMPUTED_VALUE"""),"None")</f>
        <v>None</v>
      </c>
      <c r="M385" s="27" t="str">
        <f>IFERROR(__xludf.DUMMYFUNCTION("""COMPUTED_VALUE"""),"Y")</f>
        <v>Y</v>
      </c>
      <c r="N385" s="24"/>
      <c r="O385" s="24"/>
      <c r="P385" s="24"/>
      <c r="Q385" s="24"/>
      <c r="R385" s="24"/>
      <c r="S385" s="24"/>
      <c r="T385" s="24"/>
      <c r="U385" s="24"/>
      <c r="V385" s="24"/>
      <c r="W385" s="24"/>
      <c r="X385" s="24"/>
      <c r="Y385" s="24"/>
      <c r="Z385" s="24"/>
    </row>
    <row r="386" hidden="1">
      <c r="A386" s="29"/>
      <c r="B386" s="24"/>
      <c r="C386" s="24"/>
      <c r="D386" s="26"/>
      <c r="E386" s="26"/>
      <c r="F386" s="26"/>
      <c r="G386" s="26"/>
      <c r="H386" s="26"/>
      <c r="I386" s="27" t="str">
        <f>IFERROR(__xludf.DUMMYFUNCTION("""COMPUTED_VALUE"""),"M")</f>
        <v>M</v>
      </c>
      <c r="J386" s="27" t="str">
        <f>IFERROR(__xludf.DUMMYFUNCTION("""COMPUTED_VALUE"""),"W")</f>
        <v>W</v>
      </c>
      <c r="K386" s="27">
        <f>IFERROR(__xludf.DUMMYFUNCTION("""COMPUTED_VALUE"""),26.0)</f>
        <v>26</v>
      </c>
      <c r="L386" s="27" t="str">
        <f>IFERROR(__xludf.DUMMYFUNCTION("""COMPUTED_VALUE"""),"None")</f>
        <v>None</v>
      </c>
      <c r="M386" s="27" t="str">
        <f>IFERROR(__xludf.DUMMYFUNCTION("""COMPUTED_VALUE"""),"Y")</f>
        <v>Y</v>
      </c>
      <c r="N386" s="24"/>
      <c r="O386" s="24"/>
      <c r="P386" s="24"/>
      <c r="Q386" s="24"/>
      <c r="R386" s="24"/>
      <c r="S386" s="24"/>
      <c r="T386" s="24"/>
      <c r="U386" s="24"/>
      <c r="V386" s="24"/>
      <c r="W386" s="24"/>
      <c r="X386" s="24"/>
      <c r="Y386" s="24"/>
      <c r="Z386" s="24"/>
    </row>
    <row r="387">
      <c r="A387" s="29">
        <f>IFERROR(__xludf.DUMMYFUNCTION("""COMPUTED_VALUE"""),41081.0)</f>
        <v>41081</v>
      </c>
      <c r="B387" s="24">
        <f>IFERROR(__xludf.DUMMYFUNCTION("""COMPUTED_VALUE"""),7.8840412E7)</f>
        <v>78840412</v>
      </c>
      <c r="C387" s="24" t="str">
        <f>IFERROR(__xludf.DUMMYFUNCTION("""COMPUTED_VALUE"""),"10001 Westpark")</f>
        <v>10001 Westpark</v>
      </c>
      <c r="D387" s="26" t="str">
        <f>IFERROR(__xludf.DUMMYFUNCTION("""COMPUTED_VALUE"""),"M")</f>
        <v>M</v>
      </c>
      <c r="E387" s="26" t="str">
        <f>IFERROR(__xludf.DUMMYFUNCTION("""COMPUTED_VALUE"""),"B")</f>
        <v>B</v>
      </c>
      <c r="F387" s="26">
        <f>IFERROR(__xludf.DUMMYFUNCTION("""COMPUTED_VALUE"""),26.0)</f>
        <v>26</v>
      </c>
      <c r="G387" s="26" t="str">
        <f>IFERROR(__xludf.DUMMYFUNCTION("""COMPUTED_VALUE"""),"None")</f>
        <v>None</v>
      </c>
      <c r="H387" s="26" t="str">
        <f>IFERROR(__xludf.DUMMYFUNCTION("""COMPUTED_VALUE"""),"Firearm")</f>
        <v>Firearm</v>
      </c>
      <c r="I387" s="27" t="str">
        <f>IFERROR(__xludf.DUMMYFUNCTION("""COMPUTED_VALUE"""),"M")</f>
        <v>M</v>
      </c>
      <c r="J387" s="27" t="str">
        <f>IFERROR(__xludf.DUMMYFUNCTION("""COMPUTED_VALUE"""),"W")</f>
        <v>W</v>
      </c>
      <c r="K387" s="27">
        <f>IFERROR(__xludf.DUMMYFUNCTION("""COMPUTED_VALUE"""),28.0)</f>
        <v>28</v>
      </c>
      <c r="L387" s="27" t="str">
        <f>IFERROR(__xludf.DUMMYFUNCTION("""COMPUTED_VALUE"""),"None")</f>
        <v>None</v>
      </c>
      <c r="M387" s="27" t="str">
        <f>IFERROR(__xludf.DUMMYFUNCTION("""COMPUTED_VALUE"""),"Y")</f>
        <v>Y</v>
      </c>
      <c r="N387" s="24"/>
      <c r="O387" s="24"/>
      <c r="P387" s="28" t="str">
        <f>IFERROR(__xludf.DUMMYFUNCTION("""COMPUTED_VALUE"""),"The officer saw the suspect point a weapon at another person. The offier then chased the suspect on foot and twice during the pursuit the suspect turned to face the officer while reachinf for his weapon causing the officer to shoot at the suspect.")</f>
        <v>The officer saw the suspect point a weapon at another person. The offier then chased the suspect on foot and twice during the pursuit the suspect turned to face the officer while reachinf for his weapon causing the officer to shoot at the suspect.</v>
      </c>
      <c r="Q387" s="24"/>
      <c r="R387" s="24"/>
      <c r="S387" s="24"/>
      <c r="T387" s="24"/>
      <c r="U387" s="24"/>
      <c r="V387" s="24"/>
      <c r="W387" s="24"/>
      <c r="X387" s="24"/>
      <c r="Y387" s="24"/>
      <c r="Z387" s="24"/>
    </row>
    <row r="388" hidden="1">
      <c r="A388" s="29">
        <f>IFERROR(__xludf.DUMMYFUNCTION("""COMPUTED_VALUE"""),41079.0)</f>
        <v>41079</v>
      </c>
      <c r="B388" s="24">
        <f>IFERROR(__xludf.DUMMYFUNCTION("""COMPUTED_VALUE"""),7.7976812E7)</f>
        <v>77976812</v>
      </c>
      <c r="C388" s="24" t="str">
        <f>IFERROR(__xludf.DUMMYFUNCTION("""COMPUTED_VALUE"""),"15800 Blueridge Rd")</f>
        <v>15800 Blueridge Rd</v>
      </c>
      <c r="D388" s="26" t="str">
        <f>IFERROR(__xludf.DUMMYFUNCTION("""COMPUTED_VALUE"""),"M")</f>
        <v>M</v>
      </c>
      <c r="E388" s="26" t="str">
        <f>IFERROR(__xludf.DUMMYFUNCTION("""COMPUTED_VALUE"""),"B")</f>
        <v>B</v>
      </c>
      <c r="F388" s="26">
        <f>IFERROR(__xludf.DUMMYFUNCTION("""COMPUTED_VALUE"""),32.0)</f>
        <v>32</v>
      </c>
      <c r="G388" s="26" t="str">
        <f>IFERROR(__xludf.DUMMYFUNCTION("""COMPUTED_VALUE"""),"Wounded")</f>
        <v>Wounded</v>
      </c>
      <c r="H388" s="26" t="str">
        <f>IFERROR(__xludf.DUMMYFUNCTION("""COMPUTED_VALUE"""),"Firearm")</f>
        <v>Firearm</v>
      </c>
      <c r="I388" s="27" t="str">
        <f>IFERROR(__xludf.DUMMYFUNCTION("""COMPUTED_VALUE"""),"M")</f>
        <v>M</v>
      </c>
      <c r="J388" s="27" t="str">
        <f>IFERROR(__xludf.DUMMYFUNCTION("""COMPUTED_VALUE"""),"B")</f>
        <v>B</v>
      </c>
      <c r="K388" s="27">
        <f>IFERROR(__xludf.DUMMYFUNCTION("""COMPUTED_VALUE"""),38.0)</f>
        <v>38</v>
      </c>
      <c r="L388" s="27" t="str">
        <f>IFERROR(__xludf.DUMMYFUNCTION("""COMPUTED_VALUE"""),"None")</f>
        <v>None</v>
      </c>
      <c r="M388" s="27" t="str">
        <f>IFERROR(__xludf.DUMMYFUNCTION("""COMPUTED_VALUE"""),"Y")</f>
        <v>Y</v>
      </c>
      <c r="N388" s="24"/>
      <c r="O388" s="24"/>
      <c r="P388" s="28" t="str">
        <f>IFERROR(__xludf.DUMMYFUNCTION("""COMPUTED_VALUE"""),"Officer was attempting to gain control of an armed suspect when the suspect pointed his weapon at a passing vehicle. The officer believed that the suspect was going to shoot the occupants of the vehicle so he was forced to shoot the suspect.")</f>
        <v>Officer was attempting to gain control of an armed suspect when the suspect pointed his weapon at a passing vehicle. The officer believed that the suspect was going to shoot the occupants of the vehicle so he was forced to shoot the suspect.</v>
      </c>
      <c r="Q388" s="24"/>
      <c r="R388" s="24"/>
      <c r="S388" s="24"/>
      <c r="T388" s="24"/>
      <c r="U388" s="24"/>
      <c r="V388" s="24"/>
      <c r="W388" s="24"/>
      <c r="X388" s="24"/>
      <c r="Y388" s="24"/>
      <c r="Z388" s="24"/>
    </row>
    <row r="389">
      <c r="A389" s="29">
        <f>IFERROR(__xludf.DUMMYFUNCTION("""COMPUTED_VALUE"""),41072.0)</f>
        <v>41072</v>
      </c>
      <c r="B389" s="24">
        <f>IFERROR(__xludf.DUMMYFUNCTION("""COMPUTED_VALUE"""),7.4484712E7)</f>
        <v>74484712</v>
      </c>
      <c r="C389" s="24" t="str">
        <f>IFERROR(__xludf.DUMMYFUNCTION("""COMPUTED_VALUE"""),"2610 Beatty")</f>
        <v>2610 Beatty</v>
      </c>
      <c r="D389" s="26" t="str">
        <f>IFERROR(__xludf.DUMMYFUNCTION("""COMPUTED_VALUE"""),"M")</f>
        <v>M</v>
      </c>
      <c r="E389" s="26" t="str">
        <f>IFERROR(__xludf.DUMMYFUNCTION("""COMPUTED_VALUE"""),"H")</f>
        <v>H</v>
      </c>
      <c r="F389" s="26">
        <f>IFERROR(__xludf.DUMMYFUNCTION("""COMPUTED_VALUE"""),44.0)</f>
        <v>44</v>
      </c>
      <c r="G389" s="26" t="str">
        <f>IFERROR(__xludf.DUMMYFUNCTION("""COMPUTED_VALUE"""),"None")</f>
        <v>None</v>
      </c>
      <c r="H389" s="26" t="str">
        <f>IFERROR(__xludf.DUMMYFUNCTION("""COMPUTED_VALUE"""),"Firearm")</f>
        <v>Firearm</v>
      </c>
      <c r="I389" s="27" t="str">
        <f>IFERROR(__xludf.DUMMYFUNCTION("""COMPUTED_VALUE"""),"M")</f>
        <v>M</v>
      </c>
      <c r="J389" s="27" t="str">
        <f>IFERROR(__xludf.DUMMYFUNCTION("""COMPUTED_VALUE"""),"B")</f>
        <v>B</v>
      </c>
      <c r="K389" s="27">
        <f>IFERROR(__xludf.DUMMYFUNCTION("""COMPUTED_VALUE"""),42.0)</f>
        <v>42</v>
      </c>
      <c r="L389" s="27" t="str">
        <f>IFERROR(__xludf.DUMMYFUNCTION("""COMPUTED_VALUE"""),"None")</f>
        <v>None</v>
      </c>
      <c r="M389" s="27" t="str">
        <f>IFERROR(__xludf.DUMMYFUNCTION("""COMPUTED_VALUE"""),"N")</f>
        <v>N</v>
      </c>
      <c r="N389" s="24"/>
      <c r="O389" s="24"/>
      <c r="P389" s="28" t="str">
        <f>IFERROR(__xludf.DUMMYFUNCTION("""COMPUTED_VALUE"""),"Two suspects in a vehicle were observed firing a weapon as they approached the officers patrol car. It was believed that the suspects were shooting at the officer so he exited the vehicle. The suspects continued to drive toward him while firing a weapon s"&amp;"o the officer returned fire.")</f>
        <v>Two suspects in a vehicle were observed firing a weapon as they approached the officers patrol car. It was believed that the suspects were shooting at the officer so he exited the vehicle. The suspects continued to drive toward him while firing a weapon so the officer returned fire.</v>
      </c>
      <c r="Q389" s="24"/>
      <c r="R389" s="24"/>
      <c r="S389" s="24"/>
      <c r="T389" s="24"/>
      <c r="U389" s="24"/>
      <c r="V389" s="24"/>
      <c r="W389" s="24"/>
      <c r="X389" s="24"/>
      <c r="Y389" s="24"/>
      <c r="Z389" s="24"/>
    </row>
    <row r="390" hidden="1">
      <c r="A390" s="29">
        <f>IFERROR(__xludf.DUMMYFUNCTION("""COMPUTED_VALUE"""),41053.0)</f>
        <v>41053</v>
      </c>
      <c r="B390" s="24">
        <f>IFERROR(__xludf.DUMMYFUNCTION("""COMPUTED_VALUE"""),6.6165412E7)</f>
        <v>66165412</v>
      </c>
      <c r="C390" s="24" t="str">
        <f>IFERROR(__xludf.DUMMYFUNCTION("""COMPUTED_VALUE"""),"2019 Dewalt St")</f>
        <v>2019 Dewalt St</v>
      </c>
      <c r="D390" s="26" t="str">
        <f>IFERROR(__xludf.DUMMYFUNCTION("""COMPUTED_VALUE"""),"M")</f>
        <v>M</v>
      </c>
      <c r="E390" s="26" t="str">
        <f>IFERROR(__xludf.DUMMYFUNCTION("""COMPUTED_VALUE"""),"B")</f>
        <v>B</v>
      </c>
      <c r="F390" s="26">
        <f>IFERROR(__xludf.DUMMYFUNCTION("""COMPUTED_VALUE"""),51.0)</f>
        <v>51</v>
      </c>
      <c r="G390" s="26" t="str">
        <f>IFERROR(__xludf.DUMMYFUNCTION("""COMPUTED_VALUE"""),"Killed")</f>
        <v>Killed</v>
      </c>
      <c r="H390" s="26" t="str">
        <f>IFERROR(__xludf.DUMMYFUNCTION("""COMPUTED_VALUE"""),"Knife")</f>
        <v>Knife</v>
      </c>
      <c r="I390" s="27" t="str">
        <f>IFERROR(__xludf.DUMMYFUNCTION("""COMPUTED_VALUE"""),"M")</f>
        <v>M</v>
      </c>
      <c r="J390" s="27" t="str">
        <f>IFERROR(__xludf.DUMMYFUNCTION("""COMPUTED_VALUE"""),"H")</f>
        <v>H</v>
      </c>
      <c r="K390" s="27">
        <f>IFERROR(__xludf.DUMMYFUNCTION("""COMPUTED_VALUE"""),45.0)</f>
        <v>45</v>
      </c>
      <c r="L390" s="27" t="str">
        <f>IFERROR(__xludf.DUMMYFUNCTION("""COMPUTED_VALUE"""),"Wounded")</f>
        <v>Wounded</v>
      </c>
      <c r="M390" s="27" t="str">
        <f>IFERROR(__xludf.DUMMYFUNCTION("""COMPUTED_VALUE"""),"Y")</f>
        <v>Y</v>
      </c>
      <c r="N390" s="24"/>
      <c r="O390" s="24"/>
      <c r="P390" s="24" t="str">
        <f>IFERROR(__xludf.DUMMYFUNCTION("""COMPUTED_VALUE"""),"Officers were conducting a surveillance assignment when the suspect approached the vehicle they were in and confronted them. The suspect keyed the vehicle with a box cutter and then attacked one of the officers with the box cutter causing the officers to "&amp;"shoot the suspect.")</f>
        <v>Officers were conducting a surveillance assignment when the suspect approached the vehicle they were in and confronted them. The suspect keyed the vehicle with a box cutter and then attacked one of the officers with the box cutter causing the officers to shoot the suspect.</v>
      </c>
      <c r="Q390" s="24"/>
      <c r="R390" s="24"/>
      <c r="S390" s="24"/>
      <c r="T390" s="24"/>
      <c r="U390" s="24"/>
      <c r="V390" s="24"/>
      <c r="W390" s="24"/>
      <c r="X390" s="24"/>
      <c r="Y390" s="24"/>
      <c r="Z390" s="24"/>
    </row>
    <row r="391" hidden="1">
      <c r="A391" s="29"/>
      <c r="B391" s="24"/>
      <c r="C391" s="24"/>
      <c r="D391" s="26"/>
      <c r="E391" s="26"/>
      <c r="F391" s="26"/>
      <c r="G391" s="26"/>
      <c r="H391" s="26"/>
      <c r="I391" s="27" t="str">
        <f>IFERROR(__xludf.DUMMYFUNCTION("""COMPUTED_VALUE"""),"M")</f>
        <v>M</v>
      </c>
      <c r="J391" s="27" t="str">
        <f>IFERROR(__xludf.DUMMYFUNCTION("""COMPUTED_VALUE"""),"W")</f>
        <v>W</v>
      </c>
      <c r="K391" s="27">
        <f>IFERROR(__xludf.DUMMYFUNCTION("""COMPUTED_VALUE"""),27.0)</f>
        <v>27</v>
      </c>
      <c r="L391" s="27" t="str">
        <f>IFERROR(__xludf.DUMMYFUNCTION("""COMPUTED_VALUE"""),"None")</f>
        <v>None</v>
      </c>
      <c r="M391" s="27" t="str">
        <f>IFERROR(__xludf.DUMMYFUNCTION("""COMPUTED_VALUE"""),"Y")</f>
        <v>Y</v>
      </c>
      <c r="N391" s="24"/>
      <c r="O391" s="24"/>
      <c r="P391" s="24"/>
      <c r="Q391" s="24"/>
      <c r="R391" s="24"/>
      <c r="S391" s="24"/>
      <c r="T391" s="24"/>
      <c r="U391" s="24"/>
      <c r="V391" s="24"/>
      <c r="W391" s="24"/>
      <c r="X391" s="24"/>
      <c r="Y391" s="24"/>
      <c r="Z391" s="24"/>
    </row>
    <row r="392" hidden="1">
      <c r="A392" s="29">
        <f>IFERROR(__xludf.DUMMYFUNCTION("""COMPUTED_VALUE"""),41047.0)</f>
        <v>41047</v>
      </c>
      <c r="B392" s="24">
        <f>IFERROR(__xludf.DUMMYFUNCTION("""COMPUTED_VALUE"""),6.3111212E7)</f>
        <v>63111212</v>
      </c>
      <c r="C392" s="24" t="str">
        <f>IFERROR(__xludf.DUMMYFUNCTION("""COMPUTED_VALUE"""),"11200 Fondren Rd")</f>
        <v>11200 Fondren Rd</v>
      </c>
      <c r="D392" s="26" t="str">
        <f>IFERROR(__xludf.DUMMYFUNCTION("""COMPUTED_VALUE"""),"M")</f>
        <v>M</v>
      </c>
      <c r="E392" s="26" t="str">
        <f>IFERROR(__xludf.DUMMYFUNCTION("""COMPUTED_VALUE"""),"B")</f>
        <v>B</v>
      </c>
      <c r="F392" s="26">
        <f>IFERROR(__xludf.DUMMYFUNCTION("""COMPUTED_VALUE"""),24.0)</f>
        <v>24</v>
      </c>
      <c r="G392" s="26" t="str">
        <f>IFERROR(__xludf.DUMMYFUNCTION("""COMPUTED_VALUE"""),"Killed")</f>
        <v>Killed</v>
      </c>
      <c r="H392" s="26" t="str">
        <f>IFERROR(__xludf.DUMMYFUNCTION("""COMPUTED_VALUE"""),"Knife")</f>
        <v>Knife</v>
      </c>
      <c r="I392" s="27" t="str">
        <f>IFERROR(__xludf.DUMMYFUNCTION("""COMPUTED_VALUE"""),"M")</f>
        <v>M</v>
      </c>
      <c r="J392" s="27" t="str">
        <f>IFERROR(__xludf.DUMMYFUNCTION("""COMPUTED_VALUE"""),"B")</f>
        <v>B</v>
      </c>
      <c r="K392" s="27">
        <f>IFERROR(__xludf.DUMMYFUNCTION("""COMPUTED_VALUE"""),51.0)</f>
        <v>51</v>
      </c>
      <c r="L392" s="27" t="str">
        <f>IFERROR(__xludf.DUMMYFUNCTION("""COMPUTED_VALUE"""),"None")</f>
        <v>None</v>
      </c>
      <c r="M392" s="27" t="str">
        <f>IFERROR(__xludf.DUMMYFUNCTION("""COMPUTED_VALUE"""),"Y")</f>
        <v>Y</v>
      </c>
      <c r="N392" s="24"/>
      <c r="O392" s="24"/>
      <c r="P392" s="24" t="str">
        <f>IFERROR(__xludf.DUMMYFUNCTION("""COMPUTED_VALUE"""),"Suspect was holding a person at knife point when the officers arrived at the scene. The suspect then attempted to stab the person but the person was able to grab the suspects hand. The officers shot the suspect thereby keeping th person from sustaining an"&amp;"y more injuries.")</f>
        <v>Suspect was holding a person at knife point when the officers arrived at the scene. The suspect then attempted to stab the person but the person was able to grab the suspects hand. The officers shot the suspect thereby keeping th person from sustaining any more injuries.</v>
      </c>
      <c r="Q392" s="24"/>
      <c r="R392" s="24"/>
      <c r="S392" s="24"/>
      <c r="T392" s="24"/>
      <c r="U392" s="24"/>
      <c r="V392" s="24"/>
      <c r="W392" s="24"/>
      <c r="X392" s="24"/>
      <c r="Y392" s="24"/>
      <c r="Z392" s="24"/>
    </row>
    <row r="393">
      <c r="A393" s="29">
        <f>IFERROR(__xludf.DUMMYFUNCTION("""COMPUTED_VALUE"""),41046.0)</f>
        <v>41046</v>
      </c>
      <c r="B393" s="24">
        <f>IFERROR(__xludf.DUMMYFUNCTION("""COMPUTED_VALUE"""),6.2768512E7)</f>
        <v>62768512</v>
      </c>
      <c r="C393" s="24" t="str">
        <f>IFERROR(__xludf.DUMMYFUNCTION("""COMPUTED_VALUE"""),"1467 Main")</f>
        <v>1467 Main</v>
      </c>
      <c r="D393" s="26" t="str">
        <f>IFERROR(__xludf.DUMMYFUNCTION("""COMPUTED_VALUE"""),"M")</f>
        <v>M</v>
      </c>
      <c r="E393" s="26" t="str">
        <f>IFERROR(__xludf.DUMMYFUNCTION("""COMPUTED_VALUE"""),"B")</f>
        <v>B</v>
      </c>
      <c r="F393" s="26">
        <f>IFERROR(__xludf.DUMMYFUNCTION("""COMPUTED_VALUE"""),36.0)</f>
        <v>36</v>
      </c>
      <c r="G393" s="26" t="str">
        <f>IFERROR(__xludf.DUMMYFUNCTION("""COMPUTED_VALUE"""),"None")</f>
        <v>None</v>
      </c>
      <c r="H393" s="26" t="str">
        <f>IFERROR(__xludf.DUMMYFUNCTION("""COMPUTED_VALUE"""),"None")</f>
        <v>None</v>
      </c>
      <c r="I393" s="27" t="str">
        <f>IFERROR(__xludf.DUMMYFUNCTION("""COMPUTED_VALUE"""),"M")</f>
        <v>M</v>
      </c>
      <c r="J393" s="27" t="str">
        <f>IFERROR(__xludf.DUMMYFUNCTION("""COMPUTED_VALUE"""),"B")</f>
        <v>B</v>
      </c>
      <c r="K393" s="27">
        <f>IFERROR(__xludf.DUMMYFUNCTION("""COMPUTED_VALUE"""),40.0)</f>
        <v>40</v>
      </c>
      <c r="L393" s="27" t="str">
        <f>IFERROR(__xludf.DUMMYFUNCTION("""COMPUTED_VALUE"""),"None")</f>
        <v>None</v>
      </c>
      <c r="M393" s="27" t="str">
        <f>IFERROR(__xludf.DUMMYFUNCTION("""COMPUTED_VALUE"""),"Y")</f>
        <v>Y</v>
      </c>
      <c r="N393" s="24"/>
      <c r="O393" s="24"/>
      <c r="P393" s="28" t="str">
        <f>IFERROR(__xludf.DUMMYFUNCTION("""COMPUTED_VALUE"""),"The officer was attempting to gain control of a suspect when the suspect lunged at the officer yelling to shoot him causing the officer to discharged one time.")</f>
        <v>The officer was attempting to gain control of a suspect when the suspect lunged at the officer yelling to shoot him causing the officer to discharged one time.</v>
      </c>
      <c r="Q393" s="24"/>
      <c r="R393" s="24"/>
      <c r="S393" s="24"/>
      <c r="T393" s="24"/>
      <c r="U393" s="24"/>
      <c r="V393" s="24"/>
      <c r="W393" s="24"/>
      <c r="X393" s="24"/>
      <c r="Y393" s="24"/>
      <c r="Z393" s="24"/>
    </row>
    <row r="394" hidden="1">
      <c r="A394" s="29">
        <f>IFERROR(__xludf.DUMMYFUNCTION("""COMPUTED_VALUE"""),41045.0)</f>
        <v>41045</v>
      </c>
      <c r="B394" s="24">
        <f>IFERROR(__xludf.DUMMYFUNCTION("""COMPUTED_VALUE"""),6.2466412E7)</f>
        <v>62466412</v>
      </c>
      <c r="C394" s="24" t="str">
        <f>IFERROR(__xludf.DUMMYFUNCTION("""COMPUTED_VALUE"""),"9200 N. Wayside")</f>
        <v>9200 N. Wayside</v>
      </c>
      <c r="D394" s="26" t="str">
        <f>IFERROR(__xludf.DUMMYFUNCTION("""COMPUTED_VALUE"""),"M")</f>
        <v>M</v>
      </c>
      <c r="E394" s="26" t="str">
        <f>IFERROR(__xludf.DUMMYFUNCTION("""COMPUTED_VALUE"""),"B")</f>
        <v>B</v>
      </c>
      <c r="F394" s="26">
        <f>IFERROR(__xludf.DUMMYFUNCTION("""COMPUTED_VALUE"""),49.0)</f>
        <v>49</v>
      </c>
      <c r="G394" s="26" t="str">
        <f>IFERROR(__xludf.DUMMYFUNCTION("""COMPUTED_VALUE"""),"Wounded")</f>
        <v>Wounded</v>
      </c>
      <c r="H394" s="26" t="str">
        <f>IFERROR(__xludf.DUMMYFUNCTION("""COMPUTED_VALUE"""),"Firearm")</f>
        <v>Firearm</v>
      </c>
      <c r="I394" s="27" t="str">
        <f>IFERROR(__xludf.DUMMYFUNCTION("""COMPUTED_VALUE"""),"M")</f>
        <v>M</v>
      </c>
      <c r="J394" s="27" t="str">
        <f>IFERROR(__xludf.DUMMYFUNCTION("""COMPUTED_VALUE"""),"W")</f>
        <v>W</v>
      </c>
      <c r="K394" s="27">
        <f>IFERROR(__xludf.DUMMYFUNCTION("""COMPUTED_VALUE"""),29.0)</f>
        <v>29</v>
      </c>
      <c r="L394" s="27" t="str">
        <f>IFERROR(__xludf.DUMMYFUNCTION("""COMPUTED_VALUE"""),"None")</f>
        <v>None</v>
      </c>
      <c r="M394" s="27" t="str">
        <f>IFERROR(__xludf.DUMMYFUNCTION("""COMPUTED_VALUE"""),"Y")</f>
        <v>Y</v>
      </c>
      <c r="N394" s="24"/>
      <c r="O394" s="24"/>
      <c r="P394" s="28" t="str">
        <f>IFERROR(__xludf.DUMMYFUNCTION("""COMPUTED_VALUE"""),"Officers recived a call in which the suspect had just shot two persons. The officers found the suspect and were attempting to apprehend him when the suspect produced a weapon and pointed it at the officers. In response, the officers shot the suspect.")</f>
        <v>Officers recived a call in which the suspect had just shot two persons. The officers found the suspect and were attempting to apprehend him when the suspect produced a weapon and pointed it at the officers. In response, the officers shot the suspect.</v>
      </c>
      <c r="Q394" s="24"/>
      <c r="R394" s="24"/>
      <c r="S394" s="24"/>
      <c r="T394" s="24"/>
      <c r="U394" s="24"/>
      <c r="V394" s="24"/>
      <c r="W394" s="24"/>
      <c r="X394" s="24"/>
      <c r="Y394" s="24"/>
      <c r="Z394" s="24"/>
    </row>
    <row r="395" hidden="1">
      <c r="A395" s="29">
        <f>IFERROR(__xludf.DUMMYFUNCTION("""COMPUTED_VALUE"""),41036.0)</f>
        <v>41036</v>
      </c>
      <c r="B395" s="24">
        <f>IFERROR(__xludf.DUMMYFUNCTION("""COMPUTED_VALUE"""),5.7985912E7)</f>
        <v>57985912</v>
      </c>
      <c r="C395" s="24" t="str">
        <f>IFERROR(__xludf.DUMMYFUNCTION("""COMPUTED_VALUE"""),"17300 Tomball Parway Service Rd")</f>
        <v>17300 Tomball Parway Service Rd</v>
      </c>
      <c r="D395" s="26" t="str">
        <f>IFERROR(__xludf.DUMMYFUNCTION("""COMPUTED_VALUE"""),"M")</f>
        <v>M</v>
      </c>
      <c r="E395" s="26" t="str">
        <f>IFERROR(__xludf.DUMMYFUNCTION("""COMPUTED_VALUE"""),"B")</f>
        <v>B</v>
      </c>
      <c r="F395" s="26">
        <f>IFERROR(__xludf.DUMMYFUNCTION("""COMPUTED_VALUE"""),26.0)</f>
        <v>26</v>
      </c>
      <c r="G395" s="26" t="str">
        <f>IFERROR(__xludf.DUMMYFUNCTION("""COMPUTED_VALUE"""),"Killed")</f>
        <v>Killed</v>
      </c>
      <c r="H395" s="26" t="str">
        <f>IFERROR(__xludf.DUMMYFUNCTION("""COMPUTED_VALUE"""),"Firearm")</f>
        <v>Firearm</v>
      </c>
      <c r="I395" s="27" t="str">
        <f>IFERROR(__xludf.DUMMYFUNCTION("""COMPUTED_VALUE"""),"M")</f>
        <v>M</v>
      </c>
      <c r="J395" s="27" t="str">
        <f>IFERROR(__xludf.DUMMYFUNCTION("""COMPUTED_VALUE"""),"W")</f>
        <v>W</v>
      </c>
      <c r="K395" s="27">
        <f>IFERROR(__xludf.DUMMYFUNCTION("""COMPUTED_VALUE"""),28.0)</f>
        <v>28</v>
      </c>
      <c r="L395" s="27" t="str">
        <f>IFERROR(__xludf.DUMMYFUNCTION("""COMPUTED_VALUE"""),"None")</f>
        <v>None</v>
      </c>
      <c r="M395" s="27" t="str">
        <f>IFERROR(__xludf.DUMMYFUNCTION("""COMPUTED_VALUE"""),"Y")</f>
        <v>Y</v>
      </c>
      <c r="N395" s="24"/>
      <c r="O395" s="24"/>
      <c r="P395" s="24" t="str">
        <f>IFERROR(__xludf.DUMMYFUNCTION("""COMPUTED_VALUE"""),"Disturbance suspect was located walking on the suspect. The suspect was ordered to stop. The suspect stopped and then turned toward the officers with a weapon in his hands. The officers told the suspect to drop the weapon but he pointed it at the officers"&amp;" so the officers shot the suspect.")</f>
        <v>Disturbance suspect was located walking on the suspect. The suspect was ordered to stop. The suspect stopped and then turned toward the officers with a weapon in his hands. The officers told the suspect to drop the weapon but he pointed it at the officers so the officers shot the suspect.</v>
      </c>
      <c r="Q395" s="24"/>
      <c r="R395" s="24"/>
      <c r="S395" s="24"/>
      <c r="T395" s="24"/>
      <c r="U395" s="24"/>
      <c r="V395" s="24"/>
      <c r="W395" s="24"/>
      <c r="X395" s="24"/>
      <c r="Y395" s="24"/>
      <c r="Z395" s="24"/>
    </row>
    <row r="396" hidden="1">
      <c r="A396" s="29"/>
      <c r="B396" s="24"/>
      <c r="C396" s="24"/>
      <c r="D396" s="26"/>
      <c r="E396" s="26"/>
      <c r="F396" s="26"/>
      <c r="G396" s="26"/>
      <c r="H396" s="26"/>
      <c r="I396" s="27" t="str">
        <f>IFERROR(__xludf.DUMMYFUNCTION("""COMPUTED_VALUE"""),"M")</f>
        <v>M</v>
      </c>
      <c r="J396" s="27" t="str">
        <f>IFERROR(__xludf.DUMMYFUNCTION("""COMPUTED_VALUE"""),"P")</f>
        <v>P</v>
      </c>
      <c r="K396" s="27">
        <f>IFERROR(__xludf.DUMMYFUNCTION("""COMPUTED_VALUE"""),28.0)</f>
        <v>28</v>
      </c>
      <c r="L396" s="27" t="str">
        <f>IFERROR(__xludf.DUMMYFUNCTION("""COMPUTED_VALUE"""),"None")</f>
        <v>None</v>
      </c>
      <c r="M396" s="27" t="str">
        <f>IFERROR(__xludf.DUMMYFUNCTION("""COMPUTED_VALUE"""),"Y")</f>
        <v>Y</v>
      </c>
      <c r="N396" s="24"/>
      <c r="O396" s="24"/>
      <c r="P396" s="24"/>
      <c r="Q396" s="24"/>
      <c r="R396" s="24"/>
      <c r="S396" s="24"/>
      <c r="T396" s="24"/>
      <c r="U396" s="24"/>
      <c r="V396" s="24"/>
      <c r="W396" s="24"/>
      <c r="X396" s="24"/>
      <c r="Y396" s="24"/>
      <c r="Z396" s="24"/>
    </row>
    <row r="397" hidden="1">
      <c r="A397" s="29">
        <f>IFERROR(__xludf.DUMMYFUNCTION("""COMPUTED_VALUE"""),41031.0)</f>
        <v>41031</v>
      </c>
      <c r="B397" s="24">
        <f>IFERROR(__xludf.DUMMYFUNCTION("""COMPUTED_VALUE"""),5.5358512E7)</f>
        <v>55358512</v>
      </c>
      <c r="C397" s="24" t="str">
        <f>IFERROR(__xludf.DUMMYFUNCTION("""COMPUTED_VALUE"""),"10550 Gulf Freway")</f>
        <v>10550 Gulf Freway</v>
      </c>
      <c r="D397" s="26" t="str">
        <f>IFERROR(__xludf.DUMMYFUNCTION("""COMPUTED_VALUE"""),"M")</f>
        <v>M</v>
      </c>
      <c r="E397" s="26" t="str">
        <f>IFERROR(__xludf.DUMMYFUNCTION("""COMPUTED_VALUE"""),"B")</f>
        <v>B</v>
      </c>
      <c r="F397" s="26">
        <f>IFERROR(__xludf.DUMMYFUNCTION("""COMPUTED_VALUE"""),17.0)</f>
        <v>17</v>
      </c>
      <c r="G397" s="26" t="str">
        <f>IFERROR(__xludf.DUMMYFUNCTION("""COMPUTED_VALUE"""),"Wounded")</f>
        <v>Wounded</v>
      </c>
      <c r="H397" s="26" t="str">
        <f>IFERROR(__xludf.DUMMYFUNCTION("""COMPUTED_VALUE"""),"Firearm")</f>
        <v>Firearm</v>
      </c>
      <c r="I397" s="27" t="str">
        <f>IFERROR(__xludf.DUMMYFUNCTION("""COMPUTED_VALUE"""),"M")</f>
        <v>M</v>
      </c>
      <c r="J397" s="27" t="str">
        <f>IFERROR(__xludf.DUMMYFUNCTION("""COMPUTED_VALUE"""),"H")</f>
        <v>H</v>
      </c>
      <c r="K397" s="27">
        <f>IFERROR(__xludf.DUMMYFUNCTION("""COMPUTED_VALUE"""),31.0)</f>
        <v>31</v>
      </c>
      <c r="L397" s="27" t="str">
        <f>IFERROR(__xludf.DUMMYFUNCTION("""COMPUTED_VALUE"""),"None")</f>
        <v>None</v>
      </c>
      <c r="M397" s="27" t="str">
        <f>IFERROR(__xludf.DUMMYFUNCTION("""COMPUTED_VALUE"""),"Y")</f>
        <v>Y</v>
      </c>
      <c r="N397" s="24"/>
      <c r="O397" s="24"/>
      <c r="P397" s="28" t="str">
        <f>IFERROR(__xludf.DUMMYFUNCTION("""COMPUTED_VALUE"""),"Officers observed a suspicious person run into a business. The officers stopped to in vestigate and when they entered the business they saw an armed suspect behimd the counter. The officers fired at the suspect when the suspect turned his weapon towards t"&amp;"hem.")</f>
        <v>Officers observed a suspicious person run into a business. The officers stopped to in vestigate and when they entered the business they saw an armed suspect behimd the counter. The officers fired at the suspect when the suspect turned his weapon towards them.</v>
      </c>
      <c r="Q397" s="24"/>
      <c r="R397" s="24"/>
      <c r="S397" s="24"/>
      <c r="T397" s="24"/>
      <c r="U397" s="24"/>
      <c r="V397" s="24"/>
      <c r="W397" s="24"/>
      <c r="X397" s="24"/>
      <c r="Y397" s="24"/>
      <c r="Z397" s="24"/>
    </row>
    <row r="398" hidden="1">
      <c r="A398" s="29"/>
      <c r="B398" s="24"/>
      <c r="C398" s="24"/>
      <c r="D398" s="26"/>
      <c r="E398" s="26"/>
      <c r="F398" s="26"/>
      <c r="G398" s="26"/>
      <c r="H398" s="26" t="str">
        <f>IFERROR(__xludf.DUMMYFUNCTION("""COMPUTED_VALUE"""),"Firearm")</f>
        <v>Firearm</v>
      </c>
      <c r="I398" s="27" t="str">
        <f>IFERROR(__xludf.DUMMYFUNCTION("""COMPUTED_VALUE"""),"M")</f>
        <v>M</v>
      </c>
      <c r="J398" s="27" t="str">
        <f>IFERROR(__xludf.DUMMYFUNCTION("""COMPUTED_VALUE"""),"H")</f>
        <v>H</v>
      </c>
      <c r="K398" s="27">
        <f>IFERROR(__xludf.DUMMYFUNCTION("""COMPUTED_VALUE"""),30.0)</f>
        <v>30</v>
      </c>
      <c r="L398" s="27" t="str">
        <f>IFERROR(__xludf.DUMMYFUNCTION("""COMPUTED_VALUE"""),"None")</f>
        <v>None</v>
      </c>
      <c r="M398" s="27" t="str">
        <f>IFERROR(__xludf.DUMMYFUNCTION("""COMPUTED_VALUE"""),"Y")</f>
        <v>Y</v>
      </c>
      <c r="N398" s="24"/>
      <c r="O398" s="24"/>
      <c r="P398" s="24"/>
      <c r="Q398" s="24"/>
      <c r="R398" s="24"/>
      <c r="S398" s="24"/>
      <c r="T398" s="24"/>
      <c r="U398" s="24"/>
      <c r="V398" s="24"/>
      <c r="W398" s="24"/>
      <c r="X398" s="24"/>
      <c r="Y398" s="24"/>
      <c r="Z398" s="24"/>
    </row>
    <row r="399" hidden="1">
      <c r="A399" s="29">
        <f>IFERROR(__xludf.DUMMYFUNCTION("""COMPUTED_VALUE"""),41017.0)</f>
        <v>41017</v>
      </c>
      <c r="B399" s="24">
        <f>IFERROR(__xludf.DUMMYFUNCTION("""COMPUTED_VALUE"""),4.9104412E7)</f>
        <v>49104412</v>
      </c>
      <c r="C399" s="24" t="str">
        <f>IFERROR(__xludf.DUMMYFUNCTION("""COMPUTED_VALUE"""),"5335 Gulf Freeway")</f>
        <v>5335 Gulf Freeway</v>
      </c>
      <c r="D399" s="26" t="str">
        <f>IFERROR(__xludf.DUMMYFUNCTION("""COMPUTED_VALUE"""),"M")</f>
        <v>M</v>
      </c>
      <c r="E399" s="26" t="str">
        <f>IFERROR(__xludf.DUMMYFUNCTION("""COMPUTED_VALUE"""),"B")</f>
        <v>B</v>
      </c>
      <c r="F399" s="26">
        <f>IFERROR(__xludf.DUMMYFUNCTION("""COMPUTED_VALUE"""),28.0)</f>
        <v>28</v>
      </c>
      <c r="G399" s="26" t="str">
        <f>IFERROR(__xludf.DUMMYFUNCTION("""COMPUTED_VALUE"""),"Killed")</f>
        <v>Killed</v>
      </c>
      <c r="H399" s="26" t="str">
        <f>IFERROR(__xludf.DUMMYFUNCTION("""COMPUTED_VALUE"""),"Firearm")</f>
        <v>Firearm</v>
      </c>
      <c r="I399" s="27" t="str">
        <f>IFERROR(__xludf.DUMMYFUNCTION("""COMPUTED_VALUE"""),"M")</f>
        <v>M</v>
      </c>
      <c r="J399" s="27" t="str">
        <f>IFERROR(__xludf.DUMMYFUNCTION("""COMPUTED_VALUE"""),"W")</f>
        <v>W</v>
      </c>
      <c r="K399" s="27">
        <f>IFERROR(__xludf.DUMMYFUNCTION("""COMPUTED_VALUE"""),56.0)</f>
        <v>56</v>
      </c>
      <c r="L399" s="27" t="str">
        <f>IFERROR(__xludf.DUMMYFUNCTION("""COMPUTED_VALUE"""),"None")</f>
        <v>None</v>
      </c>
      <c r="M399" s="27" t="str">
        <f>IFERROR(__xludf.DUMMYFUNCTION("""COMPUTED_VALUE"""),"Y")</f>
        <v>Y</v>
      </c>
      <c r="N399" s="24"/>
      <c r="O399" s="24"/>
      <c r="P399" s="24" t="str">
        <f>IFERROR(__xludf.DUMMYFUNCTION("""COMPUTED_VALUE"""),"An armed suspect approached three undercover officers and attempted to rob them. The officers were able to produce their weapons and shoot the suspect.")</f>
        <v>An armed suspect approached three undercover officers and attempted to rob them. The officers were able to produce their weapons and shoot the suspect.</v>
      </c>
      <c r="Q399" s="24"/>
      <c r="R399" s="24"/>
      <c r="S399" s="24"/>
      <c r="T399" s="24"/>
      <c r="U399" s="24"/>
      <c r="V399" s="24"/>
      <c r="W399" s="24"/>
      <c r="X399" s="24"/>
      <c r="Y399" s="24"/>
      <c r="Z399" s="24"/>
    </row>
    <row r="400" hidden="1">
      <c r="A400" s="29"/>
      <c r="B400" s="24"/>
      <c r="C400" s="24"/>
      <c r="D400" s="26"/>
      <c r="E400" s="26"/>
      <c r="F400" s="26"/>
      <c r="G400" s="26"/>
      <c r="H400" s="26"/>
      <c r="I400" s="27" t="str">
        <f>IFERROR(__xludf.DUMMYFUNCTION("""COMPUTED_VALUE"""),"M")</f>
        <v>M</v>
      </c>
      <c r="J400" s="27" t="str">
        <f>IFERROR(__xludf.DUMMYFUNCTION("""COMPUTED_VALUE"""),"W")</f>
        <v>W</v>
      </c>
      <c r="K400" s="27">
        <f>IFERROR(__xludf.DUMMYFUNCTION("""COMPUTED_VALUE"""),40.0)</f>
        <v>40</v>
      </c>
      <c r="L400" s="27" t="str">
        <f>IFERROR(__xludf.DUMMYFUNCTION("""COMPUTED_VALUE"""),"None")</f>
        <v>None</v>
      </c>
      <c r="M400" s="27" t="str">
        <f>IFERROR(__xludf.DUMMYFUNCTION("""COMPUTED_VALUE"""),"Y")</f>
        <v>Y</v>
      </c>
      <c r="N400" s="24"/>
      <c r="O400" s="24"/>
      <c r="P400" s="24"/>
      <c r="Q400" s="24"/>
      <c r="R400" s="24"/>
      <c r="S400" s="24"/>
      <c r="T400" s="24"/>
      <c r="U400" s="24"/>
      <c r="V400" s="24"/>
      <c r="W400" s="24"/>
      <c r="X400" s="24"/>
      <c r="Y400" s="24"/>
      <c r="Z400" s="24"/>
    </row>
    <row r="401" hidden="1">
      <c r="A401" s="29">
        <f>IFERROR(__xludf.DUMMYFUNCTION("""COMPUTED_VALUE"""),41003.0)</f>
        <v>41003</v>
      </c>
      <c r="B401" s="24">
        <f>IFERROR(__xludf.DUMMYFUNCTION("""COMPUTED_VALUE"""),4.2291412E7)</f>
        <v>42291412</v>
      </c>
      <c r="C401" s="24" t="str">
        <f>IFERROR(__xludf.DUMMYFUNCTION("""COMPUTED_VALUE"""),"9755 Court Glen")</f>
        <v>9755 Court Glen</v>
      </c>
      <c r="D401" s="26" t="str">
        <f>IFERROR(__xludf.DUMMYFUNCTION("""COMPUTED_VALUE"""),"M")</f>
        <v>M</v>
      </c>
      <c r="E401" s="26" t="str">
        <f>IFERROR(__xludf.DUMMYFUNCTION("""COMPUTED_VALUE"""),"B")</f>
        <v>B</v>
      </c>
      <c r="F401" s="26">
        <f>IFERROR(__xludf.DUMMYFUNCTION("""COMPUTED_VALUE"""),23.0)</f>
        <v>23</v>
      </c>
      <c r="G401" s="26" t="str">
        <f>IFERROR(__xludf.DUMMYFUNCTION("""COMPUTED_VALUE"""),"Wounded")</f>
        <v>Wounded</v>
      </c>
      <c r="H401" s="26" t="str">
        <f>IFERROR(__xludf.DUMMYFUNCTION("""COMPUTED_VALUE"""),"None")</f>
        <v>None</v>
      </c>
      <c r="I401" s="27" t="str">
        <f>IFERROR(__xludf.DUMMYFUNCTION("""COMPUTED_VALUE"""),"M")</f>
        <v>M</v>
      </c>
      <c r="J401" s="27" t="str">
        <f>IFERROR(__xludf.DUMMYFUNCTION("""COMPUTED_VALUE"""),"W")</f>
        <v>W</v>
      </c>
      <c r="K401" s="27">
        <f>IFERROR(__xludf.DUMMYFUNCTION("""COMPUTED_VALUE"""),33.0)</f>
        <v>33</v>
      </c>
      <c r="L401" s="27" t="str">
        <f>IFERROR(__xludf.DUMMYFUNCTION("""COMPUTED_VALUE"""),"None")</f>
        <v>None</v>
      </c>
      <c r="M401" s="27" t="str">
        <f>IFERROR(__xludf.DUMMYFUNCTION("""COMPUTED_VALUE"""),"Y")</f>
        <v>Y</v>
      </c>
      <c r="N401" s="24"/>
      <c r="O401" s="24"/>
      <c r="P401" s="28" t="str">
        <f>IFERROR(__xludf.DUMMYFUNCTION("""COMPUTED_VALUE"""),"Felony suspect ran from officers who were attempting to arrest him. Officer chased suspect to an apartment where the officer attempted to arrest him. The suspect pushed the officer against the wall and then reached toward his waitband area. the officer sh"&amp;"ot the suspect fearing that thet suspect was reaching for a weapon.")</f>
        <v>Felony suspect ran from officers who were attempting to arrest him. Officer chased suspect to an apartment where the officer attempted to arrest him. The suspect pushed the officer against the wall and then reached toward his waitband area. the officer shot the suspect fearing that thet suspect was reaching for a weapon.</v>
      </c>
      <c r="Q401" s="24"/>
      <c r="R401" s="24"/>
      <c r="S401" s="24"/>
      <c r="T401" s="24"/>
      <c r="U401" s="24"/>
      <c r="V401" s="24"/>
      <c r="W401" s="24"/>
      <c r="X401" s="24"/>
      <c r="Y401" s="24"/>
      <c r="Z401" s="24"/>
    </row>
    <row r="402">
      <c r="A402" s="29">
        <f>IFERROR(__xludf.DUMMYFUNCTION("""COMPUTED_VALUE"""),41001.0)</f>
        <v>41001</v>
      </c>
      <c r="B402" s="24">
        <f>IFERROR(__xludf.DUMMYFUNCTION("""COMPUTED_VALUE"""),4.1005512E7)</f>
        <v>41005512</v>
      </c>
      <c r="C402" s="24" t="str">
        <f>IFERROR(__xludf.DUMMYFUNCTION("""COMPUTED_VALUE"""),"5400 Wilmington")</f>
        <v>5400 Wilmington</v>
      </c>
      <c r="D402" s="26" t="str">
        <f>IFERROR(__xludf.DUMMYFUNCTION("""COMPUTED_VALUE"""),"M")</f>
        <v>M</v>
      </c>
      <c r="E402" s="26" t="str">
        <f>IFERROR(__xludf.DUMMYFUNCTION("""COMPUTED_VALUE"""),"B")</f>
        <v>B</v>
      </c>
      <c r="F402" s="26">
        <f>IFERROR(__xludf.DUMMYFUNCTION("""COMPUTED_VALUE"""),28.0)</f>
        <v>28</v>
      </c>
      <c r="G402" s="26" t="str">
        <f>IFERROR(__xludf.DUMMYFUNCTION("""COMPUTED_VALUE"""),"None")</f>
        <v>None</v>
      </c>
      <c r="H402" s="26" t="str">
        <f>IFERROR(__xludf.DUMMYFUNCTION("""COMPUTED_VALUE"""),"None")</f>
        <v>None</v>
      </c>
      <c r="I402" s="27" t="str">
        <f>IFERROR(__xludf.DUMMYFUNCTION("""COMPUTED_VALUE"""),"M")</f>
        <v>M</v>
      </c>
      <c r="J402" s="27" t="str">
        <f>IFERROR(__xludf.DUMMYFUNCTION("""COMPUTED_VALUE"""),"H")</f>
        <v>H</v>
      </c>
      <c r="K402" s="27">
        <f>IFERROR(__xludf.DUMMYFUNCTION("""COMPUTED_VALUE"""),28.0)</f>
        <v>28</v>
      </c>
      <c r="L402" s="27" t="str">
        <f>IFERROR(__xludf.DUMMYFUNCTION("""COMPUTED_VALUE"""),"None")</f>
        <v>None</v>
      </c>
      <c r="M402" s="27" t="str">
        <f>IFERROR(__xludf.DUMMYFUNCTION("""COMPUTED_VALUE"""),"Y")</f>
        <v>Y</v>
      </c>
      <c r="N402" s="24"/>
      <c r="O402" s="24"/>
      <c r="P402" s="28" t="str">
        <f>IFERROR(__xludf.DUMMYFUNCTION("""COMPUTED_VALUE"""),"Officers stopped an individual who they observed to be violating municipal ordinances. The suspect ran from the officers and during the pursuit he made gestures which made the pursing officer believe that the suspect was armed and attempting to draw a wea"&amp;"pon. This action caused the officer to fire at the suspect.")</f>
        <v>Officers stopped an individual who they observed to be violating municipal ordinances. The suspect ran from the officers and during the pursuit he made gestures which made the pursing officer believe that the suspect was armed and attempting to draw a weapon. This action caused the officer to fire at the suspect.</v>
      </c>
      <c r="Q402" s="24"/>
      <c r="R402" s="24"/>
      <c r="S402" s="24"/>
      <c r="T402" s="24"/>
      <c r="U402" s="24"/>
      <c r="V402" s="24"/>
      <c r="W402" s="24"/>
      <c r="X402" s="24"/>
      <c r="Y402" s="24"/>
      <c r="Z402" s="24"/>
    </row>
    <row r="403">
      <c r="A403" s="29">
        <f>IFERROR(__xludf.DUMMYFUNCTION("""COMPUTED_VALUE"""),40999.0)</f>
        <v>40999</v>
      </c>
      <c r="B403" s="24">
        <f>IFERROR(__xludf.DUMMYFUNCTION("""COMPUTED_VALUE"""),4.0154412E7)</f>
        <v>40154412</v>
      </c>
      <c r="C403" s="24" t="str">
        <f>IFERROR(__xludf.DUMMYFUNCTION("""COMPUTED_VALUE"""),"Protected By Law")</f>
        <v>Protected By Law</v>
      </c>
      <c r="D403" s="26" t="str">
        <f>IFERROR(__xludf.DUMMYFUNCTION("""COMPUTED_VALUE"""),"M")</f>
        <v>M</v>
      </c>
      <c r="E403" s="26" t="str">
        <f>IFERROR(__xludf.DUMMYFUNCTION("""COMPUTED_VALUE"""),"B")</f>
        <v>B</v>
      </c>
      <c r="F403" s="26"/>
      <c r="G403" s="26" t="str">
        <f>IFERROR(__xludf.DUMMYFUNCTION("""COMPUTED_VALUE"""),"None")</f>
        <v>None</v>
      </c>
      <c r="H403" s="26" t="str">
        <f>IFERROR(__xludf.DUMMYFUNCTION("""COMPUTED_VALUE"""),"None")</f>
        <v>None</v>
      </c>
      <c r="I403" s="27" t="str">
        <f>IFERROR(__xludf.DUMMYFUNCTION("""COMPUTED_VALUE"""),"M")</f>
        <v>M</v>
      </c>
      <c r="J403" s="27" t="str">
        <f>IFERROR(__xludf.DUMMYFUNCTION("""COMPUTED_VALUE"""),"B")</f>
        <v>B</v>
      </c>
      <c r="K403" s="27">
        <f>IFERROR(__xludf.DUMMYFUNCTION("""COMPUTED_VALUE"""),45.0)</f>
        <v>45</v>
      </c>
      <c r="L403" s="27" t="str">
        <f>IFERROR(__xludf.DUMMYFUNCTION("""COMPUTED_VALUE"""),"None")</f>
        <v>None</v>
      </c>
      <c r="M403" s="27" t="str">
        <f>IFERROR(__xludf.DUMMYFUNCTION("""COMPUTED_VALUE"""),"N")</f>
        <v>N</v>
      </c>
      <c r="N403" s="24"/>
      <c r="O403" s="24"/>
      <c r="P403" s="28" t="str">
        <f>IFERROR(__xludf.DUMMYFUNCTION("""COMPUTED_VALUE"""),"Officer heard the alarm sounding from his vehicle. He went outside to check on the vehicle. He observed the suspect fleeing from his vehicle. THe officer attempted to block his path when he noticed that the suspect was carrying an object that he believed "&amp;"to be a weapon. The officer fired at the suspect but did not hit him. the suspect was able to jump a fence and flee from the location.")</f>
        <v>Officer heard the alarm sounding from his vehicle. He went outside to check on the vehicle. He observed the suspect fleeing from his vehicle. THe officer attempted to block his path when he noticed that the suspect was carrying an object that he believed to be a weapon. The officer fired at the suspect but did not hit him. the suspect was able to jump a fence and flee from the location.</v>
      </c>
      <c r="Q403" s="24"/>
      <c r="R403" s="24"/>
      <c r="S403" s="24"/>
      <c r="T403" s="24"/>
      <c r="U403" s="24"/>
      <c r="V403" s="24"/>
      <c r="W403" s="24"/>
      <c r="X403" s="24"/>
      <c r="Y403" s="24"/>
      <c r="Z403" s="24"/>
    </row>
    <row r="404" hidden="1">
      <c r="A404" s="29">
        <f>IFERROR(__xludf.DUMMYFUNCTION("""COMPUTED_VALUE"""),40965.0)</f>
        <v>40965</v>
      </c>
      <c r="B404" s="24">
        <f>IFERROR(__xludf.DUMMYFUNCTION("""COMPUTED_VALUE"""),2.4401812E7)</f>
        <v>24401812</v>
      </c>
      <c r="C404" s="24" t="str">
        <f>IFERROR(__xludf.DUMMYFUNCTION("""COMPUTED_VALUE"""),"10531 Gulf Freeway")</f>
        <v>10531 Gulf Freeway</v>
      </c>
      <c r="D404" s="26" t="str">
        <f>IFERROR(__xludf.DUMMYFUNCTION("""COMPUTED_VALUE"""),"M")</f>
        <v>M</v>
      </c>
      <c r="E404" s="26" t="str">
        <f>IFERROR(__xludf.DUMMYFUNCTION("""COMPUTED_VALUE"""),"H")</f>
        <v>H</v>
      </c>
      <c r="F404" s="26">
        <f>IFERROR(__xludf.DUMMYFUNCTION("""COMPUTED_VALUE"""),19.0)</f>
        <v>19</v>
      </c>
      <c r="G404" s="26" t="str">
        <f>IFERROR(__xludf.DUMMYFUNCTION("""COMPUTED_VALUE"""),"Wounded")</f>
        <v>Wounded</v>
      </c>
      <c r="H404" s="26" t="str">
        <f>IFERROR(__xludf.DUMMYFUNCTION("""COMPUTED_VALUE"""),"Vehicle")</f>
        <v>Vehicle</v>
      </c>
      <c r="I404" s="27" t="str">
        <f>IFERROR(__xludf.DUMMYFUNCTION("""COMPUTED_VALUE"""),"M")</f>
        <v>M</v>
      </c>
      <c r="J404" s="27" t="str">
        <f>IFERROR(__xludf.DUMMYFUNCTION("""COMPUTED_VALUE"""),"W")</f>
        <v>W</v>
      </c>
      <c r="K404" s="27">
        <f>IFERROR(__xludf.DUMMYFUNCTION("""COMPUTED_VALUE"""),46.0)</f>
        <v>46</v>
      </c>
      <c r="L404" s="27" t="str">
        <f>IFERROR(__xludf.DUMMYFUNCTION("""COMPUTED_VALUE"""),"Wounded")</f>
        <v>Wounded</v>
      </c>
      <c r="M404" s="27" t="str">
        <f>IFERROR(__xludf.DUMMYFUNCTION("""COMPUTED_VALUE"""),"N")</f>
        <v>N</v>
      </c>
      <c r="N404" s="24"/>
      <c r="O404" s="24"/>
      <c r="P404" s="28" t="str">
        <f>IFERROR(__xludf.DUMMYFUNCTION("""COMPUTED_VALUE"""),"Officers approached BMV suspect's vehicle and gave commands for the occupants to show their hands. Instead the driver attempted to flee in the vehicle striking one officer. The suspect then drove at the second officer striking him as well. Both officers d"&amp;"ischarged their weapons at this time and shot the suspect.")</f>
        <v>Officers approached BMV suspect's vehicle and gave commands for the occupants to show their hands. Instead the driver attempted to flee in the vehicle striking one officer. The suspect then drove at the second officer striking him as well. Both officers discharged their weapons at this time and shot the suspect.</v>
      </c>
      <c r="Q404" s="24"/>
      <c r="R404" s="24"/>
      <c r="S404" s="24"/>
      <c r="T404" s="24"/>
      <c r="U404" s="24"/>
      <c r="V404" s="24"/>
      <c r="W404" s="24"/>
      <c r="X404" s="24"/>
      <c r="Y404" s="24"/>
      <c r="Z404" s="24"/>
    </row>
    <row r="405">
      <c r="A405" s="29"/>
      <c r="B405" s="24"/>
      <c r="C405" s="24"/>
      <c r="D405" s="26" t="str">
        <f>IFERROR(__xludf.DUMMYFUNCTION("""COMPUTED_VALUE"""),"M")</f>
        <v>M</v>
      </c>
      <c r="E405" s="26" t="str">
        <f>IFERROR(__xludf.DUMMYFUNCTION("""COMPUTED_VALUE"""),"H")</f>
        <v>H</v>
      </c>
      <c r="F405" s="26">
        <f>IFERROR(__xludf.DUMMYFUNCTION("""COMPUTED_VALUE"""),32.0)</f>
        <v>32</v>
      </c>
      <c r="G405" s="26" t="str">
        <f>IFERROR(__xludf.DUMMYFUNCTION("""COMPUTED_VALUE"""),"None")</f>
        <v>None</v>
      </c>
      <c r="H405" s="26" t="str">
        <f>IFERROR(__xludf.DUMMYFUNCTION("""COMPUTED_VALUE"""),"None")</f>
        <v>None</v>
      </c>
      <c r="I405" s="27" t="str">
        <f>IFERROR(__xludf.DUMMYFUNCTION("""COMPUTED_VALUE"""),"M")</f>
        <v>M</v>
      </c>
      <c r="J405" s="27" t="str">
        <f>IFERROR(__xludf.DUMMYFUNCTION("""COMPUTED_VALUE"""),"W")</f>
        <v>W</v>
      </c>
      <c r="K405" s="27">
        <f>IFERROR(__xludf.DUMMYFUNCTION("""COMPUTED_VALUE"""),27.0)</f>
        <v>27</v>
      </c>
      <c r="L405" s="27" t="str">
        <f>IFERROR(__xludf.DUMMYFUNCTION("""COMPUTED_VALUE"""),"Wounded")</f>
        <v>Wounded</v>
      </c>
      <c r="M405" s="27" t="str">
        <f>IFERROR(__xludf.DUMMYFUNCTION("""COMPUTED_VALUE"""),"N")</f>
        <v>N</v>
      </c>
      <c r="N405" s="24"/>
      <c r="O405" s="24"/>
      <c r="P405" s="28"/>
      <c r="Q405" s="24"/>
      <c r="R405" s="24"/>
      <c r="S405" s="24"/>
      <c r="T405" s="24"/>
      <c r="U405" s="24"/>
      <c r="V405" s="24"/>
      <c r="W405" s="24"/>
      <c r="X405" s="24"/>
      <c r="Y405" s="24"/>
      <c r="Z405" s="24"/>
    </row>
    <row r="406">
      <c r="A406" s="29">
        <f>IFERROR(__xludf.DUMMYFUNCTION("""COMPUTED_VALUE"""),40965.0)</f>
        <v>40965</v>
      </c>
      <c r="B406" s="24">
        <f>IFERROR(__xludf.DUMMYFUNCTION("""COMPUTED_VALUE"""),2.4405412E7)</f>
        <v>24405412</v>
      </c>
      <c r="C406" s="24" t="str">
        <f>IFERROR(__xludf.DUMMYFUNCTION("""COMPUTED_VALUE"""),"5003 Ridgecreek Dr")</f>
        <v>5003 Ridgecreek Dr</v>
      </c>
      <c r="D406" s="26" t="str">
        <f>IFERROR(__xludf.DUMMYFUNCTION("""COMPUTED_VALUE"""),"M")</f>
        <v>M</v>
      </c>
      <c r="E406" s="26" t="str">
        <f>IFERROR(__xludf.DUMMYFUNCTION("""COMPUTED_VALUE"""),"H")</f>
        <v>H</v>
      </c>
      <c r="F406" s="26"/>
      <c r="G406" s="26" t="str">
        <f>IFERROR(__xludf.DUMMYFUNCTION("""COMPUTED_VALUE"""),"None")</f>
        <v>None</v>
      </c>
      <c r="H406" s="26" t="str">
        <f>IFERROR(__xludf.DUMMYFUNCTION("""COMPUTED_VALUE"""),"Unknown")</f>
        <v>Unknown</v>
      </c>
      <c r="I406" s="27" t="str">
        <f>IFERROR(__xludf.DUMMYFUNCTION("""COMPUTED_VALUE"""),"M")</f>
        <v>M</v>
      </c>
      <c r="J406" s="27" t="str">
        <f>IFERROR(__xludf.DUMMYFUNCTION("""COMPUTED_VALUE"""),"H")</f>
        <v>H</v>
      </c>
      <c r="K406" s="27">
        <f>IFERROR(__xludf.DUMMYFUNCTION("""COMPUTED_VALUE"""),35.0)</f>
        <v>35</v>
      </c>
      <c r="L406" s="27" t="str">
        <f>IFERROR(__xludf.DUMMYFUNCTION("""COMPUTED_VALUE"""),"None")</f>
        <v>None</v>
      </c>
      <c r="M406" s="27" t="str">
        <f>IFERROR(__xludf.DUMMYFUNCTION("""COMPUTED_VALUE"""),"Y")</f>
        <v>Y</v>
      </c>
      <c r="N406" s="24"/>
      <c r="O406" s="24"/>
      <c r="P406" s="28" t="str">
        <f>IFERROR(__xludf.DUMMYFUNCTION("""COMPUTED_VALUE"""),"Officer arrived on scene to find a burglary in prgress. As he tried to control the suspects, one of them walked to a vehicle and appeared to get soemthing out of it. The suspect then made a move toward the officer. The officer believed the suspect to be a"&amp;"rmed so he shot at him.")</f>
        <v>Officer arrived on scene to find a burglary in prgress. As he tried to control the suspects, one of them walked to a vehicle and appeared to get soemthing out of it. The suspect then made a move toward the officer. The officer believed the suspect to be armed so he shot at him.</v>
      </c>
      <c r="Q406" s="24"/>
      <c r="R406" s="24"/>
      <c r="S406" s="24"/>
      <c r="T406" s="24"/>
      <c r="U406" s="24"/>
      <c r="V406" s="24"/>
      <c r="W406" s="24"/>
      <c r="X406" s="24"/>
      <c r="Y406" s="24"/>
      <c r="Z406" s="24"/>
    </row>
    <row r="407" hidden="1">
      <c r="A407" s="29">
        <f>IFERROR(__xludf.DUMMYFUNCTION("""COMPUTED_VALUE"""),40955.0)</f>
        <v>40955</v>
      </c>
      <c r="B407" s="24">
        <f>IFERROR(__xludf.DUMMYFUNCTION("""COMPUTED_VALUE"""),2.0191212E7)</f>
        <v>20191212</v>
      </c>
      <c r="C407" s="24" t="str">
        <f>IFERROR(__xludf.DUMMYFUNCTION("""COMPUTED_VALUE"""),"8301 Allwood St")</f>
        <v>8301 Allwood St</v>
      </c>
      <c r="D407" s="26" t="str">
        <f>IFERROR(__xludf.DUMMYFUNCTION("""COMPUTED_VALUE"""),"M")</f>
        <v>M</v>
      </c>
      <c r="E407" s="26" t="str">
        <f>IFERROR(__xludf.DUMMYFUNCTION("""COMPUTED_VALUE"""),"B")</f>
        <v>B</v>
      </c>
      <c r="F407" s="26">
        <f>IFERROR(__xludf.DUMMYFUNCTION("""COMPUTED_VALUE"""),69.0)</f>
        <v>69</v>
      </c>
      <c r="G407" s="26" t="str">
        <f>IFERROR(__xludf.DUMMYFUNCTION("""COMPUTED_VALUE"""),"Wounded")</f>
        <v>Wounded</v>
      </c>
      <c r="H407" s="26" t="str">
        <f>IFERROR(__xludf.DUMMYFUNCTION("""COMPUTED_VALUE"""),"Firearm")</f>
        <v>Firearm</v>
      </c>
      <c r="I407" s="27" t="str">
        <f>IFERROR(__xludf.DUMMYFUNCTION("""COMPUTED_VALUE"""),"M")</f>
        <v>M</v>
      </c>
      <c r="J407" s="27" t="str">
        <f>IFERROR(__xludf.DUMMYFUNCTION("""COMPUTED_VALUE"""),"B")</f>
        <v>B</v>
      </c>
      <c r="K407" s="27">
        <f>IFERROR(__xludf.DUMMYFUNCTION("""COMPUTED_VALUE"""),37.0)</f>
        <v>37</v>
      </c>
      <c r="L407" s="27" t="str">
        <f>IFERROR(__xludf.DUMMYFUNCTION("""COMPUTED_VALUE"""),"None")</f>
        <v>None</v>
      </c>
      <c r="M407" s="27" t="str">
        <f>IFERROR(__xludf.DUMMYFUNCTION("""COMPUTED_VALUE"""),"Y")</f>
        <v>Y</v>
      </c>
      <c r="N407" s="24"/>
      <c r="O407" s="24"/>
      <c r="P407" s="28" t="str">
        <f>IFERROR(__xludf.DUMMYFUNCTION("""COMPUTED_VALUE"""),"Narcotics unit was executing a search warrant at a residence and when they gained entry a suspect was found inside with a shotgun. The suspect raised the shotgun toward the officers causing an officer to shoot the suspect.")</f>
        <v>Narcotics unit was executing a search warrant at a residence and when they gained entry a suspect was found inside with a shotgun. The suspect raised the shotgun toward the officers causing an officer to shoot the suspect.</v>
      </c>
      <c r="Q407" s="24"/>
      <c r="R407" s="24"/>
      <c r="S407" s="24"/>
      <c r="T407" s="24"/>
      <c r="U407" s="24"/>
      <c r="V407" s="24"/>
      <c r="W407" s="24"/>
      <c r="X407" s="24"/>
      <c r="Y407" s="24"/>
      <c r="Z407" s="24"/>
    </row>
    <row r="408" hidden="1">
      <c r="A408" s="29">
        <f>IFERROR(__xludf.DUMMYFUNCTION("""COMPUTED_VALUE"""),40921.0)</f>
        <v>40921</v>
      </c>
      <c r="B408" s="24">
        <f>IFERROR(__xludf.DUMMYFUNCTION("""COMPUTED_VALUE"""),5577512.0)</f>
        <v>5577512</v>
      </c>
      <c r="C408" s="24" t="str">
        <f>IFERROR(__xludf.DUMMYFUNCTION("""COMPUTED_VALUE"""),"3820 Sherwood Ln")</f>
        <v>3820 Sherwood Ln</v>
      </c>
      <c r="D408" s="26" t="str">
        <f>IFERROR(__xludf.DUMMYFUNCTION("""COMPUTED_VALUE"""),"M")</f>
        <v>M</v>
      </c>
      <c r="E408" s="26" t="str">
        <f>IFERROR(__xludf.DUMMYFUNCTION("""COMPUTED_VALUE"""),"H")</f>
        <v>H</v>
      </c>
      <c r="F408" s="26">
        <f>IFERROR(__xludf.DUMMYFUNCTION("""COMPUTED_VALUE"""),21.0)</f>
        <v>21</v>
      </c>
      <c r="G408" s="26" t="str">
        <f>IFERROR(__xludf.DUMMYFUNCTION("""COMPUTED_VALUE"""),"Wounded")</f>
        <v>Wounded</v>
      </c>
      <c r="H408" s="26" t="str">
        <f>IFERROR(__xludf.DUMMYFUNCTION("""COMPUTED_VALUE"""),"Physical Force")</f>
        <v>Physical Force</v>
      </c>
      <c r="I408" s="27" t="str">
        <f>IFERROR(__xludf.DUMMYFUNCTION("""COMPUTED_VALUE"""),"M")</f>
        <v>M</v>
      </c>
      <c r="J408" s="27" t="str">
        <f>IFERROR(__xludf.DUMMYFUNCTION("""COMPUTED_VALUE"""),"B")</f>
        <v>B</v>
      </c>
      <c r="K408" s="27">
        <f>IFERROR(__xludf.DUMMYFUNCTION("""COMPUTED_VALUE"""),31.0)</f>
        <v>31</v>
      </c>
      <c r="L408" s="27" t="str">
        <f>IFERROR(__xludf.DUMMYFUNCTION("""COMPUTED_VALUE"""),"Wounded")</f>
        <v>Wounded</v>
      </c>
      <c r="M408" s="27" t="str">
        <f>IFERROR(__xludf.DUMMYFUNCTION("""COMPUTED_VALUE"""),"Y")</f>
        <v>Y</v>
      </c>
      <c r="N408" s="24"/>
      <c r="O408" s="24"/>
      <c r="P408" s="28" t="str">
        <f>IFERROR(__xludf.DUMMYFUNCTION("""COMPUTED_VALUE"""),"The officer was attempting to arrest a suspect who was caught trying to steal a car. The suspect fought the officer and tried to get the officers weapon. The officer fired one time at the suspect but did not hit him.")</f>
        <v>The officer was attempting to arrest a suspect who was caught trying to steal a car. The suspect fought the officer and tried to get the officers weapon. The officer fired one time at the suspect but did not hit him.</v>
      </c>
      <c r="Q408" s="24"/>
      <c r="R408" s="24"/>
      <c r="S408" s="24"/>
      <c r="T408" s="24"/>
      <c r="U408" s="24"/>
      <c r="V408" s="24"/>
      <c r="W408" s="24"/>
      <c r="X408" s="24"/>
      <c r="Y408" s="24"/>
      <c r="Z408" s="24"/>
    </row>
    <row r="409" hidden="1">
      <c r="A409" s="29">
        <f>IFERROR(__xludf.DUMMYFUNCTION("""COMPUTED_VALUE"""),40915.0)</f>
        <v>40915</v>
      </c>
      <c r="B409" s="24">
        <f>IFERROR(__xludf.DUMMYFUNCTION("""COMPUTED_VALUE"""),3088712.0)</f>
        <v>3088712</v>
      </c>
      <c r="C409" s="24" t="str">
        <f>IFERROR(__xludf.DUMMYFUNCTION("""COMPUTED_VALUE"""),"13106 Abalone Way")</f>
        <v>13106 Abalone Way</v>
      </c>
      <c r="D409" s="26" t="str">
        <f>IFERROR(__xludf.DUMMYFUNCTION("""COMPUTED_VALUE"""),"M")</f>
        <v>M</v>
      </c>
      <c r="E409" s="26" t="str">
        <f>IFERROR(__xludf.DUMMYFUNCTION("""COMPUTED_VALUE"""),"B")</f>
        <v>B</v>
      </c>
      <c r="F409" s="26">
        <f>IFERROR(__xludf.DUMMYFUNCTION("""COMPUTED_VALUE"""),29.0)</f>
        <v>29</v>
      </c>
      <c r="G409" s="26" t="str">
        <f>IFERROR(__xludf.DUMMYFUNCTION("""COMPUTED_VALUE"""),"Wounded")</f>
        <v>Wounded</v>
      </c>
      <c r="H409" s="26" t="str">
        <f>IFERROR(__xludf.DUMMYFUNCTION("""COMPUTED_VALUE"""),"Physical Force")</f>
        <v>Physical Force</v>
      </c>
      <c r="I409" s="27" t="str">
        <f>IFERROR(__xludf.DUMMYFUNCTION("""COMPUTED_VALUE"""),"M")</f>
        <v>M</v>
      </c>
      <c r="J409" s="27" t="str">
        <f>IFERROR(__xludf.DUMMYFUNCTION("""COMPUTED_VALUE"""),"W")</f>
        <v>W</v>
      </c>
      <c r="K409" s="27">
        <f>IFERROR(__xludf.DUMMYFUNCTION("""COMPUTED_VALUE"""),27.0)</f>
        <v>27</v>
      </c>
      <c r="L409" s="27" t="str">
        <f>IFERROR(__xludf.DUMMYFUNCTION("""COMPUTED_VALUE"""),"Wounded")</f>
        <v>Wounded</v>
      </c>
      <c r="M409" s="27" t="str">
        <f>IFERROR(__xludf.DUMMYFUNCTION("""COMPUTED_VALUE"""),"Y")</f>
        <v>Y</v>
      </c>
      <c r="N409" s="24"/>
      <c r="O409" s="24"/>
      <c r="P409" s="28" t="str">
        <f>IFERROR(__xludf.DUMMYFUNCTION("""COMPUTED_VALUE"""),"Suspect was involved in a physical altercation with the officer following a vehicle pursuit. The suspect physically assaulted the officer and made attempts to get the officers weapon out of its holster before the officer was able to push the suspect away "&amp;"from him. This allowed the officer to draw his weapon and shoot the suspect.")</f>
        <v>Suspect was involved in a physical altercation with the officer following a vehicle pursuit. The suspect physically assaulted the officer and made attempts to get the officers weapon out of its holster before the officer was able to push the suspect away from him. This allowed the officer to draw his weapon and shoot the suspect.</v>
      </c>
      <c r="Q409" s="24"/>
      <c r="R409" s="24"/>
      <c r="S409" s="24"/>
      <c r="T409" s="24"/>
      <c r="U409" s="24"/>
      <c r="V409" s="24"/>
      <c r="W409" s="24"/>
      <c r="X409" s="24"/>
      <c r="Y409" s="24"/>
      <c r="Z409" s="24"/>
    </row>
    <row r="410">
      <c r="A410" s="29">
        <f>IFERROR(__xludf.DUMMYFUNCTION("""COMPUTED_VALUE"""),40912.0)</f>
        <v>40912</v>
      </c>
      <c r="B410" s="24">
        <f>IFERROR(__xludf.DUMMYFUNCTION("""COMPUTED_VALUE"""),1338712.0)</f>
        <v>1338712</v>
      </c>
      <c r="C410" s="24" t="str">
        <f>IFERROR(__xludf.DUMMYFUNCTION("""COMPUTED_VALUE"""),"7024 Lawndale")</f>
        <v>7024 Lawndale</v>
      </c>
      <c r="D410" s="26" t="str">
        <f>IFERROR(__xludf.DUMMYFUNCTION("""COMPUTED_VALUE"""),"M")</f>
        <v>M</v>
      </c>
      <c r="E410" s="26" t="str">
        <f>IFERROR(__xludf.DUMMYFUNCTION("""COMPUTED_VALUE"""),"H")</f>
        <v>H</v>
      </c>
      <c r="F410" s="26">
        <f>IFERROR(__xludf.DUMMYFUNCTION("""COMPUTED_VALUE"""),23.0)</f>
        <v>23</v>
      </c>
      <c r="G410" s="26" t="str">
        <f>IFERROR(__xludf.DUMMYFUNCTION("""COMPUTED_VALUE"""),"None")</f>
        <v>None</v>
      </c>
      <c r="H410" s="26" t="str">
        <f>IFERROR(__xludf.DUMMYFUNCTION("""COMPUTED_VALUE"""),"Firearm")</f>
        <v>Firearm</v>
      </c>
      <c r="I410" s="27" t="str">
        <f>IFERROR(__xludf.DUMMYFUNCTION("""COMPUTED_VALUE"""),"M")</f>
        <v>M</v>
      </c>
      <c r="J410" s="27" t="str">
        <f>IFERROR(__xludf.DUMMYFUNCTION("""COMPUTED_VALUE"""),"H")</f>
        <v>H</v>
      </c>
      <c r="K410" s="27">
        <f>IFERROR(__xludf.DUMMYFUNCTION("""COMPUTED_VALUE"""),35.0)</f>
        <v>35</v>
      </c>
      <c r="L410" s="27" t="str">
        <f>IFERROR(__xludf.DUMMYFUNCTION("""COMPUTED_VALUE"""),"None")</f>
        <v>None</v>
      </c>
      <c r="M410" s="27" t="str">
        <f>IFERROR(__xludf.DUMMYFUNCTION("""COMPUTED_VALUE"""),"N")</f>
        <v>N</v>
      </c>
      <c r="N410" s="24"/>
      <c r="O410" s="24"/>
      <c r="P410" s="28" t="str">
        <f>IFERROR(__xludf.DUMMYFUNCTION("""COMPUTED_VALUE"""),"The suspect was involved in a physical altercation with the officer. The male suspect then went to his vehicle and retrieved a weapon which he discharged twice. The suspect and his companion ran to their vehicle and as they were driving off the suspect po"&amp;"inted the weapon at the officer causing the officer to fire at the suspect's vehicle.")</f>
        <v>The suspect was involved in a physical altercation with the officer. The male suspect then went to his vehicle and retrieved a weapon which he discharged twice. The suspect and his companion ran to their vehicle and as they were driving off the suspect pointed the weapon at the officer causing the officer to fire at the suspect's vehicle.</v>
      </c>
      <c r="Q410" s="24"/>
      <c r="R410" s="24"/>
      <c r="S410" s="24"/>
      <c r="T410" s="24"/>
      <c r="U410" s="24"/>
      <c r="V410" s="24"/>
      <c r="W410" s="24"/>
      <c r="X410" s="24"/>
      <c r="Y410" s="24"/>
      <c r="Z410" s="24"/>
    </row>
    <row r="411" hidden="1">
      <c r="A411" s="29">
        <f>IFERROR(__xludf.DUMMYFUNCTION("""COMPUTED_VALUE"""),40906.0)</f>
        <v>40906</v>
      </c>
      <c r="B411" s="24">
        <f>IFERROR(__xludf.DUMMYFUNCTION("""COMPUTED_VALUE"""),1.66958111E8)</f>
        <v>166958111</v>
      </c>
      <c r="C411" s="24" t="str">
        <f>IFERROR(__xludf.DUMMYFUNCTION("""COMPUTED_VALUE"""),"9810 Gulf Freeway")</f>
        <v>9810 Gulf Freeway</v>
      </c>
      <c r="D411" s="26" t="str">
        <f>IFERROR(__xludf.DUMMYFUNCTION("""COMPUTED_VALUE"""),"M")</f>
        <v>M</v>
      </c>
      <c r="E411" s="26" t="str">
        <f>IFERROR(__xludf.DUMMYFUNCTION("""COMPUTED_VALUE"""),"H")</f>
        <v>H</v>
      </c>
      <c r="F411" s="26">
        <f>IFERROR(__xludf.DUMMYFUNCTION("""COMPUTED_VALUE"""),32.0)</f>
        <v>32</v>
      </c>
      <c r="G411" s="26" t="str">
        <f>IFERROR(__xludf.DUMMYFUNCTION("""COMPUTED_VALUE"""),"Wounded")</f>
        <v>Wounded</v>
      </c>
      <c r="H411" s="26" t="str">
        <f>IFERROR(__xludf.DUMMYFUNCTION("""COMPUTED_VALUE"""),"Knife")</f>
        <v>Knife</v>
      </c>
      <c r="I411" s="27" t="str">
        <f>IFERROR(__xludf.DUMMYFUNCTION("""COMPUTED_VALUE"""),"M")</f>
        <v>M</v>
      </c>
      <c r="J411" s="27" t="str">
        <f>IFERROR(__xludf.DUMMYFUNCTION("""COMPUTED_VALUE"""),"H")</f>
        <v>H</v>
      </c>
      <c r="K411" s="27">
        <f>IFERROR(__xludf.DUMMYFUNCTION("""COMPUTED_VALUE"""),29.0)</f>
        <v>29</v>
      </c>
      <c r="L411" s="27" t="str">
        <f>IFERROR(__xludf.DUMMYFUNCTION("""COMPUTED_VALUE"""),"None")</f>
        <v>None</v>
      </c>
      <c r="M411" s="27" t="str">
        <f>IFERROR(__xludf.DUMMYFUNCTION("""COMPUTED_VALUE"""),"N")</f>
        <v>N</v>
      </c>
      <c r="N411" s="24"/>
      <c r="O411" s="24">
        <f>IFERROR(__xludf.DUMMYFUNCTION("""COMPUTED_VALUE"""),1.0)</f>
        <v>1</v>
      </c>
      <c r="P411" s="28" t="str">
        <f>IFERROR(__xludf.DUMMYFUNCTION("""COMPUTED_VALUE"""),"THe officer was attempting to control a disturbance when a suspect armed with a knife approached the officer. The suspect refused to stop causing the officer to have to shoot him.")</f>
        <v>THe officer was attempting to control a disturbance when a suspect armed with a knife approached the officer. The suspect refused to stop causing the officer to have to shoot him.</v>
      </c>
      <c r="Q411" s="24"/>
      <c r="R411" s="24"/>
      <c r="S411" s="24"/>
      <c r="T411" s="24"/>
      <c r="U411" s="24"/>
      <c r="V411" s="24"/>
      <c r="W411" s="24"/>
      <c r="X411" s="24"/>
      <c r="Y411" s="24"/>
      <c r="Z411" s="24"/>
    </row>
    <row r="412" hidden="1">
      <c r="A412" s="29">
        <f>IFERROR(__xludf.DUMMYFUNCTION("""COMPUTED_VALUE"""),40906.0)</f>
        <v>40906</v>
      </c>
      <c r="B412" s="24">
        <f>IFERROR(__xludf.DUMMYFUNCTION("""COMPUTED_VALUE"""),1.67166111E8)</f>
        <v>167166111</v>
      </c>
      <c r="C412" s="24" t="str">
        <f>IFERROR(__xludf.DUMMYFUNCTION("""COMPUTED_VALUE"""),"17595 Tomball Parkway")</f>
        <v>17595 Tomball Parkway</v>
      </c>
      <c r="D412" s="26" t="str">
        <f>IFERROR(__xludf.DUMMYFUNCTION("""COMPUTED_VALUE"""),"M")</f>
        <v>M</v>
      </c>
      <c r="E412" s="26" t="str">
        <f>IFERROR(__xludf.DUMMYFUNCTION("""COMPUTED_VALUE"""),"B")</f>
        <v>B</v>
      </c>
      <c r="F412" s="26">
        <f>IFERROR(__xludf.DUMMYFUNCTION("""COMPUTED_VALUE"""),23.0)</f>
        <v>23</v>
      </c>
      <c r="G412" s="26" t="str">
        <f>IFERROR(__xludf.DUMMYFUNCTION("""COMPUTED_VALUE"""),"Wounded")</f>
        <v>Wounded</v>
      </c>
      <c r="H412" s="26" t="str">
        <f>IFERROR(__xludf.DUMMYFUNCTION("""COMPUTED_VALUE"""),"Vehicle")</f>
        <v>Vehicle</v>
      </c>
      <c r="I412" s="27" t="str">
        <f>IFERROR(__xludf.DUMMYFUNCTION("""COMPUTED_VALUE"""),"M")</f>
        <v>M</v>
      </c>
      <c r="J412" s="27" t="str">
        <f>IFERROR(__xludf.DUMMYFUNCTION("""COMPUTED_VALUE"""),"B")</f>
        <v>B</v>
      </c>
      <c r="K412" s="27">
        <f>IFERROR(__xludf.DUMMYFUNCTION("""COMPUTED_VALUE"""),44.0)</f>
        <v>44</v>
      </c>
      <c r="L412" s="27" t="str">
        <f>IFERROR(__xludf.DUMMYFUNCTION("""COMPUTED_VALUE"""),"None")</f>
        <v>None</v>
      </c>
      <c r="M412" s="27" t="str">
        <f>IFERROR(__xludf.DUMMYFUNCTION("""COMPUTED_VALUE"""),"N")</f>
        <v>N</v>
      </c>
      <c r="N412" s="24"/>
      <c r="O412" s="24">
        <f>IFERROR(__xludf.DUMMYFUNCTION("""COMPUTED_VALUE"""),1.0)</f>
        <v>1</v>
      </c>
      <c r="P412" s="28" t="str">
        <f>IFERROR(__xludf.DUMMYFUNCTION("""COMPUTED_VALUE"""),"Officer returned to his vehicle to find that a suspect had forced his trunk open and was going through its contents. The officer identified himself at which time the suspect jumped into a nearby vehicle and drove at the officer causing the officer to shoo"&amp;"t and injury the suspect.")</f>
        <v>Officer returned to his vehicle to find that a suspect had forced his trunk open and was going through its contents. The officer identified himself at which time the suspect jumped into a nearby vehicle and drove at the officer causing the officer to shoot and injury the suspect.</v>
      </c>
      <c r="Q412" s="24"/>
      <c r="R412" s="24"/>
      <c r="S412" s="24"/>
      <c r="T412" s="24"/>
      <c r="U412" s="24"/>
      <c r="V412" s="24"/>
      <c r="W412" s="24"/>
      <c r="X412" s="24"/>
      <c r="Y412" s="24"/>
      <c r="Z412" s="24"/>
    </row>
    <row r="413" hidden="1">
      <c r="A413" s="29">
        <f>IFERROR(__xludf.DUMMYFUNCTION("""COMPUTED_VALUE"""),40902.0)</f>
        <v>40902</v>
      </c>
      <c r="B413" s="24">
        <f>IFERROR(__xludf.DUMMYFUNCTION("""COMPUTED_VALUE"""),1.65748011E8)</f>
        <v>165748011</v>
      </c>
      <c r="C413" s="24" t="str">
        <f>IFERROR(__xludf.DUMMYFUNCTION("""COMPUTED_VALUE"""),"9300 Tidwell")</f>
        <v>9300 Tidwell</v>
      </c>
      <c r="D413" s="26" t="str">
        <f>IFERROR(__xludf.DUMMYFUNCTION("""COMPUTED_VALUE"""),"M")</f>
        <v>M</v>
      </c>
      <c r="E413" s="26" t="str">
        <f>IFERROR(__xludf.DUMMYFUNCTION("""COMPUTED_VALUE"""),"W")</f>
        <v>W</v>
      </c>
      <c r="F413" s="26">
        <f>IFERROR(__xludf.DUMMYFUNCTION("""COMPUTED_VALUE"""),24.0)</f>
        <v>24</v>
      </c>
      <c r="G413" s="26" t="str">
        <f>IFERROR(__xludf.DUMMYFUNCTION("""COMPUTED_VALUE"""),"Killed")</f>
        <v>Killed</v>
      </c>
      <c r="H413" s="26" t="str">
        <f>IFERROR(__xludf.DUMMYFUNCTION("""COMPUTED_VALUE"""),"Physical Force")</f>
        <v>Physical Force</v>
      </c>
      <c r="I413" s="27" t="str">
        <f>IFERROR(__xludf.DUMMYFUNCTION("""COMPUTED_VALUE"""),"M")</f>
        <v>M</v>
      </c>
      <c r="J413" s="27" t="str">
        <f>IFERROR(__xludf.DUMMYFUNCTION("""COMPUTED_VALUE"""),"B")</f>
        <v>B</v>
      </c>
      <c r="K413" s="27">
        <f>IFERROR(__xludf.DUMMYFUNCTION("""COMPUTED_VALUE"""),48.0)</f>
        <v>48</v>
      </c>
      <c r="L413" s="27" t="str">
        <f>IFERROR(__xludf.DUMMYFUNCTION("""COMPUTED_VALUE"""),"None")</f>
        <v>None</v>
      </c>
      <c r="M413" s="27" t="str">
        <f>IFERROR(__xludf.DUMMYFUNCTION("""COMPUTED_VALUE"""),"Y")</f>
        <v>Y</v>
      </c>
      <c r="N413" s="24"/>
      <c r="O413" s="24">
        <f>IFERROR(__xludf.DUMMYFUNCTION("""COMPUTED_VALUE"""),1.0)</f>
        <v>1</v>
      </c>
      <c r="P413" s="24" t="str">
        <f>IFERROR(__xludf.DUMMYFUNCTION("""COMPUTED_VALUE"""),"Officer saw a suspect vehicle ram into another vehicle. The officer then approached the suspect who was now out of the vehicle and attempted to gain control of him but a physical altercation occurred. The suspect over powered the officer causing the offic"&amp;"er to shoot him.")</f>
        <v>Officer saw a suspect vehicle ram into another vehicle. The officer then approached the suspect who was now out of the vehicle and attempted to gain control of him but a physical altercation occurred. The suspect over powered the officer causing the officer to shoot him.</v>
      </c>
      <c r="Q413" s="24"/>
      <c r="R413" s="24"/>
      <c r="S413" s="24"/>
      <c r="T413" s="24"/>
      <c r="U413" s="24"/>
      <c r="V413" s="24"/>
      <c r="W413" s="24"/>
      <c r="X413" s="24"/>
      <c r="Y413" s="24"/>
      <c r="Z413" s="24"/>
    </row>
    <row r="414" hidden="1">
      <c r="A414" s="29">
        <f>IFERROR(__xludf.DUMMYFUNCTION("""COMPUTED_VALUE"""),40877.0)</f>
        <v>40877</v>
      </c>
      <c r="B414" s="24">
        <f>IFERROR(__xludf.DUMMYFUNCTION("""COMPUTED_VALUE"""),1.54742111E8)</f>
        <v>154742111</v>
      </c>
      <c r="C414" s="24" t="str">
        <f>IFERROR(__xludf.DUMMYFUNCTION("""COMPUTED_VALUE"""),"4506 Sherwood")</f>
        <v>4506 Sherwood</v>
      </c>
      <c r="D414" s="26" t="str">
        <f>IFERROR(__xludf.DUMMYFUNCTION("""COMPUTED_VALUE"""),"M")</f>
        <v>M</v>
      </c>
      <c r="E414" s="26" t="str">
        <f>IFERROR(__xludf.DUMMYFUNCTION("""COMPUTED_VALUE"""),"H")</f>
        <v>H</v>
      </c>
      <c r="F414" s="26">
        <f>IFERROR(__xludf.DUMMYFUNCTION("""COMPUTED_VALUE"""),19.0)</f>
        <v>19</v>
      </c>
      <c r="G414" s="26" t="str">
        <f>IFERROR(__xludf.DUMMYFUNCTION("""COMPUTED_VALUE"""),"Killed")</f>
        <v>Killed</v>
      </c>
      <c r="H414" s="26" t="str">
        <f>IFERROR(__xludf.DUMMYFUNCTION("""COMPUTED_VALUE"""),"Firearm")</f>
        <v>Firearm</v>
      </c>
      <c r="I414" s="27" t="str">
        <f>IFERROR(__xludf.DUMMYFUNCTION("""COMPUTED_VALUE"""),"M")</f>
        <v>M</v>
      </c>
      <c r="J414" s="27" t="str">
        <f>IFERROR(__xludf.DUMMYFUNCTION("""COMPUTED_VALUE"""),"H")</f>
        <v>H</v>
      </c>
      <c r="K414" s="27">
        <f>IFERROR(__xludf.DUMMYFUNCTION("""COMPUTED_VALUE"""),44.0)</f>
        <v>44</v>
      </c>
      <c r="L414" s="27" t="str">
        <f>IFERROR(__xludf.DUMMYFUNCTION("""COMPUTED_VALUE"""),"None")</f>
        <v>None</v>
      </c>
      <c r="M414" s="27" t="str">
        <f>IFERROR(__xludf.DUMMYFUNCTION("""COMPUTED_VALUE"""),"Y")</f>
        <v>Y</v>
      </c>
      <c r="N414" s="24"/>
      <c r="O414" s="24">
        <f>IFERROR(__xludf.DUMMYFUNCTION("""COMPUTED_VALUE"""),1.0)</f>
        <v>1</v>
      </c>
      <c r="P414" s="24" t="str">
        <f>IFERROR(__xludf.DUMMYFUNCTION("""COMPUTED_VALUE"""),"The officer was conducting surveillance when he saw an armed suspect approaching his vehicle. The suspect then got into the passengers seat of the officers car with his weapon pointing at the officer. The officer was forced to shoot the suspect.")</f>
        <v>The officer was conducting surveillance when he saw an armed suspect approaching his vehicle. The suspect then got into the passengers seat of the officers car with his weapon pointing at the officer. The officer was forced to shoot the suspect.</v>
      </c>
      <c r="Q414" s="24"/>
      <c r="R414" s="24"/>
      <c r="S414" s="24"/>
      <c r="T414" s="24"/>
      <c r="U414" s="24"/>
      <c r="V414" s="24"/>
      <c r="W414" s="24"/>
      <c r="X414" s="24"/>
      <c r="Y414" s="24"/>
      <c r="Z414" s="24"/>
    </row>
    <row r="415">
      <c r="A415" s="29">
        <f>IFERROR(__xludf.DUMMYFUNCTION("""COMPUTED_VALUE"""),40870.0)</f>
        <v>40870</v>
      </c>
      <c r="B415" s="24">
        <f>IFERROR(__xludf.DUMMYFUNCTION("""COMPUTED_VALUE"""),1.52066411E8)</f>
        <v>152066411</v>
      </c>
      <c r="C415" s="24" t="str">
        <f>IFERROR(__xludf.DUMMYFUNCTION("""COMPUTED_VALUE"""),"3322 Yellowstone")</f>
        <v>3322 Yellowstone</v>
      </c>
      <c r="D415" s="26" t="str">
        <f>IFERROR(__xludf.DUMMYFUNCTION("""COMPUTED_VALUE"""),"M")</f>
        <v>M</v>
      </c>
      <c r="E415" s="26" t="str">
        <f>IFERROR(__xludf.DUMMYFUNCTION("""COMPUTED_VALUE"""),"B")</f>
        <v>B</v>
      </c>
      <c r="F415" s="26"/>
      <c r="G415" s="26" t="str">
        <f>IFERROR(__xludf.DUMMYFUNCTION("""COMPUTED_VALUE"""),"Unknown")</f>
        <v>Unknown</v>
      </c>
      <c r="H415" s="26" t="str">
        <f>IFERROR(__xludf.DUMMYFUNCTION("""COMPUTED_VALUE"""),"Firearm")</f>
        <v>Firearm</v>
      </c>
      <c r="I415" s="27" t="str">
        <f>IFERROR(__xludf.DUMMYFUNCTION("""COMPUTED_VALUE"""),"M")</f>
        <v>M</v>
      </c>
      <c r="J415" s="27" t="str">
        <f>IFERROR(__xludf.DUMMYFUNCTION("""COMPUTED_VALUE"""),"B")</f>
        <v>B</v>
      </c>
      <c r="K415" s="27">
        <f>IFERROR(__xludf.DUMMYFUNCTION("""COMPUTED_VALUE"""),39.0)</f>
        <v>39</v>
      </c>
      <c r="L415" s="27" t="str">
        <f>IFERROR(__xludf.DUMMYFUNCTION("""COMPUTED_VALUE"""),"None")</f>
        <v>None</v>
      </c>
      <c r="M415" s="27" t="str">
        <f>IFERROR(__xludf.DUMMYFUNCTION("""COMPUTED_VALUE"""),"N")</f>
        <v>N</v>
      </c>
      <c r="N415" s="24"/>
      <c r="O415" s="24">
        <f>IFERROR(__xludf.DUMMYFUNCTION("""COMPUTED_VALUE"""),1.0)</f>
        <v>1</v>
      </c>
      <c r="P415" s="28" t="str">
        <f>IFERROR(__xludf.DUMMYFUNCTION("""COMPUTED_VALUE"""),"Officer was notified of a burglary of a motor vehicle in progress. When the officer went to investigate he found the suspects to be leaving the location. The suspects then stopped their car and shot at the officer. The officer returned fire but does not b"&amp;"elieve to have shot any of the suspects.")</f>
        <v>Officer was notified of a burglary of a motor vehicle in progress. When the officer went to investigate he found the suspects to be leaving the location. The suspects then stopped their car and shot at the officer. The officer returned fire but does not believe to have shot any of the suspects.</v>
      </c>
      <c r="Q415" s="24"/>
      <c r="R415" s="24"/>
      <c r="S415" s="24"/>
      <c r="T415" s="24"/>
      <c r="U415" s="24"/>
      <c r="V415" s="24"/>
      <c r="W415" s="24"/>
      <c r="X415" s="24"/>
      <c r="Y415" s="24"/>
      <c r="Z415" s="24"/>
    </row>
    <row r="416" hidden="1">
      <c r="A416" s="29">
        <f>IFERROR(__xludf.DUMMYFUNCTION("""COMPUTED_VALUE"""),40868.0)</f>
        <v>40868</v>
      </c>
      <c r="B416" s="24">
        <f>IFERROR(__xludf.DUMMYFUNCTION("""COMPUTED_VALUE"""),1.51095111E8)</f>
        <v>151095111</v>
      </c>
      <c r="C416" s="24" t="str">
        <f>IFERROR(__xludf.DUMMYFUNCTION("""COMPUTED_VALUE"""),"500 Rusk St")</f>
        <v>500 Rusk St</v>
      </c>
      <c r="D416" s="26" t="str">
        <f>IFERROR(__xludf.DUMMYFUNCTION("""COMPUTED_VALUE"""),"M")</f>
        <v>M</v>
      </c>
      <c r="E416" s="26" t="str">
        <f>IFERROR(__xludf.DUMMYFUNCTION("""COMPUTED_VALUE"""),"W")</f>
        <v>W</v>
      </c>
      <c r="F416" s="26">
        <f>IFERROR(__xludf.DUMMYFUNCTION("""COMPUTED_VALUE"""),21.0)</f>
        <v>21</v>
      </c>
      <c r="G416" s="26" t="str">
        <f>IFERROR(__xludf.DUMMYFUNCTION("""COMPUTED_VALUE"""),"Wounded")</f>
        <v>Wounded</v>
      </c>
      <c r="H416" s="26" t="str">
        <f>IFERROR(__xludf.DUMMYFUNCTION("""COMPUTED_VALUE"""),"Firearm")</f>
        <v>Firearm</v>
      </c>
      <c r="I416" s="27" t="str">
        <f>IFERROR(__xludf.DUMMYFUNCTION("""COMPUTED_VALUE"""),"M")</f>
        <v>M</v>
      </c>
      <c r="J416" s="27" t="str">
        <f>IFERROR(__xludf.DUMMYFUNCTION("""COMPUTED_VALUE"""),"P")</f>
        <v>P</v>
      </c>
      <c r="K416" s="27">
        <f>IFERROR(__xludf.DUMMYFUNCTION("""COMPUTED_VALUE"""),39.0)</f>
        <v>39</v>
      </c>
      <c r="L416" s="27" t="str">
        <f>IFERROR(__xludf.DUMMYFUNCTION("""COMPUTED_VALUE"""),"None")</f>
        <v>None</v>
      </c>
      <c r="M416" s="27" t="str">
        <f>IFERROR(__xludf.DUMMYFUNCTION("""COMPUTED_VALUE"""),"Y")</f>
        <v>Y</v>
      </c>
      <c r="N416" s="24"/>
      <c r="O416" s="24">
        <f>IFERROR(__xludf.DUMMYFUNCTION("""COMPUTED_VALUE"""),1.0)</f>
        <v>1</v>
      </c>
      <c r="P416" s="28" t="str">
        <f>IFERROR(__xludf.DUMMYFUNCTION("""COMPUTED_VALUE"""),"The officers were advised of an armed suspect being in the area. The officers found the suspect and saw that he had a weapon. The suspect was advancing towards the officers forcing the officers to shoot him.")</f>
        <v>The officers were advised of an armed suspect being in the area. The officers found the suspect and saw that he had a weapon. The suspect was advancing towards the officers forcing the officers to shoot him.</v>
      </c>
      <c r="Q416" s="24"/>
      <c r="R416" s="24"/>
      <c r="S416" s="24"/>
      <c r="T416" s="24"/>
      <c r="U416" s="24"/>
      <c r="V416" s="24"/>
      <c r="W416" s="24"/>
      <c r="X416" s="24"/>
      <c r="Y416" s="24"/>
      <c r="Z416" s="24"/>
    </row>
    <row r="417" hidden="1">
      <c r="A417" s="29"/>
      <c r="B417" s="24"/>
      <c r="C417" s="24"/>
      <c r="D417" s="26"/>
      <c r="E417" s="26"/>
      <c r="F417" s="26"/>
      <c r="G417" s="26"/>
      <c r="H417" s="26"/>
      <c r="I417" s="27" t="str">
        <f>IFERROR(__xludf.DUMMYFUNCTION("""COMPUTED_VALUE"""),"M")</f>
        <v>M</v>
      </c>
      <c r="J417" s="27" t="str">
        <f>IFERROR(__xludf.DUMMYFUNCTION("""COMPUTED_VALUE"""),"P")</f>
        <v>P</v>
      </c>
      <c r="K417" s="27">
        <f>IFERROR(__xludf.DUMMYFUNCTION("""COMPUTED_VALUE"""),39.0)</f>
        <v>39</v>
      </c>
      <c r="L417" s="27" t="str">
        <f>IFERROR(__xludf.DUMMYFUNCTION("""COMPUTED_VALUE"""),"None")</f>
        <v>None</v>
      </c>
      <c r="M417" s="27" t="str">
        <f>IFERROR(__xludf.DUMMYFUNCTION("""COMPUTED_VALUE"""),"Y")</f>
        <v>Y</v>
      </c>
      <c r="N417" s="24"/>
      <c r="O417" s="24">
        <f>IFERROR(__xludf.DUMMYFUNCTION("""COMPUTED_VALUE"""),1.0)</f>
        <v>1</v>
      </c>
      <c r="P417" s="24"/>
      <c r="Q417" s="24"/>
      <c r="R417" s="24"/>
      <c r="S417" s="24"/>
      <c r="T417" s="24"/>
      <c r="U417" s="24"/>
      <c r="V417" s="24"/>
      <c r="W417" s="24"/>
      <c r="X417" s="24"/>
      <c r="Y417" s="24"/>
      <c r="Z417" s="24"/>
    </row>
    <row r="418" hidden="1">
      <c r="A418" s="29">
        <f>IFERROR(__xludf.DUMMYFUNCTION("""COMPUTED_VALUE"""),40792.0)</f>
        <v>40792</v>
      </c>
      <c r="B418" s="24">
        <f>IFERROR(__xludf.DUMMYFUNCTION("""COMPUTED_VALUE"""),1.15579311E8)</f>
        <v>115579311</v>
      </c>
      <c r="C418" s="24" t="str">
        <f>IFERROR(__xludf.DUMMYFUNCTION("""COMPUTED_VALUE"""),"3000 Oklahoma")</f>
        <v>3000 Oklahoma</v>
      </c>
      <c r="D418" s="26" t="str">
        <f>IFERROR(__xludf.DUMMYFUNCTION("""COMPUTED_VALUE"""),"M")</f>
        <v>M</v>
      </c>
      <c r="E418" s="26" t="str">
        <f>IFERROR(__xludf.DUMMYFUNCTION("""COMPUTED_VALUE"""),"B")</f>
        <v>B</v>
      </c>
      <c r="F418" s="26">
        <f>IFERROR(__xludf.DUMMYFUNCTION("""COMPUTED_VALUE"""),23.0)</f>
        <v>23</v>
      </c>
      <c r="G418" s="26" t="str">
        <f>IFERROR(__xludf.DUMMYFUNCTION("""COMPUTED_VALUE"""),"Wounded")</f>
        <v>Wounded</v>
      </c>
      <c r="H418" s="26" t="str">
        <f>IFERROR(__xludf.DUMMYFUNCTION("""COMPUTED_VALUE"""),"Firearm")</f>
        <v>Firearm</v>
      </c>
      <c r="I418" s="27" t="str">
        <f>IFERROR(__xludf.DUMMYFUNCTION("""COMPUTED_VALUE"""),"M")</f>
        <v>M</v>
      </c>
      <c r="J418" s="27" t="str">
        <f>IFERROR(__xludf.DUMMYFUNCTION("""COMPUTED_VALUE"""),"W")</f>
        <v>W</v>
      </c>
      <c r="K418" s="27">
        <f>IFERROR(__xludf.DUMMYFUNCTION("""COMPUTED_VALUE"""),29.0)</f>
        <v>29</v>
      </c>
      <c r="L418" s="27" t="str">
        <f>IFERROR(__xludf.DUMMYFUNCTION("""COMPUTED_VALUE"""),"None")</f>
        <v>None</v>
      </c>
      <c r="M418" s="27" t="str">
        <f>IFERROR(__xludf.DUMMYFUNCTION("""COMPUTED_VALUE"""),"Y")</f>
        <v>Y</v>
      </c>
      <c r="N418" s="24"/>
      <c r="O418" s="24">
        <f>IFERROR(__xludf.DUMMYFUNCTION("""COMPUTED_VALUE"""),1.0)</f>
        <v>1</v>
      </c>
      <c r="P418" s="28" t="str">
        <f>IFERROR(__xludf.DUMMYFUNCTION("""COMPUTED_VALUE"""),"The officer stopped a vehicle for a traffic violation. When the vehicle stopped one of the passengers jumped out with a shotgun and pointed it at the officer. The officer took cover and watched as the other occupants ran from teh vehicle. The armed suspec"&amp;"t refused to drop the weapon causing the officer to have to shoot the suspect.")</f>
        <v>The officer stopped a vehicle for a traffic violation. When the vehicle stopped one of the passengers jumped out with a shotgun and pointed it at the officer. The officer took cover and watched as the other occupants ran from teh vehicle. The armed suspect refused to drop the weapon causing the officer to have to shoot the suspect.</v>
      </c>
      <c r="Q418" s="24"/>
      <c r="R418" s="24"/>
      <c r="S418" s="24"/>
      <c r="T418" s="24"/>
      <c r="U418" s="24"/>
      <c r="V418" s="24"/>
      <c r="W418" s="24"/>
      <c r="X418" s="24"/>
      <c r="Y418" s="24"/>
      <c r="Z418" s="24"/>
    </row>
    <row r="419" hidden="1">
      <c r="A419" s="29">
        <f>IFERROR(__xludf.DUMMYFUNCTION("""COMPUTED_VALUE"""),40789.0)</f>
        <v>40789</v>
      </c>
      <c r="B419" s="24">
        <f>IFERROR(__xludf.DUMMYFUNCTION("""COMPUTED_VALUE"""),1.14240711E8)</f>
        <v>114240711</v>
      </c>
      <c r="C419" s="24" t="str">
        <f>IFERROR(__xludf.DUMMYFUNCTION("""COMPUTED_VALUE"""),"9700 Braeburn Glen")</f>
        <v>9700 Braeburn Glen</v>
      </c>
      <c r="D419" s="26" t="str">
        <f>IFERROR(__xludf.DUMMYFUNCTION("""COMPUTED_VALUE"""),"M")</f>
        <v>M</v>
      </c>
      <c r="E419" s="26" t="str">
        <f>IFERROR(__xludf.DUMMYFUNCTION("""COMPUTED_VALUE"""),"H")</f>
        <v>H</v>
      </c>
      <c r="F419" s="26">
        <f>IFERROR(__xludf.DUMMYFUNCTION("""COMPUTED_VALUE"""),54.0)</f>
        <v>54</v>
      </c>
      <c r="G419" s="26" t="str">
        <f>IFERROR(__xludf.DUMMYFUNCTION("""COMPUTED_VALUE"""),"Wounded")</f>
        <v>Wounded</v>
      </c>
      <c r="H419" s="26" t="str">
        <f>IFERROR(__xludf.DUMMYFUNCTION("""COMPUTED_VALUE"""),"None")</f>
        <v>None</v>
      </c>
      <c r="I419" s="27" t="str">
        <f>IFERROR(__xludf.DUMMYFUNCTION("""COMPUTED_VALUE"""),"M")</f>
        <v>M</v>
      </c>
      <c r="J419" s="27" t="str">
        <f>IFERROR(__xludf.DUMMYFUNCTION("""COMPUTED_VALUE"""),"W")</f>
        <v>W</v>
      </c>
      <c r="K419" s="27">
        <f>IFERROR(__xludf.DUMMYFUNCTION("""COMPUTED_VALUE"""),33.0)</f>
        <v>33</v>
      </c>
      <c r="L419" s="27" t="str">
        <f>IFERROR(__xludf.DUMMYFUNCTION("""COMPUTED_VALUE"""),"None")</f>
        <v>None</v>
      </c>
      <c r="M419" s="27" t="str">
        <f>IFERROR(__xludf.DUMMYFUNCTION("""COMPUTED_VALUE"""),"Y")</f>
        <v>Y</v>
      </c>
      <c r="N419" s="24"/>
      <c r="O419" s="24">
        <f>IFERROR(__xludf.DUMMYFUNCTION("""COMPUTED_VALUE"""),1.0)</f>
        <v>1</v>
      </c>
      <c r="P419" s="28" t="str">
        <f>IFERROR(__xludf.DUMMYFUNCTION("""COMPUTED_VALUE"""),"The officer was handcuffing one suspect when he found a pistol on him. A second suspect then drove his vehicle into the officers patrol car. The suspect then exited the vehicle and ran at the officer with his hand behind his back. The officer believed the"&amp;" suspect to be armed so he was forced to shoot the suspect.")</f>
        <v>The officer was handcuffing one suspect when he found a pistol on him. A second suspect then drove his vehicle into the officers patrol car. The suspect then exited the vehicle and ran at the officer with his hand behind his back. The officer believed the suspect to be armed so he was forced to shoot the suspect.</v>
      </c>
      <c r="Q419" s="24"/>
      <c r="R419" s="24"/>
      <c r="S419" s="24"/>
      <c r="T419" s="24"/>
      <c r="U419" s="24"/>
      <c r="V419" s="24"/>
      <c r="W419" s="24"/>
      <c r="X419" s="24"/>
      <c r="Y419" s="24"/>
      <c r="Z419" s="24"/>
    </row>
    <row r="420">
      <c r="A420" s="29"/>
      <c r="B420" s="24"/>
      <c r="C420" s="24"/>
      <c r="D420" s="26" t="str">
        <f>IFERROR(__xludf.DUMMYFUNCTION("""COMPUTED_VALUE"""),"M")</f>
        <v>M</v>
      </c>
      <c r="E420" s="26" t="str">
        <f>IFERROR(__xludf.DUMMYFUNCTION("""COMPUTED_VALUE"""),"H")</f>
        <v>H</v>
      </c>
      <c r="F420" s="26">
        <f>IFERROR(__xludf.DUMMYFUNCTION("""COMPUTED_VALUE"""),24.0)</f>
        <v>24</v>
      </c>
      <c r="G420" s="26" t="str">
        <f>IFERROR(__xludf.DUMMYFUNCTION("""COMPUTED_VALUE"""),"None")</f>
        <v>None</v>
      </c>
      <c r="H420" s="26" t="str">
        <f>IFERROR(__xludf.DUMMYFUNCTION("""COMPUTED_VALUE"""),"Firearm")</f>
        <v>Firearm</v>
      </c>
      <c r="I420" s="27"/>
      <c r="J420" s="27"/>
      <c r="K420" s="27"/>
      <c r="L420" s="27"/>
      <c r="M420" s="27"/>
      <c r="N420" s="24"/>
      <c r="O420" s="24"/>
      <c r="P420" s="28"/>
      <c r="Q420" s="24"/>
      <c r="R420" s="24"/>
      <c r="S420" s="24"/>
      <c r="T420" s="24"/>
      <c r="U420" s="24"/>
      <c r="V420" s="24"/>
      <c r="W420" s="24"/>
      <c r="X420" s="24"/>
      <c r="Y420" s="24"/>
      <c r="Z420" s="24"/>
    </row>
    <row r="421">
      <c r="A421" s="29">
        <f>IFERROR(__xludf.DUMMYFUNCTION("""COMPUTED_VALUE"""),40765.0)</f>
        <v>40765</v>
      </c>
      <c r="B421" s="24">
        <f>IFERROR(__xludf.DUMMYFUNCTION("""COMPUTED_VALUE"""),1.03663811E8)</f>
        <v>103663811</v>
      </c>
      <c r="C421" s="24" t="str">
        <f>IFERROR(__xludf.DUMMYFUNCTION("""COMPUTED_VALUE"""),"10200 Forum Park")</f>
        <v>10200 Forum Park</v>
      </c>
      <c r="D421" s="26" t="str">
        <f>IFERROR(__xludf.DUMMYFUNCTION("""COMPUTED_VALUE"""),"M")</f>
        <v>M</v>
      </c>
      <c r="E421" s="26" t="str">
        <f>IFERROR(__xludf.DUMMYFUNCTION("""COMPUTED_VALUE"""),"B")</f>
        <v>B</v>
      </c>
      <c r="F421" s="26">
        <f>IFERROR(__xludf.DUMMYFUNCTION("""COMPUTED_VALUE"""),47.0)</f>
        <v>47</v>
      </c>
      <c r="G421" s="26" t="str">
        <f>IFERROR(__xludf.DUMMYFUNCTION("""COMPUTED_VALUE"""),"None")</f>
        <v>None</v>
      </c>
      <c r="H421" s="26" t="str">
        <f>IFERROR(__xludf.DUMMYFUNCTION("""COMPUTED_VALUE"""),"Knife")</f>
        <v>Knife</v>
      </c>
      <c r="I421" s="27" t="str">
        <f>IFERROR(__xludf.DUMMYFUNCTION("""COMPUTED_VALUE"""),"F")</f>
        <v>F</v>
      </c>
      <c r="J421" s="27" t="str">
        <f>IFERROR(__xludf.DUMMYFUNCTION("""COMPUTED_VALUE"""),"B")</f>
        <v>B</v>
      </c>
      <c r="K421" s="27">
        <f>IFERROR(__xludf.DUMMYFUNCTION("""COMPUTED_VALUE"""),49.0)</f>
        <v>49</v>
      </c>
      <c r="L421" s="27" t="str">
        <f>IFERROR(__xludf.DUMMYFUNCTION("""COMPUTED_VALUE"""),"None")</f>
        <v>None</v>
      </c>
      <c r="M421" s="27" t="str">
        <f>IFERROR(__xludf.DUMMYFUNCTION("""COMPUTED_VALUE"""),"Y")</f>
        <v>Y</v>
      </c>
      <c r="N421" s="24"/>
      <c r="O421" s="24">
        <f>IFERROR(__xludf.DUMMYFUNCTION("""COMPUTED_VALUE"""),1.0)</f>
        <v>1</v>
      </c>
      <c r="P421" s="28" t="str">
        <f>IFERROR(__xludf.DUMMYFUNCTION("""COMPUTED_VALUE"""),"The officer confronted a suspect who had just stabbed another person. The suspect fought with the officer and attempted to take the officers taser from its holster - thinking that the taser was the officer's gun. The officer managed to get her weapon out "&amp;"and shoot at the suspect.")</f>
        <v>The officer confronted a suspect who had just stabbed another person. The suspect fought with the officer and attempted to take the officers taser from its holster - thinking that the taser was the officer's gun. The officer managed to get her weapon out and shoot at the suspect.</v>
      </c>
      <c r="Q421" s="24"/>
      <c r="R421" s="24"/>
      <c r="S421" s="24"/>
      <c r="T421" s="24"/>
      <c r="U421" s="24"/>
      <c r="V421" s="24"/>
      <c r="W421" s="24"/>
      <c r="X421" s="24"/>
      <c r="Y421" s="24"/>
      <c r="Z421" s="24"/>
    </row>
    <row r="422" hidden="1">
      <c r="A422" s="29">
        <f>IFERROR(__xludf.DUMMYFUNCTION("""COMPUTED_VALUE"""),40763.0)</f>
        <v>40763</v>
      </c>
      <c r="B422" s="24">
        <f>IFERROR(__xludf.DUMMYFUNCTION("""COMPUTED_VALUE"""),1.02768011E8)</f>
        <v>102768011</v>
      </c>
      <c r="C422" s="24" t="str">
        <f>IFERROR(__xludf.DUMMYFUNCTION("""COMPUTED_VALUE"""),"Protected By Law")</f>
        <v>Protected By Law</v>
      </c>
      <c r="D422" s="26" t="str">
        <f>IFERROR(__xludf.DUMMYFUNCTION("""COMPUTED_VALUE"""),"M")</f>
        <v>M</v>
      </c>
      <c r="E422" s="26" t="str">
        <f>IFERROR(__xludf.DUMMYFUNCTION("""COMPUTED_VALUE"""),"W")</f>
        <v>W</v>
      </c>
      <c r="F422" s="26">
        <f>IFERROR(__xludf.DUMMYFUNCTION("""COMPUTED_VALUE"""),47.0)</f>
        <v>47</v>
      </c>
      <c r="G422" s="26" t="str">
        <f>IFERROR(__xludf.DUMMYFUNCTION("""COMPUTED_VALUE"""),"Killed")</f>
        <v>Killed</v>
      </c>
      <c r="H422" s="26" t="str">
        <f>IFERROR(__xludf.DUMMYFUNCTION("""COMPUTED_VALUE"""),"None")</f>
        <v>None</v>
      </c>
      <c r="I422" s="27" t="str">
        <f>IFERROR(__xludf.DUMMYFUNCTION("""COMPUTED_VALUE"""),"F")</f>
        <v>F</v>
      </c>
      <c r="J422" s="27" t="str">
        <f>IFERROR(__xludf.DUMMYFUNCTION("""COMPUTED_VALUE"""),"W")</f>
        <v>W</v>
      </c>
      <c r="K422" s="27">
        <f>IFERROR(__xludf.DUMMYFUNCTION("""COMPUTED_VALUE"""),26.0)</f>
        <v>26</v>
      </c>
      <c r="L422" s="27" t="str">
        <f>IFERROR(__xludf.DUMMYFUNCTION("""COMPUTED_VALUE"""),"None")</f>
        <v>None</v>
      </c>
      <c r="M422" s="27" t="str">
        <f>IFERROR(__xludf.DUMMYFUNCTION("""COMPUTED_VALUE"""),"N")</f>
        <v>N</v>
      </c>
      <c r="N422" s="24"/>
      <c r="O422" s="24">
        <f>IFERROR(__xludf.DUMMYFUNCTION("""COMPUTED_VALUE"""),1.0)</f>
        <v>1</v>
      </c>
      <c r="P422" s="24" t="str">
        <f>IFERROR(__xludf.DUMMYFUNCTION("""COMPUTED_VALUE"""),"The suspect was attempting to gain entry into the residence when the officer was forced to shoot him.")</f>
        <v>The suspect was attempting to gain entry into the residence when the officer was forced to shoot him.</v>
      </c>
      <c r="Q422" s="24"/>
      <c r="R422" s="24"/>
      <c r="S422" s="24"/>
      <c r="T422" s="24"/>
      <c r="U422" s="24"/>
      <c r="V422" s="24"/>
      <c r="W422" s="24"/>
      <c r="X422" s="24"/>
      <c r="Y422" s="24"/>
      <c r="Z422" s="24"/>
    </row>
    <row r="423" hidden="1">
      <c r="A423" s="29">
        <f>IFERROR(__xludf.DUMMYFUNCTION("""COMPUTED_VALUE"""),40752.0)</f>
        <v>40752</v>
      </c>
      <c r="B423" s="24">
        <f>IFERROR(__xludf.DUMMYFUNCTION("""COMPUTED_VALUE"""),9.7780511E7)</f>
        <v>97780511</v>
      </c>
      <c r="C423" s="24" t="str">
        <f>IFERROR(__xludf.DUMMYFUNCTION("""COMPUTED_VALUE"""),"7221 Weyburn St")</f>
        <v>7221 Weyburn St</v>
      </c>
      <c r="D423" s="26" t="str">
        <f>IFERROR(__xludf.DUMMYFUNCTION("""COMPUTED_VALUE"""),"M")</f>
        <v>M</v>
      </c>
      <c r="E423" s="26" t="str">
        <f>IFERROR(__xludf.DUMMYFUNCTION("""COMPUTED_VALUE"""),"B")</f>
        <v>B</v>
      </c>
      <c r="F423" s="26">
        <f>IFERROR(__xludf.DUMMYFUNCTION("""COMPUTED_VALUE"""),57.0)</f>
        <v>57</v>
      </c>
      <c r="G423" s="26" t="str">
        <f>IFERROR(__xludf.DUMMYFUNCTION("""COMPUTED_VALUE"""),"Wounded")</f>
        <v>Wounded</v>
      </c>
      <c r="H423" s="26" t="str">
        <f>IFERROR(__xludf.DUMMYFUNCTION("""COMPUTED_VALUE"""),"None")</f>
        <v>None</v>
      </c>
      <c r="I423" s="27" t="str">
        <f>IFERROR(__xludf.DUMMYFUNCTION("""COMPUTED_VALUE"""),"M")</f>
        <v>M</v>
      </c>
      <c r="J423" s="27" t="str">
        <f>IFERROR(__xludf.DUMMYFUNCTION("""COMPUTED_VALUE"""),"W")</f>
        <v>W</v>
      </c>
      <c r="K423" s="27">
        <f>IFERROR(__xludf.DUMMYFUNCTION("""COMPUTED_VALUE"""),40.0)</f>
        <v>40</v>
      </c>
      <c r="L423" s="27" t="str">
        <f>IFERROR(__xludf.DUMMYFUNCTION("""COMPUTED_VALUE"""),"None")</f>
        <v>None</v>
      </c>
      <c r="M423" s="27" t="str">
        <f>IFERROR(__xludf.DUMMYFUNCTION("""COMPUTED_VALUE"""),"Y")</f>
        <v>Y</v>
      </c>
      <c r="N423" s="24"/>
      <c r="O423" s="24"/>
      <c r="P423" s="28" t="str">
        <f>IFERROR(__xludf.DUMMYFUNCTION("""COMPUTED_VALUE"""),"A narcotics unit was executing a serach warrant when they were attacked by a pit-bull at the location. The officer shot the animal causing injury to the suspect when shotgun pellets ricoched of the ground.")</f>
        <v>A narcotics unit was executing a serach warrant when they were attacked by a pit-bull at the location. The officer shot the animal causing injury to the suspect when shotgun pellets ricoched of the ground.</v>
      </c>
      <c r="Q423" s="24"/>
      <c r="R423" s="24"/>
      <c r="S423" s="24"/>
      <c r="T423" s="24"/>
      <c r="U423" s="24"/>
      <c r="V423" s="24"/>
      <c r="W423" s="24"/>
      <c r="X423" s="24"/>
      <c r="Y423" s="24"/>
      <c r="Z423" s="24"/>
    </row>
    <row r="424">
      <c r="A424" s="29">
        <f>IFERROR(__xludf.DUMMYFUNCTION("""COMPUTED_VALUE"""),40748.0)</f>
        <v>40748</v>
      </c>
      <c r="B424" s="24">
        <f>IFERROR(__xludf.DUMMYFUNCTION("""COMPUTED_VALUE"""),9.5913311E7)</f>
        <v>95913311</v>
      </c>
      <c r="C424" s="24" t="str">
        <f>IFERROR(__xludf.DUMMYFUNCTION("""COMPUTED_VALUE"""),"600 Mercury")</f>
        <v>600 Mercury</v>
      </c>
      <c r="D424" s="26" t="str">
        <f>IFERROR(__xludf.DUMMYFUNCTION("""COMPUTED_VALUE"""),"M")</f>
        <v>M</v>
      </c>
      <c r="E424" s="26" t="str">
        <f>IFERROR(__xludf.DUMMYFUNCTION("""COMPUTED_VALUE"""),"H")</f>
        <v>H</v>
      </c>
      <c r="F424" s="26">
        <f>IFERROR(__xludf.DUMMYFUNCTION("""COMPUTED_VALUE"""),36.0)</f>
        <v>36</v>
      </c>
      <c r="G424" s="26" t="str">
        <f>IFERROR(__xludf.DUMMYFUNCTION("""COMPUTED_VALUE"""),"Unknown")</f>
        <v>Unknown</v>
      </c>
      <c r="H424" s="26" t="str">
        <f>IFERROR(__xludf.DUMMYFUNCTION("""COMPUTED_VALUE"""),"Firearm")</f>
        <v>Firearm</v>
      </c>
      <c r="I424" s="27" t="str">
        <f>IFERROR(__xludf.DUMMYFUNCTION("""COMPUTED_VALUE"""),"M")</f>
        <v>M</v>
      </c>
      <c r="J424" s="27" t="str">
        <f>IFERROR(__xludf.DUMMYFUNCTION("""COMPUTED_VALUE"""),"H")</f>
        <v>H</v>
      </c>
      <c r="K424" s="27">
        <f>IFERROR(__xludf.DUMMYFUNCTION("""COMPUTED_VALUE"""),33.0)</f>
        <v>33</v>
      </c>
      <c r="L424" s="27" t="str">
        <f>IFERROR(__xludf.DUMMYFUNCTION("""COMPUTED_VALUE"""),"None")</f>
        <v>None</v>
      </c>
      <c r="M424" s="27" t="str">
        <f>IFERROR(__xludf.DUMMYFUNCTION("""COMPUTED_VALUE"""),"N")</f>
        <v>N</v>
      </c>
      <c r="N424" s="24"/>
      <c r="O424" s="24">
        <f>IFERROR(__xludf.DUMMYFUNCTION("""COMPUTED_VALUE"""),1.0)</f>
        <v>1</v>
      </c>
      <c r="P424" s="28" t="str">
        <f>IFERROR(__xludf.DUMMYFUNCTION("""COMPUTED_VALUE"""),"A uniformed off duty officer was driving on the freeway when someone shot at him. The officer saw the suspect's vehicle and followed it down a dead-end street. The suspect made a u-turn at which time the officer stopped and got out of his vehicle in an at"&amp;"tempt to stop the driver. As the suspect vehicle approached the officer, a passenger in the car started shooting at him again causing the officer to return fire. The vehicle then fled the scene.")</f>
        <v>A uniformed off duty officer was driving on the freeway when someone shot at him. The officer saw the suspect's vehicle and followed it down a dead-end street. The suspect made a u-turn at which time the officer stopped and got out of his vehicle in an attempt to stop the driver. As the suspect vehicle approached the officer, a passenger in the car started shooting at him again causing the officer to return fire. The vehicle then fled the scene.</v>
      </c>
      <c r="Q424" s="24"/>
      <c r="R424" s="24"/>
      <c r="S424" s="24"/>
      <c r="T424" s="24"/>
      <c r="U424" s="24"/>
      <c r="V424" s="24"/>
      <c r="W424" s="24"/>
      <c r="X424" s="24"/>
      <c r="Y424" s="24"/>
      <c r="Z424" s="24"/>
    </row>
    <row r="425">
      <c r="A425" s="29">
        <f>IFERROR(__xludf.DUMMYFUNCTION("""COMPUTED_VALUE"""),40747.0)</f>
        <v>40747</v>
      </c>
      <c r="B425" s="24">
        <f>IFERROR(__xludf.DUMMYFUNCTION("""COMPUTED_VALUE"""),9.5583811E7)</f>
        <v>95583811</v>
      </c>
      <c r="C425" s="24" t="str">
        <f>IFERROR(__xludf.DUMMYFUNCTION("""COMPUTED_VALUE"""),"1600 Dunaway St")</f>
        <v>1600 Dunaway St</v>
      </c>
      <c r="D425" s="26" t="str">
        <f>IFERROR(__xludf.DUMMYFUNCTION("""COMPUTED_VALUE"""),"M")</f>
        <v>M</v>
      </c>
      <c r="E425" s="26" t="str">
        <f>IFERROR(__xludf.DUMMYFUNCTION("""COMPUTED_VALUE"""),"H")</f>
        <v>H</v>
      </c>
      <c r="F425" s="26">
        <f>IFERROR(__xludf.DUMMYFUNCTION("""COMPUTED_VALUE"""),23.0)</f>
        <v>23</v>
      </c>
      <c r="G425" s="26" t="str">
        <f>IFERROR(__xludf.DUMMYFUNCTION("""COMPUTED_VALUE"""),"None")</f>
        <v>None</v>
      </c>
      <c r="H425" s="26" t="str">
        <f>IFERROR(__xludf.DUMMYFUNCTION("""COMPUTED_VALUE"""),"Firearm")</f>
        <v>Firearm</v>
      </c>
      <c r="I425" s="27" t="str">
        <f>IFERROR(__xludf.DUMMYFUNCTION("""COMPUTED_VALUE"""),"M")</f>
        <v>M</v>
      </c>
      <c r="J425" s="27" t="str">
        <f>IFERROR(__xludf.DUMMYFUNCTION("""COMPUTED_VALUE"""),"W")</f>
        <v>W</v>
      </c>
      <c r="K425" s="27">
        <f>IFERROR(__xludf.DUMMYFUNCTION("""COMPUTED_VALUE"""),33.0)</f>
        <v>33</v>
      </c>
      <c r="L425" s="27" t="str">
        <f>IFERROR(__xludf.DUMMYFUNCTION("""COMPUTED_VALUE"""),"None")</f>
        <v>None</v>
      </c>
      <c r="M425" s="27" t="str">
        <f>IFERROR(__xludf.DUMMYFUNCTION("""COMPUTED_VALUE"""),"Y")</f>
        <v>Y</v>
      </c>
      <c r="N425" s="24"/>
      <c r="O425" s="24">
        <f>IFERROR(__xludf.DUMMYFUNCTION("""COMPUTED_VALUE"""),1.0)</f>
        <v>1</v>
      </c>
      <c r="P425" s="28" t="str">
        <f>IFERROR(__xludf.DUMMYFUNCTION("""COMPUTED_VALUE"""),"Officer pursued a vehicle that was being driven by a suspect who was involved in a shooting in progress call. The suspect lost control of the vehicle and hit a tree at which time the suspect got out of the vehicle with a rifle in his hands. The suspect po"&amp;"inted the weapon at the officer causing the officer to shoot at the suspect.")</f>
        <v>Officer pursued a vehicle that was being driven by a suspect who was involved in a shooting in progress call. The suspect lost control of the vehicle and hit a tree at which time the suspect got out of the vehicle with a rifle in his hands. The suspect pointed the weapon at the officer causing the officer to shoot at the suspect.</v>
      </c>
      <c r="Q425" s="24"/>
      <c r="R425" s="24"/>
      <c r="S425" s="24"/>
      <c r="T425" s="24"/>
      <c r="U425" s="24"/>
      <c r="V425" s="24"/>
      <c r="W425" s="24"/>
      <c r="X425" s="24"/>
      <c r="Y425" s="24"/>
      <c r="Z425" s="24"/>
    </row>
    <row r="426">
      <c r="A426" s="29">
        <f>IFERROR(__xludf.DUMMYFUNCTION("""COMPUTED_VALUE"""),40744.0)</f>
        <v>40744</v>
      </c>
      <c r="B426" s="24">
        <f>IFERROR(__xludf.DUMMYFUNCTION("""COMPUTED_VALUE"""),9.4364111E7)</f>
        <v>94364111</v>
      </c>
      <c r="C426" s="24" t="str">
        <f>IFERROR(__xludf.DUMMYFUNCTION("""COMPUTED_VALUE"""),"17435 Imperial Valley")</f>
        <v>17435 Imperial Valley</v>
      </c>
      <c r="D426" s="26" t="str">
        <f>IFERROR(__xludf.DUMMYFUNCTION("""COMPUTED_VALUE"""),"M")</f>
        <v>M</v>
      </c>
      <c r="E426" s="26" t="str">
        <f>IFERROR(__xludf.DUMMYFUNCTION("""COMPUTED_VALUE"""),"B")</f>
        <v>B</v>
      </c>
      <c r="F426" s="26">
        <f>IFERROR(__xludf.DUMMYFUNCTION("""COMPUTED_VALUE"""),29.0)</f>
        <v>29</v>
      </c>
      <c r="G426" s="26" t="str">
        <f>IFERROR(__xludf.DUMMYFUNCTION("""COMPUTED_VALUE"""),"None")</f>
        <v>None</v>
      </c>
      <c r="H426" s="26" t="str">
        <f>IFERROR(__xludf.DUMMYFUNCTION("""COMPUTED_VALUE"""),"Firearm")</f>
        <v>Firearm</v>
      </c>
      <c r="I426" s="27" t="str">
        <f>IFERROR(__xludf.DUMMYFUNCTION("""COMPUTED_VALUE"""),"M")</f>
        <v>M</v>
      </c>
      <c r="J426" s="27" t="str">
        <f>IFERROR(__xludf.DUMMYFUNCTION("""COMPUTED_VALUE"""),"W")</f>
        <v>W</v>
      </c>
      <c r="K426" s="27">
        <f>IFERROR(__xludf.DUMMYFUNCTION("""COMPUTED_VALUE"""),26.0)</f>
        <v>26</v>
      </c>
      <c r="L426" s="27" t="str">
        <f>IFERROR(__xludf.DUMMYFUNCTION("""COMPUTED_VALUE"""),"None")</f>
        <v>None</v>
      </c>
      <c r="M426" s="27" t="str">
        <f>IFERROR(__xludf.DUMMYFUNCTION("""COMPUTED_VALUE"""),"Y")</f>
        <v>Y</v>
      </c>
      <c r="N426" s="24"/>
      <c r="O426" s="24">
        <f>IFERROR(__xludf.DUMMYFUNCTION("""COMPUTED_VALUE"""),1.0)</f>
        <v>1</v>
      </c>
      <c r="P426" s="28" t="str">
        <f>IFERROR(__xludf.DUMMYFUNCTION("""COMPUTED_VALUE"""),"Officers attempted to stop a vehicle that was reported to have been involved in a robbery but the suspect refused to stop. A pursuit ensued until the suspect wrecked his vehicle at which time he ran from the officers on foot. The suspect pointed a weapon "&amp;"at the pursing officer causing the officer to shoot at the suspect.")</f>
        <v>Officers attempted to stop a vehicle that was reported to have been involved in a robbery but the suspect refused to stop. A pursuit ensued until the suspect wrecked his vehicle at which time he ran from the officers on foot. The suspect pointed a weapon at the pursing officer causing the officer to shoot at the suspect.</v>
      </c>
      <c r="Q426" s="24"/>
      <c r="R426" s="24"/>
      <c r="S426" s="24"/>
      <c r="T426" s="24"/>
      <c r="U426" s="24"/>
      <c r="V426" s="24"/>
      <c r="W426" s="24"/>
      <c r="X426" s="24"/>
      <c r="Y426" s="24"/>
      <c r="Z426" s="24"/>
    </row>
    <row r="427" hidden="1">
      <c r="A427" s="29">
        <f>IFERROR(__xludf.DUMMYFUNCTION("""COMPUTED_VALUE"""),40735.0)</f>
        <v>40735</v>
      </c>
      <c r="B427" s="24">
        <f>IFERROR(__xludf.DUMMYFUNCTION("""COMPUTED_VALUE"""),9.0010111E7)</f>
        <v>90010111</v>
      </c>
      <c r="C427" s="24" t="str">
        <f>IFERROR(__xludf.DUMMYFUNCTION("""COMPUTED_VALUE"""),"4401 W. 18TH ST")</f>
        <v>4401 W. 18TH ST</v>
      </c>
      <c r="D427" s="26" t="str">
        <f>IFERROR(__xludf.DUMMYFUNCTION("""COMPUTED_VALUE"""),"M")</f>
        <v>M</v>
      </c>
      <c r="E427" s="26" t="str">
        <f>IFERROR(__xludf.DUMMYFUNCTION("""COMPUTED_VALUE"""),"H")</f>
        <v>H</v>
      </c>
      <c r="F427" s="26">
        <f>IFERROR(__xludf.DUMMYFUNCTION("""COMPUTED_VALUE"""),21.0)</f>
        <v>21</v>
      </c>
      <c r="G427" s="26" t="str">
        <f>IFERROR(__xludf.DUMMYFUNCTION("""COMPUTED_VALUE"""),"Killed")</f>
        <v>Killed</v>
      </c>
      <c r="H427" s="26" t="str">
        <f>IFERROR(__xludf.DUMMYFUNCTION("""COMPUTED_VALUE"""),"Knife")</f>
        <v>Knife</v>
      </c>
      <c r="I427" s="27" t="str">
        <f>IFERROR(__xludf.DUMMYFUNCTION("""COMPUTED_VALUE"""),"M")</f>
        <v>M</v>
      </c>
      <c r="J427" s="27" t="str">
        <f>IFERROR(__xludf.DUMMYFUNCTION("""COMPUTED_VALUE"""),"W")</f>
        <v>W</v>
      </c>
      <c r="K427" s="27">
        <f>IFERROR(__xludf.DUMMYFUNCTION("""COMPUTED_VALUE"""),28.0)</f>
        <v>28</v>
      </c>
      <c r="L427" s="27" t="str">
        <f>IFERROR(__xludf.DUMMYFUNCTION("""COMPUTED_VALUE"""),"None")</f>
        <v>None</v>
      </c>
      <c r="M427" s="27" t="str">
        <f>IFERROR(__xludf.DUMMYFUNCTION("""COMPUTED_VALUE"""),"Y")</f>
        <v>Y</v>
      </c>
      <c r="N427" s="24"/>
      <c r="O427" s="24">
        <f>IFERROR(__xludf.DUMMYFUNCTION("""COMPUTED_VALUE"""),1.0)</f>
        <v>1</v>
      </c>
      <c r="P427" s="24" t="str">
        <f>IFERROR(__xludf.DUMMYFUNCTION("""COMPUTED_VALUE"""),"Officer was directing traffic when he heard screms from a nearby gas station. The officer went to see what the commotion was and saw the suspect stabbing a person. The suspect refused to stop stabbing the individual forcing the officer to shoot him.")</f>
        <v>Officer was directing traffic when he heard screms from a nearby gas station. The officer went to see what the commotion was and saw the suspect stabbing a person. The suspect refused to stop stabbing the individual forcing the officer to shoot him.</v>
      </c>
      <c r="Q427" s="24"/>
      <c r="R427" s="24"/>
      <c r="S427" s="24"/>
      <c r="T427" s="24"/>
      <c r="U427" s="24"/>
      <c r="V427" s="24"/>
      <c r="W427" s="24"/>
      <c r="X427" s="24"/>
      <c r="Y427" s="24"/>
      <c r="Z427" s="24"/>
    </row>
    <row r="428">
      <c r="A428" s="29">
        <f>IFERROR(__xludf.DUMMYFUNCTION("""COMPUTED_VALUE"""),40714.0)</f>
        <v>40714</v>
      </c>
      <c r="B428" s="24">
        <f>IFERROR(__xludf.DUMMYFUNCTION("""COMPUTED_VALUE"""),8.0221311E7)</f>
        <v>80221311</v>
      </c>
      <c r="C428" s="24" t="str">
        <f>IFERROR(__xludf.DUMMYFUNCTION("""COMPUTED_VALUE"""),"4537 Bricker")</f>
        <v>4537 Bricker</v>
      </c>
      <c r="D428" s="26" t="str">
        <f>IFERROR(__xludf.DUMMYFUNCTION("""COMPUTED_VALUE"""),"M")</f>
        <v>M</v>
      </c>
      <c r="E428" s="26" t="str">
        <f>IFERROR(__xludf.DUMMYFUNCTION("""COMPUTED_VALUE"""),"B")</f>
        <v>B</v>
      </c>
      <c r="F428" s="26">
        <f>IFERROR(__xludf.DUMMYFUNCTION("""COMPUTED_VALUE"""),30.0)</f>
        <v>30</v>
      </c>
      <c r="G428" s="26" t="str">
        <f>IFERROR(__xludf.DUMMYFUNCTION("""COMPUTED_VALUE"""),"None")</f>
        <v>None</v>
      </c>
      <c r="H428" s="26" t="str">
        <f>IFERROR(__xludf.DUMMYFUNCTION("""COMPUTED_VALUE"""),"Firearm")</f>
        <v>Firearm</v>
      </c>
      <c r="I428" s="27" t="str">
        <f>IFERROR(__xludf.DUMMYFUNCTION("""COMPUTED_VALUE"""),"M")</f>
        <v>M</v>
      </c>
      <c r="J428" s="27" t="str">
        <f>IFERROR(__xludf.DUMMYFUNCTION("""COMPUTED_VALUE"""),"W")</f>
        <v>W</v>
      </c>
      <c r="K428" s="27">
        <f>IFERROR(__xludf.DUMMYFUNCTION("""COMPUTED_VALUE"""),42.0)</f>
        <v>42</v>
      </c>
      <c r="L428" s="27" t="str">
        <f>IFERROR(__xludf.DUMMYFUNCTION("""COMPUTED_VALUE"""),"None")</f>
        <v>None</v>
      </c>
      <c r="M428" s="27" t="str">
        <f>IFERROR(__xludf.DUMMYFUNCTION("""COMPUTED_VALUE"""),"Y")</f>
        <v>Y</v>
      </c>
      <c r="N428" s="24"/>
      <c r="O428" s="24"/>
      <c r="P428" s="28" t="str">
        <f>IFERROR(__xludf.DUMMYFUNCTION("""COMPUTED_VALUE"""),"Officer was chasing a home invasion suspect on foot when the suspect fired a weapon at the officer forcing the officer to return fire.")</f>
        <v>Officer was chasing a home invasion suspect on foot when the suspect fired a weapon at the officer forcing the officer to return fire.</v>
      </c>
      <c r="Q428" s="24"/>
      <c r="R428" s="24"/>
      <c r="S428" s="24"/>
      <c r="T428" s="24"/>
      <c r="U428" s="24"/>
      <c r="V428" s="24"/>
      <c r="W428" s="24"/>
      <c r="X428" s="24"/>
      <c r="Y428" s="24"/>
      <c r="Z428" s="24"/>
    </row>
    <row r="429" hidden="1">
      <c r="A429" s="29">
        <f>IFERROR(__xludf.DUMMYFUNCTION("""COMPUTED_VALUE"""),40712.0)</f>
        <v>40712</v>
      </c>
      <c r="B429" s="24">
        <f>IFERROR(__xludf.DUMMYFUNCTION("""COMPUTED_VALUE"""),7.9326211E7)</f>
        <v>79326211</v>
      </c>
      <c r="C429" s="24" t="str">
        <f>IFERROR(__xludf.DUMMYFUNCTION("""COMPUTED_VALUE"""),"5114 Georgia")</f>
        <v>5114 Georgia</v>
      </c>
      <c r="D429" s="26" t="str">
        <f>IFERROR(__xludf.DUMMYFUNCTION("""COMPUTED_VALUE"""),"M")</f>
        <v>M</v>
      </c>
      <c r="E429" s="26" t="str">
        <f>IFERROR(__xludf.DUMMYFUNCTION("""COMPUTED_VALUE"""),"H")</f>
        <v>H</v>
      </c>
      <c r="F429" s="26">
        <f>IFERROR(__xludf.DUMMYFUNCTION("""COMPUTED_VALUE"""),60.0)</f>
        <v>60</v>
      </c>
      <c r="G429" s="26" t="str">
        <f>IFERROR(__xludf.DUMMYFUNCTION("""COMPUTED_VALUE"""),"Wounded")</f>
        <v>Wounded</v>
      </c>
      <c r="H429" s="26" t="str">
        <f>IFERROR(__xludf.DUMMYFUNCTION("""COMPUTED_VALUE"""),"Firearm")</f>
        <v>Firearm</v>
      </c>
      <c r="I429" s="27" t="str">
        <f>IFERROR(__xludf.DUMMYFUNCTION("""COMPUTED_VALUE"""),"M")</f>
        <v>M</v>
      </c>
      <c r="J429" s="27" t="str">
        <f>IFERROR(__xludf.DUMMYFUNCTION("""COMPUTED_VALUE"""),"H")</f>
        <v>H</v>
      </c>
      <c r="K429" s="27">
        <f>IFERROR(__xludf.DUMMYFUNCTION("""COMPUTED_VALUE"""),51.0)</f>
        <v>51</v>
      </c>
      <c r="L429" s="27" t="str">
        <f>IFERROR(__xludf.DUMMYFUNCTION("""COMPUTED_VALUE"""),"None")</f>
        <v>None</v>
      </c>
      <c r="M429" s="27" t="str">
        <f>IFERROR(__xludf.DUMMYFUNCTION("""COMPUTED_VALUE"""),"Y")</f>
        <v>Y</v>
      </c>
      <c r="N429" s="24"/>
      <c r="O429" s="24"/>
      <c r="P429" s="28" t="str">
        <f>IFERROR(__xludf.DUMMYFUNCTION("""COMPUTED_VALUE"""),"Armed suspect confronted and fired his weapon at officers responding to a shooting in progress call. Officers were forced to shoot the suspect when the suspect raised and pointed his weapon at them.")</f>
        <v>Armed suspect confronted and fired his weapon at officers responding to a shooting in progress call. Officers were forced to shoot the suspect when the suspect raised and pointed his weapon at them.</v>
      </c>
      <c r="Q429" s="24"/>
      <c r="R429" s="24"/>
      <c r="S429" s="24"/>
      <c r="T429" s="24"/>
      <c r="U429" s="24"/>
      <c r="V429" s="24"/>
      <c r="W429" s="24"/>
      <c r="X429" s="24"/>
      <c r="Y429" s="24"/>
      <c r="Z429" s="24"/>
    </row>
    <row r="430" hidden="1">
      <c r="A430" s="29"/>
      <c r="B430" s="24"/>
      <c r="C430" s="24"/>
      <c r="D430" s="26"/>
      <c r="E430" s="26"/>
      <c r="F430" s="26"/>
      <c r="G430" s="26"/>
      <c r="H430" s="26"/>
      <c r="I430" s="27" t="str">
        <f>IFERROR(__xludf.DUMMYFUNCTION("""COMPUTED_VALUE"""),"M")</f>
        <v>M</v>
      </c>
      <c r="J430" s="27" t="str">
        <f>IFERROR(__xludf.DUMMYFUNCTION("""COMPUTED_VALUE"""),"H")</f>
        <v>H</v>
      </c>
      <c r="K430" s="27">
        <f>IFERROR(__xludf.DUMMYFUNCTION("""COMPUTED_VALUE"""),31.0)</f>
        <v>31</v>
      </c>
      <c r="L430" s="27" t="str">
        <f>IFERROR(__xludf.DUMMYFUNCTION("""COMPUTED_VALUE"""),"None")</f>
        <v>None</v>
      </c>
      <c r="M430" s="27" t="str">
        <f>IFERROR(__xludf.DUMMYFUNCTION("""COMPUTED_VALUE"""),"Y")</f>
        <v>Y</v>
      </c>
      <c r="N430" s="24"/>
      <c r="O430" s="24">
        <f>IFERROR(__xludf.DUMMYFUNCTION("""COMPUTED_VALUE"""),1.0)</f>
        <v>1</v>
      </c>
      <c r="P430" s="24"/>
      <c r="Q430" s="24"/>
      <c r="R430" s="24"/>
      <c r="S430" s="24"/>
      <c r="T430" s="24"/>
      <c r="U430" s="24"/>
      <c r="V430" s="24"/>
      <c r="W430" s="24"/>
      <c r="X430" s="24"/>
      <c r="Y430" s="24"/>
      <c r="Z430" s="24"/>
    </row>
    <row r="431" hidden="1">
      <c r="A431" s="29">
        <f>IFERROR(__xludf.DUMMYFUNCTION("""COMPUTED_VALUE"""),40709.0)</f>
        <v>40709</v>
      </c>
      <c r="B431" s="24">
        <f>IFERROR(__xludf.DUMMYFUNCTION("""COMPUTED_VALUE"""),7.7472411E7)</f>
        <v>77472411</v>
      </c>
      <c r="C431" s="24" t="str">
        <f>IFERROR(__xludf.DUMMYFUNCTION("""COMPUTED_VALUE"""),"8100 Schneider")</f>
        <v>8100 Schneider</v>
      </c>
      <c r="D431" s="26" t="str">
        <f>IFERROR(__xludf.DUMMYFUNCTION("""COMPUTED_VALUE"""),"Juvenile")</f>
        <v>Juvenile</v>
      </c>
      <c r="E431" s="26" t="str">
        <f>IFERROR(__xludf.DUMMYFUNCTION("""COMPUTED_VALUE"""),"Juvenile")</f>
        <v>Juvenile</v>
      </c>
      <c r="F431" s="26"/>
      <c r="G431" s="26" t="str">
        <f>IFERROR(__xludf.DUMMYFUNCTION("""COMPUTED_VALUE"""),"Wounded")</f>
        <v>Wounded</v>
      </c>
      <c r="H431" s="26" t="str">
        <f>IFERROR(__xludf.DUMMYFUNCTION("""COMPUTED_VALUE"""),"Vehicle")</f>
        <v>Vehicle</v>
      </c>
      <c r="I431" s="27" t="str">
        <f>IFERROR(__xludf.DUMMYFUNCTION("""COMPUTED_VALUE"""),"F")</f>
        <v>F</v>
      </c>
      <c r="J431" s="27" t="str">
        <f>IFERROR(__xludf.DUMMYFUNCTION("""COMPUTED_VALUE"""),"P")</f>
        <v>P</v>
      </c>
      <c r="K431" s="27">
        <f>IFERROR(__xludf.DUMMYFUNCTION("""COMPUTED_VALUE"""),26.0)</f>
        <v>26</v>
      </c>
      <c r="L431" s="27" t="str">
        <f>IFERROR(__xludf.DUMMYFUNCTION("""COMPUTED_VALUE"""),"None")</f>
        <v>None</v>
      </c>
      <c r="M431" s="27" t="str">
        <f>IFERROR(__xludf.DUMMYFUNCTION("""COMPUTED_VALUE"""),"Y")</f>
        <v>Y</v>
      </c>
      <c r="N431" s="24"/>
      <c r="O431" s="24">
        <f>IFERROR(__xludf.DUMMYFUNCTION("""COMPUTED_VALUE"""),1.0)</f>
        <v>1</v>
      </c>
      <c r="P431" s="28" t="str">
        <f>IFERROR(__xludf.DUMMYFUNCTION("""COMPUTED_VALUE"""),"Officers pursued a vehicle that they had just seen ramming a patrol car. During the pursuit the vehicle stopped and began to back up toward the officers. The officers exited the patrol as the suspect vehicle was driving towrd them and fired on the vehicle"&amp;".")</f>
        <v>Officers pursued a vehicle that they had just seen ramming a patrol car. During the pursuit the vehicle stopped and began to back up toward the officers. The officers exited the patrol as the suspect vehicle was driving towrd them and fired on the vehicle.</v>
      </c>
      <c r="Q431" s="24"/>
      <c r="R431" s="24"/>
      <c r="S431" s="24"/>
      <c r="T431" s="24"/>
      <c r="U431" s="24"/>
      <c r="V431" s="24"/>
      <c r="W431" s="24"/>
      <c r="X431" s="24"/>
      <c r="Y431" s="24"/>
      <c r="Z431" s="24"/>
    </row>
    <row r="432" hidden="1">
      <c r="A432" s="29">
        <f>IFERROR(__xludf.DUMMYFUNCTION("""COMPUTED_VALUE"""),40703.0)</f>
        <v>40703</v>
      </c>
      <c r="B432" s="24">
        <f>IFERROR(__xludf.DUMMYFUNCTION("""COMPUTED_VALUE"""),7.4850211E7)</f>
        <v>74850211</v>
      </c>
      <c r="C432" s="24" t="str">
        <f>IFERROR(__xludf.DUMMYFUNCTION("""COMPUTED_VALUE"""),"Protected By Law")</f>
        <v>Protected By Law</v>
      </c>
      <c r="D432" s="26" t="str">
        <f>IFERROR(__xludf.DUMMYFUNCTION("""COMPUTED_VALUE"""),"Juvenile")</f>
        <v>Juvenile</v>
      </c>
      <c r="E432" s="26" t="str">
        <f>IFERROR(__xludf.DUMMYFUNCTION("""COMPUTED_VALUE"""),"Juvenile")</f>
        <v>Juvenile</v>
      </c>
      <c r="F432" s="26"/>
      <c r="G432" s="26" t="str">
        <f>IFERROR(__xludf.DUMMYFUNCTION("""COMPUTED_VALUE"""),"Wounded")</f>
        <v>Wounded</v>
      </c>
      <c r="H432" s="26" t="str">
        <f>IFERROR(__xludf.DUMMYFUNCTION("""COMPUTED_VALUE"""),"None")</f>
        <v>None</v>
      </c>
      <c r="I432" s="27" t="str">
        <f>IFERROR(__xludf.DUMMYFUNCTION("""COMPUTED_VALUE"""),"M")</f>
        <v>M</v>
      </c>
      <c r="J432" s="27" t="str">
        <f>IFERROR(__xludf.DUMMYFUNCTION("""COMPUTED_VALUE"""),"B")</f>
        <v>B</v>
      </c>
      <c r="K432" s="27">
        <f>IFERROR(__xludf.DUMMYFUNCTION("""COMPUTED_VALUE"""),53.0)</f>
        <v>53</v>
      </c>
      <c r="L432" s="27" t="str">
        <f>IFERROR(__xludf.DUMMYFUNCTION("""COMPUTED_VALUE"""),"None")</f>
        <v>None</v>
      </c>
      <c r="M432" s="27" t="str">
        <f>IFERROR(__xludf.DUMMYFUNCTION("""COMPUTED_VALUE"""),"N")</f>
        <v>N</v>
      </c>
      <c r="N432" s="24"/>
      <c r="O432" s="24">
        <f>IFERROR(__xludf.DUMMYFUNCTION("""COMPUTED_VALUE"""),1.0)</f>
        <v>1</v>
      </c>
      <c r="P432" s="28" t="str">
        <f>IFERROR(__xludf.DUMMYFUNCTION("""COMPUTED_VALUE"""),"The officer was in his residence when the suspects forced their way into his home. The officer fired at and shot the suspects.")</f>
        <v>The officer was in his residence when the suspects forced their way into his home. The officer fired at and shot the suspects.</v>
      </c>
      <c r="Q432" s="24"/>
      <c r="R432" s="24"/>
      <c r="S432" s="24"/>
      <c r="T432" s="24"/>
      <c r="U432" s="24"/>
      <c r="V432" s="24"/>
      <c r="W432" s="24"/>
      <c r="X432" s="24"/>
      <c r="Y432" s="24"/>
      <c r="Z432" s="24"/>
    </row>
    <row r="433" hidden="1">
      <c r="A433" s="29"/>
      <c r="B433" s="24"/>
      <c r="C433" s="24"/>
      <c r="D433" s="26" t="str">
        <f>IFERROR(__xludf.DUMMYFUNCTION("""COMPUTED_VALUE"""),"Juvenile")</f>
        <v>Juvenile</v>
      </c>
      <c r="E433" s="26" t="str">
        <f>IFERROR(__xludf.DUMMYFUNCTION("""COMPUTED_VALUE"""),"Juvenile")</f>
        <v>Juvenile</v>
      </c>
      <c r="F433" s="26"/>
      <c r="G433" s="26" t="str">
        <f>IFERROR(__xludf.DUMMYFUNCTION("""COMPUTED_VALUE"""),"Killed")</f>
        <v>Killed</v>
      </c>
      <c r="H433" s="26" t="str">
        <f>IFERROR(__xludf.DUMMYFUNCTION("""COMPUTED_VALUE"""),"None")</f>
        <v>None</v>
      </c>
      <c r="I433" s="27"/>
      <c r="J433" s="27"/>
      <c r="K433" s="27"/>
      <c r="L433" s="27"/>
      <c r="M433" s="27"/>
      <c r="N433" s="24"/>
      <c r="O433" s="24"/>
      <c r="P433" s="24"/>
      <c r="Q433" s="24"/>
      <c r="R433" s="24"/>
      <c r="S433" s="24"/>
      <c r="T433" s="24"/>
      <c r="U433" s="24"/>
      <c r="V433" s="24"/>
      <c r="W433" s="24"/>
      <c r="X433" s="24"/>
      <c r="Y433" s="24"/>
      <c r="Z433" s="24"/>
    </row>
    <row r="434">
      <c r="A434" s="29">
        <f>IFERROR(__xludf.DUMMYFUNCTION("""COMPUTED_VALUE"""),40701.0)</f>
        <v>40701</v>
      </c>
      <c r="B434" s="24">
        <f>IFERROR(__xludf.DUMMYFUNCTION("""COMPUTED_VALUE"""),7.3973611E7)</f>
        <v>73973611</v>
      </c>
      <c r="C434" s="24" t="str">
        <f>IFERROR(__xludf.DUMMYFUNCTION("""COMPUTED_VALUE"""),"8800 Curry")</f>
        <v>8800 Curry</v>
      </c>
      <c r="D434" s="26" t="str">
        <f>IFERROR(__xludf.DUMMYFUNCTION("""COMPUTED_VALUE"""),"M")</f>
        <v>M</v>
      </c>
      <c r="E434" s="26" t="str">
        <f>IFERROR(__xludf.DUMMYFUNCTION("""COMPUTED_VALUE"""),"B")</f>
        <v>B</v>
      </c>
      <c r="F434" s="26"/>
      <c r="G434" s="26" t="str">
        <f>IFERROR(__xludf.DUMMYFUNCTION("""COMPUTED_VALUE"""),"Unknown")</f>
        <v>Unknown</v>
      </c>
      <c r="H434" s="26" t="str">
        <f>IFERROR(__xludf.DUMMYFUNCTION("""COMPUTED_VALUE"""),"Firearm")</f>
        <v>Firearm</v>
      </c>
      <c r="I434" s="27" t="str">
        <f>IFERROR(__xludf.DUMMYFUNCTION("""COMPUTED_VALUE"""),"M")</f>
        <v>M</v>
      </c>
      <c r="J434" s="27" t="str">
        <f>IFERROR(__xludf.DUMMYFUNCTION("""COMPUTED_VALUE"""),"W")</f>
        <v>W</v>
      </c>
      <c r="K434" s="27">
        <f>IFERROR(__xludf.DUMMYFUNCTION("""COMPUTED_VALUE"""),29.0)</f>
        <v>29</v>
      </c>
      <c r="L434" s="27" t="str">
        <f>IFERROR(__xludf.DUMMYFUNCTION("""COMPUTED_VALUE"""),"None")</f>
        <v>None</v>
      </c>
      <c r="M434" s="27" t="str">
        <f>IFERROR(__xludf.DUMMYFUNCTION("""COMPUTED_VALUE"""),"Y")</f>
        <v>Y</v>
      </c>
      <c r="N434" s="24"/>
      <c r="O434" s="24">
        <f>IFERROR(__xludf.DUMMYFUNCTION("""COMPUTED_VALUE"""),1.0)</f>
        <v>1</v>
      </c>
      <c r="P434" s="28" t="str">
        <f>IFERROR(__xludf.DUMMYFUNCTION("""COMPUTED_VALUE"""),"The officer arrived at the scene of a suspicious person call and saw a group of males fitting the description given. The males walked away from the approaching officer and before turning the street corner, one of the males fired a wepoan at the officer st"&amp;"rinking the patrol car. The officer attempted to follow the shooter and the shooter once gain fired at the officer. The officer returned fire before the suspect ran from the scene.")</f>
        <v>The officer arrived at the scene of a suspicious person call and saw a group of males fitting the description given. The males walked away from the approaching officer and before turning the street corner, one of the males fired a wepoan at the officer strinking the patrol car. The officer attempted to follow the shooter and the shooter once gain fired at the officer. The officer returned fire before the suspect ran from the scene.</v>
      </c>
      <c r="Q434" s="24"/>
      <c r="R434" s="24"/>
      <c r="S434" s="24"/>
      <c r="T434" s="24"/>
      <c r="U434" s="24"/>
      <c r="V434" s="24"/>
      <c r="W434" s="24"/>
      <c r="X434" s="24"/>
      <c r="Y434" s="24"/>
      <c r="Z434" s="24"/>
    </row>
    <row r="435">
      <c r="A435" s="29">
        <f>IFERROR(__xludf.DUMMYFUNCTION("""COMPUTED_VALUE"""),40697.0)</f>
        <v>40697</v>
      </c>
      <c r="B435" s="24">
        <f>IFERROR(__xludf.DUMMYFUNCTION("""COMPUTED_VALUE"""),7.1917211E7)</f>
        <v>71917211</v>
      </c>
      <c r="C435" s="24" t="str">
        <f>IFERROR(__xludf.DUMMYFUNCTION("""COMPUTED_VALUE"""),"7402")</f>
        <v>7402</v>
      </c>
      <c r="D435" s="26" t="str">
        <f>IFERROR(__xludf.DUMMYFUNCTION("""COMPUTED_VALUE"""),"M")</f>
        <v>M</v>
      </c>
      <c r="E435" s="26" t="str">
        <f>IFERROR(__xludf.DUMMYFUNCTION("""COMPUTED_VALUE"""),"W")</f>
        <v>W</v>
      </c>
      <c r="F435" s="26">
        <f>IFERROR(__xludf.DUMMYFUNCTION("""COMPUTED_VALUE"""),29.0)</f>
        <v>29</v>
      </c>
      <c r="G435" s="26" t="str">
        <f>IFERROR(__xludf.DUMMYFUNCTION("""COMPUTED_VALUE"""),"None")</f>
        <v>None</v>
      </c>
      <c r="H435" s="26" t="str">
        <f>IFERROR(__xludf.DUMMYFUNCTION("""COMPUTED_VALUE"""),"Physical Force")</f>
        <v>Physical Force</v>
      </c>
      <c r="I435" s="27" t="str">
        <f>IFERROR(__xludf.DUMMYFUNCTION("""COMPUTED_VALUE"""),"F")</f>
        <v>F</v>
      </c>
      <c r="J435" s="27" t="str">
        <f>IFERROR(__xludf.DUMMYFUNCTION("""COMPUTED_VALUE"""),"B")</f>
        <v>B</v>
      </c>
      <c r="K435" s="27">
        <f>IFERROR(__xludf.DUMMYFUNCTION("""COMPUTED_VALUE"""),34.0)</f>
        <v>34</v>
      </c>
      <c r="L435" s="27" t="str">
        <f>IFERROR(__xludf.DUMMYFUNCTION("""COMPUTED_VALUE"""),"None")</f>
        <v>None</v>
      </c>
      <c r="M435" s="27" t="str">
        <f>IFERROR(__xludf.DUMMYFUNCTION("""COMPUTED_VALUE"""),"Y")</f>
        <v>Y</v>
      </c>
      <c r="N435" s="24"/>
      <c r="O435" s="24">
        <f>IFERROR(__xludf.DUMMYFUNCTION("""COMPUTED_VALUE"""),1.0)</f>
        <v>1</v>
      </c>
      <c r="P435" s="28" t="str">
        <f>IFERROR(__xludf.DUMMYFUNCTION("""COMPUTED_VALUE"""),"A suspect that was being arrested became violent and struck the officer in the face. The suspect then charged at the officer forcing the officer to shoot at the suspect.")</f>
        <v>A suspect that was being arrested became violent and struck the officer in the face. The suspect then charged at the officer forcing the officer to shoot at the suspect.</v>
      </c>
      <c r="Q435" s="24"/>
      <c r="R435" s="24"/>
      <c r="S435" s="24"/>
      <c r="T435" s="24"/>
      <c r="U435" s="24"/>
      <c r="V435" s="24"/>
      <c r="W435" s="24"/>
      <c r="X435" s="24"/>
      <c r="Y435" s="24"/>
      <c r="Z435" s="24"/>
    </row>
    <row r="436">
      <c r="A436" s="29">
        <f>IFERROR(__xludf.DUMMYFUNCTION("""COMPUTED_VALUE"""),40681.0)</f>
        <v>40681</v>
      </c>
      <c r="B436" s="24">
        <f>IFERROR(__xludf.DUMMYFUNCTION("""COMPUTED_VALUE"""),6.3475811E7)</f>
        <v>63475811</v>
      </c>
      <c r="C436" s="24" t="str">
        <f>IFERROR(__xludf.DUMMYFUNCTION("""COMPUTED_VALUE"""),"5351 W. Alabama")</f>
        <v>5351 W. Alabama</v>
      </c>
      <c r="D436" s="26" t="str">
        <f>IFERROR(__xludf.DUMMYFUNCTION("""COMPUTED_VALUE"""),"M")</f>
        <v>M</v>
      </c>
      <c r="E436" s="26" t="str">
        <f>IFERROR(__xludf.DUMMYFUNCTION("""COMPUTED_VALUE"""),"A")</f>
        <v>A</v>
      </c>
      <c r="F436" s="26">
        <f>IFERROR(__xludf.DUMMYFUNCTION("""COMPUTED_VALUE"""),30.0)</f>
        <v>30</v>
      </c>
      <c r="G436" s="26" t="str">
        <f>IFERROR(__xludf.DUMMYFUNCTION("""COMPUTED_VALUE"""),"None")</f>
        <v>None</v>
      </c>
      <c r="H436" s="26" t="str">
        <f>IFERROR(__xludf.DUMMYFUNCTION("""COMPUTED_VALUE"""),"Firearm")</f>
        <v>Firearm</v>
      </c>
      <c r="I436" s="27" t="str">
        <f>IFERROR(__xludf.DUMMYFUNCTION("""COMPUTED_VALUE"""),"M")</f>
        <v>M</v>
      </c>
      <c r="J436" s="27" t="str">
        <f>IFERROR(__xludf.DUMMYFUNCTION("""COMPUTED_VALUE"""),"W")</f>
        <v>W</v>
      </c>
      <c r="K436" s="27">
        <f>IFERROR(__xludf.DUMMYFUNCTION("""COMPUTED_VALUE"""),44.0)</f>
        <v>44</v>
      </c>
      <c r="L436" s="27" t="str">
        <f>IFERROR(__xludf.DUMMYFUNCTION("""COMPUTED_VALUE"""),"None")</f>
        <v>None</v>
      </c>
      <c r="M436" s="27" t="str">
        <f>IFERROR(__xludf.DUMMYFUNCTION("""COMPUTED_VALUE"""),"N")</f>
        <v>N</v>
      </c>
      <c r="N436" s="24"/>
      <c r="O436" s="24"/>
      <c r="P436" s="28" t="str">
        <f>IFERROR(__xludf.DUMMYFUNCTION("""COMPUTED_VALUE"""),"The officer was attempting to gain control of a group of persons involved in a disturbance when one of the persons drew a weapon and fired into the air. The officer ordered the person to drop the weapon but he turned toward the officer instead causing the"&amp;" officer to shoot at the suspect.")</f>
        <v>The officer was attempting to gain control of a group of persons involved in a disturbance when one of the persons drew a weapon and fired into the air. The officer ordered the person to drop the weapon but he turned toward the officer instead causing the officer to shoot at the suspect.</v>
      </c>
      <c r="Q436" s="24"/>
      <c r="R436" s="24"/>
      <c r="S436" s="24"/>
      <c r="T436" s="24"/>
      <c r="U436" s="24"/>
      <c r="V436" s="24"/>
      <c r="W436" s="24"/>
      <c r="X436" s="24"/>
      <c r="Y436" s="24"/>
      <c r="Z436" s="24"/>
    </row>
    <row r="437" hidden="1">
      <c r="A437" s="29">
        <f>IFERROR(__xludf.DUMMYFUNCTION("""COMPUTED_VALUE"""),40679.0)</f>
        <v>40679</v>
      </c>
      <c r="B437" s="24">
        <f>IFERROR(__xludf.DUMMYFUNCTION("""COMPUTED_VALUE"""),6.2419311E7)</f>
        <v>62419311</v>
      </c>
      <c r="C437" s="24" t="str">
        <f>IFERROR(__xludf.DUMMYFUNCTION("""COMPUTED_VALUE"""),"800 Northwest Mall")</f>
        <v>800 Northwest Mall</v>
      </c>
      <c r="D437" s="26" t="str">
        <f>IFERROR(__xludf.DUMMYFUNCTION("""COMPUTED_VALUE"""),"M")</f>
        <v>M</v>
      </c>
      <c r="E437" s="26" t="str">
        <f>IFERROR(__xludf.DUMMYFUNCTION("""COMPUTED_VALUE"""),"H")</f>
        <v>H</v>
      </c>
      <c r="F437" s="26">
        <f>IFERROR(__xludf.DUMMYFUNCTION("""COMPUTED_VALUE"""),22.0)</f>
        <v>22</v>
      </c>
      <c r="G437" s="26" t="str">
        <f>IFERROR(__xludf.DUMMYFUNCTION("""COMPUTED_VALUE"""),"Wounded")</f>
        <v>Wounded</v>
      </c>
      <c r="H437" s="26" t="str">
        <f>IFERROR(__xludf.DUMMYFUNCTION("""COMPUTED_VALUE"""),"Firearm")</f>
        <v>Firearm</v>
      </c>
      <c r="I437" s="27" t="str">
        <f>IFERROR(__xludf.DUMMYFUNCTION("""COMPUTED_VALUE"""),"M")</f>
        <v>M</v>
      </c>
      <c r="J437" s="27" t="str">
        <f>IFERROR(__xludf.DUMMYFUNCTION("""COMPUTED_VALUE"""),"H")</f>
        <v>H</v>
      </c>
      <c r="K437" s="27">
        <f>IFERROR(__xludf.DUMMYFUNCTION("""COMPUTED_VALUE"""),36.0)</f>
        <v>36</v>
      </c>
      <c r="L437" s="27" t="str">
        <f>IFERROR(__xludf.DUMMYFUNCTION("""COMPUTED_VALUE"""),"None")</f>
        <v>None</v>
      </c>
      <c r="M437" s="27" t="str">
        <f>IFERROR(__xludf.DUMMYFUNCTION("""COMPUTED_VALUE"""),"N")</f>
        <v>N</v>
      </c>
      <c r="N437" s="24"/>
      <c r="O437" s="24"/>
      <c r="P437" s="28" t="str">
        <f>IFERROR(__xludf.DUMMYFUNCTION("""COMPUTED_VALUE"""),"Suspect was discharging a firearm from his vehicle. When he saw the officer approaching his vehicle, he attempted to flee but wrecked into a parked car. The officer then saw the suspect exit the vehicle with gun causing him to shoot the suspect.")</f>
        <v>Suspect was discharging a firearm from his vehicle. When he saw the officer approaching his vehicle, he attempted to flee but wrecked into a parked car. The officer then saw the suspect exit the vehicle with gun causing him to shoot the suspect.</v>
      </c>
      <c r="Q437" s="24"/>
      <c r="R437" s="24"/>
      <c r="S437" s="24"/>
      <c r="T437" s="24"/>
      <c r="U437" s="24"/>
      <c r="V437" s="24"/>
      <c r="W437" s="24"/>
      <c r="X437" s="24"/>
      <c r="Y437" s="24"/>
      <c r="Z437" s="24"/>
    </row>
    <row r="438" hidden="1">
      <c r="A438" s="29">
        <f>IFERROR(__xludf.DUMMYFUNCTION("""COMPUTED_VALUE"""),40670.0)</f>
        <v>40670</v>
      </c>
      <c r="B438" s="24">
        <f>IFERROR(__xludf.DUMMYFUNCTION("""COMPUTED_VALUE"""),5.8242911E7)</f>
        <v>58242911</v>
      </c>
      <c r="C438" s="24" t="str">
        <f>IFERROR(__xludf.DUMMYFUNCTION("""COMPUTED_VALUE"""),"2121 Main")</f>
        <v>2121 Main</v>
      </c>
      <c r="D438" s="26" t="str">
        <f>IFERROR(__xludf.DUMMYFUNCTION("""COMPUTED_VALUE"""),"M")</f>
        <v>M</v>
      </c>
      <c r="E438" s="26" t="str">
        <f>IFERROR(__xludf.DUMMYFUNCTION("""COMPUTED_VALUE"""),"B")</f>
        <v>B</v>
      </c>
      <c r="F438" s="26">
        <f>IFERROR(__xludf.DUMMYFUNCTION("""COMPUTED_VALUE"""),20.0)</f>
        <v>20</v>
      </c>
      <c r="G438" s="26" t="str">
        <f>IFERROR(__xludf.DUMMYFUNCTION("""COMPUTED_VALUE"""),"S")</f>
        <v>S</v>
      </c>
      <c r="H438" s="26" t="str">
        <f>IFERROR(__xludf.DUMMYFUNCTION("""COMPUTED_VALUE"""),"Firearm")</f>
        <v>Firearm</v>
      </c>
      <c r="I438" s="27" t="str">
        <f>IFERROR(__xludf.DUMMYFUNCTION("""COMPUTED_VALUE"""),"M")</f>
        <v>M</v>
      </c>
      <c r="J438" s="27" t="str">
        <f>IFERROR(__xludf.DUMMYFUNCTION("""COMPUTED_VALUE"""),"H")</f>
        <v>H</v>
      </c>
      <c r="K438" s="27">
        <f>IFERROR(__xludf.DUMMYFUNCTION("""COMPUTED_VALUE"""),24.0)</f>
        <v>24</v>
      </c>
      <c r="L438" s="27" t="str">
        <f>IFERROR(__xludf.DUMMYFUNCTION("""COMPUTED_VALUE"""),"Wounded")</f>
        <v>Wounded</v>
      </c>
      <c r="M438" s="27" t="str">
        <f>IFERROR(__xludf.DUMMYFUNCTION("""COMPUTED_VALUE"""),"N")</f>
        <v>N</v>
      </c>
      <c r="N438" s="24"/>
      <c r="O438" s="24">
        <f>IFERROR(__xludf.DUMMYFUNCTION("""COMPUTED_VALUE"""),1.0)</f>
        <v>1</v>
      </c>
      <c r="P438" s="24" t="str">
        <f>IFERROR(__xludf.DUMMYFUNCTION("""COMPUTED_VALUE"""),"Officer recieved a report of an armed person at the bus station. When the officer confronted him, the suspect drew a firearm and began firing at the officer. The suspect exchanged gunfire with officers at multiple locations. During the exchnages, both off"&amp;"icers and the suspect sustained gunshot wounds. The ordeal ended when the suspect shot himself.")</f>
        <v>Officer recieved a report of an armed person at the bus station. When the officer confronted him, the suspect drew a firearm and began firing at the officer. The suspect exchanged gunfire with officers at multiple locations. During the exchnages, both officers and the suspect sustained gunshot wounds. The ordeal ended when the suspect shot himself.</v>
      </c>
      <c r="Q438" s="24"/>
      <c r="R438" s="24"/>
      <c r="S438" s="24"/>
      <c r="T438" s="24"/>
      <c r="U438" s="24"/>
      <c r="V438" s="24"/>
      <c r="W438" s="24"/>
      <c r="X438" s="24"/>
      <c r="Y438" s="24"/>
      <c r="Z438" s="24"/>
    </row>
    <row r="439" hidden="1">
      <c r="A439" s="29"/>
      <c r="B439" s="24"/>
      <c r="C439" s="24"/>
      <c r="D439" s="26"/>
      <c r="E439" s="26"/>
      <c r="F439" s="26"/>
      <c r="G439" s="26"/>
      <c r="H439" s="26"/>
      <c r="I439" s="27" t="str">
        <f>IFERROR(__xludf.DUMMYFUNCTION("""COMPUTED_VALUE"""),"M")</f>
        <v>M</v>
      </c>
      <c r="J439" s="27" t="str">
        <f>IFERROR(__xludf.DUMMYFUNCTION("""COMPUTED_VALUE"""),"W")</f>
        <v>W</v>
      </c>
      <c r="K439" s="27">
        <f>IFERROR(__xludf.DUMMYFUNCTION("""COMPUTED_VALUE"""),36.0)</f>
        <v>36</v>
      </c>
      <c r="L439" s="27" t="str">
        <f>IFERROR(__xludf.DUMMYFUNCTION("""COMPUTED_VALUE"""),"Wounded")</f>
        <v>Wounded</v>
      </c>
      <c r="M439" s="27" t="str">
        <f>IFERROR(__xludf.DUMMYFUNCTION("""COMPUTED_VALUE"""),"Y")</f>
        <v>Y</v>
      </c>
      <c r="N439" s="24"/>
      <c r="O439" s="24">
        <f>IFERROR(__xludf.DUMMYFUNCTION("""COMPUTED_VALUE"""),1.0)</f>
        <v>1</v>
      </c>
      <c r="P439" s="24"/>
      <c r="Q439" s="24"/>
      <c r="R439" s="24"/>
      <c r="S439" s="24"/>
      <c r="T439" s="24"/>
      <c r="U439" s="24"/>
      <c r="V439" s="24"/>
      <c r="W439" s="24"/>
      <c r="X439" s="24"/>
      <c r="Y439" s="24"/>
      <c r="Z439" s="24"/>
    </row>
    <row r="440" hidden="1">
      <c r="A440" s="29"/>
      <c r="B440" s="24"/>
      <c r="C440" s="24"/>
      <c r="D440" s="26"/>
      <c r="E440" s="26"/>
      <c r="F440" s="26"/>
      <c r="G440" s="26"/>
      <c r="H440" s="26"/>
      <c r="I440" s="27" t="str">
        <f>IFERROR(__xludf.DUMMYFUNCTION("""COMPUTED_VALUE"""),"M")</f>
        <v>M</v>
      </c>
      <c r="J440" s="27" t="str">
        <f>IFERROR(__xludf.DUMMYFUNCTION("""COMPUTED_VALUE"""),"B")</f>
        <v>B</v>
      </c>
      <c r="K440" s="27">
        <f>IFERROR(__xludf.DUMMYFUNCTION("""COMPUTED_VALUE"""),34.0)</f>
        <v>34</v>
      </c>
      <c r="L440" s="27" t="str">
        <f>IFERROR(__xludf.DUMMYFUNCTION("""COMPUTED_VALUE"""),"None")</f>
        <v>None</v>
      </c>
      <c r="M440" s="27" t="str">
        <f>IFERROR(__xludf.DUMMYFUNCTION("""COMPUTED_VALUE"""),"Y")</f>
        <v>Y</v>
      </c>
      <c r="N440" s="24"/>
      <c r="O440" s="24">
        <f>IFERROR(__xludf.DUMMYFUNCTION("""COMPUTED_VALUE"""),1.0)</f>
        <v>1</v>
      </c>
      <c r="P440" s="24"/>
      <c r="Q440" s="24"/>
      <c r="R440" s="24"/>
      <c r="S440" s="24"/>
      <c r="T440" s="24"/>
      <c r="U440" s="24"/>
      <c r="V440" s="24"/>
      <c r="W440" s="24"/>
      <c r="X440" s="24"/>
      <c r="Y440" s="24"/>
      <c r="Z440" s="24"/>
    </row>
    <row r="441" hidden="1">
      <c r="A441" s="29"/>
      <c r="B441" s="24"/>
      <c r="C441" s="24"/>
      <c r="D441" s="26"/>
      <c r="E441" s="26"/>
      <c r="F441" s="26"/>
      <c r="G441" s="26"/>
      <c r="H441" s="26"/>
      <c r="I441" s="27" t="str">
        <f>IFERROR(__xludf.DUMMYFUNCTION("""COMPUTED_VALUE"""),"M")</f>
        <v>M</v>
      </c>
      <c r="J441" s="27" t="str">
        <f>IFERROR(__xludf.DUMMYFUNCTION("""COMPUTED_VALUE"""),"B")</f>
        <v>B</v>
      </c>
      <c r="K441" s="27">
        <f>IFERROR(__xludf.DUMMYFUNCTION("""COMPUTED_VALUE"""),32.0)</f>
        <v>32</v>
      </c>
      <c r="L441" s="27" t="str">
        <f>IFERROR(__xludf.DUMMYFUNCTION("""COMPUTED_VALUE"""),"None")</f>
        <v>None</v>
      </c>
      <c r="M441" s="27" t="str">
        <f>IFERROR(__xludf.DUMMYFUNCTION("""COMPUTED_VALUE"""),"Y")</f>
        <v>Y</v>
      </c>
      <c r="N441" s="24"/>
      <c r="O441" s="24">
        <f>IFERROR(__xludf.DUMMYFUNCTION("""COMPUTED_VALUE"""),1.0)</f>
        <v>1</v>
      </c>
      <c r="P441" s="24"/>
      <c r="Q441" s="24"/>
      <c r="R441" s="24"/>
      <c r="S441" s="24"/>
      <c r="T441" s="24"/>
      <c r="U441" s="24"/>
      <c r="V441" s="24"/>
      <c r="W441" s="24"/>
      <c r="X441" s="24"/>
      <c r="Y441" s="24"/>
      <c r="Z441" s="24"/>
    </row>
    <row r="442">
      <c r="A442" s="29">
        <f>IFERROR(__xludf.DUMMYFUNCTION("""COMPUTED_VALUE"""),40644.0)</f>
        <v>40644</v>
      </c>
      <c r="B442" s="24">
        <f>IFERROR(__xludf.DUMMYFUNCTION("""COMPUTED_VALUE"""),1.13007011E8)</f>
        <v>113007011</v>
      </c>
      <c r="C442" s="24" t="str">
        <f>IFERROR(__xludf.DUMMYFUNCTION("""COMPUTED_VALUE"""),"Protected By Law")</f>
        <v>Protected By Law</v>
      </c>
      <c r="D442" s="26" t="str">
        <f>IFERROR(__xludf.DUMMYFUNCTION("""COMPUTED_VALUE"""),"U")</f>
        <v>U</v>
      </c>
      <c r="E442" s="26" t="str">
        <f>IFERROR(__xludf.DUMMYFUNCTION("""COMPUTED_VALUE"""),"U")</f>
        <v>U</v>
      </c>
      <c r="F442" s="26"/>
      <c r="G442" s="26" t="str">
        <f>IFERROR(__xludf.DUMMYFUNCTION("""COMPUTED_VALUE"""),"Unknown")</f>
        <v>Unknown</v>
      </c>
      <c r="H442" s="26" t="str">
        <f>IFERROR(__xludf.DUMMYFUNCTION("""COMPUTED_VALUE"""),"Unknown")</f>
        <v>Unknown</v>
      </c>
      <c r="I442" s="27" t="str">
        <f>IFERROR(__xludf.DUMMYFUNCTION("""COMPUTED_VALUE"""),"M")</f>
        <v>M</v>
      </c>
      <c r="J442" s="27" t="str">
        <f>IFERROR(__xludf.DUMMYFUNCTION("""COMPUTED_VALUE"""),"H")</f>
        <v>H</v>
      </c>
      <c r="K442" s="27">
        <f>IFERROR(__xludf.DUMMYFUNCTION("""COMPUTED_VALUE"""),26.0)</f>
        <v>26</v>
      </c>
      <c r="L442" s="27" t="str">
        <f>IFERROR(__xludf.DUMMYFUNCTION("""COMPUTED_VALUE"""),"None")</f>
        <v>None</v>
      </c>
      <c r="M442" s="27" t="str">
        <f>IFERROR(__xludf.DUMMYFUNCTION("""COMPUTED_VALUE"""),"N")</f>
        <v>N</v>
      </c>
      <c r="N442" s="24"/>
      <c r="O442" s="24">
        <f>IFERROR(__xludf.DUMMYFUNCTION("""COMPUTED_VALUE"""),1.0)</f>
        <v>1</v>
      </c>
      <c r="P442" s="28" t="str">
        <f>IFERROR(__xludf.DUMMYFUNCTION("""COMPUTED_VALUE"""),"An unknown suspect was trying to enter the residence forcing the officer to shoot at the suspect.")</f>
        <v>An unknown suspect was trying to enter the residence forcing the officer to shoot at the suspect.</v>
      </c>
      <c r="Q442" s="24"/>
      <c r="R442" s="24"/>
      <c r="S442" s="24"/>
      <c r="T442" s="24"/>
      <c r="U442" s="24"/>
      <c r="V442" s="24"/>
      <c r="W442" s="24"/>
      <c r="X442" s="24"/>
      <c r="Y442" s="24"/>
      <c r="Z442" s="24"/>
    </row>
    <row r="443" hidden="1">
      <c r="A443" s="29">
        <f>IFERROR(__xludf.DUMMYFUNCTION("""COMPUTED_VALUE"""),40628.0)</f>
        <v>40628</v>
      </c>
      <c r="B443" s="24">
        <f>IFERROR(__xludf.DUMMYFUNCTION("""COMPUTED_VALUE"""),3.8048911E7)</f>
        <v>38048911</v>
      </c>
      <c r="C443" s="24" t="str">
        <f>IFERROR(__xludf.DUMMYFUNCTION("""COMPUTED_VALUE"""),"1 Goodson")</f>
        <v>1 Goodson</v>
      </c>
      <c r="D443" s="26" t="str">
        <f>IFERROR(__xludf.DUMMYFUNCTION("""COMPUTED_VALUE"""),"Juvenile")</f>
        <v>Juvenile</v>
      </c>
      <c r="E443" s="26" t="str">
        <f>IFERROR(__xludf.DUMMYFUNCTION("""COMPUTED_VALUE"""),"Juvenile")</f>
        <v>Juvenile</v>
      </c>
      <c r="F443" s="26"/>
      <c r="G443" s="26" t="str">
        <f>IFERROR(__xludf.DUMMYFUNCTION("""COMPUTED_VALUE"""),"Wounded")</f>
        <v>Wounded</v>
      </c>
      <c r="H443" s="26" t="str">
        <f>IFERROR(__xludf.DUMMYFUNCTION("""COMPUTED_VALUE"""),"None")</f>
        <v>None</v>
      </c>
      <c r="I443" s="27" t="str">
        <f>IFERROR(__xludf.DUMMYFUNCTION("""COMPUTED_VALUE"""),"M")</f>
        <v>M</v>
      </c>
      <c r="J443" s="27" t="str">
        <f>IFERROR(__xludf.DUMMYFUNCTION("""COMPUTED_VALUE"""),"W")</f>
        <v>W</v>
      </c>
      <c r="K443" s="27">
        <f>IFERROR(__xludf.DUMMYFUNCTION("""COMPUTED_VALUE"""),26.0)</f>
        <v>26</v>
      </c>
      <c r="L443" s="27" t="str">
        <f>IFERROR(__xludf.DUMMYFUNCTION("""COMPUTED_VALUE"""),"None")</f>
        <v>None</v>
      </c>
      <c r="M443" s="27" t="str">
        <f>IFERROR(__xludf.DUMMYFUNCTION("""COMPUTED_VALUE"""),"Y")</f>
        <v>Y</v>
      </c>
      <c r="N443" s="24"/>
      <c r="O443" s="24">
        <f>IFERROR(__xludf.DUMMYFUNCTION("""COMPUTED_VALUE"""),1.0)</f>
        <v>1</v>
      </c>
      <c r="P443" s="28" t="str">
        <f>IFERROR(__xludf.DUMMYFUNCTION("""COMPUTED_VALUE"""),"The officer pursued a vehicle that was occupied by suspects of a disturbance. The vehicle was wrecked at which time the driver got out of the car and started reaching into his pocket causing the officer to shoot him.")</f>
        <v>The officer pursued a vehicle that was occupied by suspects of a disturbance. The vehicle was wrecked at which time the driver got out of the car and started reaching into his pocket causing the officer to shoot him.</v>
      </c>
      <c r="Q443" s="24"/>
      <c r="R443" s="24"/>
      <c r="S443" s="24"/>
      <c r="T443" s="24"/>
      <c r="U443" s="24"/>
      <c r="V443" s="24"/>
      <c r="W443" s="24"/>
      <c r="X443" s="24"/>
      <c r="Y443" s="24"/>
      <c r="Z443" s="24"/>
    </row>
    <row r="444" hidden="1">
      <c r="A444" s="29">
        <f>IFERROR(__xludf.DUMMYFUNCTION("""COMPUTED_VALUE"""),40618.0)</f>
        <v>40618</v>
      </c>
      <c r="B444" s="24">
        <f>IFERROR(__xludf.DUMMYFUNCTION("""COMPUTED_VALUE"""),3.3289911E7)</f>
        <v>33289911</v>
      </c>
      <c r="C444" s="24" t="str">
        <f>IFERROR(__xludf.DUMMYFUNCTION("""COMPUTED_VALUE"""),"6767 Bennington")</f>
        <v>6767 Bennington</v>
      </c>
      <c r="D444" s="26" t="str">
        <f>IFERROR(__xludf.DUMMYFUNCTION("""COMPUTED_VALUE"""),"M")</f>
        <v>M</v>
      </c>
      <c r="E444" s="26" t="str">
        <f>IFERROR(__xludf.DUMMYFUNCTION("""COMPUTED_VALUE"""),"B")</f>
        <v>B</v>
      </c>
      <c r="F444" s="26">
        <f>IFERROR(__xludf.DUMMYFUNCTION("""COMPUTED_VALUE"""),31.0)</f>
        <v>31</v>
      </c>
      <c r="G444" s="26" t="str">
        <f>IFERROR(__xludf.DUMMYFUNCTION("""COMPUTED_VALUE"""),"Wounded")</f>
        <v>Wounded</v>
      </c>
      <c r="H444" s="26" t="str">
        <f>IFERROR(__xludf.DUMMYFUNCTION("""COMPUTED_VALUE"""),"Firearm")</f>
        <v>Firearm</v>
      </c>
      <c r="I444" s="27" t="str">
        <f>IFERROR(__xludf.DUMMYFUNCTION("""COMPUTED_VALUE"""),"M")</f>
        <v>M</v>
      </c>
      <c r="J444" s="27" t="str">
        <f>IFERROR(__xludf.DUMMYFUNCTION("""COMPUTED_VALUE"""),"B")</f>
        <v>B</v>
      </c>
      <c r="K444" s="27">
        <f>IFERROR(__xludf.DUMMYFUNCTION("""COMPUTED_VALUE"""),38.0)</f>
        <v>38</v>
      </c>
      <c r="L444" s="27" t="str">
        <f>IFERROR(__xludf.DUMMYFUNCTION("""COMPUTED_VALUE"""),"None")</f>
        <v>None</v>
      </c>
      <c r="M444" s="27" t="str">
        <f>IFERROR(__xludf.DUMMYFUNCTION("""COMPUTED_VALUE"""),"N")</f>
        <v>N</v>
      </c>
      <c r="N444" s="24"/>
      <c r="O444" s="24">
        <f>IFERROR(__xludf.DUMMYFUNCTION("""COMPUTED_VALUE"""),1.0)</f>
        <v>1</v>
      </c>
      <c r="P444" s="28" t="str">
        <f>IFERROR(__xludf.DUMMYFUNCTION("""COMPUTED_VALUE"""),"The officer was attempting to gain control of two suspects that were seated in a car. He then saw that one of the suspects was sitting on a pistol. As the officer began to back away from the car he saw the suspect make a move toward the pistol forcing the"&amp;" officer to shot him.")</f>
        <v>The officer was attempting to gain control of two suspects that were seated in a car. He then saw that one of the suspects was sitting on a pistol. As the officer began to back away from the car he saw the suspect make a move toward the pistol forcing the officer to shot him.</v>
      </c>
      <c r="Q444" s="24"/>
      <c r="R444" s="24"/>
      <c r="S444" s="24"/>
      <c r="T444" s="24"/>
      <c r="U444" s="24"/>
      <c r="V444" s="24"/>
      <c r="W444" s="24"/>
      <c r="X444" s="24"/>
      <c r="Y444" s="24"/>
      <c r="Z444" s="24"/>
    </row>
    <row r="445">
      <c r="A445" s="29">
        <f>IFERROR(__xludf.DUMMYFUNCTION("""COMPUTED_VALUE"""),40598.0)</f>
        <v>40598</v>
      </c>
      <c r="B445" s="24">
        <f>IFERROR(__xludf.DUMMYFUNCTION("""COMPUTED_VALUE"""),2.3788311E7)</f>
        <v>23788311</v>
      </c>
      <c r="C445" s="24" t="str">
        <f>IFERROR(__xludf.DUMMYFUNCTION("""COMPUTED_VALUE"""),"207 Buckboard")</f>
        <v>207 Buckboard</v>
      </c>
      <c r="D445" s="26" t="str">
        <f>IFERROR(__xludf.DUMMYFUNCTION("""COMPUTED_VALUE"""),"M")</f>
        <v>M</v>
      </c>
      <c r="E445" s="26" t="str">
        <f>IFERROR(__xludf.DUMMYFUNCTION("""COMPUTED_VALUE"""),"H")</f>
        <v>H</v>
      </c>
      <c r="F445" s="26">
        <f>IFERROR(__xludf.DUMMYFUNCTION("""COMPUTED_VALUE"""),30.0)</f>
        <v>30</v>
      </c>
      <c r="G445" s="26" t="str">
        <f>IFERROR(__xludf.DUMMYFUNCTION("""COMPUTED_VALUE"""),"None")</f>
        <v>None</v>
      </c>
      <c r="H445" s="26" t="str">
        <f>IFERROR(__xludf.DUMMYFUNCTION("""COMPUTED_VALUE"""),"None")</f>
        <v>None</v>
      </c>
      <c r="I445" s="27" t="str">
        <f>IFERROR(__xludf.DUMMYFUNCTION("""COMPUTED_VALUE"""),"M")</f>
        <v>M</v>
      </c>
      <c r="J445" s="27" t="str">
        <f>IFERROR(__xludf.DUMMYFUNCTION("""COMPUTED_VALUE"""),"P")</f>
        <v>P</v>
      </c>
      <c r="K445" s="27">
        <f>IFERROR(__xludf.DUMMYFUNCTION("""COMPUTED_VALUE"""),39.0)</f>
        <v>39</v>
      </c>
      <c r="L445" s="27" t="str">
        <f>IFERROR(__xludf.DUMMYFUNCTION("""COMPUTED_VALUE"""),"Wounded")</f>
        <v>Wounded</v>
      </c>
      <c r="M445" s="27" t="str">
        <f>IFERROR(__xludf.DUMMYFUNCTION("""COMPUTED_VALUE"""),"Y")</f>
        <v>Y</v>
      </c>
      <c r="N445" s="24"/>
      <c r="O445" s="24"/>
      <c r="P445" s="28" t="str">
        <f>IFERROR(__xludf.DUMMYFUNCTION("""COMPUTED_VALUE"""),"The officers were executing a narcotics search warrant when the suspects fired at and shot one one of the officers.")</f>
        <v>The officers were executing a narcotics search warrant when the suspects fired at and shot one one of the officers.</v>
      </c>
      <c r="Q445" s="24"/>
      <c r="R445" s="24"/>
      <c r="S445" s="24"/>
      <c r="T445" s="24"/>
      <c r="U445" s="24"/>
      <c r="V445" s="24"/>
      <c r="W445" s="24"/>
      <c r="X445" s="24"/>
      <c r="Y445" s="24"/>
      <c r="Z445" s="24"/>
    </row>
    <row r="446" hidden="1">
      <c r="A446" s="29"/>
      <c r="B446" s="24"/>
      <c r="C446" s="24"/>
      <c r="D446" s="26"/>
      <c r="E446" s="26"/>
      <c r="F446" s="26"/>
      <c r="G446" s="26"/>
      <c r="H446" s="26"/>
      <c r="I446" s="27" t="str">
        <f>IFERROR(__xludf.DUMMYFUNCTION("""COMPUTED_VALUE"""),"M")</f>
        <v>M</v>
      </c>
      <c r="J446" s="27" t="str">
        <f>IFERROR(__xludf.DUMMYFUNCTION("""COMPUTED_VALUE"""),"H")</f>
        <v>H</v>
      </c>
      <c r="K446" s="27">
        <f>IFERROR(__xludf.DUMMYFUNCTION("""COMPUTED_VALUE"""),50.0)</f>
        <v>50</v>
      </c>
      <c r="L446" s="27" t="str">
        <f>IFERROR(__xludf.DUMMYFUNCTION("""COMPUTED_VALUE"""),"None")</f>
        <v>None</v>
      </c>
      <c r="M446" s="27" t="str">
        <f>IFERROR(__xludf.DUMMYFUNCTION("""COMPUTED_VALUE"""),"Y")</f>
        <v>Y</v>
      </c>
      <c r="N446" s="24"/>
      <c r="O446" s="24">
        <f>IFERROR(__xludf.DUMMYFUNCTION("""COMPUTED_VALUE"""),1.0)</f>
        <v>1</v>
      </c>
      <c r="P446" s="24"/>
      <c r="Q446" s="24"/>
      <c r="R446" s="24"/>
      <c r="S446" s="24"/>
      <c r="T446" s="24"/>
      <c r="U446" s="24"/>
      <c r="V446" s="24"/>
      <c r="W446" s="24"/>
      <c r="X446" s="24"/>
      <c r="Y446" s="24"/>
      <c r="Z446" s="24"/>
    </row>
    <row r="447">
      <c r="A447" s="29"/>
      <c r="B447" s="24"/>
      <c r="C447" s="24"/>
      <c r="D447" s="26" t="str">
        <f>IFERROR(__xludf.DUMMYFUNCTION("""COMPUTED_VALUE"""),"M")</f>
        <v>M</v>
      </c>
      <c r="E447" s="26" t="str">
        <f>IFERROR(__xludf.DUMMYFUNCTION("""COMPUTED_VALUE"""),"H")</f>
        <v>H</v>
      </c>
      <c r="F447" s="26">
        <f>IFERROR(__xludf.DUMMYFUNCTION("""COMPUTED_VALUE"""),33.0)</f>
        <v>33</v>
      </c>
      <c r="G447" s="26" t="str">
        <f>IFERROR(__xludf.DUMMYFUNCTION("""COMPUTED_VALUE"""),"None")</f>
        <v>None</v>
      </c>
      <c r="H447" s="26" t="str">
        <f>IFERROR(__xludf.DUMMYFUNCTION("""COMPUTED_VALUE"""),"Firearm")</f>
        <v>Firearm</v>
      </c>
      <c r="I447" s="27" t="str">
        <f>IFERROR(__xludf.DUMMYFUNCTION("""COMPUTED_VALUE"""),"M")</f>
        <v>M</v>
      </c>
      <c r="J447" s="27" t="str">
        <f>IFERROR(__xludf.DUMMYFUNCTION("""COMPUTED_VALUE"""),"B")</f>
        <v>B</v>
      </c>
      <c r="K447" s="27">
        <f>IFERROR(__xludf.DUMMYFUNCTION("""COMPUTED_VALUE"""),40.0)</f>
        <v>40</v>
      </c>
      <c r="L447" s="27" t="str">
        <f>IFERROR(__xludf.DUMMYFUNCTION("""COMPUTED_VALUE"""),"None")</f>
        <v>None</v>
      </c>
      <c r="M447" s="27" t="str">
        <f>IFERROR(__xludf.DUMMYFUNCTION("""COMPUTED_VALUE"""),"Y")</f>
        <v>Y</v>
      </c>
      <c r="N447" s="24"/>
      <c r="O447" s="24"/>
      <c r="P447" s="28"/>
      <c r="Q447" s="24"/>
      <c r="R447" s="24"/>
      <c r="S447" s="24"/>
      <c r="T447" s="24"/>
      <c r="U447" s="24"/>
      <c r="V447" s="24"/>
      <c r="W447" s="24"/>
      <c r="X447" s="24"/>
      <c r="Y447" s="24"/>
      <c r="Z447" s="24"/>
    </row>
    <row r="448" hidden="1">
      <c r="A448" s="29">
        <f>IFERROR(__xludf.DUMMYFUNCTION("""COMPUTED_VALUE"""),40593.0)</f>
        <v>40593</v>
      </c>
      <c r="B448" s="24">
        <f>IFERROR(__xludf.DUMMYFUNCTION("""COMPUTED_VALUE"""),2.1505611E7)</f>
        <v>21505611</v>
      </c>
      <c r="C448" s="24" t="str">
        <f>IFERROR(__xludf.DUMMYFUNCTION("""COMPUTED_VALUE"""),"1900 W. Gray")</f>
        <v>1900 W. Gray</v>
      </c>
      <c r="D448" s="26" t="str">
        <f>IFERROR(__xludf.DUMMYFUNCTION("""COMPUTED_VALUE"""),"M")</f>
        <v>M</v>
      </c>
      <c r="E448" s="26" t="str">
        <f>IFERROR(__xludf.DUMMYFUNCTION("""COMPUTED_VALUE"""),"H")</f>
        <v>H</v>
      </c>
      <c r="F448" s="26">
        <f>IFERROR(__xludf.DUMMYFUNCTION("""COMPUTED_VALUE"""),29.0)</f>
        <v>29</v>
      </c>
      <c r="G448" s="26" t="str">
        <f>IFERROR(__xludf.DUMMYFUNCTION("""COMPUTED_VALUE"""),"Killed")</f>
        <v>Killed</v>
      </c>
      <c r="H448" s="26" t="str">
        <f>IFERROR(__xludf.DUMMYFUNCTION("""COMPUTED_VALUE"""),"None")</f>
        <v>None</v>
      </c>
      <c r="I448" s="27" t="str">
        <f>IFERROR(__xludf.DUMMYFUNCTION("""COMPUTED_VALUE"""),"M")</f>
        <v>M</v>
      </c>
      <c r="J448" s="27" t="str">
        <f>IFERROR(__xludf.DUMMYFUNCTION("""COMPUTED_VALUE"""),"W")</f>
        <v>W</v>
      </c>
      <c r="K448" s="27">
        <f>IFERROR(__xludf.DUMMYFUNCTION("""COMPUTED_VALUE"""),37.0)</f>
        <v>37</v>
      </c>
      <c r="L448" s="27" t="str">
        <f>IFERROR(__xludf.DUMMYFUNCTION("""COMPUTED_VALUE"""),"Wounded")</f>
        <v>Wounded</v>
      </c>
      <c r="M448" s="27" t="str">
        <f>IFERROR(__xludf.DUMMYFUNCTION("""COMPUTED_VALUE"""),"N")</f>
        <v>N</v>
      </c>
      <c r="N448" s="24"/>
      <c r="O448" s="24">
        <f>IFERROR(__xludf.DUMMYFUNCTION("""COMPUTED_VALUE"""),1.0)</f>
        <v>1</v>
      </c>
      <c r="P448" s="24" t="str">
        <f>IFERROR(__xludf.DUMMYFUNCTION("""COMPUTED_VALUE"""),"An off duty officer on viewed a disturbance. He was trying to break up the parties involved when he heard someone say that they had a gun. The officer looked and saw a male reaching toward his waistband area so the officer shot him. A person with that ind"&amp;"ividual made a threatening move so the officer discharged and shot him as well.")</f>
        <v>An off duty officer on viewed a disturbance. He was trying to break up the parties involved when he heard someone say that they had a gun. The officer looked and saw a male reaching toward his waistband area so the officer shot him. A person with that individual made a threatening move so the officer discharged and shot him as well.</v>
      </c>
      <c r="Q448" s="24"/>
      <c r="R448" s="24"/>
      <c r="S448" s="24"/>
      <c r="T448" s="24"/>
      <c r="U448" s="24"/>
      <c r="V448" s="24"/>
      <c r="W448" s="24"/>
      <c r="X448" s="24"/>
      <c r="Y448" s="24"/>
      <c r="Z448" s="24"/>
    </row>
    <row r="449" hidden="1">
      <c r="A449" s="29"/>
      <c r="B449" s="24"/>
      <c r="C449" s="24"/>
      <c r="D449" s="26" t="str">
        <f>IFERROR(__xludf.DUMMYFUNCTION("""COMPUTED_VALUE"""),"M")</f>
        <v>M</v>
      </c>
      <c r="E449" s="26" t="str">
        <f>IFERROR(__xludf.DUMMYFUNCTION("""COMPUTED_VALUE"""),"H")</f>
        <v>H</v>
      </c>
      <c r="F449" s="26">
        <f>IFERROR(__xludf.DUMMYFUNCTION("""COMPUTED_VALUE"""),27.0)</f>
        <v>27</v>
      </c>
      <c r="G449" s="26" t="str">
        <f>IFERROR(__xludf.DUMMYFUNCTION("""COMPUTED_VALUE"""),"Wounded")</f>
        <v>Wounded</v>
      </c>
      <c r="H449" s="26" t="str">
        <f>IFERROR(__xludf.DUMMYFUNCTION("""COMPUTED_VALUE"""),"None")</f>
        <v>None</v>
      </c>
      <c r="I449" s="27"/>
      <c r="J449" s="27"/>
      <c r="K449" s="27"/>
      <c r="L449" s="27"/>
      <c r="M449" s="27"/>
      <c r="N449" s="24"/>
      <c r="O449" s="24"/>
      <c r="P449" s="28"/>
      <c r="Q449" s="24"/>
      <c r="R449" s="24"/>
      <c r="S449" s="24"/>
      <c r="T449" s="24"/>
      <c r="U449" s="24"/>
      <c r="V449" s="24"/>
      <c r="W449" s="24"/>
      <c r="X449" s="24"/>
      <c r="Y449" s="24"/>
      <c r="Z449" s="24"/>
    </row>
    <row r="450" hidden="1">
      <c r="A450" s="29">
        <f>IFERROR(__xludf.DUMMYFUNCTION("""COMPUTED_VALUE"""),40588.0)</f>
        <v>40588</v>
      </c>
      <c r="B450" s="24">
        <f>IFERROR(__xludf.DUMMYFUNCTION("""COMPUTED_VALUE"""),1.9185611E7)</f>
        <v>19185611</v>
      </c>
      <c r="C450" s="24" t="str">
        <f>IFERROR(__xludf.DUMMYFUNCTION("""COMPUTED_VALUE"""),"13824 Rosetta")</f>
        <v>13824 Rosetta</v>
      </c>
      <c r="D450" s="26" t="str">
        <f>IFERROR(__xludf.DUMMYFUNCTION("""COMPUTED_VALUE"""),"M")</f>
        <v>M</v>
      </c>
      <c r="E450" s="26" t="str">
        <f>IFERROR(__xludf.DUMMYFUNCTION("""COMPUTED_VALUE"""),"W")</f>
        <v>W</v>
      </c>
      <c r="F450" s="26">
        <f>IFERROR(__xludf.DUMMYFUNCTION("""COMPUTED_VALUE"""),32.0)</f>
        <v>32</v>
      </c>
      <c r="G450" s="26" t="str">
        <f>IFERROR(__xludf.DUMMYFUNCTION("""COMPUTED_VALUE"""),"Killed")</f>
        <v>Killed</v>
      </c>
      <c r="H450" s="26" t="str">
        <f>IFERROR(__xludf.DUMMYFUNCTION("""COMPUTED_VALUE"""),"Knife")</f>
        <v>Knife</v>
      </c>
      <c r="I450" s="27" t="str">
        <f>IFERROR(__xludf.DUMMYFUNCTION("""COMPUTED_VALUE"""),"M")</f>
        <v>M</v>
      </c>
      <c r="J450" s="27" t="str">
        <f>IFERROR(__xludf.DUMMYFUNCTION("""COMPUTED_VALUE"""),"H")</f>
        <v>H</v>
      </c>
      <c r="K450" s="27">
        <f>IFERROR(__xludf.DUMMYFUNCTION("""COMPUTED_VALUE"""),36.0)</f>
        <v>36</v>
      </c>
      <c r="L450" s="27" t="str">
        <f>IFERROR(__xludf.DUMMYFUNCTION("""COMPUTED_VALUE"""),"None")</f>
        <v>None</v>
      </c>
      <c r="M450" s="27" t="str">
        <f>IFERROR(__xludf.DUMMYFUNCTION("""COMPUTED_VALUE"""),"N")</f>
        <v>N</v>
      </c>
      <c r="N450" s="24"/>
      <c r="O450" s="24">
        <f>IFERROR(__xludf.DUMMYFUNCTION("""COMPUTED_VALUE"""),1.0)</f>
        <v>1</v>
      </c>
      <c r="P450" s="24" t="str">
        <f>IFERROR(__xludf.DUMMYFUNCTION("""COMPUTED_VALUE"""),"Officer was approached to assist with a disturbance. The officer confronted the suspect who was armed with a knife. The suspect refused to drop the knife forcing the officer to have to shoot him.")</f>
        <v>Officer was approached to assist with a disturbance. The officer confronted the suspect who was armed with a knife. The suspect refused to drop the knife forcing the officer to have to shoot him.</v>
      </c>
      <c r="Q450" s="24"/>
      <c r="R450" s="24"/>
      <c r="S450" s="24"/>
      <c r="T450" s="24"/>
      <c r="U450" s="24"/>
      <c r="V450" s="24"/>
      <c r="W450" s="24"/>
      <c r="X450" s="24"/>
      <c r="Y450" s="24"/>
      <c r="Z450" s="24"/>
    </row>
    <row r="451">
      <c r="A451" s="29">
        <f>IFERROR(__xludf.DUMMYFUNCTION("""COMPUTED_VALUE"""),40543.0)</f>
        <v>40543</v>
      </c>
      <c r="B451" s="24">
        <f>IFERROR(__xludf.DUMMYFUNCTION("""COMPUTED_VALUE"""),1.8170921E8)</f>
        <v>181709210</v>
      </c>
      <c r="C451" s="24" t="str">
        <f>IFERROR(__xludf.DUMMYFUNCTION("""COMPUTED_VALUE"""),"3403 Mangum")</f>
        <v>3403 Mangum</v>
      </c>
      <c r="D451" s="26" t="str">
        <f>IFERROR(__xludf.DUMMYFUNCTION("""COMPUTED_VALUE"""),"M")</f>
        <v>M</v>
      </c>
      <c r="E451" s="26" t="str">
        <f>IFERROR(__xludf.DUMMYFUNCTION("""COMPUTED_VALUE"""),"H")</f>
        <v>H</v>
      </c>
      <c r="F451" s="26"/>
      <c r="G451" s="26" t="str">
        <f>IFERROR(__xludf.DUMMYFUNCTION("""COMPUTED_VALUE"""),"None")</f>
        <v>None</v>
      </c>
      <c r="H451" s="26" t="str">
        <f>IFERROR(__xludf.DUMMYFUNCTION("""COMPUTED_VALUE"""),"Firearm")</f>
        <v>Firearm</v>
      </c>
      <c r="I451" s="27" t="str">
        <f>IFERROR(__xludf.DUMMYFUNCTION("""COMPUTED_VALUE"""),"M")</f>
        <v>M</v>
      </c>
      <c r="J451" s="27" t="str">
        <f>IFERROR(__xludf.DUMMYFUNCTION("""COMPUTED_VALUE"""),"W")</f>
        <v>W</v>
      </c>
      <c r="K451" s="27">
        <f>IFERROR(__xludf.DUMMYFUNCTION("""COMPUTED_VALUE"""),37.0)</f>
        <v>37</v>
      </c>
      <c r="L451" s="27" t="str">
        <f>IFERROR(__xludf.DUMMYFUNCTION("""COMPUTED_VALUE"""),"None")</f>
        <v>None</v>
      </c>
      <c r="M451" s="27" t="str">
        <f>IFERROR(__xludf.DUMMYFUNCTION("""COMPUTED_VALUE"""),"Y")</f>
        <v>Y</v>
      </c>
      <c r="N451" s="24"/>
      <c r="O451" s="24">
        <f>IFERROR(__xludf.DUMMYFUNCTION("""COMPUTED_VALUE"""),1.0)</f>
        <v>1</v>
      </c>
      <c r="P451" s="28" t="str">
        <f>IFERROR(__xludf.DUMMYFUNCTION("""COMPUTED_VALUE"""),"The officer saw two masked suspects armed with weapons enter a store so he pulled into the parking lot of the location and set up in a position of cover. Teh officer engaged the suspects as they existed the store in an attempt to detain them. One of the s"&amp;"uspects pointed his weapon at the officer causing the officer to shoot at the suspect.")</f>
        <v>The officer saw two masked suspects armed with weapons enter a store so he pulled into the parking lot of the location and set up in a position of cover. Teh officer engaged the suspects as they existed the store in an attempt to detain them. One of the suspects pointed his weapon at the officer causing the officer to shoot at the suspect.</v>
      </c>
      <c r="Q451" s="24"/>
      <c r="R451" s="24"/>
      <c r="S451" s="24"/>
      <c r="T451" s="24"/>
      <c r="U451" s="24"/>
      <c r="V451" s="24"/>
      <c r="W451" s="24"/>
      <c r="X451" s="24"/>
      <c r="Y451" s="24"/>
      <c r="Z451" s="24"/>
    </row>
    <row r="452" hidden="1">
      <c r="A452" s="29">
        <f>IFERROR(__xludf.DUMMYFUNCTION("""COMPUTED_VALUE"""),40541.0)</f>
        <v>40541</v>
      </c>
      <c r="B452" s="24">
        <f>IFERROR(__xludf.DUMMYFUNCTION("""COMPUTED_VALUE"""),1.8091741E8)</f>
        <v>180917410</v>
      </c>
      <c r="C452" s="24" t="str">
        <f>IFERROR(__xludf.DUMMYFUNCTION("""COMPUTED_VALUE"""),"3800 Jensen")</f>
        <v>3800 Jensen</v>
      </c>
      <c r="D452" s="26" t="str">
        <f>IFERROR(__xludf.DUMMYFUNCTION("""COMPUTED_VALUE"""),"M")</f>
        <v>M</v>
      </c>
      <c r="E452" s="26" t="str">
        <f>IFERROR(__xludf.DUMMYFUNCTION("""COMPUTED_VALUE"""),"B")</f>
        <v>B</v>
      </c>
      <c r="F452" s="26">
        <f>IFERROR(__xludf.DUMMYFUNCTION("""COMPUTED_VALUE"""),26.0)</f>
        <v>26</v>
      </c>
      <c r="G452" s="26" t="str">
        <f>IFERROR(__xludf.DUMMYFUNCTION("""COMPUTED_VALUE"""),"Killed")</f>
        <v>Killed</v>
      </c>
      <c r="H452" s="26" t="str">
        <f>IFERROR(__xludf.DUMMYFUNCTION("""COMPUTED_VALUE"""),"Firearm")</f>
        <v>Firearm</v>
      </c>
      <c r="I452" s="27" t="str">
        <f>IFERROR(__xludf.DUMMYFUNCTION("""COMPUTED_VALUE"""),"M")</f>
        <v>M</v>
      </c>
      <c r="J452" s="27" t="str">
        <f>IFERROR(__xludf.DUMMYFUNCTION("""COMPUTED_VALUE"""),"W")</f>
        <v>W</v>
      </c>
      <c r="K452" s="27">
        <f>IFERROR(__xludf.DUMMYFUNCTION("""COMPUTED_VALUE"""),28.0)</f>
        <v>28</v>
      </c>
      <c r="L452" s="27" t="str">
        <f>IFERROR(__xludf.DUMMYFUNCTION("""COMPUTED_VALUE"""),"None")</f>
        <v>None</v>
      </c>
      <c r="M452" s="27" t="str">
        <f>IFERROR(__xludf.DUMMYFUNCTION("""COMPUTED_VALUE"""),"Y")</f>
        <v>Y</v>
      </c>
      <c r="N452" s="24"/>
      <c r="O452" s="24"/>
      <c r="P452" s="24" t="str">
        <f>IFERROR(__xludf.DUMMYFUNCTION("""COMPUTED_VALUE"""),"Officers stopped the suspect for a violation of a municipal ordinance. The suspect then attempted to get something from his pocket at which time the officers engaged in a physical confrontation with the suspect. The suspect was able to break free and pull"&amp;"ed a weapon from his pocket and pointed it at the officer causing the officer to shoot the suspect.")</f>
        <v>Officers stopped the suspect for a violation of a municipal ordinance. The suspect then attempted to get something from his pocket at which time the officers engaged in a physical confrontation with the suspect. The suspect was able to break free and pulled a weapon from his pocket and pointed it at the officer causing the officer to shoot the suspect.</v>
      </c>
      <c r="Q452" s="24"/>
      <c r="R452" s="24"/>
      <c r="S452" s="24"/>
      <c r="T452" s="24"/>
      <c r="U452" s="24"/>
      <c r="V452" s="24"/>
      <c r="W452" s="24"/>
      <c r="X452" s="24"/>
      <c r="Y452" s="24"/>
      <c r="Z452" s="24"/>
    </row>
    <row r="453" hidden="1">
      <c r="A453" s="29">
        <f>IFERROR(__xludf.DUMMYFUNCTION("""COMPUTED_VALUE"""),40528.0)</f>
        <v>40528</v>
      </c>
      <c r="B453" s="24">
        <f>IFERROR(__xludf.DUMMYFUNCTION("""COMPUTED_VALUE"""),1.7496451E8)</f>
        <v>174964510</v>
      </c>
      <c r="C453" s="24" t="str">
        <f>IFERROR(__xludf.DUMMYFUNCTION("""COMPUTED_VALUE"""),"9802 Forum Park")</f>
        <v>9802 Forum Park</v>
      </c>
      <c r="D453" s="26" t="str">
        <f>IFERROR(__xludf.DUMMYFUNCTION("""COMPUTED_VALUE"""),"F")</f>
        <v>F</v>
      </c>
      <c r="E453" s="26" t="str">
        <f>IFERROR(__xludf.DUMMYFUNCTION("""COMPUTED_VALUE"""),"B")</f>
        <v>B</v>
      </c>
      <c r="F453" s="26">
        <f>IFERROR(__xludf.DUMMYFUNCTION("""COMPUTED_VALUE"""),20.0)</f>
        <v>20</v>
      </c>
      <c r="G453" s="26" t="str">
        <f>IFERROR(__xludf.DUMMYFUNCTION("""COMPUTED_VALUE"""),"Killed")</f>
        <v>Killed</v>
      </c>
      <c r="H453" s="26" t="str">
        <f>IFERROR(__xludf.DUMMYFUNCTION("""COMPUTED_VALUE"""),"Firearm")</f>
        <v>Firearm</v>
      </c>
      <c r="I453" s="27" t="str">
        <f>IFERROR(__xludf.DUMMYFUNCTION("""COMPUTED_VALUE"""),"M")</f>
        <v>M</v>
      </c>
      <c r="J453" s="27" t="str">
        <f>IFERROR(__xludf.DUMMYFUNCTION("""COMPUTED_VALUE"""),"P")</f>
        <v>P</v>
      </c>
      <c r="K453" s="27">
        <f>IFERROR(__xludf.DUMMYFUNCTION("""COMPUTED_VALUE"""),34.0)</f>
        <v>34</v>
      </c>
      <c r="L453" s="27" t="str">
        <f>IFERROR(__xludf.DUMMYFUNCTION("""COMPUTED_VALUE"""),"None")</f>
        <v>None</v>
      </c>
      <c r="M453" s="27" t="str">
        <f>IFERROR(__xludf.DUMMYFUNCTION("""COMPUTED_VALUE"""),"Y")</f>
        <v>Y</v>
      </c>
      <c r="N453" s="24"/>
      <c r="O453" s="24">
        <f>IFERROR(__xludf.DUMMYFUNCTION("""COMPUTED_VALUE"""),1.0)</f>
        <v>1</v>
      </c>
      <c r="P453" s="24" t="str">
        <f>IFERROR(__xludf.DUMMYFUNCTION("""COMPUTED_VALUE"""),"The officer located a pair of armde robbery suspects sitting in a vehicle. The suspects fled the vehicle when the officer attempted to contain them. The officer saw that one of the suspects had a pistol and as the suspect ran, she turned and pointed the w"&amp;"eapon at the officer causing the officer to shoot the suspect.")</f>
        <v>The officer located a pair of armde robbery suspects sitting in a vehicle. The suspects fled the vehicle when the officer attempted to contain them. The officer saw that one of the suspects had a pistol and as the suspect ran, she turned and pointed the weapon at the officer causing the officer to shoot the suspect.</v>
      </c>
      <c r="Q453" s="24"/>
      <c r="R453" s="24"/>
      <c r="S453" s="24"/>
      <c r="T453" s="24"/>
      <c r="U453" s="24"/>
      <c r="V453" s="24"/>
      <c r="W453" s="24"/>
      <c r="X453" s="24"/>
      <c r="Y453" s="24"/>
      <c r="Z453" s="24"/>
    </row>
    <row r="454" hidden="1">
      <c r="A454" s="29">
        <f>IFERROR(__xludf.DUMMYFUNCTION("""COMPUTED_VALUE"""),40524.0)</f>
        <v>40524</v>
      </c>
      <c r="B454" s="24">
        <f>IFERROR(__xludf.DUMMYFUNCTION("""COMPUTED_VALUE"""),1.7320831E8)</f>
        <v>173208310</v>
      </c>
      <c r="C454" s="24" t="str">
        <f>IFERROR(__xludf.DUMMYFUNCTION("""COMPUTED_VALUE"""),"5100 Westheimer Rd")</f>
        <v>5100 Westheimer Rd</v>
      </c>
      <c r="D454" s="26" t="str">
        <f>IFERROR(__xludf.DUMMYFUNCTION("""COMPUTED_VALUE"""),"M")</f>
        <v>M</v>
      </c>
      <c r="E454" s="26" t="str">
        <f>IFERROR(__xludf.DUMMYFUNCTION("""COMPUTED_VALUE"""),"A")</f>
        <v>A</v>
      </c>
      <c r="F454" s="26">
        <f>IFERROR(__xludf.DUMMYFUNCTION("""COMPUTED_VALUE"""),28.0)</f>
        <v>28</v>
      </c>
      <c r="G454" s="26" t="str">
        <f>IFERROR(__xludf.DUMMYFUNCTION("""COMPUTED_VALUE"""),"Wounded")</f>
        <v>Wounded</v>
      </c>
      <c r="H454" s="26" t="str">
        <f>IFERROR(__xludf.DUMMYFUNCTION("""COMPUTED_VALUE"""),"Firearm")</f>
        <v>Firearm</v>
      </c>
      <c r="I454" s="27" t="str">
        <f>IFERROR(__xludf.DUMMYFUNCTION("""COMPUTED_VALUE"""),"M")</f>
        <v>M</v>
      </c>
      <c r="J454" s="27" t="str">
        <f>IFERROR(__xludf.DUMMYFUNCTION("""COMPUTED_VALUE"""),"B")</f>
        <v>B</v>
      </c>
      <c r="K454" s="27">
        <f>IFERROR(__xludf.DUMMYFUNCTION("""COMPUTED_VALUE"""),38.0)</f>
        <v>38</v>
      </c>
      <c r="L454" s="27" t="str">
        <f>IFERROR(__xludf.DUMMYFUNCTION("""COMPUTED_VALUE"""),"None")</f>
        <v>None</v>
      </c>
      <c r="M454" s="27" t="str">
        <f>IFERROR(__xludf.DUMMYFUNCTION("""COMPUTED_VALUE"""),"N")</f>
        <v>N</v>
      </c>
      <c r="N454" s="24"/>
      <c r="O454" s="24"/>
      <c r="P454" s="28" t="str">
        <f>IFERROR(__xludf.DUMMYFUNCTION("""COMPUTED_VALUE"""),"Officers were attempting to contain a pair of suspects who were in a vehicle. THe officers saw a firearm being discharged from the vehicle and as they approached the vehicle, the suspect pointed the weapon outside the vehicle at them. The officer were att"&amp;"empting to get the suspects to exit the vehicle when one of the suspects made a move as if to attempt ot shoot at the officers causing the officers to shoot at the suspect.")</f>
        <v>Officers were attempting to contain a pair of suspects who were in a vehicle. THe officers saw a firearm being discharged from the vehicle and as they approached the vehicle, the suspect pointed the weapon outside the vehicle at them. The officer were attempting to get the suspects to exit the vehicle when one of the suspects made a move as if to attempt ot shoot at the officers causing the officers to shoot at the suspect.</v>
      </c>
      <c r="Q454" s="24"/>
      <c r="R454" s="24"/>
      <c r="S454" s="24"/>
      <c r="T454" s="24"/>
      <c r="U454" s="24"/>
      <c r="V454" s="24"/>
      <c r="W454" s="24"/>
      <c r="X454" s="24"/>
      <c r="Y454" s="24"/>
      <c r="Z454" s="24"/>
    </row>
    <row r="455" hidden="1">
      <c r="A455" s="29"/>
      <c r="B455" s="24"/>
      <c r="C455" s="24"/>
      <c r="D455" s="26" t="str">
        <f>IFERROR(__xludf.DUMMYFUNCTION("""COMPUTED_VALUE"""),"M")</f>
        <v>M</v>
      </c>
      <c r="E455" s="26" t="str">
        <f>IFERROR(__xludf.DUMMYFUNCTION("""COMPUTED_VALUE"""),"A")</f>
        <v>A</v>
      </c>
      <c r="F455" s="26">
        <f>IFERROR(__xludf.DUMMYFUNCTION("""COMPUTED_VALUE"""),28.0)</f>
        <v>28</v>
      </c>
      <c r="G455" s="26" t="str">
        <f>IFERROR(__xludf.DUMMYFUNCTION("""COMPUTED_VALUE"""),"Wounded")</f>
        <v>Wounded</v>
      </c>
      <c r="H455" s="26" t="str">
        <f>IFERROR(__xludf.DUMMYFUNCTION("""COMPUTED_VALUE"""),"Firearm")</f>
        <v>Firearm</v>
      </c>
      <c r="I455" s="27" t="str">
        <f>IFERROR(__xludf.DUMMYFUNCTION("""COMPUTED_VALUE"""),"M")</f>
        <v>M</v>
      </c>
      <c r="J455" s="27" t="str">
        <f>IFERROR(__xludf.DUMMYFUNCTION("""COMPUTED_VALUE"""),"B")</f>
        <v>B</v>
      </c>
      <c r="K455" s="27">
        <f>IFERROR(__xludf.DUMMYFUNCTION("""COMPUTED_VALUE"""),29.0)</f>
        <v>29</v>
      </c>
      <c r="L455" s="27" t="str">
        <f>IFERROR(__xludf.DUMMYFUNCTION("""COMPUTED_VALUE"""),"None")</f>
        <v>None</v>
      </c>
      <c r="M455" s="27" t="str">
        <f>IFERROR(__xludf.DUMMYFUNCTION("""COMPUTED_VALUE"""),"N")</f>
        <v>N</v>
      </c>
      <c r="N455" s="24"/>
      <c r="O455" s="24"/>
      <c r="P455" s="28"/>
      <c r="Q455" s="24"/>
      <c r="R455" s="24"/>
      <c r="S455" s="24"/>
      <c r="T455" s="24"/>
      <c r="U455" s="24"/>
      <c r="V455" s="24"/>
      <c r="W455" s="24"/>
      <c r="X455" s="24"/>
      <c r="Y455" s="24"/>
      <c r="Z455" s="24"/>
    </row>
    <row r="456" hidden="1">
      <c r="A456" s="29">
        <f>IFERROR(__xludf.DUMMYFUNCTION("""COMPUTED_VALUE"""),40512.0)</f>
        <v>40512</v>
      </c>
      <c r="B456" s="24">
        <f>IFERROR(__xludf.DUMMYFUNCTION("""COMPUTED_VALUE"""),1.6769761E8)</f>
        <v>167697610</v>
      </c>
      <c r="C456" s="24" t="str">
        <f>IFERROR(__xludf.DUMMYFUNCTION("""COMPUTED_VALUE"""),"4202 Fidelity, Jacinto City")</f>
        <v>4202 Fidelity, Jacinto City</v>
      </c>
      <c r="D456" s="26" t="str">
        <f>IFERROR(__xludf.DUMMYFUNCTION("""COMPUTED_VALUE"""),"M")</f>
        <v>M</v>
      </c>
      <c r="E456" s="26" t="str">
        <f>IFERROR(__xludf.DUMMYFUNCTION("""COMPUTED_VALUE"""),"H")</f>
        <v>H</v>
      </c>
      <c r="F456" s="26">
        <f>IFERROR(__xludf.DUMMYFUNCTION("""COMPUTED_VALUE"""),29.0)</f>
        <v>29</v>
      </c>
      <c r="G456" s="26" t="str">
        <f>IFERROR(__xludf.DUMMYFUNCTION("""COMPUTED_VALUE"""),"Wounded")</f>
        <v>Wounded</v>
      </c>
      <c r="H456" s="26" t="str">
        <f>IFERROR(__xludf.DUMMYFUNCTION("""COMPUTED_VALUE"""),"None")</f>
        <v>None</v>
      </c>
      <c r="I456" s="27" t="str">
        <f>IFERROR(__xludf.DUMMYFUNCTION("""COMPUTED_VALUE"""),"M")</f>
        <v>M</v>
      </c>
      <c r="J456" s="27" t="str">
        <f>IFERROR(__xludf.DUMMYFUNCTION("""COMPUTED_VALUE"""),"W")</f>
        <v>W</v>
      </c>
      <c r="K456" s="27">
        <f>IFERROR(__xludf.DUMMYFUNCTION("""COMPUTED_VALUE"""),39.0)</f>
        <v>39</v>
      </c>
      <c r="L456" s="27" t="str">
        <f>IFERROR(__xludf.DUMMYFUNCTION("""COMPUTED_VALUE"""),"None")</f>
        <v>None</v>
      </c>
      <c r="M456" s="27" t="str">
        <f>IFERROR(__xludf.DUMMYFUNCTION("""COMPUTED_VALUE"""),"Y")</f>
        <v>Y</v>
      </c>
      <c r="N456" s="24"/>
      <c r="O456" s="24"/>
      <c r="P456" s="28" t="str">
        <f>IFERROR(__xludf.DUMMYFUNCTION("""COMPUTED_VALUE"""),"An armed domestic violence suspect ran from the scene when the officers arrived. The suspect shot at the officers multiple times as they attempted to contain him within a confined area. The suspect raised his weapon to fire on the officers again when he s"&amp;"hot multiple times.")</f>
        <v>An armed domestic violence suspect ran from the scene when the officers arrived. The suspect shot at the officers multiple times as they attempted to contain him within a confined area. The suspect raised his weapon to fire on the officers again when he shot multiple times.</v>
      </c>
      <c r="Q456" s="24"/>
      <c r="R456" s="24"/>
      <c r="S456" s="24"/>
      <c r="T456" s="24"/>
      <c r="U456" s="24"/>
      <c r="V456" s="24"/>
      <c r="W456" s="24"/>
      <c r="X456" s="24"/>
      <c r="Y456" s="24"/>
      <c r="Z456" s="24"/>
    </row>
    <row r="457" hidden="1">
      <c r="A457" s="29"/>
      <c r="B457" s="24"/>
      <c r="C457" s="24"/>
      <c r="D457" s="26"/>
      <c r="E457" s="26"/>
      <c r="F457" s="26"/>
      <c r="G457" s="26"/>
      <c r="H457" s="26"/>
      <c r="I457" s="27" t="str">
        <f>IFERROR(__xludf.DUMMYFUNCTION("""COMPUTED_VALUE"""),"M")</f>
        <v>M</v>
      </c>
      <c r="J457" s="27" t="str">
        <f>IFERROR(__xludf.DUMMYFUNCTION("""COMPUTED_VALUE"""),"W")</f>
        <v>W</v>
      </c>
      <c r="K457" s="27">
        <f>IFERROR(__xludf.DUMMYFUNCTION("""COMPUTED_VALUE"""),54.0)</f>
        <v>54</v>
      </c>
      <c r="L457" s="27" t="str">
        <f>IFERROR(__xludf.DUMMYFUNCTION("""COMPUTED_VALUE"""),"None")</f>
        <v>None</v>
      </c>
      <c r="M457" s="27" t="str">
        <f>IFERROR(__xludf.DUMMYFUNCTION("""COMPUTED_VALUE"""),"Y")</f>
        <v>Y</v>
      </c>
      <c r="N457" s="24"/>
      <c r="O457" s="24"/>
      <c r="P457" s="24"/>
      <c r="Q457" s="24"/>
      <c r="R457" s="24"/>
      <c r="S457" s="24"/>
      <c r="T457" s="24"/>
      <c r="U457" s="24"/>
      <c r="V457" s="24"/>
      <c r="W457" s="24"/>
      <c r="X457" s="24"/>
      <c r="Y457" s="24"/>
      <c r="Z457" s="24"/>
    </row>
    <row r="458" hidden="1">
      <c r="A458" s="29">
        <f>IFERROR(__xludf.DUMMYFUNCTION("""COMPUTED_VALUE"""),40504.0)</f>
        <v>40504</v>
      </c>
      <c r="B458" s="24">
        <f>IFERROR(__xludf.DUMMYFUNCTION("""COMPUTED_VALUE"""),1.6421601E8)</f>
        <v>164216010</v>
      </c>
      <c r="C458" s="24" t="str">
        <f>IFERROR(__xludf.DUMMYFUNCTION("""COMPUTED_VALUE"""),"7526 Rhobell")</f>
        <v>7526 Rhobell</v>
      </c>
      <c r="D458" s="26" t="str">
        <f>IFERROR(__xludf.DUMMYFUNCTION("""COMPUTED_VALUE"""),"M")</f>
        <v>M</v>
      </c>
      <c r="E458" s="26" t="str">
        <f>IFERROR(__xludf.DUMMYFUNCTION("""COMPUTED_VALUE"""),"B")</f>
        <v>B</v>
      </c>
      <c r="F458" s="26">
        <f>IFERROR(__xludf.DUMMYFUNCTION("""COMPUTED_VALUE"""),18.0)</f>
        <v>18</v>
      </c>
      <c r="G458" s="26" t="str">
        <f>IFERROR(__xludf.DUMMYFUNCTION("""COMPUTED_VALUE"""),"Wounded")</f>
        <v>Wounded</v>
      </c>
      <c r="H458" s="26" t="str">
        <f>IFERROR(__xludf.DUMMYFUNCTION("""COMPUTED_VALUE"""),"None")</f>
        <v>None</v>
      </c>
      <c r="I458" s="27" t="str">
        <f>IFERROR(__xludf.DUMMYFUNCTION("""COMPUTED_VALUE"""),"M")</f>
        <v>M</v>
      </c>
      <c r="J458" s="27" t="str">
        <f>IFERROR(__xludf.DUMMYFUNCTION("""COMPUTED_VALUE"""),"W")</f>
        <v>W</v>
      </c>
      <c r="K458" s="27">
        <f>IFERROR(__xludf.DUMMYFUNCTION("""COMPUTED_VALUE"""),26.0)</f>
        <v>26</v>
      </c>
      <c r="L458" s="27" t="str">
        <f>IFERROR(__xludf.DUMMYFUNCTION("""COMPUTED_VALUE"""),"None")</f>
        <v>None</v>
      </c>
      <c r="M458" s="27" t="str">
        <f>IFERROR(__xludf.DUMMYFUNCTION("""COMPUTED_VALUE"""),"Y")</f>
        <v>Y</v>
      </c>
      <c r="N458" s="24"/>
      <c r="O458" s="24">
        <f>IFERROR(__xludf.DUMMYFUNCTION("""COMPUTED_VALUE"""),1.0)</f>
        <v>1</v>
      </c>
      <c r="P458" s="28" t="str">
        <f>IFERROR(__xludf.DUMMYFUNCTION("""COMPUTED_VALUE"""),"Officer pursed a robbery suspect into the backyard of an abandoned house. The officer was attempting to apprehend the suspect when the suspect reached toward his waistband casuing the officer to believe that the suspect was reaching for a weapon.")</f>
        <v>Officer pursed a robbery suspect into the backyard of an abandoned house. The officer was attempting to apprehend the suspect when the suspect reached toward his waistband casuing the officer to believe that the suspect was reaching for a weapon.</v>
      </c>
      <c r="Q458" s="24"/>
      <c r="R458" s="24"/>
      <c r="S458" s="24"/>
      <c r="T458" s="24"/>
      <c r="U458" s="24"/>
      <c r="V458" s="24"/>
      <c r="W458" s="24"/>
      <c r="X458" s="24"/>
      <c r="Y458" s="24"/>
      <c r="Z458" s="24"/>
    </row>
    <row r="459" hidden="1">
      <c r="A459" s="29">
        <f>IFERROR(__xludf.DUMMYFUNCTION("""COMPUTED_VALUE"""),40499.0)</f>
        <v>40499</v>
      </c>
      <c r="B459" s="24">
        <f>IFERROR(__xludf.DUMMYFUNCTION("""COMPUTED_VALUE"""),1.6186821E8)</f>
        <v>161868210</v>
      </c>
      <c r="C459" s="24" t="str">
        <f>IFERROR(__xludf.DUMMYFUNCTION("""COMPUTED_VALUE"""),"14300 Minetta Street")</f>
        <v>14300 Minetta Street</v>
      </c>
      <c r="D459" s="26" t="str">
        <f>IFERROR(__xludf.DUMMYFUNCTION("""COMPUTED_VALUE"""),"M")</f>
        <v>M</v>
      </c>
      <c r="E459" s="26" t="str">
        <f>IFERROR(__xludf.DUMMYFUNCTION("""COMPUTED_VALUE"""),"B")</f>
        <v>B</v>
      </c>
      <c r="F459" s="26">
        <f>IFERROR(__xludf.DUMMYFUNCTION("""COMPUTED_VALUE"""),29.0)</f>
        <v>29</v>
      </c>
      <c r="G459" s="26" t="str">
        <f>IFERROR(__xludf.DUMMYFUNCTION("""COMPUTED_VALUE"""),"Wounded")</f>
        <v>Wounded</v>
      </c>
      <c r="H459" s="26" t="str">
        <f>IFERROR(__xludf.DUMMYFUNCTION("""COMPUTED_VALUE"""),"Firearm")</f>
        <v>Firearm</v>
      </c>
      <c r="I459" s="27" t="str">
        <f>IFERROR(__xludf.DUMMYFUNCTION("""COMPUTED_VALUE"""),"M")</f>
        <v>M</v>
      </c>
      <c r="J459" s="27" t="str">
        <f>IFERROR(__xludf.DUMMYFUNCTION("""COMPUTED_VALUE"""),"W")</f>
        <v>W</v>
      </c>
      <c r="K459" s="27">
        <f>IFERROR(__xludf.DUMMYFUNCTION("""COMPUTED_VALUE"""),42.0)</f>
        <v>42</v>
      </c>
      <c r="L459" s="27" t="str">
        <f>IFERROR(__xludf.DUMMYFUNCTION("""COMPUTED_VALUE"""),"None")</f>
        <v>None</v>
      </c>
      <c r="M459" s="27" t="str">
        <f>IFERROR(__xludf.DUMMYFUNCTION("""COMPUTED_VALUE"""),"Y")</f>
        <v>Y</v>
      </c>
      <c r="N459" s="24"/>
      <c r="O459" s="24">
        <f>IFERROR(__xludf.DUMMYFUNCTION("""COMPUTED_VALUE"""),1.0)</f>
        <v>1</v>
      </c>
      <c r="P459" s="28" t="str">
        <f>IFERROR(__xludf.DUMMYFUNCTION("""COMPUTED_VALUE"""),"The officer confronted an armed suspect. The suspect made a threatening move casuing the officer to shoot at at the suspect.")</f>
        <v>The officer confronted an armed suspect. The suspect made a threatening move casuing the officer to shoot at at the suspect.</v>
      </c>
      <c r="Q459" s="24"/>
      <c r="R459" s="24"/>
      <c r="S459" s="24"/>
      <c r="T459" s="24"/>
      <c r="U459" s="24"/>
      <c r="V459" s="24"/>
      <c r="W459" s="24"/>
      <c r="X459" s="24"/>
      <c r="Y459" s="24"/>
      <c r="Z459" s="24"/>
    </row>
    <row r="460" hidden="1">
      <c r="A460" s="29">
        <f>IFERROR(__xludf.DUMMYFUNCTION("""COMPUTED_VALUE"""),40490.0)</f>
        <v>40490</v>
      </c>
      <c r="B460" s="24">
        <f>IFERROR(__xludf.DUMMYFUNCTION("""COMPUTED_VALUE"""),1.5780261E8)</f>
        <v>157802610</v>
      </c>
      <c r="C460" s="24" t="str">
        <f>IFERROR(__xludf.DUMMYFUNCTION("""COMPUTED_VALUE"""),"4800 Laura Koppe")</f>
        <v>4800 Laura Koppe</v>
      </c>
      <c r="D460" s="26" t="str">
        <f>IFERROR(__xludf.DUMMYFUNCTION("""COMPUTED_VALUE"""),"M")</f>
        <v>M</v>
      </c>
      <c r="E460" s="26" t="str">
        <f>IFERROR(__xludf.DUMMYFUNCTION("""COMPUTED_VALUE"""),"B")</f>
        <v>B</v>
      </c>
      <c r="F460" s="26">
        <f>IFERROR(__xludf.DUMMYFUNCTION("""COMPUTED_VALUE"""),26.0)</f>
        <v>26</v>
      </c>
      <c r="G460" s="26" t="str">
        <f>IFERROR(__xludf.DUMMYFUNCTION("""COMPUTED_VALUE"""),"Killed")</f>
        <v>Killed</v>
      </c>
      <c r="H460" s="26" t="str">
        <f>IFERROR(__xludf.DUMMYFUNCTION("""COMPUTED_VALUE"""),"Firearm")</f>
        <v>Firearm</v>
      </c>
      <c r="I460" s="27" t="str">
        <f>IFERROR(__xludf.DUMMYFUNCTION("""COMPUTED_VALUE"""),"M")</f>
        <v>M</v>
      </c>
      <c r="J460" s="27" t="str">
        <f>IFERROR(__xludf.DUMMYFUNCTION("""COMPUTED_VALUE"""),"W")</f>
        <v>W</v>
      </c>
      <c r="K460" s="27">
        <f>IFERROR(__xludf.DUMMYFUNCTION("""COMPUTED_VALUE"""),26.0)</f>
        <v>26</v>
      </c>
      <c r="L460" s="27" t="str">
        <f>IFERROR(__xludf.DUMMYFUNCTION("""COMPUTED_VALUE"""),"None")</f>
        <v>None</v>
      </c>
      <c r="M460" s="27" t="str">
        <f>IFERROR(__xludf.DUMMYFUNCTION("""COMPUTED_VALUE"""),"Y")</f>
        <v>Y</v>
      </c>
      <c r="N460" s="24"/>
      <c r="O460" s="24"/>
      <c r="P460" s="24" t="str">
        <f>IFERROR(__xludf.DUMMYFUNCTION("""COMPUTED_VALUE"""),"The officers were chasing a suspect when the suspect turned at fired a weapon at them. One of the officers was then able to catch the suspect and was engaged in a physical altercation with him in an attempt to disarm the suspect. The suspect was attemptin"&amp;"g to get into a position to shoot the officer causing the other officer to shoot the suspect before the suspect could fire his weapon.")</f>
        <v>The officers were chasing a suspect when the suspect turned at fired a weapon at them. One of the officers was then able to catch the suspect and was engaged in a physical altercation with him in an attempt to disarm the suspect. The suspect was attempting to get into a position to shoot the officer causing the other officer to shoot the suspect before the suspect could fire his weapon.</v>
      </c>
      <c r="Q460" s="24"/>
      <c r="R460" s="24"/>
      <c r="S460" s="24"/>
      <c r="T460" s="24"/>
      <c r="U460" s="24"/>
      <c r="V460" s="24"/>
      <c r="W460" s="24"/>
      <c r="X460" s="24"/>
      <c r="Y460" s="24"/>
      <c r="Z460" s="24"/>
    </row>
    <row r="461">
      <c r="A461" s="29">
        <f>IFERROR(__xludf.DUMMYFUNCTION("""COMPUTED_VALUE"""),40487.0)</f>
        <v>40487</v>
      </c>
      <c r="B461" s="24">
        <f>IFERROR(__xludf.DUMMYFUNCTION("""COMPUTED_VALUE"""),1.5638571E8)</f>
        <v>156385710</v>
      </c>
      <c r="C461" s="24" t="str">
        <f>IFERROR(__xludf.DUMMYFUNCTION("""COMPUTED_VALUE"""),"181 West Dyna")</f>
        <v>181 West Dyna</v>
      </c>
      <c r="D461" s="26" t="str">
        <f>IFERROR(__xludf.DUMMYFUNCTION("""COMPUTED_VALUE"""),"M")</f>
        <v>M</v>
      </c>
      <c r="E461" s="26" t="str">
        <f>IFERROR(__xludf.DUMMYFUNCTION("""COMPUTED_VALUE"""),"H")</f>
        <v>H</v>
      </c>
      <c r="F461" s="26">
        <f>IFERROR(__xludf.DUMMYFUNCTION("""COMPUTED_VALUE"""),20.0)</f>
        <v>20</v>
      </c>
      <c r="G461" s="26" t="str">
        <f>IFERROR(__xludf.DUMMYFUNCTION("""COMPUTED_VALUE"""),"None")</f>
        <v>None</v>
      </c>
      <c r="H461" s="26" t="str">
        <f>IFERROR(__xludf.DUMMYFUNCTION("""COMPUTED_VALUE"""),"Vehicle")</f>
        <v>Vehicle</v>
      </c>
      <c r="I461" s="27" t="str">
        <f>IFERROR(__xludf.DUMMYFUNCTION("""COMPUTED_VALUE"""),"M")</f>
        <v>M</v>
      </c>
      <c r="J461" s="27" t="str">
        <f>IFERROR(__xludf.DUMMYFUNCTION("""COMPUTED_VALUE"""),"W")</f>
        <v>W</v>
      </c>
      <c r="K461" s="27">
        <f>IFERROR(__xludf.DUMMYFUNCTION("""COMPUTED_VALUE"""),32.0)</f>
        <v>32</v>
      </c>
      <c r="L461" s="27" t="str">
        <f>IFERROR(__xludf.DUMMYFUNCTION("""COMPUTED_VALUE"""),"None")</f>
        <v>None</v>
      </c>
      <c r="M461" s="27" t="str">
        <f>IFERROR(__xludf.DUMMYFUNCTION("""COMPUTED_VALUE"""),"Y")</f>
        <v>Y</v>
      </c>
      <c r="N461" s="24"/>
      <c r="O461" s="24"/>
      <c r="P461" s="28" t="str">
        <f>IFERROR(__xludf.DUMMYFUNCTION("""COMPUTED_VALUE"""),"Officers pulled over a vehicle and were told that the occupants of another vehicle had threatened them with a weapon. The officers located the suspect vehicle and saw that the occupants were in the process of burglarizing a building. The officers attempte"&amp;"d to apprehend the suspects at which point the suspect in the vehicle attempted to flee the scene by driving at the officers casuing the officers to shoot at him. The officers then attempted to contain the remaing suspects when one of the suspects made a "&amp;"move as if to reach for a weapon causing the officers to shoot at him.")</f>
        <v>Officers pulled over a vehicle and were told that the occupants of another vehicle had threatened them with a weapon. The officers located the suspect vehicle and saw that the occupants were in the process of burglarizing a building. The officers attempted to apprehend the suspects at which point the suspect in the vehicle attempted to flee the scene by driving at the officers casuing the officers to shoot at him. The officers then attempted to contain the remaing suspects when one of the suspects made a move as if to reach for a weapon causing the officers to shoot at him.</v>
      </c>
      <c r="Q461" s="24"/>
      <c r="R461" s="24"/>
      <c r="S461" s="24"/>
      <c r="T461" s="24"/>
      <c r="U461" s="24"/>
      <c r="V461" s="24"/>
      <c r="W461" s="24"/>
      <c r="X461" s="24"/>
      <c r="Y461" s="24"/>
      <c r="Z461" s="24"/>
    </row>
    <row r="462" hidden="1">
      <c r="A462" s="29"/>
      <c r="B462" s="24"/>
      <c r="C462" s="24"/>
      <c r="D462" s="26" t="str">
        <f>IFERROR(__xludf.DUMMYFUNCTION("""COMPUTED_VALUE"""),"Juvenile")</f>
        <v>Juvenile</v>
      </c>
      <c r="E462" s="26" t="str">
        <f>IFERROR(__xludf.DUMMYFUNCTION("""COMPUTED_VALUE"""),"Juvenile")</f>
        <v>Juvenile</v>
      </c>
      <c r="F462" s="26"/>
      <c r="G462" s="26" t="str">
        <f>IFERROR(__xludf.DUMMYFUNCTION("""COMPUTED_VALUE"""),"Wounded")</f>
        <v>Wounded</v>
      </c>
      <c r="H462" s="26" t="str">
        <f>IFERROR(__xludf.DUMMYFUNCTION("""COMPUTED_VALUE"""),"None")</f>
        <v>None</v>
      </c>
      <c r="I462" s="27" t="str">
        <f>IFERROR(__xludf.DUMMYFUNCTION("""COMPUTED_VALUE"""),"M")</f>
        <v>M</v>
      </c>
      <c r="J462" s="27" t="str">
        <f>IFERROR(__xludf.DUMMYFUNCTION("""COMPUTED_VALUE"""),"H")</f>
        <v>H</v>
      </c>
      <c r="K462" s="27">
        <f>IFERROR(__xludf.DUMMYFUNCTION("""COMPUTED_VALUE"""),34.0)</f>
        <v>34</v>
      </c>
      <c r="L462" s="27" t="str">
        <f>IFERROR(__xludf.DUMMYFUNCTION("""COMPUTED_VALUE"""),"None")</f>
        <v>None</v>
      </c>
      <c r="M462" s="27" t="str">
        <f>IFERROR(__xludf.DUMMYFUNCTION("""COMPUTED_VALUE"""),"Y")</f>
        <v>Y</v>
      </c>
      <c r="N462" s="24"/>
      <c r="O462" s="24"/>
      <c r="P462" s="28"/>
      <c r="Q462" s="24"/>
      <c r="R462" s="24"/>
      <c r="S462" s="24"/>
      <c r="T462" s="24"/>
      <c r="U462" s="24"/>
      <c r="V462" s="24"/>
      <c r="W462" s="24"/>
      <c r="X462" s="24"/>
      <c r="Y462" s="24"/>
      <c r="Z462" s="24"/>
    </row>
    <row r="463" hidden="1">
      <c r="A463" s="29">
        <f>IFERROR(__xludf.DUMMYFUNCTION("""COMPUTED_VALUE"""),40486.0)</f>
        <v>40486</v>
      </c>
      <c r="B463" s="24">
        <f>IFERROR(__xludf.DUMMYFUNCTION("""COMPUTED_VALUE"""),1.5586311E8)</f>
        <v>155863110</v>
      </c>
      <c r="C463" s="24" t="str">
        <f>IFERROR(__xludf.DUMMYFUNCTION("""COMPUTED_VALUE"""),"16206 Alden Ridge")</f>
        <v>16206 Alden Ridge</v>
      </c>
      <c r="D463" s="26" t="str">
        <f>IFERROR(__xludf.DUMMYFUNCTION("""COMPUTED_VALUE"""),"M")</f>
        <v>M</v>
      </c>
      <c r="E463" s="26" t="str">
        <f>IFERROR(__xludf.DUMMYFUNCTION("""COMPUTED_VALUE"""),"B")</f>
        <v>B</v>
      </c>
      <c r="F463" s="26">
        <f>IFERROR(__xludf.DUMMYFUNCTION("""COMPUTED_VALUE"""),21.0)</f>
        <v>21</v>
      </c>
      <c r="G463" s="26" t="str">
        <f>IFERROR(__xludf.DUMMYFUNCTION("""COMPUTED_VALUE"""),"Wounded")</f>
        <v>Wounded</v>
      </c>
      <c r="H463" s="26" t="str">
        <f>IFERROR(__xludf.DUMMYFUNCTION("""COMPUTED_VALUE"""),"None")</f>
        <v>None</v>
      </c>
      <c r="I463" s="27" t="str">
        <f>IFERROR(__xludf.DUMMYFUNCTION("""COMPUTED_VALUE"""),"M")</f>
        <v>M</v>
      </c>
      <c r="J463" s="27" t="str">
        <f>IFERROR(__xludf.DUMMYFUNCTION("""COMPUTED_VALUE"""),"H")</f>
        <v>H</v>
      </c>
      <c r="K463" s="27">
        <f>IFERROR(__xludf.DUMMYFUNCTION("""COMPUTED_VALUE"""),33.0)</f>
        <v>33</v>
      </c>
      <c r="L463" s="27" t="str">
        <f>IFERROR(__xludf.DUMMYFUNCTION("""COMPUTED_VALUE"""),"None")</f>
        <v>None</v>
      </c>
      <c r="M463" s="27" t="str">
        <f>IFERROR(__xludf.DUMMYFUNCTION("""COMPUTED_VALUE"""),"Y")</f>
        <v>Y</v>
      </c>
      <c r="N463" s="24"/>
      <c r="O463" s="24"/>
      <c r="P463" s="28" t="str">
        <f>IFERROR(__xludf.DUMMYFUNCTION("""COMPUTED_VALUE"""),"Officer was chasing a suspect on foot when he saw the suspect reaching for something in his waistband. The suspect jumped a fence and as the officer was jumping the fence in pursuit the suspect turned toward the officer while raising his arm making the of"&amp;"ficer beleive that he was going to shoot at him.")</f>
        <v>Officer was chasing a suspect on foot when he saw the suspect reaching for something in his waistband. The suspect jumped a fence and as the officer was jumping the fence in pursuit the suspect turned toward the officer while raising his arm making the officer beleive that he was going to shoot at him.</v>
      </c>
      <c r="Q463" s="24"/>
      <c r="R463" s="24"/>
      <c r="S463" s="24"/>
      <c r="T463" s="24"/>
      <c r="U463" s="24"/>
      <c r="V463" s="24"/>
      <c r="W463" s="24"/>
      <c r="X463" s="24"/>
      <c r="Y463" s="24"/>
      <c r="Z463" s="24"/>
    </row>
    <row r="464" hidden="1">
      <c r="A464" s="29">
        <f>IFERROR(__xludf.DUMMYFUNCTION("""COMPUTED_VALUE"""),40480.0)</f>
        <v>40480</v>
      </c>
      <c r="B464" s="24">
        <f>IFERROR(__xludf.DUMMYFUNCTION("""COMPUTED_VALUE"""),1.5354601E8)</f>
        <v>153546010</v>
      </c>
      <c r="C464" s="24" t="str">
        <f>IFERROR(__xludf.DUMMYFUNCTION("""COMPUTED_VALUE"""),"4000 Southwest Freeway")</f>
        <v>4000 Southwest Freeway</v>
      </c>
      <c r="D464" s="26" t="str">
        <f>IFERROR(__xludf.DUMMYFUNCTION("""COMPUTED_VALUE"""),"M")</f>
        <v>M</v>
      </c>
      <c r="E464" s="26" t="str">
        <f>IFERROR(__xludf.DUMMYFUNCTION("""COMPUTED_VALUE"""),"H")</f>
        <v>H</v>
      </c>
      <c r="F464" s="26">
        <f>IFERROR(__xludf.DUMMYFUNCTION("""COMPUTED_VALUE"""),25.0)</f>
        <v>25</v>
      </c>
      <c r="G464" s="26" t="str">
        <f>IFERROR(__xludf.DUMMYFUNCTION("""COMPUTED_VALUE"""),"Wounded")</f>
        <v>Wounded</v>
      </c>
      <c r="H464" s="26" t="str">
        <f>IFERROR(__xludf.DUMMYFUNCTION("""COMPUTED_VALUE"""),"None")</f>
        <v>None</v>
      </c>
      <c r="I464" s="27" t="str">
        <f>IFERROR(__xludf.DUMMYFUNCTION("""COMPUTED_VALUE"""),"M")</f>
        <v>M</v>
      </c>
      <c r="J464" s="27" t="str">
        <f>IFERROR(__xludf.DUMMYFUNCTION("""COMPUTED_VALUE"""),"B")</f>
        <v>B</v>
      </c>
      <c r="K464" s="27">
        <f>IFERROR(__xludf.DUMMYFUNCTION("""COMPUTED_VALUE"""),33.0)</f>
        <v>33</v>
      </c>
      <c r="L464" s="27" t="str">
        <f>IFERROR(__xludf.DUMMYFUNCTION("""COMPUTED_VALUE"""),"None")</f>
        <v>None</v>
      </c>
      <c r="M464" s="27" t="str">
        <f>IFERROR(__xludf.DUMMYFUNCTION("""COMPUTED_VALUE"""),"Y")</f>
        <v>Y</v>
      </c>
      <c r="N464" s="24"/>
      <c r="O464" s="24">
        <f>IFERROR(__xludf.DUMMYFUNCTION("""COMPUTED_VALUE"""),1.0)</f>
        <v>1</v>
      </c>
      <c r="P464" s="28" t="str">
        <f>IFERROR(__xludf.DUMMYFUNCTION("""COMPUTED_VALUE"""),"The officer saw a speeding vehicle and conducted a traffic stop. The officer belived the suspect to be intoxicated so he had him get out of the vehicle. The suspect then resisted when the officer attempted to handcuff him. THe suspect tried to push the of"&amp;"ficer into the moving lanes of traffic and over the guard rail of the freeway. The suspect then began to walk toward his vehicle while reaching into his waitband area causing the officer to believe that he was reaching for a weapon so teh officer shot at "&amp;"the suspect.")</f>
        <v>The officer saw a speeding vehicle and conducted a traffic stop. The officer belived the suspect to be intoxicated so he had him get out of the vehicle. The suspect then resisted when the officer attempted to handcuff him. THe suspect tried to push the officer into the moving lanes of traffic and over the guard rail of the freeway. The suspect then began to walk toward his vehicle while reaching into his waitband area causing the officer to believe that he was reaching for a weapon so teh officer shot at the suspect.</v>
      </c>
      <c r="Q464" s="24"/>
      <c r="R464" s="24"/>
      <c r="S464" s="24"/>
      <c r="T464" s="24"/>
      <c r="U464" s="24"/>
      <c r="V464" s="24"/>
      <c r="W464" s="24"/>
      <c r="X464" s="24"/>
      <c r="Y464" s="24"/>
      <c r="Z464" s="24"/>
    </row>
    <row r="465" hidden="1">
      <c r="A465" s="29">
        <f>IFERROR(__xludf.DUMMYFUNCTION("""COMPUTED_VALUE"""),40477.0)</f>
        <v>40477</v>
      </c>
      <c r="B465" s="24">
        <f>IFERROR(__xludf.DUMMYFUNCTION("""COMPUTED_VALUE"""),1.5160931E8)</f>
        <v>151609310</v>
      </c>
      <c r="C465" s="24" t="str">
        <f>IFERROR(__xludf.DUMMYFUNCTION("""COMPUTED_VALUE"""),"Protected By Law")</f>
        <v>Protected By Law</v>
      </c>
      <c r="D465" s="26" t="str">
        <f>IFERROR(__xludf.DUMMYFUNCTION("""COMPUTED_VALUE"""),"M")</f>
        <v>M</v>
      </c>
      <c r="E465" s="26" t="str">
        <f>IFERROR(__xludf.DUMMYFUNCTION("""COMPUTED_VALUE"""),"H")</f>
        <v>H</v>
      </c>
      <c r="F465" s="26">
        <f>IFERROR(__xludf.DUMMYFUNCTION("""COMPUTED_VALUE"""),20.0)</f>
        <v>20</v>
      </c>
      <c r="G465" s="26" t="str">
        <f>IFERROR(__xludf.DUMMYFUNCTION("""COMPUTED_VALUE"""),"Wounded")</f>
        <v>Wounded</v>
      </c>
      <c r="H465" s="26" t="str">
        <f>IFERROR(__xludf.DUMMYFUNCTION("""COMPUTED_VALUE"""),"None")</f>
        <v>None</v>
      </c>
      <c r="I465" s="27" t="str">
        <f>IFERROR(__xludf.DUMMYFUNCTION("""COMPUTED_VALUE"""),"M")</f>
        <v>M</v>
      </c>
      <c r="J465" s="27" t="str">
        <f>IFERROR(__xludf.DUMMYFUNCTION("""COMPUTED_VALUE"""),"H")</f>
        <v>H</v>
      </c>
      <c r="K465" s="27">
        <f>IFERROR(__xludf.DUMMYFUNCTION("""COMPUTED_VALUE"""),31.0)</f>
        <v>31</v>
      </c>
      <c r="L465" s="27" t="str">
        <f>IFERROR(__xludf.DUMMYFUNCTION("""COMPUTED_VALUE"""),"None")</f>
        <v>None</v>
      </c>
      <c r="M465" s="27" t="str">
        <f>IFERROR(__xludf.DUMMYFUNCTION("""COMPUTED_VALUE"""),"N")</f>
        <v>N</v>
      </c>
      <c r="N465" s="24"/>
      <c r="O465" s="24">
        <f>IFERROR(__xludf.DUMMYFUNCTION("""COMPUTED_VALUE"""),1.0)</f>
        <v>1</v>
      </c>
      <c r="P465" s="28" t="str">
        <f>IFERROR(__xludf.DUMMYFUNCTION("""COMPUTED_VALUE"""),"The officer was notified that his vehicle was being burglarized so he went out to investigate. He saw the suspect walking from his vehicle and belived him to be armed since he kept a weapon inside the vehicle. The suspect was walking towrd another person "&amp;"making the officer belive that the suspect meant to do harm to taht person so he fired at the suspect.")</f>
        <v>The officer was notified that his vehicle was being burglarized so he went out to investigate. He saw the suspect walking from his vehicle and belived him to be armed since he kept a weapon inside the vehicle. The suspect was walking towrd another person making the officer belive that the suspect meant to do harm to taht person so he fired at the suspect.</v>
      </c>
      <c r="Q465" s="24"/>
      <c r="R465" s="24"/>
      <c r="S465" s="24"/>
      <c r="T465" s="24"/>
      <c r="U465" s="24"/>
      <c r="V465" s="24"/>
      <c r="W465" s="24"/>
      <c r="X465" s="24"/>
      <c r="Y465" s="24"/>
      <c r="Z465" s="24"/>
    </row>
    <row r="466" hidden="1">
      <c r="A466" s="29">
        <f>IFERROR(__xludf.DUMMYFUNCTION("""COMPUTED_VALUE"""),40461.0)</f>
        <v>40461</v>
      </c>
      <c r="B466" s="24">
        <f>IFERROR(__xludf.DUMMYFUNCTION("""COMPUTED_VALUE"""),1.4393531E8)</f>
        <v>143935310</v>
      </c>
      <c r="C466" s="24" t="str">
        <f>IFERROR(__xludf.DUMMYFUNCTION("""COMPUTED_VALUE"""),"908 Thompson")</f>
        <v>908 Thompson</v>
      </c>
      <c r="D466" s="26" t="str">
        <f>IFERROR(__xludf.DUMMYFUNCTION("""COMPUTED_VALUE"""),"M")</f>
        <v>M</v>
      </c>
      <c r="E466" s="26" t="str">
        <f>IFERROR(__xludf.DUMMYFUNCTION("""COMPUTED_VALUE"""),"H")</f>
        <v>H</v>
      </c>
      <c r="F466" s="26">
        <f>IFERROR(__xludf.DUMMYFUNCTION("""COMPUTED_VALUE"""),21.0)</f>
        <v>21</v>
      </c>
      <c r="G466" s="26" t="str">
        <f>IFERROR(__xludf.DUMMYFUNCTION("""COMPUTED_VALUE"""),"Wounded")</f>
        <v>Wounded</v>
      </c>
      <c r="H466" s="26" t="str">
        <f>IFERROR(__xludf.DUMMYFUNCTION("""COMPUTED_VALUE"""),"Firearm")</f>
        <v>Firearm</v>
      </c>
      <c r="I466" s="27" t="str">
        <f>IFERROR(__xludf.DUMMYFUNCTION("""COMPUTED_VALUE"""),"M")</f>
        <v>M</v>
      </c>
      <c r="J466" s="27" t="str">
        <f>IFERROR(__xludf.DUMMYFUNCTION("""COMPUTED_VALUE"""),"P")</f>
        <v>P</v>
      </c>
      <c r="K466" s="27">
        <f>IFERROR(__xludf.DUMMYFUNCTION("""COMPUTED_VALUE"""),37.0)</f>
        <v>37</v>
      </c>
      <c r="L466" s="27" t="str">
        <f>IFERROR(__xludf.DUMMYFUNCTION("""COMPUTED_VALUE"""),"None")</f>
        <v>None</v>
      </c>
      <c r="M466" s="27" t="str">
        <f>IFERROR(__xludf.DUMMYFUNCTION("""COMPUTED_VALUE"""),"Y")</f>
        <v>Y</v>
      </c>
      <c r="N466" s="24"/>
      <c r="O466" s="24">
        <f>IFERROR(__xludf.DUMMYFUNCTION("""COMPUTED_VALUE"""),1.0)</f>
        <v>1</v>
      </c>
      <c r="P466" s="28" t="str">
        <f>IFERROR(__xludf.DUMMYFUNCTION("""COMPUTED_VALUE"""),"The officer arrived at the scene of a shooting call. Witnesses at the scene pointed out a suspect and that suspect refused to stop when the officer attempted to detain him. The suspect was hiding his hands and after turning a corner he turned towards the "&amp;"officer causing the officer to shoot at the suspect.")</f>
        <v>The officer arrived at the scene of a shooting call. Witnesses at the scene pointed out a suspect and that suspect refused to stop when the officer attempted to detain him. The suspect was hiding his hands and after turning a corner he turned towards the officer causing the officer to shoot at the suspect.</v>
      </c>
      <c r="Q466" s="24"/>
      <c r="R466" s="24"/>
      <c r="S466" s="24"/>
      <c r="T466" s="24"/>
      <c r="U466" s="24"/>
      <c r="V466" s="24"/>
      <c r="W466" s="24"/>
      <c r="X466" s="24"/>
      <c r="Y466" s="24"/>
      <c r="Z466" s="24"/>
    </row>
    <row r="467">
      <c r="A467" s="29">
        <f>IFERROR(__xludf.DUMMYFUNCTION("""COMPUTED_VALUE"""),40442.0)</f>
        <v>40442</v>
      </c>
      <c r="B467" s="24">
        <f>IFERROR(__xludf.DUMMYFUNCTION("""COMPUTED_VALUE"""),1.3499291E8)</f>
        <v>134992910</v>
      </c>
      <c r="C467" s="24" t="str">
        <f>IFERROR(__xludf.DUMMYFUNCTION("""COMPUTED_VALUE"""),"14561 Northwest Freeway")</f>
        <v>14561 Northwest Freeway</v>
      </c>
      <c r="D467" s="26" t="str">
        <f>IFERROR(__xludf.DUMMYFUNCTION("""COMPUTED_VALUE"""),"M")</f>
        <v>M</v>
      </c>
      <c r="E467" s="26" t="str">
        <f>IFERROR(__xludf.DUMMYFUNCTION("""COMPUTED_VALUE"""),"B")</f>
        <v>B</v>
      </c>
      <c r="F467" s="26">
        <f>IFERROR(__xludf.DUMMYFUNCTION("""COMPUTED_VALUE"""),35.0)</f>
        <v>35</v>
      </c>
      <c r="G467" s="26" t="str">
        <f>IFERROR(__xludf.DUMMYFUNCTION("""COMPUTED_VALUE"""),"None")</f>
        <v>None</v>
      </c>
      <c r="H467" s="26" t="str">
        <f>IFERROR(__xludf.DUMMYFUNCTION("""COMPUTED_VALUE"""),"Firearm")</f>
        <v>Firearm</v>
      </c>
      <c r="I467" s="27" t="str">
        <f>IFERROR(__xludf.DUMMYFUNCTION("""COMPUTED_VALUE"""),"M")</f>
        <v>M</v>
      </c>
      <c r="J467" s="27" t="str">
        <f>IFERROR(__xludf.DUMMYFUNCTION("""COMPUTED_VALUE"""),"H")</f>
        <v>H</v>
      </c>
      <c r="K467" s="27">
        <f>IFERROR(__xludf.DUMMYFUNCTION("""COMPUTED_VALUE"""),40.0)</f>
        <v>40</v>
      </c>
      <c r="L467" s="27" t="str">
        <f>IFERROR(__xludf.DUMMYFUNCTION("""COMPUTED_VALUE"""),"None")</f>
        <v>None</v>
      </c>
      <c r="M467" s="27" t="str">
        <f>IFERROR(__xludf.DUMMYFUNCTION("""COMPUTED_VALUE"""),"N")</f>
        <v>N</v>
      </c>
      <c r="N467" s="24"/>
      <c r="O467" s="24">
        <f>IFERROR(__xludf.DUMMYFUNCTION("""COMPUTED_VALUE"""),1.0)</f>
        <v>1</v>
      </c>
      <c r="P467" s="28" t="str">
        <f>IFERROR(__xludf.DUMMYFUNCTION("""COMPUTED_VALUE"""),"Officer observed masked robbery suspects enter the bank where he was working. The officer saw that the suspects were armed and discharged his weapon. The suspects then fled on foot.")</f>
        <v>Officer observed masked robbery suspects enter the bank where he was working. The officer saw that the suspects were armed and discharged his weapon. The suspects then fled on foot.</v>
      </c>
      <c r="Q467" s="24"/>
      <c r="R467" s="24"/>
      <c r="S467" s="24"/>
      <c r="T467" s="24"/>
      <c r="U467" s="24"/>
      <c r="V467" s="24"/>
      <c r="W467" s="24"/>
      <c r="X467" s="24"/>
      <c r="Y467" s="24"/>
      <c r="Z467" s="24"/>
    </row>
    <row r="468" hidden="1">
      <c r="A468" s="29">
        <f>IFERROR(__xludf.DUMMYFUNCTION("""COMPUTED_VALUE"""),40441.0)</f>
        <v>40441</v>
      </c>
      <c r="B468" s="24">
        <f>IFERROR(__xludf.DUMMYFUNCTION("""COMPUTED_VALUE"""),1.3459401E8)</f>
        <v>134594010</v>
      </c>
      <c r="C468" s="24" t="str">
        <f>IFERROR(__xludf.DUMMYFUNCTION("""COMPUTED_VALUE"""),"1300 W. Donovan St")</f>
        <v>1300 W. Donovan St</v>
      </c>
      <c r="D468" s="26" t="str">
        <f>IFERROR(__xludf.DUMMYFUNCTION("""COMPUTED_VALUE"""),"M")</f>
        <v>M</v>
      </c>
      <c r="E468" s="26" t="str">
        <f>IFERROR(__xludf.DUMMYFUNCTION("""COMPUTED_VALUE"""),"B")</f>
        <v>B</v>
      </c>
      <c r="F468" s="26">
        <f>IFERROR(__xludf.DUMMYFUNCTION("""COMPUTED_VALUE"""),34.0)</f>
        <v>34</v>
      </c>
      <c r="G468" s="26" t="str">
        <f>IFERROR(__xludf.DUMMYFUNCTION("""COMPUTED_VALUE"""),"Wounded")</f>
        <v>Wounded</v>
      </c>
      <c r="H468" s="26" t="str">
        <f>IFERROR(__xludf.DUMMYFUNCTION("""COMPUTED_VALUE"""),"Vehicle")</f>
        <v>Vehicle</v>
      </c>
      <c r="I468" s="27" t="str">
        <f>IFERROR(__xludf.DUMMYFUNCTION("""COMPUTED_VALUE"""),"M")</f>
        <v>M</v>
      </c>
      <c r="J468" s="27" t="str">
        <f>IFERROR(__xludf.DUMMYFUNCTION("""COMPUTED_VALUE"""),"W")</f>
        <v>W</v>
      </c>
      <c r="K468" s="27">
        <f>IFERROR(__xludf.DUMMYFUNCTION("""COMPUTED_VALUE"""),25.0)</f>
        <v>25</v>
      </c>
      <c r="L468" s="27" t="str">
        <f>IFERROR(__xludf.DUMMYFUNCTION("""COMPUTED_VALUE"""),"None")</f>
        <v>None</v>
      </c>
      <c r="M468" s="27" t="str">
        <f>IFERROR(__xludf.DUMMYFUNCTION("""COMPUTED_VALUE"""),"Y")</f>
        <v>Y</v>
      </c>
      <c r="N468" s="24"/>
      <c r="O468" s="24"/>
      <c r="P468" s="28" t="str">
        <f>IFERROR(__xludf.DUMMYFUNCTION("""COMPUTED_VALUE"""),"An aggravated assault suspect attempted to flee the scene of the offense by driving his vehicle at the officer causing the officer to shot at the suspect.")</f>
        <v>An aggravated assault suspect attempted to flee the scene of the offense by driving his vehicle at the officer causing the officer to shot at the suspect.</v>
      </c>
      <c r="Q468" s="24"/>
      <c r="R468" s="24"/>
      <c r="S468" s="24"/>
      <c r="T468" s="24"/>
      <c r="U468" s="24"/>
      <c r="V468" s="24"/>
      <c r="W468" s="24"/>
      <c r="X468" s="24"/>
      <c r="Y468" s="24"/>
      <c r="Z468" s="24"/>
    </row>
    <row r="469" hidden="1">
      <c r="A469" s="29">
        <f>IFERROR(__xludf.DUMMYFUNCTION("""COMPUTED_VALUE"""),40424.0)</f>
        <v>40424</v>
      </c>
      <c r="B469" s="24">
        <f>IFERROR(__xludf.DUMMYFUNCTION("""COMPUTED_VALUE"""),1.2570351E8)</f>
        <v>125703510</v>
      </c>
      <c r="C469" s="24" t="str">
        <f>IFERROR(__xludf.DUMMYFUNCTION("""COMPUTED_VALUE"""),"Protected By Law")</f>
        <v>Protected By Law</v>
      </c>
      <c r="D469" s="26" t="str">
        <f>IFERROR(__xludf.DUMMYFUNCTION("""COMPUTED_VALUE"""),"M")</f>
        <v>M</v>
      </c>
      <c r="E469" s="26" t="str">
        <f>IFERROR(__xludf.DUMMYFUNCTION("""COMPUTED_VALUE"""),"H")</f>
        <v>H</v>
      </c>
      <c r="F469" s="26">
        <f>IFERROR(__xludf.DUMMYFUNCTION("""COMPUTED_VALUE"""),32.0)</f>
        <v>32</v>
      </c>
      <c r="G469" s="26" t="str">
        <f>IFERROR(__xludf.DUMMYFUNCTION("""COMPUTED_VALUE"""),"Killed")</f>
        <v>Killed</v>
      </c>
      <c r="H469" s="26" t="str">
        <f>IFERROR(__xludf.DUMMYFUNCTION("""COMPUTED_VALUE"""),"Firearm")</f>
        <v>Firearm</v>
      </c>
      <c r="I469" s="27" t="str">
        <f>IFERROR(__xludf.DUMMYFUNCTION("""COMPUTED_VALUE"""),"M")</f>
        <v>M</v>
      </c>
      <c r="J469" s="27" t="str">
        <f>IFERROR(__xludf.DUMMYFUNCTION("""COMPUTED_VALUE"""),"H")</f>
        <v>H</v>
      </c>
      <c r="K469" s="27">
        <f>IFERROR(__xludf.DUMMYFUNCTION("""COMPUTED_VALUE"""),43.0)</f>
        <v>43</v>
      </c>
      <c r="L469" s="27" t="str">
        <f>IFERROR(__xludf.DUMMYFUNCTION("""COMPUTED_VALUE"""),"None")</f>
        <v>None</v>
      </c>
      <c r="M469" s="27" t="str">
        <f>IFERROR(__xludf.DUMMYFUNCTION("""COMPUTED_VALUE"""),"N")</f>
        <v>N</v>
      </c>
      <c r="N469" s="24"/>
      <c r="O469" s="24">
        <f>IFERROR(__xludf.DUMMYFUNCTION("""COMPUTED_VALUE"""),1.0)</f>
        <v>1</v>
      </c>
      <c r="P469" s="24" t="str">
        <f>IFERROR(__xludf.DUMMYFUNCTION("""COMPUTED_VALUE"""),"The officer on-viewed a disturbance in which the suspect was pulling a female from a vehicle. The officer confronted the suspect at which time the suspect pointed a weapon at the officer causing the officer to shoot the suspect.")</f>
        <v>The officer on-viewed a disturbance in which the suspect was pulling a female from a vehicle. The officer confronted the suspect at which time the suspect pointed a weapon at the officer causing the officer to shoot the suspect.</v>
      </c>
      <c r="Q469" s="24"/>
      <c r="R469" s="24"/>
      <c r="S469" s="24"/>
      <c r="T469" s="24"/>
      <c r="U469" s="24"/>
      <c r="V469" s="24"/>
      <c r="W469" s="24"/>
      <c r="X469" s="24"/>
      <c r="Y469" s="24"/>
      <c r="Z469" s="24"/>
    </row>
    <row r="470" hidden="1">
      <c r="A470" s="29"/>
      <c r="B470" s="24"/>
      <c r="C470" s="24"/>
      <c r="D470" s="26" t="str">
        <f>IFERROR(__xludf.DUMMYFUNCTION("""COMPUTED_VALUE"""),"M")</f>
        <v>M</v>
      </c>
      <c r="E470" s="26" t="str">
        <f>IFERROR(__xludf.DUMMYFUNCTION("""COMPUTED_VALUE"""),"B")</f>
        <v>B</v>
      </c>
      <c r="F470" s="26">
        <f>IFERROR(__xludf.DUMMYFUNCTION("""COMPUTED_VALUE"""),29.0)</f>
        <v>29</v>
      </c>
      <c r="G470" s="26" t="str">
        <f>IFERROR(__xludf.DUMMYFUNCTION("""COMPUTED_VALUE"""),"Wounded")</f>
        <v>Wounded</v>
      </c>
      <c r="H470" s="26" t="str">
        <f>IFERROR(__xludf.DUMMYFUNCTION("""COMPUTED_VALUE"""),"Vehicle")</f>
        <v>Vehicle</v>
      </c>
      <c r="I470" s="27" t="str">
        <f>IFERROR(__xludf.DUMMYFUNCTION("""COMPUTED_VALUE"""),"M")</f>
        <v>M</v>
      </c>
      <c r="J470" s="27" t="str">
        <f>IFERROR(__xludf.DUMMYFUNCTION("""COMPUTED_VALUE"""),"P")</f>
        <v>P</v>
      </c>
      <c r="K470" s="27">
        <f>IFERROR(__xludf.DUMMYFUNCTION("""COMPUTED_VALUE"""),25.0)</f>
        <v>25</v>
      </c>
      <c r="L470" s="27" t="str">
        <f>IFERROR(__xludf.DUMMYFUNCTION("""COMPUTED_VALUE"""),"None")</f>
        <v>None</v>
      </c>
      <c r="M470" s="27" t="str">
        <f>IFERROR(__xludf.DUMMYFUNCTION("""COMPUTED_VALUE"""),"N")</f>
        <v>N</v>
      </c>
      <c r="N470" s="24"/>
      <c r="O470" s="24">
        <f>IFERROR(__xludf.DUMMYFUNCTION("""COMPUTED_VALUE"""),1.0)</f>
        <v>1</v>
      </c>
      <c r="P470" s="28"/>
      <c r="Q470" s="24"/>
      <c r="R470" s="24"/>
      <c r="S470" s="24"/>
      <c r="T470" s="24"/>
      <c r="U470" s="24"/>
      <c r="V470" s="24"/>
      <c r="W470" s="24"/>
      <c r="X470" s="24"/>
      <c r="Y470" s="24"/>
      <c r="Z470" s="24"/>
    </row>
    <row r="471">
      <c r="A471" s="29">
        <f>IFERROR(__xludf.DUMMYFUNCTION("""COMPUTED_VALUE"""),40403.0)</f>
        <v>40403</v>
      </c>
      <c r="B471" s="24">
        <f>IFERROR(__xludf.DUMMYFUNCTION("""COMPUTED_VALUE"""),1.1561211E8)</f>
        <v>115612110</v>
      </c>
      <c r="C471" s="24" t="str">
        <f>IFERROR(__xludf.DUMMYFUNCTION("""COMPUTED_VALUE"""),"550 F.M. 1959")</f>
        <v>550 F.M. 1959</v>
      </c>
      <c r="D471" s="26" t="str">
        <f>IFERROR(__xludf.DUMMYFUNCTION("""COMPUTED_VALUE"""),"M")</f>
        <v>M</v>
      </c>
      <c r="E471" s="26" t="str">
        <f>IFERROR(__xludf.DUMMYFUNCTION("""COMPUTED_VALUE"""),"W")</f>
        <v>W</v>
      </c>
      <c r="F471" s="26">
        <f>IFERROR(__xludf.DUMMYFUNCTION("""COMPUTED_VALUE"""),44.0)</f>
        <v>44</v>
      </c>
      <c r="G471" s="26" t="str">
        <f>IFERROR(__xludf.DUMMYFUNCTION("""COMPUTED_VALUE"""),"None")</f>
        <v>None</v>
      </c>
      <c r="H471" s="26" t="str">
        <f>IFERROR(__xludf.DUMMYFUNCTION("""COMPUTED_VALUE"""),"Firearm")</f>
        <v>Firearm</v>
      </c>
      <c r="I471" s="27" t="str">
        <f>IFERROR(__xludf.DUMMYFUNCTION("""COMPUTED_VALUE"""),"M")</f>
        <v>M</v>
      </c>
      <c r="J471" s="27" t="str">
        <f>IFERROR(__xludf.DUMMYFUNCTION("""COMPUTED_VALUE"""),"W")</f>
        <v>W</v>
      </c>
      <c r="K471" s="27">
        <f>IFERROR(__xludf.DUMMYFUNCTION("""COMPUTED_VALUE"""),30.0)</f>
        <v>30</v>
      </c>
      <c r="L471" s="27" t="str">
        <f>IFERROR(__xludf.DUMMYFUNCTION("""COMPUTED_VALUE"""),"None")</f>
        <v>None</v>
      </c>
      <c r="M471" s="27" t="str">
        <f>IFERROR(__xludf.DUMMYFUNCTION("""COMPUTED_VALUE"""),"Y")</f>
        <v>Y</v>
      </c>
      <c r="N471" s="24"/>
      <c r="O471" s="24">
        <f>IFERROR(__xludf.DUMMYFUNCTION("""COMPUTED_VALUE"""),1.0)</f>
        <v>1</v>
      </c>
      <c r="P471" s="28" t="str">
        <f>IFERROR(__xludf.DUMMYFUNCTION("""COMPUTED_VALUE"""),"The officers were looking for a possible burglary suspect when an armed male walked out of a building. The suspect did not drop his weapon when ordered to do so causing the officers to shoot at the suspect.")</f>
        <v>The officers were looking for a possible burglary suspect when an armed male walked out of a building. The suspect did not drop his weapon when ordered to do so causing the officers to shoot at the suspect.</v>
      </c>
      <c r="Q471" s="24"/>
      <c r="R471" s="24"/>
      <c r="S471" s="24"/>
      <c r="T471" s="24"/>
      <c r="U471" s="24"/>
      <c r="V471" s="24"/>
      <c r="W471" s="24"/>
      <c r="X471" s="24"/>
      <c r="Y471" s="24"/>
      <c r="Z471" s="24"/>
    </row>
    <row r="472" hidden="1">
      <c r="A472" s="29"/>
      <c r="B472" s="24"/>
      <c r="C472" s="24"/>
      <c r="D472" s="26"/>
      <c r="E472" s="26"/>
      <c r="F472" s="26"/>
      <c r="G472" s="26"/>
      <c r="H472" s="26"/>
      <c r="I472" s="27" t="str">
        <f>IFERROR(__xludf.DUMMYFUNCTION("""COMPUTED_VALUE"""),"F")</f>
        <v>F</v>
      </c>
      <c r="J472" s="27" t="str">
        <f>IFERROR(__xludf.DUMMYFUNCTION("""COMPUTED_VALUE"""),"W")</f>
        <v>W</v>
      </c>
      <c r="K472" s="27">
        <f>IFERROR(__xludf.DUMMYFUNCTION("""COMPUTED_VALUE"""),37.0)</f>
        <v>37</v>
      </c>
      <c r="L472" s="27" t="str">
        <f>IFERROR(__xludf.DUMMYFUNCTION("""COMPUTED_VALUE"""),"None")</f>
        <v>None</v>
      </c>
      <c r="M472" s="27" t="str">
        <f>IFERROR(__xludf.DUMMYFUNCTION("""COMPUTED_VALUE"""),"Y")</f>
        <v>Y</v>
      </c>
      <c r="N472" s="24"/>
      <c r="O472" s="24">
        <f>IFERROR(__xludf.DUMMYFUNCTION("""COMPUTED_VALUE"""),1.0)</f>
        <v>1</v>
      </c>
      <c r="P472" s="24"/>
      <c r="Q472" s="24"/>
      <c r="R472" s="24"/>
      <c r="S472" s="24"/>
      <c r="T472" s="24"/>
      <c r="U472" s="24"/>
      <c r="V472" s="24"/>
      <c r="W472" s="24"/>
      <c r="X472" s="24"/>
      <c r="Y472" s="24"/>
      <c r="Z472" s="24"/>
    </row>
    <row r="473">
      <c r="A473" s="29">
        <f>IFERROR(__xludf.DUMMYFUNCTION("""COMPUTED_VALUE"""),40399.0)</f>
        <v>40399</v>
      </c>
      <c r="B473" s="24">
        <f>IFERROR(__xludf.DUMMYFUNCTION("""COMPUTED_VALUE"""),1.1381551E8)</f>
        <v>113815510</v>
      </c>
      <c r="C473" s="24" t="str">
        <f>IFERROR(__xludf.DUMMYFUNCTION("""COMPUTED_VALUE"""),"8221 Gulf Freeway")</f>
        <v>8221 Gulf Freeway</v>
      </c>
      <c r="D473" s="26" t="str">
        <f>IFERROR(__xludf.DUMMYFUNCTION("""COMPUTED_VALUE"""),"M")</f>
        <v>M</v>
      </c>
      <c r="E473" s="26" t="str">
        <f>IFERROR(__xludf.DUMMYFUNCTION("""COMPUTED_VALUE"""),"H")</f>
        <v>H</v>
      </c>
      <c r="F473" s="26">
        <f>IFERROR(__xludf.DUMMYFUNCTION("""COMPUTED_VALUE"""),40.0)</f>
        <v>40</v>
      </c>
      <c r="G473" s="26" t="str">
        <f>IFERROR(__xludf.DUMMYFUNCTION("""COMPUTED_VALUE"""),"None")</f>
        <v>None</v>
      </c>
      <c r="H473" s="26" t="str">
        <f>IFERROR(__xludf.DUMMYFUNCTION("""COMPUTED_VALUE"""),"Toy Gun")</f>
        <v>Toy Gun</v>
      </c>
      <c r="I473" s="27" t="str">
        <f>IFERROR(__xludf.DUMMYFUNCTION("""COMPUTED_VALUE"""),"M")</f>
        <v>M</v>
      </c>
      <c r="J473" s="27" t="str">
        <f>IFERROR(__xludf.DUMMYFUNCTION("""COMPUTED_VALUE"""),"H")</f>
        <v>H</v>
      </c>
      <c r="K473" s="27">
        <f>IFERROR(__xludf.DUMMYFUNCTION("""COMPUTED_VALUE"""),41.0)</f>
        <v>41</v>
      </c>
      <c r="L473" s="27" t="str">
        <f>IFERROR(__xludf.DUMMYFUNCTION("""COMPUTED_VALUE"""),"None")</f>
        <v>None</v>
      </c>
      <c r="M473" s="27" t="str">
        <f>IFERROR(__xludf.DUMMYFUNCTION("""COMPUTED_VALUE"""),"Y")</f>
        <v>Y</v>
      </c>
      <c r="N473" s="24"/>
      <c r="O473" s="24">
        <f>IFERROR(__xludf.DUMMYFUNCTION("""COMPUTED_VALUE"""),1.0)</f>
        <v>1</v>
      </c>
      <c r="P473" s="28" t="str">
        <f>IFERROR(__xludf.DUMMYFUNCTION("""COMPUTED_VALUE"""),"A suspicious person suspect was located. He was found to be armed and refused to drop his weapon after being confronted by the officer forcing the officer to shoot at the suspect.")</f>
        <v>A suspicious person suspect was located. He was found to be armed and refused to drop his weapon after being confronted by the officer forcing the officer to shoot at the suspect.</v>
      </c>
      <c r="Q473" s="24"/>
      <c r="R473" s="24"/>
      <c r="S473" s="24"/>
      <c r="T473" s="24"/>
      <c r="U473" s="24"/>
      <c r="V473" s="24"/>
      <c r="W473" s="24"/>
      <c r="X473" s="24"/>
      <c r="Y473" s="24"/>
      <c r="Z473" s="24"/>
    </row>
    <row r="474">
      <c r="A474" s="29">
        <f>IFERROR(__xludf.DUMMYFUNCTION("""COMPUTED_VALUE"""),40381.0)</f>
        <v>40381</v>
      </c>
      <c r="B474" s="24">
        <f>IFERROR(__xludf.DUMMYFUNCTION("""COMPUTED_VALUE"""),1.0521431E8)</f>
        <v>105214310</v>
      </c>
      <c r="C474" s="24" t="str">
        <f>IFERROR(__xludf.DUMMYFUNCTION("""COMPUTED_VALUE"""),"600 Greenspoint")</f>
        <v>600 Greenspoint</v>
      </c>
      <c r="D474" s="26" t="str">
        <f>IFERROR(__xludf.DUMMYFUNCTION("""COMPUTED_VALUE"""),"M")</f>
        <v>M</v>
      </c>
      <c r="E474" s="26" t="str">
        <f>IFERROR(__xludf.DUMMYFUNCTION("""COMPUTED_VALUE"""),"H")</f>
        <v>H</v>
      </c>
      <c r="F474" s="26"/>
      <c r="G474" s="26" t="str">
        <f>IFERROR(__xludf.DUMMYFUNCTION("""COMPUTED_VALUE"""),"None")</f>
        <v>None</v>
      </c>
      <c r="H474" s="26" t="str">
        <f>IFERROR(__xludf.DUMMYFUNCTION("""COMPUTED_VALUE"""),"Unknown")</f>
        <v>Unknown</v>
      </c>
      <c r="I474" s="27" t="str">
        <f>IFERROR(__xludf.DUMMYFUNCTION("""COMPUTED_VALUE"""),"M")</f>
        <v>M</v>
      </c>
      <c r="J474" s="27" t="str">
        <f>IFERROR(__xludf.DUMMYFUNCTION("""COMPUTED_VALUE"""),"B")</f>
        <v>B</v>
      </c>
      <c r="K474" s="27">
        <f>IFERROR(__xludf.DUMMYFUNCTION("""COMPUTED_VALUE"""),40.0)</f>
        <v>40</v>
      </c>
      <c r="L474" s="27" t="str">
        <f>IFERROR(__xludf.DUMMYFUNCTION("""COMPUTED_VALUE"""),"None")</f>
        <v>None</v>
      </c>
      <c r="M474" s="27" t="str">
        <f>IFERROR(__xludf.DUMMYFUNCTION("""COMPUTED_VALUE"""),"N")</f>
        <v>N</v>
      </c>
      <c r="N474" s="24"/>
      <c r="O474" s="24">
        <f>IFERROR(__xludf.DUMMYFUNCTION("""COMPUTED_VALUE"""),1.0)</f>
        <v>1</v>
      </c>
      <c r="P474" s="28" t="str">
        <f>IFERROR(__xludf.DUMMYFUNCTION("""COMPUTED_VALUE"""),"The officer saw an unknown male break into a vehicle. The officer confronted the suspect and saw that the suspect had a black object in his hand. The suspect refused to drop the object and instead began to raise the object as if to point it at the officer"&amp;" causing the officer to discharge his firearm.")</f>
        <v>The officer saw an unknown male break into a vehicle. The officer confronted the suspect and saw that the suspect had a black object in his hand. The suspect refused to drop the object and instead began to raise the object as if to point it at the officer causing the officer to discharge his firearm.</v>
      </c>
      <c r="Q474" s="24"/>
      <c r="R474" s="24"/>
      <c r="S474" s="24"/>
      <c r="T474" s="24"/>
      <c r="U474" s="24"/>
      <c r="V474" s="24"/>
      <c r="W474" s="24"/>
      <c r="X474" s="24"/>
      <c r="Y474" s="24"/>
      <c r="Z474" s="24"/>
    </row>
    <row r="475" hidden="1">
      <c r="A475" s="29">
        <f>IFERROR(__xludf.DUMMYFUNCTION("""COMPUTED_VALUE"""),40323.0)</f>
        <v>40323</v>
      </c>
      <c r="B475" s="24">
        <f>IFERROR(__xludf.DUMMYFUNCTION("""COMPUTED_VALUE"""),7.557021E7)</f>
        <v>75570210</v>
      </c>
      <c r="C475" s="24" t="str">
        <f>IFERROR(__xludf.DUMMYFUNCTION("""COMPUTED_VALUE"""),"Protected By Law")</f>
        <v>Protected By Law</v>
      </c>
      <c r="D475" s="26" t="str">
        <f>IFERROR(__xludf.DUMMYFUNCTION("""COMPUTED_VALUE"""),"M")</f>
        <v>M</v>
      </c>
      <c r="E475" s="26" t="str">
        <f>IFERROR(__xludf.DUMMYFUNCTION("""COMPUTED_VALUE"""),"B")</f>
        <v>B</v>
      </c>
      <c r="F475" s="26">
        <f>IFERROR(__xludf.DUMMYFUNCTION("""COMPUTED_VALUE"""),21.0)</f>
        <v>21</v>
      </c>
      <c r="G475" s="26" t="str">
        <f>IFERROR(__xludf.DUMMYFUNCTION("""COMPUTED_VALUE"""),"Wounded")</f>
        <v>Wounded</v>
      </c>
      <c r="H475" s="26" t="str">
        <f>IFERROR(__xludf.DUMMYFUNCTION("""COMPUTED_VALUE"""),"None")</f>
        <v>None</v>
      </c>
      <c r="I475" s="27" t="str">
        <f>IFERROR(__xludf.DUMMYFUNCTION("""COMPUTED_VALUE"""),"M")</f>
        <v>M</v>
      </c>
      <c r="J475" s="27" t="str">
        <f>IFERROR(__xludf.DUMMYFUNCTION("""COMPUTED_VALUE"""),"W")</f>
        <v>W</v>
      </c>
      <c r="K475" s="27">
        <f>IFERROR(__xludf.DUMMYFUNCTION("""COMPUTED_VALUE"""),32.0)</f>
        <v>32</v>
      </c>
      <c r="L475" s="27" t="str">
        <f>IFERROR(__xludf.DUMMYFUNCTION("""COMPUTED_VALUE"""),"None")</f>
        <v>None</v>
      </c>
      <c r="M475" s="27" t="str">
        <f>IFERROR(__xludf.DUMMYFUNCTION("""COMPUTED_VALUE"""),"N")</f>
        <v>N</v>
      </c>
      <c r="N475" s="24"/>
      <c r="O475" s="24">
        <f>IFERROR(__xludf.DUMMYFUNCTION("""COMPUTED_VALUE"""),1.0)</f>
        <v>1</v>
      </c>
      <c r="P475" s="28" t="str">
        <f>IFERROR(__xludf.DUMMYFUNCTION("""COMPUTED_VALUE"""),"The officer saw the suspect breaking into a vehicle. The suspect then fled on foot when he was confronted by the officer. The officer chased the suspect and during the pursuit, the suspect reached into his waitband has he turned to face the officer causin"&amp;"g the officer to shoot the suspect.")</f>
        <v>The officer saw the suspect breaking into a vehicle. The suspect then fled on foot when he was confronted by the officer. The officer chased the suspect and during the pursuit, the suspect reached into his waitband has he turned to face the officer causing the officer to shoot the suspect.</v>
      </c>
      <c r="Q475" s="24"/>
      <c r="R475" s="24"/>
      <c r="S475" s="24"/>
      <c r="T475" s="24"/>
      <c r="U475" s="24"/>
      <c r="V475" s="24"/>
      <c r="W475" s="24"/>
      <c r="X475" s="24"/>
      <c r="Y475" s="24"/>
      <c r="Z475" s="24"/>
    </row>
    <row r="476" hidden="1">
      <c r="A476" s="29">
        <f>IFERROR(__xludf.DUMMYFUNCTION("""COMPUTED_VALUE"""),40318.0)</f>
        <v>40318</v>
      </c>
      <c r="B476" s="24">
        <f>IFERROR(__xludf.DUMMYFUNCTION("""COMPUTED_VALUE"""),7.274291E7)</f>
        <v>72742910</v>
      </c>
      <c r="C476" s="24" t="str">
        <f>IFERROR(__xludf.DUMMYFUNCTION("""COMPUTED_VALUE"""),"2900 W. Sam Houston Pkwy")</f>
        <v>2900 W. Sam Houston Pkwy</v>
      </c>
      <c r="D476" s="26" t="str">
        <f>IFERROR(__xludf.DUMMYFUNCTION("""COMPUTED_VALUE"""),"M")</f>
        <v>M</v>
      </c>
      <c r="E476" s="26" t="str">
        <f>IFERROR(__xludf.DUMMYFUNCTION("""COMPUTED_VALUE"""),"B")</f>
        <v>B</v>
      </c>
      <c r="F476" s="26">
        <f>IFERROR(__xludf.DUMMYFUNCTION("""COMPUTED_VALUE"""),37.0)</f>
        <v>37</v>
      </c>
      <c r="G476" s="26" t="str">
        <f>IFERROR(__xludf.DUMMYFUNCTION("""COMPUTED_VALUE"""),"Wounded")</f>
        <v>Wounded</v>
      </c>
      <c r="H476" s="26" t="str">
        <f>IFERROR(__xludf.DUMMYFUNCTION("""COMPUTED_VALUE"""),"Firearm")</f>
        <v>Firearm</v>
      </c>
      <c r="I476" s="27" t="str">
        <f>IFERROR(__xludf.DUMMYFUNCTION("""COMPUTED_VALUE"""),"M")</f>
        <v>M</v>
      </c>
      <c r="J476" s="27" t="str">
        <f>IFERROR(__xludf.DUMMYFUNCTION("""COMPUTED_VALUE"""),"B")</f>
        <v>B</v>
      </c>
      <c r="K476" s="27">
        <f>IFERROR(__xludf.DUMMYFUNCTION("""COMPUTED_VALUE"""),40.0)</f>
        <v>40</v>
      </c>
      <c r="L476" s="27" t="str">
        <f>IFERROR(__xludf.DUMMYFUNCTION("""COMPUTED_VALUE"""),"None")</f>
        <v>None</v>
      </c>
      <c r="M476" s="27" t="str">
        <f>IFERROR(__xludf.DUMMYFUNCTION("""COMPUTED_VALUE"""),"Y")</f>
        <v>Y</v>
      </c>
      <c r="N476" s="24"/>
      <c r="O476" s="24"/>
      <c r="P476" s="28" t="str">
        <f>IFERROR(__xludf.DUMMYFUNCTION("""COMPUTED_VALUE"""),"An undercover operation was being conducted when the armed suspect entered the hotel room where the officers were operating. The suspect pointed his weapon at the officer causing the officers to return fire.")</f>
        <v>An undercover operation was being conducted when the armed suspect entered the hotel room where the officers were operating. The suspect pointed his weapon at the officer causing the officers to return fire.</v>
      </c>
      <c r="Q476" s="24"/>
      <c r="R476" s="24"/>
      <c r="S476" s="24"/>
      <c r="T476" s="24"/>
      <c r="U476" s="24"/>
      <c r="V476" s="24"/>
      <c r="W476" s="24"/>
      <c r="X476" s="24"/>
      <c r="Y476" s="24"/>
      <c r="Z476" s="24"/>
    </row>
    <row r="477" hidden="1">
      <c r="A477" s="29"/>
      <c r="B477" s="24"/>
      <c r="C477" s="24"/>
      <c r="D477" s="26"/>
      <c r="E477" s="26"/>
      <c r="F477" s="26"/>
      <c r="G477" s="26"/>
      <c r="H477" s="26"/>
      <c r="I477" s="27" t="str">
        <f>IFERROR(__xludf.DUMMYFUNCTION("""COMPUTED_VALUE"""),"M")</f>
        <v>M</v>
      </c>
      <c r="J477" s="27" t="str">
        <f>IFERROR(__xludf.DUMMYFUNCTION("""COMPUTED_VALUE"""),"B")</f>
        <v>B</v>
      </c>
      <c r="K477" s="27">
        <f>IFERROR(__xludf.DUMMYFUNCTION("""COMPUTED_VALUE"""),38.0)</f>
        <v>38</v>
      </c>
      <c r="L477" s="27" t="str">
        <f>IFERROR(__xludf.DUMMYFUNCTION("""COMPUTED_VALUE"""),"None")</f>
        <v>None</v>
      </c>
      <c r="M477" s="27" t="str">
        <f>IFERROR(__xludf.DUMMYFUNCTION("""COMPUTED_VALUE"""),"Y")</f>
        <v>Y</v>
      </c>
      <c r="N477" s="24"/>
      <c r="O477" s="24"/>
      <c r="P477" s="24"/>
      <c r="Q477" s="24"/>
      <c r="R477" s="24"/>
      <c r="S477" s="24"/>
      <c r="T477" s="24"/>
      <c r="U477" s="24"/>
      <c r="V477" s="24"/>
      <c r="W477" s="24"/>
      <c r="X477" s="24"/>
      <c r="Y477" s="24"/>
      <c r="Z477" s="24"/>
    </row>
    <row r="478" hidden="1">
      <c r="A478" s="29">
        <f>IFERROR(__xludf.DUMMYFUNCTION("""COMPUTED_VALUE"""),40314.0)</f>
        <v>40314</v>
      </c>
      <c r="B478" s="24">
        <f>IFERROR(__xludf.DUMMYFUNCTION("""COMPUTED_VALUE"""),7.046971E7)</f>
        <v>70469710</v>
      </c>
      <c r="C478" s="24" t="str">
        <f>IFERROR(__xludf.DUMMYFUNCTION("""COMPUTED_VALUE"""),"12109 Westheimer")</f>
        <v>12109 Westheimer</v>
      </c>
      <c r="D478" s="26" t="str">
        <f>IFERROR(__xludf.DUMMYFUNCTION("""COMPUTED_VALUE"""),"M")</f>
        <v>M</v>
      </c>
      <c r="E478" s="26" t="str">
        <f>IFERROR(__xludf.DUMMYFUNCTION("""COMPUTED_VALUE"""),"B")</f>
        <v>B</v>
      </c>
      <c r="F478" s="26">
        <f>IFERROR(__xludf.DUMMYFUNCTION("""COMPUTED_VALUE"""),37.0)</f>
        <v>37</v>
      </c>
      <c r="G478" s="26" t="str">
        <f>IFERROR(__xludf.DUMMYFUNCTION("""COMPUTED_VALUE"""),"Wounded")</f>
        <v>Wounded</v>
      </c>
      <c r="H478" s="26" t="str">
        <f>IFERROR(__xludf.DUMMYFUNCTION("""COMPUTED_VALUE"""),"Firearm")</f>
        <v>Firearm</v>
      </c>
      <c r="I478" s="27" t="str">
        <f>IFERROR(__xludf.DUMMYFUNCTION("""COMPUTED_VALUE"""),"M")</f>
        <v>M</v>
      </c>
      <c r="J478" s="27" t="str">
        <f>IFERROR(__xludf.DUMMYFUNCTION("""COMPUTED_VALUE"""),"H")</f>
        <v>H</v>
      </c>
      <c r="K478" s="27">
        <f>IFERROR(__xludf.DUMMYFUNCTION("""COMPUTED_VALUE"""),28.0)</f>
        <v>28</v>
      </c>
      <c r="L478" s="27" t="str">
        <f>IFERROR(__xludf.DUMMYFUNCTION("""COMPUTED_VALUE"""),"None")</f>
        <v>None</v>
      </c>
      <c r="M478" s="27" t="str">
        <f>IFERROR(__xludf.DUMMYFUNCTION("""COMPUTED_VALUE"""),"Y")</f>
        <v>Y</v>
      </c>
      <c r="N478" s="24"/>
      <c r="O478" s="24">
        <f>IFERROR(__xludf.DUMMYFUNCTION("""COMPUTED_VALUE"""),1.0)</f>
        <v>1</v>
      </c>
      <c r="P478" s="28" t="str">
        <f>IFERROR(__xludf.DUMMYFUNCTION("""COMPUTED_VALUE"""),"Suspect fought the officer who pulled him over on traffic. The suspect then ran to his vehicle where he grabbed a pistol and pointed it at the officer causing the officer to have to shoot him.")</f>
        <v>Suspect fought the officer who pulled him over on traffic. The suspect then ran to his vehicle where he grabbed a pistol and pointed it at the officer causing the officer to have to shoot him.</v>
      </c>
      <c r="Q478" s="24"/>
      <c r="R478" s="24"/>
      <c r="S478" s="24"/>
      <c r="T478" s="24"/>
      <c r="U478" s="24"/>
      <c r="V478" s="24"/>
      <c r="W478" s="24"/>
      <c r="X478" s="24"/>
      <c r="Y478" s="24"/>
      <c r="Z478" s="24"/>
    </row>
    <row r="479" hidden="1">
      <c r="A479" s="29">
        <f>IFERROR(__xludf.DUMMYFUNCTION("""COMPUTED_VALUE"""),40287.0)</f>
        <v>40287</v>
      </c>
      <c r="B479" s="24">
        <f>IFERROR(__xludf.DUMMYFUNCTION("""COMPUTED_VALUE"""),5.605091E7)</f>
        <v>56050910</v>
      </c>
      <c r="C479" s="24" t="str">
        <f>IFERROR(__xludf.DUMMYFUNCTION("""COMPUTED_VALUE"""),"Arlington Texas")</f>
        <v>Arlington Texas</v>
      </c>
      <c r="D479" s="26" t="str">
        <f>IFERROR(__xludf.DUMMYFUNCTION("""COMPUTED_VALUE"""),"M")</f>
        <v>M</v>
      </c>
      <c r="E479" s="26" t="str">
        <f>IFERROR(__xludf.DUMMYFUNCTION("""COMPUTED_VALUE"""),"B")</f>
        <v>B</v>
      </c>
      <c r="F479" s="26">
        <f>IFERROR(__xludf.DUMMYFUNCTION("""COMPUTED_VALUE"""),18.0)</f>
        <v>18</v>
      </c>
      <c r="G479" s="26" t="str">
        <f>IFERROR(__xludf.DUMMYFUNCTION("""COMPUTED_VALUE"""),"Killed")</f>
        <v>Killed</v>
      </c>
      <c r="H479" s="26" t="str">
        <f>IFERROR(__xludf.DUMMYFUNCTION("""COMPUTED_VALUE"""),"Firearm")</f>
        <v>Firearm</v>
      </c>
      <c r="I479" s="27" t="str">
        <f>IFERROR(__xludf.DUMMYFUNCTION("""COMPUTED_VALUE"""),"M")</f>
        <v>M</v>
      </c>
      <c r="J479" s="27" t="str">
        <f>IFERROR(__xludf.DUMMYFUNCTION("""COMPUTED_VALUE"""),"H")</f>
        <v>H</v>
      </c>
      <c r="K479" s="27">
        <f>IFERROR(__xludf.DUMMYFUNCTION("""COMPUTED_VALUE"""),40.0)</f>
        <v>40</v>
      </c>
      <c r="L479" s="27" t="str">
        <f>IFERROR(__xludf.DUMMYFUNCTION("""COMPUTED_VALUE"""),"None")</f>
        <v>None</v>
      </c>
      <c r="M479" s="27" t="str">
        <f>IFERROR(__xludf.DUMMYFUNCTION("""COMPUTED_VALUE"""),"N")</f>
        <v>N</v>
      </c>
      <c r="N479" s="24"/>
      <c r="O479" s="24">
        <f>IFERROR(__xludf.DUMMYFUNCTION("""COMPUTED_VALUE"""),1.0)</f>
        <v>1</v>
      </c>
      <c r="P479" s="24" t="str">
        <f>IFERROR(__xludf.DUMMYFUNCTION("""COMPUTED_VALUE"""),"Officer was visiting Arlington Texas when the suspect confronted him and threatened him with a firearm causing the officer to shoot him.")</f>
        <v>Officer was visiting Arlington Texas when the suspect confronted him and threatened him with a firearm causing the officer to shoot him.</v>
      </c>
      <c r="Q479" s="24"/>
      <c r="R479" s="24"/>
      <c r="S479" s="24"/>
      <c r="T479" s="24"/>
      <c r="U479" s="24"/>
      <c r="V479" s="24"/>
      <c r="W479" s="24"/>
      <c r="X479" s="24"/>
      <c r="Y479" s="24"/>
      <c r="Z479" s="24"/>
    </row>
    <row r="480" hidden="1">
      <c r="A480" s="29">
        <f>IFERROR(__xludf.DUMMYFUNCTION("""COMPUTED_VALUE"""),40283.0)</f>
        <v>40283</v>
      </c>
      <c r="B480" s="24">
        <f>IFERROR(__xludf.DUMMYFUNCTION("""COMPUTED_VALUE"""),5.346431E7)</f>
        <v>53464310</v>
      </c>
      <c r="C480" s="24" t="str">
        <f>IFERROR(__xludf.DUMMYFUNCTION("""COMPUTED_VALUE"""),"3400 Woodchase")</f>
        <v>3400 Woodchase</v>
      </c>
      <c r="D480" s="26" t="str">
        <f>IFERROR(__xludf.DUMMYFUNCTION("""COMPUTED_VALUE"""),"M")</f>
        <v>M</v>
      </c>
      <c r="E480" s="26" t="str">
        <f>IFERROR(__xludf.DUMMYFUNCTION("""COMPUTED_VALUE"""),"B")</f>
        <v>B</v>
      </c>
      <c r="F480" s="26">
        <f>IFERROR(__xludf.DUMMYFUNCTION("""COMPUTED_VALUE"""),30.0)</f>
        <v>30</v>
      </c>
      <c r="G480" s="26" t="str">
        <f>IFERROR(__xludf.DUMMYFUNCTION("""COMPUTED_VALUE"""),"Wounded")</f>
        <v>Wounded</v>
      </c>
      <c r="H480" s="26" t="str">
        <f>IFERROR(__xludf.DUMMYFUNCTION("""COMPUTED_VALUE"""),"Knife")</f>
        <v>Knife</v>
      </c>
      <c r="I480" s="27" t="str">
        <f>IFERROR(__xludf.DUMMYFUNCTION("""COMPUTED_VALUE"""),"M")</f>
        <v>M</v>
      </c>
      <c r="J480" s="27" t="str">
        <f>IFERROR(__xludf.DUMMYFUNCTION("""COMPUTED_VALUE"""),"H")</f>
        <v>H</v>
      </c>
      <c r="K480" s="27">
        <f>IFERROR(__xludf.DUMMYFUNCTION("""COMPUTED_VALUE"""),46.0)</f>
        <v>46</v>
      </c>
      <c r="L480" s="27" t="str">
        <f>IFERROR(__xludf.DUMMYFUNCTION("""COMPUTED_VALUE"""),"None")</f>
        <v>None</v>
      </c>
      <c r="M480" s="27" t="str">
        <f>IFERROR(__xludf.DUMMYFUNCTION("""COMPUTED_VALUE"""),"Y")</f>
        <v>Y</v>
      </c>
      <c r="N480" s="24"/>
      <c r="O480" s="24">
        <f>IFERROR(__xludf.DUMMYFUNCTION("""COMPUTED_VALUE"""),1.0)</f>
        <v>1</v>
      </c>
      <c r="P480" s="28" t="str">
        <f>IFERROR(__xludf.DUMMYFUNCTION("""COMPUTED_VALUE"""),"The suspect was armed with a knife. He refused to drop the knife when told to do so, instead the suspect appeared to be ready to attack the officer. The officer discharged his weapon at this point.")</f>
        <v>The suspect was armed with a knife. He refused to drop the knife when told to do so, instead the suspect appeared to be ready to attack the officer. The officer discharged his weapon at this point.</v>
      </c>
      <c r="Q480" s="24"/>
      <c r="R480" s="24"/>
      <c r="S480" s="24"/>
      <c r="T480" s="24"/>
      <c r="U480" s="24"/>
      <c r="V480" s="24"/>
      <c r="W480" s="24"/>
      <c r="X480" s="24"/>
      <c r="Y480" s="24"/>
      <c r="Z480" s="24"/>
    </row>
    <row r="481" hidden="1">
      <c r="A481" s="29">
        <f>IFERROR(__xludf.DUMMYFUNCTION("""COMPUTED_VALUE"""),40270.0)</f>
        <v>40270</v>
      </c>
      <c r="B481" s="24">
        <f>IFERROR(__xludf.DUMMYFUNCTION("""COMPUTED_VALUE"""),4.698501E7)</f>
        <v>46985010</v>
      </c>
      <c r="C481" s="24" t="str">
        <f>IFERROR(__xludf.DUMMYFUNCTION("""COMPUTED_VALUE"""),"Protected By Law")</f>
        <v>Protected By Law</v>
      </c>
      <c r="D481" s="26" t="str">
        <f>IFERROR(__xludf.DUMMYFUNCTION("""COMPUTED_VALUE"""),"M")</f>
        <v>M</v>
      </c>
      <c r="E481" s="26" t="str">
        <f>IFERROR(__xludf.DUMMYFUNCTION("""COMPUTED_VALUE"""),"H")</f>
        <v>H</v>
      </c>
      <c r="F481" s="26">
        <f>IFERROR(__xludf.DUMMYFUNCTION("""COMPUTED_VALUE"""),35.0)</f>
        <v>35</v>
      </c>
      <c r="G481" s="26" t="str">
        <f>IFERROR(__xludf.DUMMYFUNCTION("""COMPUTED_VALUE"""),"Wounded")</f>
        <v>Wounded</v>
      </c>
      <c r="H481" s="26" t="str">
        <f>IFERROR(__xludf.DUMMYFUNCTION("""COMPUTED_VALUE"""),"Physical Force")</f>
        <v>Physical Force</v>
      </c>
      <c r="I481" s="27" t="str">
        <f>IFERROR(__xludf.DUMMYFUNCTION("""COMPUTED_VALUE"""),"M")</f>
        <v>M</v>
      </c>
      <c r="J481" s="27" t="str">
        <f>IFERROR(__xludf.DUMMYFUNCTION("""COMPUTED_VALUE"""),"H")</f>
        <v>H</v>
      </c>
      <c r="K481" s="27">
        <f>IFERROR(__xludf.DUMMYFUNCTION("""COMPUTED_VALUE"""),25.0)</f>
        <v>25</v>
      </c>
      <c r="L481" s="27" t="str">
        <f>IFERROR(__xludf.DUMMYFUNCTION("""COMPUTED_VALUE"""),"None")</f>
        <v>None</v>
      </c>
      <c r="M481" s="27" t="str">
        <f>IFERROR(__xludf.DUMMYFUNCTION("""COMPUTED_VALUE"""),"N")</f>
        <v>N</v>
      </c>
      <c r="N481" s="24"/>
      <c r="O481" s="24">
        <f>IFERROR(__xludf.DUMMYFUNCTION("""COMPUTED_VALUE"""),1.0)</f>
        <v>1</v>
      </c>
      <c r="P481" s="28" t="str">
        <f>IFERROR(__xludf.DUMMYFUNCTION("""COMPUTED_VALUE"""),"The officer was attempting to arrest the suspect when the suspect pulled away from the officer. The officer pulled out his weapon as the suspect was moving toward him. The officer and the suspect were involved in a struggle when the officers weapon accide"&amp;"ntally discharged.")</f>
        <v>The officer was attempting to arrest the suspect when the suspect pulled away from the officer. The officer pulled out his weapon as the suspect was moving toward him. The officer and the suspect were involved in a struggle when the officers weapon accidentally discharged.</v>
      </c>
      <c r="Q481" s="24"/>
      <c r="R481" s="24"/>
      <c r="S481" s="24"/>
      <c r="T481" s="24"/>
      <c r="U481" s="24"/>
      <c r="V481" s="24"/>
      <c r="W481" s="24"/>
      <c r="X481" s="24"/>
      <c r="Y481" s="24"/>
      <c r="Z481" s="24"/>
    </row>
    <row r="482" hidden="1">
      <c r="A482" s="29">
        <f>IFERROR(__xludf.DUMMYFUNCTION("""COMPUTED_VALUE"""),40264.0)</f>
        <v>40264</v>
      </c>
      <c r="B482" s="24">
        <f>IFERROR(__xludf.DUMMYFUNCTION("""COMPUTED_VALUE"""),4.328711E7)</f>
        <v>43287110</v>
      </c>
      <c r="C482" s="24" t="str">
        <f>IFERROR(__xludf.DUMMYFUNCTION("""COMPUTED_VALUE"""),"1200 Oak Meadows")</f>
        <v>1200 Oak Meadows</v>
      </c>
      <c r="D482" s="26" t="str">
        <f>IFERROR(__xludf.DUMMYFUNCTION("""COMPUTED_VALUE"""),"M")</f>
        <v>M</v>
      </c>
      <c r="E482" s="26" t="str">
        <f>IFERROR(__xludf.DUMMYFUNCTION("""COMPUTED_VALUE"""),"H")</f>
        <v>H</v>
      </c>
      <c r="F482" s="26">
        <f>IFERROR(__xludf.DUMMYFUNCTION("""COMPUTED_VALUE"""),28.0)</f>
        <v>28</v>
      </c>
      <c r="G482" s="26" t="str">
        <f>IFERROR(__xludf.DUMMYFUNCTION("""COMPUTED_VALUE"""),"Killed")</f>
        <v>Killed</v>
      </c>
      <c r="H482" s="26" t="str">
        <f>IFERROR(__xludf.DUMMYFUNCTION("""COMPUTED_VALUE"""),"Firearm")</f>
        <v>Firearm</v>
      </c>
      <c r="I482" s="27" t="str">
        <f>IFERROR(__xludf.DUMMYFUNCTION("""COMPUTED_VALUE"""),"M")</f>
        <v>M</v>
      </c>
      <c r="J482" s="27" t="str">
        <f>IFERROR(__xludf.DUMMYFUNCTION("""COMPUTED_VALUE"""),"W")</f>
        <v>W</v>
      </c>
      <c r="K482" s="27">
        <f>IFERROR(__xludf.DUMMYFUNCTION("""COMPUTED_VALUE"""),45.0)</f>
        <v>45</v>
      </c>
      <c r="L482" s="27" t="str">
        <f>IFERROR(__xludf.DUMMYFUNCTION("""COMPUTED_VALUE"""),"None")</f>
        <v>None</v>
      </c>
      <c r="M482" s="27" t="str">
        <f>IFERROR(__xludf.DUMMYFUNCTION("""COMPUTED_VALUE"""),"Y")</f>
        <v>Y</v>
      </c>
      <c r="N482" s="24"/>
      <c r="O482" s="24"/>
      <c r="P482" s="24" t="str">
        <f>IFERROR(__xludf.DUMMYFUNCTION("""COMPUTED_VALUE"""),"Officers were set up on a location where a robbery was to occur. THe suspects arrived at the scene and when confronted the armed suspect pointed his weapon at the officers and moved toward them causing the officers to shoot him.")</f>
        <v>Officers were set up on a location where a robbery was to occur. THe suspects arrived at the scene and when confronted the armed suspect pointed his weapon at the officers and moved toward them causing the officers to shoot him.</v>
      </c>
      <c r="Q482" s="24"/>
      <c r="R482" s="24"/>
      <c r="S482" s="24"/>
      <c r="T482" s="24"/>
      <c r="U482" s="24"/>
      <c r="V482" s="24"/>
      <c r="W482" s="24"/>
      <c r="X482" s="24"/>
      <c r="Y482" s="24"/>
      <c r="Z482" s="24"/>
    </row>
    <row r="483" hidden="1">
      <c r="A483" s="29"/>
      <c r="B483" s="24"/>
      <c r="C483" s="24"/>
      <c r="D483" s="26"/>
      <c r="E483" s="26"/>
      <c r="F483" s="26"/>
      <c r="G483" s="26"/>
      <c r="H483" s="26"/>
      <c r="I483" s="27" t="str">
        <f>IFERROR(__xludf.DUMMYFUNCTION("""COMPUTED_VALUE"""),"M")</f>
        <v>M</v>
      </c>
      <c r="J483" s="27" t="str">
        <f>IFERROR(__xludf.DUMMYFUNCTION("""COMPUTED_VALUE"""),"W")</f>
        <v>W</v>
      </c>
      <c r="K483" s="27">
        <f>IFERROR(__xludf.DUMMYFUNCTION("""COMPUTED_VALUE"""),47.0)</f>
        <v>47</v>
      </c>
      <c r="L483" s="27" t="str">
        <f>IFERROR(__xludf.DUMMYFUNCTION("""COMPUTED_VALUE"""),"None")</f>
        <v>None</v>
      </c>
      <c r="M483" s="27" t="str">
        <f>IFERROR(__xludf.DUMMYFUNCTION("""COMPUTED_VALUE"""),"Y")</f>
        <v>Y</v>
      </c>
      <c r="N483" s="24"/>
      <c r="O483" s="24"/>
      <c r="P483" s="24"/>
      <c r="Q483" s="24"/>
      <c r="R483" s="24"/>
      <c r="S483" s="24"/>
      <c r="T483" s="24"/>
      <c r="U483" s="24"/>
      <c r="V483" s="24"/>
      <c r="W483" s="24"/>
      <c r="X483" s="24"/>
      <c r="Y483" s="24"/>
      <c r="Z483" s="24"/>
    </row>
    <row r="484" hidden="1">
      <c r="A484" s="29">
        <f>IFERROR(__xludf.DUMMYFUNCTION("""COMPUTED_VALUE"""),40256.0)</f>
        <v>40256</v>
      </c>
      <c r="B484" s="24">
        <f>IFERROR(__xludf.DUMMYFUNCTION("""COMPUTED_VALUE"""),3.953671E7)</f>
        <v>39536710</v>
      </c>
      <c r="C484" s="24" t="str">
        <f>IFERROR(__xludf.DUMMYFUNCTION("""COMPUTED_VALUE"""),"7325 Bellerive Dr")</f>
        <v>7325 Bellerive Dr</v>
      </c>
      <c r="D484" s="26" t="str">
        <f>IFERROR(__xludf.DUMMYFUNCTION("""COMPUTED_VALUE"""),"M")</f>
        <v>M</v>
      </c>
      <c r="E484" s="26" t="str">
        <f>IFERROR(__xludf.DUMMYFUNCTION("""COMPUTED_VALUE"""),"B")</f>
        <v>B</v>
      </c>
      <c r="F484" s="26">
        <f>IFERROR(__xludf.DUMMYFUNCTION("""COMPUTED_VALUE"""),21.0)</f>
        <v>21</v>
      </c>
      <c r="G484" s="26" t="str">
        <f>IFERROR(__xludf.DUMMYFUNCTION("""COMPUTED_VALUE"""),"Killed")</f>
        <v>Killed</v>
      </c>
      <c r="H484" s="26" t="str">
        <f>IFERROR(__xludf.DUMMYFUNCTION("""COMPUTED_VALUE"""),"Firearm")</f>
        <v>Firearm</v>
      </c>
      <c r="I484" s="27" t="str">
        <f>IFERROR(__xludf.DUMMYFUNCTION("""COMPUTED_VALUE"""),"M")</f>
        <v>M</v>
      </c>
      <c r="J484" s="27" t="str">
        <f>IFERROR(__xludf.DUMMYFUNCTION("""COMPUTED_VALUE"""),"W")</f>
        <v>W</v>
      </c>
      <c r="K484" s="27">
        <f>IFERROR(__xludf.DUMMYFUNCTION("""COMPUTED_VALUE"""),33.0)</f>
        <v>33</v>
      </c>
      <c r="L484" s="27" t="str">
        <f>IFERROR(__xludf.DUMMYFUNCTION("""COMPUTED_VALUE"""),"None")</f>
        <v>None</v>
      </c>
      <c r="M484" s="27" t="str">
        <f>IFERROR(__xludf.DUMMYFUNCTION("""COMPUTED_VALUE"""),"Y")</f>
        <v>Y</v>
      </c>
      <c r="N484" s="24"/>
      <c r="O484" s="24"/>
      <c r="P484" s="24" t="str">
        <f>IFERROR(__xludf.DUMMYFUNCTION("""COMPUTED_VALUE"""),"The officers on viewed a robbery in progress. As the suspect was fleeing from the robbery scene he pointed a weapon at the officer. The officer fired his weapon fearing that the suspect was going to shoot him.")</f>
        <v>The officers on viewed a robbery in progress. As the suspect was fleeing from the robbery scene he pointed a weapon at the officer. The officer fired his weapon fearing that the suspect was going to shoot him.</v>
      </c>
      <c r="Q484" s="24"/>
      <c r="R484" s="24"/>
      <c r="S484" s="24"/>
      <c r="T484" s="24"/>
      <c r="U484" s="24"/>
      <c r="V484" s="24"/>
      <c r="W484" s="24"/>
      <c r="X484" s="24"/>
      <c r="Y484" s="24"/>
      <c r="Z484" s="24"/>
    </row>
    <row r="485" hidden="1">
      <c r="A485" s="29">
        <f>IFERROR(__xludf.DUMMYFUNCTION("""COMPUTED_VALUE"""),40244.0)</f>
        <v>40244</v>
      </c>
      <c r="B485" s="24">
        <f>IFERROR(__xludf.DUMMYFUNCTION("""COMPUTED_VALUE"""),3.313741E7)</f>
        <v>33137410</v>
      </c>
      <c r="C485" s="24" t="str">
        <f>IFERROR(__xludf.DUMMYFUNCTION("""COMPUTED_VALUE"""),"24734 Loop 494")</f>
        <v>24734 Loop 494</v>
      </c>
      <c r="D485" s="26" t="str">
        <f>IFERROR(__xludf.DUMMYFUNCTION("""COMPUTED_VALUE"""),"M")</f>
        <v>M</v>
      </c>
      <c r="E485" s="26" t="str">
        <f>IFERROR(__xludf.DUMMYFUNCTION("""COMPUTED_VALUE"""),"H")</f>
        <v>H</v>
      </c>
      <c r="F485" s="26">
        <f>IFERROR(__xludf.DUMMYFUNCTION("""COMPUTED_VALUE"""),28.0)</f>
        <v>28</v>
      </c>
      <c r="G485" s="26" t="str">
        <f>IFERROR(__xludf.DUMMYFUNCTION("""COMPUTED_VALUE"""),"Wounded")</f>
        <v>Wounded</v>
      </c>
      <c r="H485" s="26" t="str">
        <f>IFERROR(__xludf.DUMMYFUNCTION("""COMPUTED_VALUE"""),"Firearm")</f>
        <v>Firearm</v>
      </c>
      <c r="I485" s="27" t="str">
        <f>IFERROR(__xludf.DUMMYFUNCTION("""COMPUTED_VALUE"""),"M")</f>
        <v>M</v>
      </c>
      <c r="J485" s="27" t="str">
        <f>IFERROR(__xludf.DUMMYFUNCTION("""COMPUTED_VALUE"""),"W")</f>
        <v>W</v>
      </c>
      <c r="K485" s="27">
        <f>IFERROR(__xludf.DUMMYFUNCTION("""COMPUTED_VALUE"""),35.0)</f>
        <v>35</v>
      </c>
      <c r="L485" s="27" t="str">
        <f>IFERROR(__xludf.DUMMYFUNCTION("""COMPUTED_VALUE"""),"None")</f>
        <v>None</v>
      </c>
      <c r="M485" s="27" t="str">
        <f>IFERROR(__xludf.DUMMYFUNCTION("""COMPUTED_VALUE"""),"Y")</f>
        <v>Y</v>
      </c>
      <c r="N485" s="24"/>
      <c r="O485" s="24">
        <f>IFERROR(__xludf.DUMMYFUNCTION("""COMPUTED_VALUE"""),1.0)</f>
        <v>1</v>
      </c>
      <c r="P485" s="28" t="str">
        <f>IFERROR(__xludf.DUMMYFUNCTION("""COMPUTED_VALUE"""),"The suspect was involved in a series of robberies. The officer located the suspect vehicle and a vehicle pursuit began. The suspect was shooting at the officers as he was being pursued and when he finally stopped he took a position of cover behind his veh"&amp;"icle. The suspect was still armed and confronted the officers causing them to shoot at the suspect.")</f>
        <v>The suspect was involved in a series of robberies. The officer located the suspect vehicle and a vehicle pursuit began. The suspect was shooting at the officers as he was being pursued and when he finally stopped he took a position of cover behind his vehicle. The suspect was still armed and confronted the officers causing them to shoot at the suspect.</v>
      </c>
      <c r="Q485" s="24"/>
      <c r="R485" s="24"/>
      <c r="S485" s="24"/>
      <c r="T485" s="24"/>
      <c r="U485" s="24"/>
      <c r="V485" s="24"/>
      <c r="W485" s="24"/>
      <c r="X485" s="24"/>
      <c r="Y485" s="24"/>
      <c r="Z485" s="24"/>
    </row>
    <row r="486" hidden="1">
      <c r="A486" s="29"/>
      <c r="B486" s="24"/>
      <c r="C486" s="24"/>
      <c r="D486" s="26"/>
      <c r="E486" s="26"/>
      <c r="F486" s="26"/>
      <c r="G486" s="26"/>
      <c r="H486" s="26"/>
      <c r="I486" s="27" t="str">
        <f>IFERROR(__xludf.DUMMYFUNCTION("""COMPUTED_VALUE"""),"M")</f>
        <v>M</v>
      </c>
      <c r="J486" s="27" t="str">
        <f>IFERROR(__xludf.DUMMYFUNCTION("""COMPUTED_VALUE"""),"W")</f>
        <v>W</v>
      </c>
      <c r="K486" s="27">
        <f>IFERROR(__xludf.DUMMYFUNCTION("""COMPUTED_VALUE"""),44.0)</f>
        <v>44</v>
      </c>
      <c r="L486" s="27" t="str">
        <f>IFERROR(__xludf.DUMMYFUNCTION("""COMPUTED_VALUE"""),"None")</f>
        <v>None</v>
      </c>
      <c r="M486" s="27" t="str">
        <f>IFERROR(__xludf.DUMMYFUNCTION("""COMPUTED_VALUE"""),"Y")</f>
        <v>Y</v>
      </c>
      <c r="N486" s="24"/>
      <c r="O486" s="24">
        <f>IFERROR(__xludf.DUMMYFUNCTION("""COMPUTED_VALUE"""),1.0)</f>
        <v>1</v>
      </c>
      <c r="P486" s="24"/>
      <c r="Q486" s="24"/>
      <c r="R486" s="24"/>
      <c r="S486" s="24"/>
      <c r="T486" s="24"/>
      <c r="U486" s="24"/>
      <c r="V486" s="24"/>
      <c r="W486" s="24"/>
      <c r="X486" s="24"/>
      <c r="Y486" s="24"/>
      <c r="Z486" s="24"/>
    </row>
    <row r="487" hidden="1">
      <c r="A487" s="29"/>
      <c r="B487" s="24"/>
      <c r="C487" s="24"/>
      <c r="D487" s="26"/>
      <c r="E487" s="26"/>
      <c r="F487" s="26"/>
      <c r="G487" s="26"/>
      <c r="H487" s="26"/>
      <c r="I487" s="27" t="str">
        <f>IFERROR(__xludf.DUMMYFUNCTION("""COMPUTED_VALUE"""),"M")</f>
        <v>M</v>
      </c>
      <c r="J487" s="27" t="str">
        <f>IFERROR(__xludf.DUMMYFUNCTION("""COMPUTED_VALUE"""),"H")</f>
        <v>H</v>
      </c>
      <c r="K487" s="27">
        <f>IFERROR(__xludf.DUMMYFUNCTION("""COMPUTED_VALUE"""),41.0)</f>
        <v>41</v>
      </c>
      <c r="L487" s="27" t="str">
        <f>IFERROR(__xludf.DUMMYFUNCTION("""COMPUTED_VALUE"""),"None")</f>
        <v>None</v>
      </c>
      <c r="M487" s="27" t="str">
        <f>IFERROR(__xludf.DUMMYFUNCTION("""COMPUTED_VALUE"""),"Y")</f>
        <v>Y</v>
      </c>
      <c r="N487" s="24"/>
      <c r="O487" s="24">
        <f>IFERROR(__xludf.DUMMYFUNCTION("""COMPUTED_VALUE"""),1.0)</f>
        <v>1</v>
      </c>
      <c r="P487" s="24"/>
      <c r="Q487" s="24"/>
      <c r="R487" s="24"/>
      <c r="S487" s="24"/>
      <c r="T487" s="24"/>
      <c r="U487" s="24"/>
      <c r="V487" s="24"/>
      <c r="W487" s="24"/>
      <c r="X487" s="24"/>
      <c r="Y487" s="24"/>
      <c r="Z487" s="24"/>
    </row>
    <row r="488" hidden="1">
      <c r="A488" s="29">
        <f>IFERROR(__xludf.DUMMYFUNCTION("""COMPUTED_VALUE"""),40233.0)</f>
        <v>40233</v>
      </c>
      <c r="B488" s="24">
        <f>IFERROR(__xludf.DUMMYFUNCTION("""COMPUTED_VALUE"""),2.748111E7)</f>
        <v>27481110</v>
      </c>
      <c r="C488" s="24" t="str">
        <f>IFERROR(__xludf.DUMMYFUNCTION("""COMPUTED_VALUE"""),"5200 Pederson")</f>
        <v>5200 Pederson</v>
      </c>
      <c r="D488" s="26" t="str">
        <f>IFERROR(__xludf.DUMMYFUNCTION("""COMPUTED_VALUE"""),"M")</f>
        <v>M</v>
      </c>
      <c r="E488" s="26" t="str">
        <f>IFERROR(__xludf.DUMMYFUNCTION("""COMPUTED_VALUE"""),"B")</f>
        <v>B</v>
      </c>
      <c r="F488" s="26">
        <f>IFERROR(__xludf.DUMMYFUNCTION("""COMPUTED_VALUE"""),41.0)</f>
        <v>41</v>
      </c>
      <c r="G488" s="26" t="str">
        <f>IFERROR(__xludf.DUMMYFUNCTION("""COMPUTED_VALUE"""),"Wounded")</f>
        <v>Wounded</v>
      </c>
      <c r="H488" s="26" t="str">
        <f>IFERROR(__xludf.DUMMYFUNCTION("""COMPUTED_VALUE"""),"None")</f>
        <v>None</v>
      </c>
      <c r="I488" s="27" t="str">
        <f>IFERROR(__xludf.DUMMYFUNCTION("""COMPUTED_VALUE"""),"M")</f>
        <v>M</v>
      </c>
      <c r="J488" s="27" t="str">
        <f>IFERROR(__xludf.DUMMYFUNCTION("""COMPUTED_VALUE"""),"B")</f>
        <v>B</v>
      </c>
      <c r="K488" s="27">
        <f>IFERROR(__xludf.DUMMYFUNCTION("""COMPUTED_VALUE"""),43.0)</f>
        <v>43</v>
      </c>
      <c r="L488" s="27" t="str">
        <f>IFERROR(__xludf.DUMMYFUNCTION("""COMPUTED_VALUE"""),"None")</f>
        <v>None</v>
      </c>
      <c r="M488" s="27" t="str">
        <f>IFERROR(__xludf.DUMMYFUNCTION("""COMPUTED_VALUE"""),"Y")</f>
        <v>Y</v>
      </c>
      <c r="N488" s="24"/>
      <c r="O488" s="24">
        <f>IFERROR(__xludf.DUMMYFUNCTION("""COMPUTED_VALUE"""),1.0)</f>
        <v>1</v>
      </c>
      <c r="P488" s="28" t="str">
        <f>IFERROR(__xludf.DUMMYFUNCTION("""COMPUTED_VALUE"""),"The suspect was pulled over on traffic after driving erratically. The suspect was being beligerent and refused to get out of the vehicle. As the officer attempted to force the suspect from the vehicle, the suspect reached toward his waistband area. The of"&amp;"ficer belived the suspect was reaching for a weapon so he fired at the suspect.")</f>
        <v>The suspect was pulled over on traffic after driving erratically. The suspect was being beligerent and refused to get out of the vehicle. As the officer attempted to force the suspect from the vehicle, the suspect reached toward his waistband area. The officer belived the suspect was reaching for a weapon so he fired at the suspect.</v>
      </c>
      <c r="Q488" s="24"/>
      <c r="R488" s="24"/>
      <c r="S488" s="24"/>
      <c r="T488" s="24"/>
      <c r="U488" s="24"/>
      <c r="V488" s="24"/>
      <c r="W488" s="24"/>
      <c r="X488" s="24"/>
      <c r="Y488" s="24"/>
      <c r="Z488" s="24"/>
    </row>
    <row r="489">
      <c r="A489" s="29">
        <f>IFERROR(__xludf.DUMMYFUNCTION("""COMPUTED_VALUE"""),40217.0)</f>
        <v>40217</v>
      </c>
      <c r="B489" s="24">
        <f>IFERROR(__xludf.DUMMYFUNCTION("""COMPUTED_VALUE"""),1.918651E7)</f>
        <v>19186510</v>
      </c>
      <c r="C489" s="24" t="str">
        <f>IFERROR(__xludf.DUMMYFUNCTION("""COMPUTED_VALUE"""),"Protected By Law")</f>
        <v>Protected By Law</v>
      </c>
      <c r="D489" s="26" t="str">
        <f>IFERROR(__xludf.DUMMYFUNCTION("""COMPUTED_VALUE"""),"M")</f>
        <v>M</v>
      </c>
      <c r="E489" s="26" t="str">
        <f>IFERROR(__xludf.DUMMYFUNCTION("""COMPUTED_VALUE"""),"B")</f>
        <v>B</v>
      </c>
      <c r="F489" s="26">
        <f>IFERROR(__xludf.DUMMYFUNCTION("""COMPUTED_VALUE"""),19.0)</f>
        <v>19</v>
      </c>
      <c r="G489" s="26" t="str">
        <f>IFERROR(__xludf.DUMMYFUNCTION("""COMPUTED_VALUE"""),"None")</f>
        <v>None</v>
      </c>
      <c r="H489" s="26" t="str">
        <f>IFERROR(__xludf.DUMMYFUNCTION("""COMPUTED_VALUE"""),"Firearm")</f>
        <v>Firearm</v>
      </c>
      <c r="I489" s="27" t="str">
        <f>IFERROR(__xludf.DUMMYFUNCTION("""COMPUTED_VALUE"""),"M")</f>
        <v>M</v>
      </c>
      <c r="J489" s="27" t="str">
        <f>IFERROR(__xludf.DUMMYFUNCTION("""COMPUTED_VALUE"""),"A")</f>
        <v>A</v>
      </c>
      <c r="K489" s="27">
        <f>IFERROR(__xludf.DUMMYFUNCTION("""COMPUTED_VALUE"""),40.0)</f>
        <v>40</v>
      </c>
      <c r="L489" s="27" t="str">
        <f>IFERROR(__xludf.DUMMYFUNCTION("""COMPUTED_VALUE"""),"Wounded")</f>
        <v>Wounded</v>
      </c>
      <c r="M489" s="27" t="str">
        <f>IFERROR(__xludf.DUMMYFUNCTION("""COMPUTED_VALUE"""),"N")</f>
        <v>N</v>
      </c>
      <c r="N489" s="24"/>
      <c r="O489" s="24">
        <f>IFERROR(__xludf.DUMMYFUNCTION("""COMPUTED_VALUE"""),1.0)</f>
        <v>1</v>
      </c>
      <c r="P489" s="28" t="str">
        <f>IFERROR(__xludf.DUMMYFUNCTION("""COMPUTED_VALUE"""),"Officer saw the suspects committing a burglary. He was attempting to arrest them when one of the suspects shot the officer.")</f>
        <v>Officer saw the suspects committing a burglary. He was attempting to arrest them when one of the suspects shot the officer.</v>
      </c>
      <c r="Q489" s="24"/>
      <c r="R489" s="24"/>
      <c r="S489" s="24"/>
      <c r="T489" s="24"/>
      <c r="U489" s="24"/>
      <c r="V489" s="24"/>
      <c r="W489" s="24"/>
      <c r="X489" s="24"/>
      <c r="Y489" s="24"/>
      <c r="Z489" s="24"/>
    </row>
    <row r="490">
      <c r="A490" s="29"/>
      <c r="B490" s="24"/>
      <c r="C490" s="24"/>
      <c r="D490" s="26" t="str">
        <f>IFERROR(__xludf.DUMMYFUNCTION("""COMPUTED_VALUE"""),"Juvenile")</f>
        <v>Juvenile</v>
      </c>
      <c r="E490" s="26" t="str">
        <f>IFERROR(__xludf.DUMMYFUNCTION("""COMPUTED_VALUE"""),"Juvenile")</f>
        <v>Juvenile</v>
      </c>
      <c r="F490" s="26"/>
      <c r="G490" s="26" t="str">
        <f>IFERROR(__xludf.DUMMYFUNCTION("""COMPUTED_VALUE"""),"None")</f>
        <v>None</v>
      </c>
      <c r="H490" s="26" t="str">
        <f>IFERROR(__xludf.DUMMYFUNCTION("""COMPUTED_VALUE"""),"None")</f>
        <v>None</v>
      </c>
      <c r="I490" s="27"/>
      <c r="J490" s="27"/>
      <c r="K490" s="27"/>
      <c r="L490" s="27"/>
      <c r="M490" s="27"/>
      <c r="N490" s="24"/>
      <c r="O490" s="24"/>
      <c r="P490" s="28"/>
      <c r="Q490" s="24"/>
      <c r="R490" s="24"/>
      <c r="S490" s="24"/>
      <c r="T490" s="24"/>
      <c r="U490" s="24"/>
      <c r="V490" s="24"/>
      <c r="W490" s="24"/>
      <c r="X490" s="24"/>
      <c r="Y490" s="24"/>
      <c r="Z490" s="24"/>
    </row>
    <row r="491">
      <c r="A491" s="29">
        <f>IFERROR(__xludf.DUMMYFUNCTION("""COMPUTED_VALUE"""),40213.0)</f>
        <v>40213</v>
      </c>
      <c r="B491" s="24">
        <f>IFERROR(__xludf.DUMMYFUNCTION("""COMPUTED_VALUE"""),1.733351E7)</f>
        <v>17333510</v>
      </c>
      <c r="C491" s="24" t="str">
        <f>IFERROR(__xludf.DUMMYFUNCTION("""COMPUTED_VALUE"""),"6900 Martin Luther King Blvd")</f>
        <v>6900 Martin Luther King Blvd</v>
      </c>
      <c r="D491" s="26" t="str">
        <f>IFERROR(__xludf.DUMMYFUNCTION("""COMPUTED_VALUE"""),"M")</f>
        <v>M</v>
      </c>
      <c r="E491" s="26" t="str">
        <f>IFERROR(__xludf.DUMMYFUNCTION("""COMPUTED_VALUE"""),"B")</f>
        <v>B</v>
      </c>
      <c r="F491" s="26">
        <f>IFERROR(__xludf.DUMMYFUNCTION("""COMPUTED_VALUE"""),29.0)</f>
        <v>29</v>
      </c>
      <c r="G491" s="26" t="str">
        <f>IFERROR(__xludf.DUMMYFUNCTION("""COMPUTED_VALUE"""),"None")</f>
        <v>None</v>
      </c>
      <c r="H491" s="26" t="str">
        <f>IFERROR(__xludf.DUMMYFUNCTION("""COMPUTED_VALUE"""),"Firearm")</f>
        <v>Firearm</v>
      </c>
      <c r="I491" s="27" t="str">
        <f>IFERROR(__xludf.DUMMYFUNCTION("""COMPUTED_VALUE"""),"M")</f>
        <v>M</v>
      </c>
      <c r="J491" s="27" t="str">
        <f>IFERROR(__xludf.DUMMYFUNCTION("""COMPUTED_VALUE"""),"H")</f>
        <v>H</v>
      </c>
      <c r="K491" s="27">
        <f>IFERROR(__xludf.DUMMYFUNCTION("""COMPUTED_VALUE"""),25.0)</f>
        <v>25</v>
      </c>
      <c r="L491" s="27" t="str">
        <f>IFERROR(__xludf.DUMMYFUNCTION("""COMPUTED_VALUE"""),"None")</f>
        <v>None</v>
      </c>
      <c r="M491" s="27" t="str">
        <f>IFERROR(__xludf.DUMMYFUNCTION("""COMPUTED_VALUE"""),"Y")</f>
        <v>Y</v>
      </c>
      <c r="N491" s="24"/>
      <c r="O491" s="24"/>
      <c r="P491" s="28" t="str">
        <f>IFERROR(__xludf.DUMMYFUNCTION("""COMPUTED_VALUE"""),"Officers were passing location when they saw a robbery in progress. The officers were about to get out of the vehicle when the person being robbed attempted to run. The suspect shot the individual and then attempted to leave the loaction but was confronte"&amp;"d by the officer. The suspect pointed his weapon at the officer causing the officer to shoot at him.")</f>
        <v>Officers were passing location when they saw a robbery in progress. The officers were about to get out of the vehicle when the person being robbed attempted to run. The suspect shot the individual and then attempted to leave the loaction but was confronted by the officer. The suspect pointed his weapon at the officer causing the officer to shoot at him.</v>
      </c>
      <c r="Q491" s="24"/>
      <c r="R491" s="24"/>
      <c r="S491" s="24"/>
      <c r="T491" s="24"/>
      <c r="U491" s="24"/>
      <c r="V491" s="24"/>
      <c r="W491" s="24"/>
      <c r="X491" s="24"/>
      <c r="Y491" s="24"/>
      <c r="Z491" s="24"/>
    </row>
    <row r="492" hidden="1">
      <c r="A492" s="29">
        <f>IFERROR(__xludf.DUMMYFUNCTION("""COMPUTED_VALUE"""),40196.0)</f>
        <v>40196</v>
      </c>
      <c r="B492" s="24">
        <f>IFERROR(__xludf.DUMMYFUNCTION("""COMPUTED_VALUE"""),8120910.0)</f>
        <v>8120910</v>
      </c>
      <c r="C492" s="24" t="str">
        <f>IFERROR(__xludf.DUMMYFUNCTION("""COMPUTED_VALUE"""),"11400 North Frwy")</f>
        <v>11400 North Frwy</v>
      </c>
      <c r="D492" s="26" t="str">
        <f>IFERROR(__xludf.DUMMYFUNCTION("""COMPUTED_VALUE"""),"M")</f>
        <v>M</v>
      </c>
      <c r="E492" s="26" t="str">
        <f>IFERROR(__xludf.DUMMYFUNCTION("""COMPUTED_VALUE"""),"H")</f>
        <v>H</v>
      </c>
      <c r="F492" s="26">
        <f>IFERROR(__xludf.DUMMYFUNCTION("""COMPUTED_VALUE"""),23.0)</f>
        <v>23</v>
      </c>
      <c r="G492" s="26" t="str">
        <f>IFERROR(__xludf.DUMMYFUNCTION("""COMPUTED_VALUE"""),"Wounded")</f>
        <v>Wounded</v>
      </c>
      <c r="H492" s="26" t="str">
        <f>IFERROR(__xludf.DUMMYFUNCTION("""COMPUTED_VALUE"""),"Firearm")</f>
        <v>Firearm</v>
      </c>
      <c r="I492" s="27" t="str">
        <f>IFERROR(__xludf.DUMMYFUNCTION("""COMPUTED_VALUE"""),"M")</f>
        <v>M</v>
      </c>
      <c r="J492" s="27" t="str">
        <f>IFERROR(__xludf.DUMMYFUNCTION("""COMPUTED_VALUE"""),"H")</f>
        <v>H</v>
      </c>
      <c r="K492" s="27">
        <f>IFERROR(__xludf.DUMMYFUNCTION("""COMPUTED_VALUE"""),35.0)</f>
        <v>35</v>
      </c>
      <c r="L492" s="27" t="str">
        <f>IFERROR(__xludf.DUMMYFUNCTION("""COMPUTED_VALUE"""),"None")</f>
        <v>None</v>
      </c>
      <c r="M492" s="27" t="str">
        <f>IFERROR(__xludf.DUMMYFUNCTION("""COMPUTED_VALUE"""),"N")</f>
        <v>N</v>
      </c>
      <c r="N492" s="24"/>
      <c r="O492" s="24"/>
      <c r="P492" s="28" t="str">
        <f>IFERROR(__xludf.DUMMYFUNCTION("""COMPUTED_VALUE"""),"The officers were attempting to disperse a crowd when the suspect retrieved a weapon from his vehicle and confronted another person by pointing the weapon at him. The suspect refused verbal commands to drop the weapon forcing the officers to shoot him bef"&amp;"ore he caused injury to the other individual.")</f>
        <v>The officers were attempting to disperse a crowd when the suspect retrieved a weapon from his vehicle and confronted another person by pointing the weapon at him. The suspect refused verbal commands to drop the weapon forcing the officers to shoot him before he caused injury to the other individual.</v>
      </c>
      <c r="Q492" s="24"/>
      <c r="R492" s="24"/>
      <c r="S492" s="24"/>
      <c r="T492" s="24"/>
      <c r="U492" s="24"/>
      <c r="V492" s="24"/>
      <c r="W492" s="24"/>
      <c r="X492" s="24"/>
      <c r="Y492" s="24"/>
      <c r="Z492" s="24"/>
    </row>
    <row r="493" hidden="1">
      <c r="A493" s="29"/>
      <c r="B493" s="24"/>
      <c r="C493" s="24"/>
      <c r="D493" s="26"/>
      <c r="E493" s="26"/>
      <c r="F493" s="26"/>
      <c r="G493" s="26"/>
      <c r="H493" s="26"/>
      <c r="I493" s="27" t="str">
        <f>IFERROR(__xludf.DUMMYFUNCTION("""COMPUTED_VALUE"""),"M")</f>
        <v>M</v>
      </c>
      <c r="J493" s="27" t="str">
        <f>IFERROR(__xludf.DUMMYFUNCTION("""COMPUTED_VALUE"""),"H")</f>
        <v>H</v>
      </c>
      <c r="K493" s="27">
        <f>IFERROR(__xludf.DUMMYFUNCTION("""COMPUTED_VALUE"""),37.0)</f>
        <v>37</v>
      </c>
      <c r="L493" s="27" t="str">
        <f>IFERROR(__xludf.DUMMYFUNCTION("""COMPUTED_VALUE"""),"None")</f>
        <v>None</v>
      </c>
      <c r="M493" s="27" t="str">
        <f>IFERROR(__xludf.DUMMYFUNCTION("""COMPUTED_VALUE"""),"N")</f>
        <v>N</v>
      </c>
      <c r="N493" s="24"/>
      <c r="O493" s="24"/>
      <c r="P493" s="24"/>
      <c r="Q493" s="24"/>
      <c r="R493" s="24"/>
      <c r="S493" s="24"/>
      <c r="T493" s="24"/>
      <c r="U493" s="24"/>
      <c r="V493" s="24"/>
      <c r="W493" s="24"/>
      <c r="X493" s="24"/>
      <c r="Y493" s="24"/>
      <c r="Z493" s="24"/>
    </row>
    <row r="494" hidden="1">
      <c r="A494" s="29">
        <f>IFERROR(__xludf.DUMMYFUNCTION("""COMPUTED_VALUE"""),40193.0)</f>
        <v>40193</v>
      </c>
      <c r="B494" s="24">
        <f>IFERROR(__xludf.DUMMYFUNCTION("""COMPUTED_VALUE"""),7098810.0)</f>
        <v>7098810</v>
      </c>
      <c r="C494" s="24" t="str">
        <f>IFERROR(__xludf.DUMMYFUNCTION("""COMPUTED_VALUE"""),"6710 Lectcher")</f>
        <v>6710 Lectcher</v>
      </c>
      <c r="D494" s="26" t="str">
        <f>IFERROR(__xludf.DUMMYFUNCTION("""COMPUTED_VALUE"""),"M")</f>
        <v>M</v>
      </c>
      <c r="E494" s="26" t="str">
        <f>IFERROR(__xludf.DUMMYFUNCTION("""COMPUTED_VALUE"""),"B")</f>
        <v>B</v>
      </c>
      <c r="F494" s="26">
        <f>IFERROR(__xludf.DUMMYFUNCTION("""COMPUTED_VALUE"""),69.0)</f>
        <v>69</v>
      </c>
      <c r="G494" s="26" t="str">
        <f>IFERROR(__xludf.DUMMYFUNCTION("""COMPUTED_VALUE"""),"Killed")</f>
        <v>Killed</v>
      </c>
      <c r="H494" s="26" t="str">
        <f>IFERROR(__xludf.DUMMYFUNCTION("""COMPUTED_VALUE"""),"Firearm")</f>
        <v>Firearm</v>
      </c>
      <c r="I494" s="27" t="str">
        <f>IFERROR(__xludf.DUMMYFUNCTION("""COMPUTED_VALUE"""),"M")</f>
        <v>M</v>
      </c>
      <c r="J494" s="27" t="str">
        <f>IFERROR(__xludf.DUMMYFUNCTION("""COMPUTED_VALUE"""),"W")</f>
        <v>W</v>
      </c>
      <c r="K494" s="27">
        <f>IFERROR(__xludf.DUMMYFUNCTION("""COMPUTED_VALUE"""),32.0)</f>
        <v>32</v>
      </c>
      <c r="L494" s="27" t="str">
        <f>IFERROR(__xludf.DUMMYFUNCTION("""COMPUTED_VALUE"""),"None")</f>
        <v>None</v>
      </c>
      <c r="M494" s="27" t="str">
        <f>IFERROR(__xludf.DUMMYFUNCTION("""COMPUTED_VALUE"""),"Y")</f>
        <v>Y</v>
      </c>
      <c r="N494" s="24"/>
      <c r="O494" s="24"/>
      <c r="P494" s="24" t="str">
        <f>IFERROR(__xludf.DUMMYFUNCTION("""COMPUTED_VALUE"""),"Narcotics officers forced entry into a residence during the execution of a serach warrant. Upon entry, the suspect was found armed with a shotgun. The suspect pointed the weapon at the officer and an exchange of gunfire occurred.")</f>
        <v>Narcotics officers forced entry into a residence during the execution of a serach warrant. Upon entry, the suspect was found armed with a shotgun. The suspect pointed the weapon at the officer and an exchange of gunfire occurred.</v>
      </c>
      <c r="Q494" s="24"/>
      <c r="R494" s="24"/>
      <c r="S494" s="24"/>
      <c r="T494" s="24"/>
      <c r="U494" s="24"/>
      <c r="V494" s="24"/>
      <c r="W494" s="24"/>
      <c r="X494" s="24"/>
      <c r="Y494" s="24"/>
      <c r="Z494" s="24"/>
    </row>
    <row r="495" hidden="1">
      <c r="A495" s="29">
        <f>IFERROR(__xludf.DUMMYFUNCTION("""COMPUTED_VALUE"""),40168.0)</f>
        <v>40168</v>
      </c>
      <c r="B495" s="24">
        <f>IFERROR(__xludf.DUMMYFUNCTION("""COMPUTED_VALUE"""),1.86288209E8)</f>
        <v>186288209</v>
      </c>
      <c r="C495" s="24" t="str">
        <f>IFERROR(__xludf.DUMMYFUNCTION("""COMPUTED_VALUE"""),"1117 King Street")</f>
        <v>1117 King Street</v>
      </c>
      <c r="D495" s="26" t="str">
        <f>IFERROR(__xludf.DUMMYFUNCTION("""COMPUTED_VALUE"""),"Juvenile")</f>
        <v>Juvenile</v>
      </c>
      <c r="E495" s="26" t="str">
        <f>IFERROR(__xludf.DUMMYFUNCTION("""COMPUTED_VALUE"""),"Juvenile")</f>
        <v>Juvenile</v>
      </c>
      <c r="F495" s="26"/>
      <c r="G495" s="26" t="str">
        <f>IFERROR(__xludf.DUMMYFUNCTION("""COMPUTED_VALUE"""),"Killed")</f>
        <v>Killed</v>
      </c>
      <c r="H495" s="26" t="str">
        <f>IFERROR(__xludf.DUMMYFUNCTION("""COMPUTED_VALUE"""),"Firearm")</f>
        <v>Firearm</v>
      </c>
      <c r="I495" s="27" t="str">
        <f>IFERROR(__xludf.DUMMYFUNCTION("""COMPUTED_VALUE"""),"M")</f>
        <v>M</v>
      </c>
      <c r="J495" s="27" t="str">
        <f>IFERROR(__xludf.DUMMYFUNCTION("""COMPUTED_VALUE"""),"W")</f>
        <v>W</v>
      </c>
      <c r="K495" s="27">
        <f>IFERROR(__xludf.DUMMYFUNCTION("""COMPUTED_VALUE"""),26.0)</f>
        <v>26</v>
      </c>
      <c r="L495" s="27" t="str">
        <f>IFERROR(__xludf.DUMMYFUNCTION("""COMPUTED_VALUE"""),"None")</f>
        <v>None</v>
      </c>
      <c r="M495" s="27" t="str">
        <f>IFERROR(__xludf.DUMMYFUNCTION("""COMPUTED_VALUE"""),"Y")</f>
        <v>Y</v>
      </c>
      <c r="N495" s="24"/>
      <c r="O495" s="24"/>
      <c r="P495" s="24" t="str">
        <f>IFERROR(__xludf.DUMMYFUNCTION("""COMPUTED_VALUE"""),"The officers confronted the armed burglary suspect, each time the suspect pointed his weapon at the officers forcing them to shoot the suspect.")</f>
        <v>The officers confronted the armed burglary suspect, each time the suspect pointed his weapon at the officers forcing them to shoot the suspect.</v>
      </c>
      <c r="Q495" s="24"/>
      <c r="R495" s="24"/>
      <c r="S495" s="24"/>
      <c r="T495" s="24"/>
      <c r="U495" s="24"/>
      <c r="V495" s="24"/>
      <c r="W495" s="24"/>
      <c r="X495" s="24"/>
      <c r="Y495" s="24"/>
      <c r="Z495" s="24"/>
    </row>
    <row r="496" hidden="1">
      <c r="A496" s="29"/>
      <c r="B496" s="24"/>
      <c r="C496" s="24"/>
      <c r="D496" s="26"/>
      <c r="E496" s="26"/>
      <c r="F496" s="26"/>
      <c r="G496" s="26"/>
      <c r="H496" s="26"/>
      <c r="I496" s="27" t="str">
        <f>IFERROR(__xludf.DUMMYFUNCTION("""COMPUTED_VALUE"""),"M")</f>
        <v>M</v>
      </c>
      <c r="J496" s="27" t="str">
        <f>IFERROR(__xludf.DUMMYFUNCTION("""COMPUTED_VALUE"""),"W")</f>
        <v>W</v>
      </c>
      <c r="K496" s="27">
        <f>IFERROR(__xludf.DUMMYFUNCTION("""COMPUTED_VALUE"""),30.0)</f>
        <v>30</v>
      </c>
      <c r="L496" s="27" t="str">
        <f>IFERROR(__xludf.DUMMYFUNCTION("""COMPUTED_VALUE"""),"None")</f>
        <v>None</v>
      </c>
      <c r="M496" s="27" t="str">
        <f>IFERROR(__xludf.DUMMYFUNCTION("""COMPUTED_VALUE"""),"Y")</f>
        <v>Y</v>
      </c>
      <c r="N496" s="24"/>
      <c r="O496" s="24"/>
      <c r="P496" s="24"/>
      <c r="Q496" s="24"/>
      <c r="R496" s="24"/>
      <c r="S496" s="24"/>
      <c r="T496" s="24"/>
      <c r="U496" s="24"/>
      <c r="V496" s="24"/>
      <c r="W496" s="24"/>
      <c r="X496" s="24"/>
      <c r="Y496" s="24"/>
      <c r="Z496" s="24"/>
    </row>
    <row r="497">
      <c r="A497" s="29">
        <f>IFERROR(__xludf.DUMMYFUNCTION("""COMPUTED_VALUE"""),40164.0)</f>
        <v>40164</v>
      </c>
      <c r="B497" s="24">
        <f>IFERROR(__xludf.DUMMYFUNCTION("""COMPUTED_VALUE"""),1.84046609E8)</f>
        <v>184046609</v>
      </c>
      <c r="C497" s="24" t="str">
        <f>IFERROR(__xludf.DUMMYFUNCTION("""COMPUTED_VALUE"""),"44 Farrell St")</f>
        <v>44 Farrell St</v>
      </c>
      <c r="D497" s="26" t="str">
        <f>IFERROR(__xludf.DUMMYFUNCTION("""COMPUTED_VALUE"""),"M")</f>
        <v>M</v>
      </c>
      <c r="E497" s="26" t="str">
        <f>IFERROR(__xludf.DUMMYFUNCTION("""COMPUTED_VALUE"""),"H")</f>
        <v>H</v>
      </c>
      <c r="F497" s="26">
        <f>IFERROR(__xludf.DUMMYFUNCTION("""COMPUTED_VALUE"""),35.0)</f>
        <v>35</v>
      </c>
      <c r="G497" s="26" t="str">
        <f>IFERROR(__xludf.DUMMYFUNCTION("""COMPUTED_VALUE"""),"None")</f>
        <v>None</v>
      </c>
      <c r="H497" s="26" t="str">
        <f>IFERROR(__xludf.DUMMYFUNCTION("""COMPUTED_VALUE"""),"Firearm")</f>
        <v>Firearm</v>
      </c>
      <c r="I497" s="27" t="str">
        <f>IFERROR(__xludf.DUMMYFUNCTION("""COMPUTED_VALUE"""),"M")</f>
        <v>M</v>
      </c>
      <c r="J497" s="27" t="str">
        <f>IFERROR(__xludf.DUMMYFUNCTION("""COMPUTED_VALUE"""),"H")</f>
        <v>H</v>
      </c>
      <c r="K497" s="27">
        <f>IFERROR(__xludf.DUMMYFUNCTION("""COMPUTED_VALUE"""),43.0)</f>
        <v>43</v>
      </c>
      <c r="L497" s="27" t="str">
        <f>IFERROR(__xludf.DUMMYFUNCTION("""COMPUTED_VALUE"""),"None")</f>
        <v>None</v>
      </c>
      <c r="M497" s="27" t="str">
        <f>IFERROR(__xludf.DUMMYFUNCTION("""COMPUTED_VALUE"""),"Y")</f>
        <v>Y</v>
      </c>
      <c r="N497" s="24"/>
      <c r="O497" s="24"/>
      <c r="P497" s="28" t="str">
        <f>IFERROR(__xludf.DUMMYFUNCTION("""COMPUTED_VALUE"""),"The officers were executing a narcotics warrant and upon entry the lead officer was shot by the suspect forcing another officer to retun fire. The officers bullet proof vest kept the officer from suffering a major injury.")</f>
        <v>The officers were executing a narcotics warrant and upon entry the lead officer was shot by the suspect forcing another officer to retun fire. The officers bullet proof vest kept the officer from suffering a major injury.</v>
      </c>
      <c r="Q497" s="24"/>
      <c r="R497" s="24"/>
      <c r="S497" s="24"/>
      <c r="T497" s="24"/>
      <c r="U497" s="24"/>
      <c r="V497" s="24"/>
      <c r="W497" s="24"/>
      <c r="X497" s="24"/>
      <c r="Y497" s="24"/>
      <c r="Z497" s="24"/>
    </row>
    <row r="498">
      <c r="A498" s="29">
        <f>IFERROR(__xludf.DUMMYFUNCTION("""COMPUTED_VALUE"""),40155.0)</f>
        <v>40155</v>
      </c>
      <c r="B498" s="24">
        <f>IFERROR(__xludf.DUMMYFUNCTION("""COMPUTED_VALUE"""),1.79512609E8)</f>
        <v>179512609</v>
      </c>
      <c r="C498" s="24" t="str">
        <f>IFERROR(__xludf.DUMMYFUNCTION("""COMPUTED_VALUE"""),"2001 Ojeman Rd.")</f>
        <v>2001 Ojeman Rd.</v>
      </c>
      <c r="D498" s="26" t="str">
        <f>IFERROR(__xludf.DUMMYFUNCTION("""COMPUTED_VALUE"""),"M")</f>
        <v>M</v>
      </c>
      <c r="E498" s="26" t="str">
        <f>IFERROR(__xludf.DUMMYFUNCTION("""COMPUTED_VALUE"""),"H")</f>
        <v>H</v>
      </c>
      <c r="F498" s="26">
        <f>IFERROR(__xludf.DUMMYFUNCTION("""COMPUTED_VALUE"""),21.0)</f>
        <v>21</v>
      </c>
      <c r="G498" s="26" t="str">
        <f>IFERROR(__xludf.DUMMYFUNCTION("""COMPUTED_VALUE"""),"None")</f>
        <v>None</v>
      </c>
      <c r="H498" s="26" t="str">
        <f>IFERROR(__xludf.DUMMYFUNCTION("""COMPUTED_VALUE"""),"Firearm")</f>
        <v>Firearm</v>
      </c>
      <c r="I498" s="27" t="str">
        <f>IFERROR(__xludf.DUMMYFUNCTION("""COMPUTED_VALUE"""),"M")</f>
        <v>M</v>
      </c>
      <c r="J498" s="27" t="str">
        <f>IFERROR(__xludf.DUMMYFUNCTION("""COMPUTED_VALUE"""),"W")</f>
        <v>W</v>
      </c>
      <c r="K498" s="27">
        <f>IFERROR(__xludf.DUMMYFUNCTION("""COMPUTED_VALUE"""),53.0)</f>
        <v>53</v>
      </c>
      <c r="L498" s="27" t="str">
        <f>IFERROR(__xludf.DUMMYFUNCTION("""COMPUTED_VALUE"""),"None")</f>
        <v>None</v>
      </c>
      <c r="M498" s="27" t="str">
        <f>IFERROR(__xludf.DUMMYFUNCTION("""COMPUTED_VALUE"""),"Y")</f>
        <v>Y</v>
      </c>
      <c r="N498" s="24"/>
      <c r="O498" s="24">
        <f>IFERROR(__xludf.DUMMYFUNCTION("""COMPUTED_VALUE"""),1.0)</f>
        <v>1</v>
      </c>
      <c r="P498" s="28" t="str">
        <f>IFERROR(__xludf.DUMMYFUNCTION("""COMPUTED_VALUE"""),"The officer located an armed robbery suspect. The suspect saw the officer and acted as if he was preparing to shoot at the officer forcing the officer to shoot at him.")</f>
        <v>The officer located an armed robbery suspect. The suspect saw the officer and acted as if he was preparing to shoot at the officer forcing the officer to shoot at him.</v>
      </c>
      <c r="Q498" s="24"/>
      <c r="R498" s="24"/>
      <c r="S498" s="24"/>
      <c r="T498" s="24"/>
      <c r="U498" s="24"/>
      <c r="V498" s="24"/>
      <c r="W498" s="24"/>
      <c r="X498" s="24"/>
      <c r="Y498" s="24"/>
      <c r="Z498" s="24"/>
    </row>
    <row r="499" hidden="1">
      <c r="A499" s="29">
        <f>IFERROR(__xludf.DUMMYFUNCTION("""COMPUTED_VALUE"""),40154.0)</f>
        <v>40154</v>
      </c>
      <c r="B499" s="24">
        <f>IFERROR(__xludf.DUMMYFUNCTION("""COMPUTED_VALUE"""),1.78533309E8)</f>
        <v>178533309</v>
      </c>
      <c r="C499" s="24" t="str">
        <f>IFERROR(__xludf.DUMMYFUNCTION("""COMPUTED_VALUE"""),"8900 Imogene")</f>
        <v>8900 Imogene</v>
      </c>
      <c r="D499" s="26" t="str">
        <f>IFERROR(__xludf.DUMMYFUNCTION("""COMPUTED_VALUE"""),"M")</f>
        <v>M</v>
      </c>
      <c r="E499" s="26" t="str">
        <f>IFERROR(__xludf.DUMMYFUNCTION("""COMPUTED_VALUE"""),"W")</f>
        <v>W</v>
      </c>
      <c r="F499" s="26">
        <f>IFERROR(__xludf.DUMMYFUNCTION("""COMPUTED_VALUE"""),44.0)</f>
        <v>44</v>
      </c>
      <c r="G499" s="26" t="str">
        <f>IFERROR(__xludf.DUMMYFUNCTION("""COMPUTED_VALUE"""),"Wounded")</f>
        <v>Wounded</v>
      </c>
      <c r="H499" s="26" t="str">
        <f>IFERROR(__xludf.DUMMYFUNCTION("""COMPUTED_VALUE"""),"Hairbrush")</f>
        <v>Hairbrush</v>
      </c>
      <c r="I499" s="27" t="str">
        <f>IFERROR(__xludf.DUMMYFUNCTION("""COMPUTED_VALUE"""),"M")</f>
        <v>M</v>
      </c>
      <c r="J499" s="27" t="str">
        <f>IFERROR(__xludf.DUMMYFUNCTION("""COMPUTED_VALUE"""),"W")</f>
        <v>W</v>
      </c>
      <c r="K499" s="27">
        <f>IFERROR(__xludf.DUMMYFUNCTION("""COMPUTED_VALUE"""),23.0)</f>
        <v>23</v>
      </c>
      <c r="L499" s="27" t="str">
        <f>IFERROR(__xludf.DUMMYFUNCTION("""COMPUTED_VALUE"""),"None")</f>
        <v>None</v>
      </c>
      <c r="M499" s="27" t="str">
        <f>IFERROR(__xludf.DUMMYFUNCTION("""COMPUTED_VALUE"""),"Y")</f>
        <v>Y</v>
      </c>
      <c r="N499" s="24"/>
      <c r="O499" s="24">
        <f>IFERROR(__xludf.DUMMYFUNCTION("""COMPUTED_VALUE"""),1.0)</f>
        <v>1</v>
      </c>
      <c r="P499" s="28" t="str">
        <f>IFERROR(__xludf.DUMMYFUNCTION("""COMPUTED_VALUE"""),"The suspect was advancing on the officer with an object in his hands. The suspect was holding the object as if it were a weapon and he refused all commands to drop the object forcing the officer to shoot him.")</f>
        <v>The suspect was advancing on the officer with an object in his hands. The suspect was holding the object as if it were a weapon and he refused all commands to drop the object forcing the officer to shoot him.</v>
      </c>
      <c r="Q499" s="24"/>
      <c r="R499" s="24"/>
      <c r="S499" s="24"/>
      <c r="T499" s="24"/>
      <c r="U499" s="24"/>
      <c r="V499" s="24"/>
      <c r="W499" s="24"/>
      <c r="X499" s="24"/>
      <c r="Y499" s="24"/>
      <c r="Z499" s="24"/>
    </row>
    <row r="500" hidden="1">
      <c r="A500" s="29">
        <f>IFERROR(__xludf.DUMMYFUNCTION("""COMPUTED_VALUE"""),40152.0)</f>
        <v>40152</v>
      </c>
      <c r="B500" s="24">
        <f>IFERROR(__xludf.DUMMYFUNCTION("""COMPUTED_VALUE"""),1.77728609E8)</f>
        <v>177728609</v>
      </c>
      <c r="C500" s="24" t="str">
        <f>IFERROR(__xludf.DUMMYFUNCTION("""COMPUTED_VALUE"""),"12964 Market Street")</f>
        <v>12964 Market Street</v>
      </c>
      <c r="D500" s="26" t="str">
        <f>IFERROR(__xludf.DUMMYFUNCTION("""COMPUTED_VALUE"""),"M")</f>
        <v>M</v>
      </c>
      <c r="E500" s="26" t="str">
        <f>IFERROR(__xludf.DUMMYFUNCTION("""COMPUTED_VALUE"""),"W")</f>
        <v>W</v>
      </c>
      <c r="F500" s="26">
        <f>IFERROR(__xludf.DUMMYFUNCTION("""COMPUTED_VALUE"""),49.0)</f>
        <v>49</v>
      </c>
      <c r="G500" s="26" t="str">
        <f>IFERROR(__xludf.DUMMYFUNCTION("""COMPUTED_VALUE"""),"S")</f>
        <v>S</v>
      </c>
      <c r="H500" s="26" t="str">
        <f>IFERROR(__xludf.DUMMYFUNCTION("""COMPUTED_VALUE"""),"Firearm")</f>
        <v>Firearm</v>
      </c>
      <c r="I500" s="27" t="str">
        <f>IFERROR(__xludf.DUMMYFUNCTION("""COMPUTED_VALUE"""),"M")</f>
        <v>M</v>
      </c>
      <c r="J500" s="27" t="str">
        <f>IFERROR(__xludf.DUMMYFUNCTION("""COMPUTED_VALUE"""),"W")</f>
        <v>W</v>
      </c>
      <c r="K500" s="27">
        <f>IFERROR(__xludf.DUMMYFUNCTION("""COMPUTED_VALUE"""),49.0)</f>
        <v>49</v>
      </c>
      <c r="L500" s="27" t="str">
        <f>IFERROR(__xludf.DUMMYFUNCTION("""COMPUTED_VALUE"""),"None")</f>
        <v>None</v>
      </c>
      <c r="M500" s="27" t="str">
        <f>IFERROR(__xludf.DUMMYFUNCTION("""COMPUTED_VALUE"""),"Y")</f>
        <v>Y</v>
      </c>
      <c r="N500" s="24"/>
      <c r="O500" s="24">
        <f>IFERROR(__xludf.DUMMYFUNCTION("""COMPUTED_VALUE"""),1.0)</f>
        <v>1</v>
      </c>
      <c r="P500" s="24" t="str">
        <f>IFERROR(__xludf.DUMMYFUNCTION("""COMPUTED_VALUE"""),"The officer arrived at the scene of a disturbance only to be fired upon by the suspect. The officer retuned fire but did not strike the suspect. The suspect was later found to have died from a self-inflicted gunshot wound.")</f>
        <v>The officer arrived at the scene of a disturbance only to be fired upon by the suspect. The officer retuned fire but did not strike the suspect. The suspect was later found to have died from a self-inflicted gunshot wound.</v>
      </c>
      <c r="Q500" s="24"/>
      <c r="R500" s="24"/>
      <c r="S500" s="24"/>
      <c r="T500" s="24"/>
      <c r="U500" s="24"/>
      <c r="V500" s="24"/>
      <c r="W500" s="24"/>
      <c r="X500" s="24"/>
      <c r="Y500" s="24"/>
      <c r="Z500" s="24"/>
    </row>
    <row r="501">
      <c r="A501" s="29">
        <f>IFERROR(__xludf.DUMMYFUNCTION("""COMPUTED_VALUE"""),40138.0)</f>
        <v>40138</v>
      </c>
      <c r="B501" s="24">
        <f>IFERROR(__xludf.DUMMYFUNCTION("""COMPUTED_VALUE"""),1.69729509E8)</f>
        <v>169729509</v>
      </c>
      <c r="C501" s="24" t="str">
        <f>IFERROR(__xludf.DUMMYFUNCTION("""COMPUTED_VALUE"""),"7300 Airport Blvd")</f>
        <v>7300 Airport Blvd</v>
      </c>
      <c r="D501" s="26" t="str">
        <f>IFERROR(__xludf.DUMMYFUNCTION("""COMPUTED_VALUE"""),"M")</f>
        <v>M</v>
      </c>
      <c r="E501" s="26" t="str">
        <f>IFERROR(__xludf.DUMMYFUNCTION("""COMPUTED_VALUE"""),"B")</f>
        <v>B</v>
      </c>
      <c r="F501" s="26">
        <f>IFERROR(__xludf.DUMMYFUNCTION("""COMPUTED_VALUE"""),67.0)</f>
        <v>67</v>
      </c>
      <c r="G501" s="26" t="str">
        <f>IFERROR(__xludf.DUMMYFUNCTION("""COMPUTED_VALUE"""),"None")</f>
        <v>None</v>
      </c>
      <c r="H501" s="26" t="str">
        <f>IFERROR(__xludf.DUMMYFUNCTION("""COMPUTED_VALUE"""),"Vehicle")</f>
        <v>Vehicle</v>
      </c>
      <c r="I501" s="27" t="str">
        <f>IFERROR(__xludf.DUMMYFUNCTION("""COMPUTED_VALUE"""),"M")</f>
        <v>M</v>
      </c>
      <c r="J501" s="27" t="str">
        <f>IFERROR(__xludf.DUMMYFUNCTION("""COMPUTED_VALUE"""),"A")</f>
        <v>A</v>
      </c>
      <c r="K501" s="27">
        <f>IFERROR(__xludf.DUMMYFUNCTION("""COMPUTED_VALUE"""),50.0)</f>
        <v>50</v>
      </c>
      <c r="L501" s="27" t="str">
        <f>IFERROR(__xludf.DUMMYFUNCTION("""COMPUTED_VALUE"""),"Wounded")</f>
        <v>Wounded</v>
      </c>
      <c r="M501" s="27" t="str">
        <f>IFERROR(__xludf.DUMMYFUNCTION("""COMPUTED_VALUE"""),"N")</f>
        <v>N</v>
      </c>
      <c r="N501" s="24"/>
      <c r="O501" s="24">
        <f>IFERROR(__xludf.DUMMYFUNCTION("""COMPUTED_VALUE"""),1.0)</f>
        <v>1</v>
      </c>
      <c r="P501" s="28" t="str">
        <f>IFERROR(__xludf.DUMMYFUNCTION("""COMPUTED_VALUE"""),"The officer was attempting to arrest a suspect who he had caught stealing property. The suspect attempted to get away from the officer by driving his vehicle at the officer forcing the officer to shoot at him.")</f>
        <v>The officer was attempting to arrest a suspect who he had caught stealing property. The suspect attempted to get away from the officer by driving his vehicle at the officer forcing the officer to shoot at him.</v>
      </c>
      <c r="Q501" s="24"/>
      <c r="R501" s="24"/>
      <c r="S501" s="24"/>
      <c r="T501" s="24"/>
      <c r="U501" s="24"/>
      <c r="V501" s="24"/>
      <c r="W501" s="24"/>
      <c r="X501" s="24"/>
      <c r="Y501" s="24"/>
      <c r="Z501" s="24"/>
    </row>
    <row r="502" hidden="1">
      <c r="A502" s="29">
        <f>IFERROR(__xludf.DUMMYFUNCTION("""COMPUTED_VALUE"""),40131.0)</f>
        <v>40131</v>
      </c>
      <c r="B502" s="24">
        <f>IFERROR(__xludf.DUMMYFUNCTION("""COMPUTED_VALUE"""),1.66601609E8)</f>
        <v>166601609</v>
      </c>
      <c r="C502" s="24" t="str">
        <f>IFERROR(__xludf.DUMMYFUNCTION("""COMPUTED_VALUE"""),"8100 Sandspoint Dr.")</f>
        <v>8100 Sandspoint Dr.</v>
      </c>
      <c r="D502" s="26" t="str">
        <f>IFERROR(__xludf.DUMMYFUNCTION("""COMPUTED_VALUE"""),"M")</f>
        <v>M</v>
      </c>
      <c r="E502" s="26" t="str">
        <f>IFERROR(__xludf.DUMMYFUNCTION("""COMPUTED_VALUE"""),"H")</f>
        <v>H</v>
      </c>
      <c r="F502" s="26">
        <f>IFERROR(__xludf.DUMMYFUNCTION("""COMPUTED_VALUE"""),28.0)</f>
        <v>28</v>
      </c>
      <c r="G502" s="26" t="str">
        <f>IFERROR(__xludf.DUMMYFUNCTION("""COMPUTED_VALUE"""),"Killed")</f>
        <v>Killed</v>
      </c>
      <c r="H502" s="26" t="str">
        <f>IFERROR(__xludf.DUMMYFUNCTION("""COMPUTED_VALUE"""),"Firearm")</f>
        <v>Firearm</v>
      </c>
      <c r="I502" s="27" t="str">
        <f>IFERROR(__xludf.DUMMYFUNCTION("""COMPUTED_VALUE"""),"M")</f>
        <v>M</v>
      </c>
      <c r="J502" s="27" t="str">
        <f>IFERROR(__xludf.DUMMYFUNCTION("""COMPUTED_VALUE"""),"W")</f>
        <v>W</v>
      </c>
      <c r="K502" s="27">
        <f>IFERROR(__xludf.DUMMYFUNCTION("""COMPUTED_VALUE"""),33.0)</f>
        <v>33</v>
      </c>
      <c r="L502" s="27" t="str">
        <f>IFERROR(__xludf.DUMMYFUNCTION("""COMPUTED_VALUE"""),"None")</f>
        <v>None</v>
      </c>
      <c r="M502" s="27" t="str">
        <f>IFERROR(__xludf.DUMMYFUNCTION("""COMPUTED_VALUE"""),"Y")</f>
        <v>Y</v>
      </c>
      <c r="N502" s="24"/>
      <c r="O502" s="24">
        <f>IFERROR(__xludf.DUMMYFUNCTION("""COMPUTED_VALUE"""),1.0)</f>
        <v>1</v>
      </c>
      <c r="P502" s="24" t="str">
        <f>IFERROR(__xludf.DUMMYFUNCTION("""COMPUTED_VALUE"""),"The officer was attempting to arrest an armed suspect when he saw that the suspect had a weapon in his hand. The suspect was in the act of pointing the weapon at the officer when the officer was forced to shoot him.")</f>
        <v>The officer was attempting to arrest an armed suspect when he saw that the suspect had a weapon in his hand. The suspect was in the act of pointing the weapon at the officer when the officer was forced to shoot him.</v>
      </c>
      <c r="Q502" s="24"/>
      <c r="R502" s="24"/>
      <c r="S502" s="24"/>
      <c r="T502" s="24"/>
      <c r="U502" s="24"/>
      <c r="V502" s="24"/>
      <c r="W502" s="24"/>
      <c r="X502" s="24"/>
      <c r="Y502" s="24"/>
      <c r="Z502" s="24"/>
    </row>
    <row r="503">
      <c r="A503" s="29">
        <f>IFERROR(__xludf.DUMMYFUNCTION("""COMPUTED_VALUE"""),40125.0)</f>
        <v>40125</v>
      </c>
      <c r="B503" s="24">
        <f>IFERROR(__xludf.DUMMYFUNCTION("""COMPUTED_VALUE"""),1.63196609E8)</f>
        <v>163196609</v>
      </c>
      <c r="C503" s="24" t="str">
        <f>IFERROR(__xludf.DUMMYFUNCTION("""COMPUTED_VALUE"""),"17200 Imperial Valley")</f>
        <v>17200 Imperial Valley</v>
      </c>
      <c r="D503" s="26" t="str">
        <f>IFERROR(__xludf.DUMMYFUNCTION("""COMPUTED_VALUE"""),"M")</f>
        <v>M</v>
      </c>
      <c r="E503" s="26" t="str">
        <f>IFERROR(__xludf.DUMMYFUNCTION("""COMPUTED_VALUE"""),"B")</f>
        <v>B</v>
      </c>
      <c r="F503" s="26"/>
      <c r="G503" s="26" t="str">
        <f>IFERROR(__xludf.DUMMYFUNCTION("""COMPUTED_VALUE"""),"None")</f>
        <v>None</v>
      </c>
      <c r="H503" s="26" t="str">
        <f>IFERROR(__xludf.DUMMYFUNCTION("""COMPUTED_VALUE"""),"Firearm")</f>
        <v>Firearm</v>
      </c>
      <c r="I503" s="27" t="str">
        <f>IFERROR(__xludf.DUMMYFUNCTION("""COMPUTED_VALUE"""),"M")</f>
        <v>M</v>
      </c>
      <c r="J503" s="27" t="str">
        <f>IFERROR(__xludf.DUMMYFUNCTION("""COMPUTED_VALUE"""),"W")</f>
        <v>W</v>
      </c>
      <c r="K503" s="27">
        <f>IFERROR(__xludf.DUMMYFUNCTION("""COMPUTED_VALUE"""),29.0)</f>
        <v>29</v>
      </c>
      <c r="L503" s="27" t="str">
        <f>IFERROR(__xludf.DUMMYFUNCTION("""COMPUTED_VALUE"""),"None")</f>
        <v>None</v>
      </c>
      <c r="M503" s="27" t="str">
        <f>IFERROR(__xludf.DUMMYFUNCTION("""COMPUTED_VALUE"""),"Y")</f>
        <v>Y</v>
      </c>
      <c r="N503" s="24"/>
      <c r="O503" s="24">
        <f>IFERROR(__xludf.DUMMYFUNCTION("""COMPUTED_VALUE"""),1.0)</f>
        <v>1</v>
      </c>
      <c r="P503" s="28" t="str">
        <f>IFERROR(__xludf.DUMMYFUNCTION("""COMPUTED_VALUE"""),"The officer was attempting to detain a suspect when the suspect reached into his pocket and pulled out a firearm. The officer saw and this and reached for the suspects weapon at the same time that the suspect reached for the officers. A struggle ensued as"&amp;" the suspect continued to disarm and or shoot the officer causing the officer to shoot at the suspect.")</f>
        <v>The officer was attempting to detain a suspect when the suspect reached into his pocket and pulled out a firearm. The officer saw and this and reached for the suspects weapon at the same time that the suspect reached for the officers. A struggle ensued as the suspect continued to disarm and or shoot the officer causing the officer to shoot at the suspect.</v>
      </c>
      <c r="Q503" s="24"/>
      <c r="R503" s="24"/>
      <c r="S503" s="24"/>
      <c r="T503" s="24"/>
      <c r="U503" s="24"/>
      <c r="V503" s="24"/>
      <c r="W503" s="24"/>
      <c r="X503" s="24"/>
      <c r="Y503" s="24"/>
      <c r="Z503" s="24"/>
    </row>
    <row r="504" hidden="1">
      <c r="A504" s="29">
        <f>IFERROR(__xludf.DUMMYFUNCTION("""COMPUTED_VALUE"""),40124.0)</f>
        <v>40124</v>
      </c>
      <c r="B504" s="24">
        <f>IFERROR(__xludf.DUMMYFUNCTION("""COMPUTED_VALUE"""),1.62468609E8)</f>
        <v>162468609</v>
      </c>
      <c r="C504" s="24" t="str">
        <f>IFERROR(__xludf.DUMMYFUNCTION("""COMPUTED_VALUE"""),"6200 Bellaire Blvd")</f>
        <v>6200 Bellaire Blvd</v>
      </c>
      <c r="D504" s="26" t="str">
        <f>IFERROR(__xludf.DUMMYFUNCTION("""COMPUTED_VALUE"""),"M")</f>
        <v>M</v>
      </c>
      <c r="E504" s="26" t="str">
        <f>IFERROR(__xludf.DUMMYFUNCTION("""COMPUTED_VALUE"""),"H")</f>
        <v>H</v>
      </c>
      <c r="F504" s="26">
        <f>IFERROR(__xludf.DUMMYFUNCTION("""COMPUTED_VALUE"""),26.0)</f>
        <v>26</v>
      </c>
      <c r="G504" s="26" t="str">
        <f>IFERROR(__xludf.DUMMYFUNCTION("""COMPUTED_VALUE"""),"Killed")</f>
        <v>Killed</v>
      </c>
      <c r="H504" s="26" t="str">
        <f>IFERROR(__xludf.DUMMYFUNCTION("""COMPUTED_VALUE"""),"Firearm")</f>
        <v>Firearm</v>
      </c>
      <c r="I504" s="27" t="str">
        <f>IFERROR(__xludf.DUMMYFUNCTION("""COMPUTED_VALUE"""),"M")</f>
        <v>M</v>
      </c>
      <c r="J504" s="27" t="str">
        <f>IFERROR(__xludf.DUMMYFUNCTION("""COMPUTED_VALUE"""),"H")</f>
        <v>H</v>
      </c>
      <c r="K504" s="27">
        <f>IFERROR(__xludf.DUMMYFUNCTION("""COMPUTED_VALUE"""),37.0)</f>
        <v>37</v>
      </c>
      <c r="L504" s="27" t="str">
        <f>IFERROR(__xludf.DUMMYFUNCTION("""COMPUTED_VALUE"""),"None")</f>
        <v>None</v>
      </c>
      <c r="M504" s="27" t="str">
        <f>IFERROR(__xludf.DUMMYFUNCTION("""COMPUTED_VALUE"""),"Y")</f>
        <v>Y</v>
      </c>
      <c r="N504" s="24"/>
      <c r="O504" s="24">
        <f>IFERROR(__xludf.DUMMYFUNCTION("""COMPUTED_VALUE"""),1.0)</f>
        <v>1</v>
      </c>
      <c r="P504" s="24" t="str">
        <f>IFERROR(__xludf.DUMMYFUNCTION("""COMPUTED_VALUE"""),"The officer was struggling with the suspect when the suspect reached for a weapon. The officer told the suspect to stop but the suspect continued to go for the weapon forcing the officer to shoot him.")</f>
        <v>The officer was struggling with the suspect when the suspect reached for a weapon. The officer told the suspect to stop but the suspect continued to go for the weapon forcing the officer to shoot him.</v>
      </c>
      <c r="Q504" s="24"/>
      <c r="R504" s="24"/>
      <c r="S504" s="24"/>
      <c r="T504" s="24"/>
      <c r="U504" s="24"/>
      <c r="V504" s="24"/>
      <c r="W504" s="24"/>
      <c r="X504" s="24"/>
      <c r="Y504" s="24"/>
      <c r="Z504" s="24"/>
    </row>
    <row r="505" hidden="1">
      <c r="A505" s="29">
        <f>IFERROR(__xludf.DUMMYFUNCTION("""COMPUTED_VALUE"""),40095.0)</f>
        <v>40095</v>
      </c>
      <c r="B505" s="24">
        <f>IFERROR(__xludf.DUMMYFUNCTION("""COMPUTED_VALUE"""),1.47715209E8)</f>
        <v>147715209</v>
      </c>
      <c r="C505" s="24" t="str">
        <f>IFERROR(__xludf.DUMMYFUNCTION("""COMPUTED_VALUE"""),"8435 Winkler")</f>
        <v>8435 Winkler</v>
      </c>
      <c r="D505" s="26" t="str">
        <f>IFERROR(__xludf.DUMMYFUNCTION("""COMPUTED_VALUE"""),"M")</f>
        <v>M</v>
      </c>
      <c r="E505" s="26" t="str">
        <f>IFERROR(__xludf.DUMMYFUNCTION("""COMPUTED_VALUE"""),"H")</f>
        <v>H</v>
      </c>
      <c r="F505" s="26">
        <f>IFERROR(__xludf.DUMMYFUNCTION("""COMPUTED_VALUE"""),35.0)</f>
        <v>35</v>
      </c>
      <c r="G505" s="26" t="str">
        <f>IFERROR(__xludf.DUMMYFUNCTION("""COMPUTED_VALUE"""),"Killed")</f>
        <v>Killed</v>
      </c>
      <c r="H505" s="26" t="str">
        <f>IFERROR(__xludf.DUMMYFUNCTION("""COMPUTED_VALUE"""),"Knife")</f>
        <v>Knife</v>
      </c>
      <c r="I505" s="27" t="str">
        <f>IFERROR(__xludf.DUMMYFUNCTION("""COMPUTED_VALUE"""),"M")</f>
        <v>M</v>
      </c>
      <c r="J505" s="27" t="str">
        <f>IFERROR(__xludf.DUMMYFUNCTION("""COMPUTED_VALUE"""),"H")</f>
        <v>H</v>
      </c>
      <c r="K505" s="27">
        <f>IFERROR(__xludf.DUMMYFUNCTION("""COMPUTED_VALUE"""),26.0)</f>
        <v>26</v>
      </c>
      <c r="L505" s="27" t="str">
        <f>IFERROR(__xludf.DUMMYFUNCTION("""COMPUTED_VALUE"""),"None")</f>
        <v>None</v>
      </c>
      <c r="M505" s="27" t="str">
        <f>IFERROR(__xludf.DUMMYFUNCTION("""COMPUTED_VALUE"""),"Y")</f>
        <v>Y</v>
      </c>
      <c r="N505" s="24"/>
      <c r="O505" s="24">
        <f>IFERROR(__xludf.DUMMYFUNCTION("""COMPUTED_VALUE"""),1.0)</f>
        <v>1</v>
      </c>
      <c r="P505" s="24" t="str">
        <f>IFERROR(__xludf.DUMMYFUNCTION("""COMPUTED_VALUE"""),"Officer arrived to see suspect in act of stabbing a person. The suspect refused to stop the act forcing the officer to shoot the suspect.")</f>
        <v>Officer arrived to see suspect in act of stabbing a person. The suspect refused to stop the act forcing the officer to shoot the suspect.</v>
      </c>
      <c r="Q505" s="24"/>
      <c r="R505" s="24"/>
      <c r="S505" s="24"/>
      <c r="T505" s="24"/>
      <c r="U505" s="24"/>
      <c r="V505" s="24"/>
      <c r="W505" s="24"/>
      <c r="X505" s="24"/>
      <c r="Y505" s="24"/>
      <c r="Z505" s="24"/>
    </row>
    <row r="506">
      <c r="A506" s="29">
        <f>IFERROR(__xludf.DUMMYFUNCTION("""COMPUTED_VALUE"""),40094.0)</f>
        <v>40094</v>
      </c>
      <c r="B506" s="24">
        <f>IFERROR(__xludf.DUMMYFUNCTION("""COMPUTED_VALUE"""),1.46846409E8)</f>
        <v>146846409</v>
      </c>
      <c r="C506" s="24" t="str">
        <f>IFERROR(__xludf.DUMMYFUNCTION("""COMPUTED_VALUE"""),"6418 MLK Blvd")</f>
        <v>6418 MLK Blvd</v>
      </c>
      <c r="D506" s="26" t="str">
        <f>IFERROR(__xludf.DUMMYFUNCTION("""COMPUTED_VALUE"""),"M")</f>
        <v>M</v>
      </c>
      <c r="E506" s="26" t="str">
        <f>IFERROR(__xludf.DUMMYFUNCTION("""COMPUTED_VALUE"""),"B")</f>
        <v>B</v>
      </c>
      <c r="F506" s="26">
        <f>IFERROR(__xludf.DUMMYFUNCTION("""COMPUTED_VALUE"""),18.0)</f>
        <v>18</v>
      </c>
      <c r="G506" s="26" t="str">
        <f>IFERROR(__xludf.DUMMYFUNCTION("""COMPUTED_VALUE"""),"None")</f>
        <v>None</v>
      </c>
      <c r="H506" s="26" t="str">
        <f>IFERROR(__xludf.DUMMYFUNCTION("""COMPUTED_VALUE"""),"Firearm")</f>
        <v>Firearm</v>
      </c>
      <c r="I506" s="27" t="str">
        <f>IFERROR(__xludf.DUMMYFUNCTION("""COMPUTED_VALUE"""),"M")</f>
        <v>M</v>
      </c>
      <c r="J506" s="27" t="str">
        <f>IFERROR(__xludf.DUMMYFUNCTION("""COMPUTED_VALUE"""),"W")</f>
        <v>W</v>
      </c>
      <c r="K506" s="27">
        <f>IFERROR(__xludf.DUMMYFUNCTION("""COMPUTED_VALUE"""),32.0)</f>
        <v>32</v>
      </c>
      <c r="L506" s="27" t="str">
        <f>IFERROR(__xludf.DUMMYFUNCTION("""COMPUTED_VALUE"""),"None")</f>
        <v>None</v>
      </c>
      <c r="M506" s="27" t="str">
        <f>IFERROR(__xludf.DUMMYFUNCTION("""COMPUTED_VALUE"""),"Y")</f>
        <v>Y</v>
      </c>
      <c r="N506" s="24"/>
      <c r="O506" s="24">
        <f>IFERROR(__xludf.DUMMYFUNCTION("""COMPUTED_VALUE"""),1.0)</f>
        <v>1</v>
      </c>
      <c r="P506" s="28" t="str">
        <f>IFERROR(__xludf.DUMMYFUNCTION("""COMPUTED_VALUE"""),"The officer was attempting to arrest an armed suspect when the suspect raised his weapon toward the officer forcing the officer to shoot at the suspect.")</f>
        <v>The officer was attempting to arrest an armed suspect when the suspect raised his weapon toward the officer forcing the officer to shoot at the suspect.</v>
      </c>
      <c r="Q506" s="24"/>
      <c r="R506" s="24"/>
      <c r="S506" s="24"/>
      <c r="T506" s="24"/>
      <c r="U506" s="24"/>
      <c r="V506" s="24"/>
      <c r="W506" s="24"/>
      <c r="X506" s="24"/>
      <c r="Y506" s="24"/>
      <c r="Z506" s="24"/>
    </row>
    <row r="507" hidden="1">
      <c r="A507" s="29">
        <f>IFERROR(__xludf.DUMMYFUNCTION("""COMPUTED_VALUE"""),40084.0)</f>
        <v>40084</v>
      </c>
      <c r="B507" s="24">
        <f>IFERROR(__xludf.DUMMYFUNCTION("""COMPUTED_VALUE"""),1.42027109E8)</f>
        <v>142027109</v>
      </c>
      <c r="C507" s="24" t="str">
        <f>IFERROR(__xludf.DUMMYFUNCTION("""COMPUTED_VALUE"""),"9803 Club Creek")</f>
        <v>9803 Club Creek</v>
      </c>
      <c r="D507" s="26" t="str">
        <f>IFERROR(__xludf.DUMMYFUNCTION("""COMPUTED_VALUE"""),"M")</f>
        <v>M</v>
      </c>
      <c r="E507" s="26" t="str">
        <f>IFERROR(__xludf.DUMMYFUNCTION("""COMPUTED_VALUE"""),"H")</f>
        <v>H</v>
      </c>
      <c r="F507" s="26">
        <f>IFERROR(__xludf.DUMMYFUNCTION("""COMPUTED_VALUE"""),21.0)</f>
        <v>21</v>
      </c>
      <c r="G507" s="26" t="str">
        <f>IFERROR(__xludf.DUMMYFUNCTION("""COMPUTED_VALUE"""),"Wounded")</f>
        <v>Wounded</v>
      </c>
      <c r="H507" s="26" t="str">
        <f>IFERROR(__xludf.DUMMYFUNCTION("""COMPUTED_VALUE"""),"Firearm")</f>
        <v>Firearm</v>
      </c>
      <c r="I507" s="27" t="str">
        <f>IFERROR(__xludf.DUMMYFUNCTION("""COMPUTED_VALUE"""),"M")</f>
        <v>M</v>
      </c>
      <c r="J507" s="27" t="str">
        <f>IFERROR(__xludf.DUMMYFUNCTION("""COMPUTED_VALUE"""),"B")</f>
        <v>B</v>
      </c>
      <c r="K507" s="27">
        <f>IFERROR(__xludf.DUMMYFUNCTION("""COMPUTED_VALUE"""),42.0)</f>
        <v>42</v>
      </c>
      <c r="L507" s="27" t="str">
        <f>IFERROR(__xludf.DUMMYFUNCTION("""COMPUTED_VALUE"""),"None")</f>
        <v>None</v>
      </c>
      <c r="M507" s="27" t="str">
        <f>IFERROR(__xludf.DUMMYFUNCTION("""COMPUTED_VALUE"""),"Y")</f>
        <v>Y</v>
      </c>
      <c r="N507" s="24"/>
      <c r="O507" s="24">
        <f>IFERROR(__xludf.DUMMYFUNCTION("""COMPUTED_VALUE"""),1.0)</f>
        <v>1</v>
      </c>
      <c r="P507" s="28" t="str">
        <f>IFERROR(__xludf.DUMMYFUNCTION("""COMPUTED_VALUE"""),"The officer located a suspect who had just committed an armed robbery. The officer was attempting to detain the suspect when the suspect reached toward his waist forcing the officer to shoot the suspect. The suspect fell to the ground but continued to rea"&amp;"ch for his weapon forcing the officer to once agin shoot at the suspect.")</f>
        <v>The officer located a suspect who had just committed an armed robbery. The officer was attempting to detain the suspect when the suspect reached toward his waist forcing the officer to shoot the suspect. The suspect fell to the ground but continued to reach for his weapon forcing the officer to once agin shoot at the suspect.</v>
      </c>
      <c r="Q507" s="24"/>
      <c r="R507" s="24"/>
      <c r="S507" s="24"/>
      <c r="T507" s="24"/>
      <c r="U507" s="24"/>
      <c r="V507" s="24"/>
      <c r="W507" s="24"/>
      <c r="X507" s="24"/>
      <c r="Y507" s="24"/>
      <c r="Z507" s="24"/>
    </row>
    <row r="508">
      <c r="A508" s="29">
        <f>IFERROR(__xludf.DUMMYFUNCTION("""COMPUTED_VALUE"""),40077.0)</f>
        <v>40077</v>
      </c>
      <c r="B508" s="24">
        <f>IFERROR(__xludf.DUMMYFUNCTION("""COMPUTED_VALUE"""),1.38406209E8)</f>
        <v>138406209</v>
      </c>
      <c r="C508" s="24" t="str">
        <f>IFERROR(__xludf.DUMMYFUNCTION("""COMPUTED_VALUE"""),"300 Jensen")</f>
        <v>300 Jensen</v>
      </c>
      <c r="D508" s="26" t="str">
        <f>IFERROR(__xludf.DUMMYFUNCTION("""COMPUTED_VALUE"""),"M")</f>
        <v>M</v>
      </c>
      <c r="E508" s="26" t="str">
        <f>IFERROR(__xludf.DUMMYFUNCTION("""COMPUTED_VALUE"""),"H")</f>
        <v>H</v>
      </c>
      <c r="F508" s="26">
        <f>IFERROR(__xludf.DUMMYFUNCTION("""COMPUTED_VALUE"""),38.0)</f>
        <v>38</v>
      </c>
      <c r="G508" s="26" t="str">
        <f>IFERROR(__xludf.DUMMYFUNCTION("""COMPUTED_VALUE"""),"None")</f>
        <v>None</v>
      </c>
      <c r="H508" s="26" t="str">
        <f>IFERROR(__xludf.DUMMYFUNCTION("""COMPUTED_VALUE"""),"Toy Gun")</f>
        <v>Toy Gun</v>
      </c>
      <c r="I508" s="27" t="str">
        <f>IFERROR(__xludf.DUMMYFUNCTION("""COMPUTED_VALUE"""),"M")</f>
        <v>M</v>
      </c>
      <c r="J508" s="27" t="str">
        <f>IFERROR(__xludf.DUMMYFUNCTION("""COMPUTED_VALUE"""),"W")</f>
        <v>W</v>
      </c>
      <c r="K508" s="27">
        <f>IFERROR(__xludf.DUMMYFUNCTION("""COMPUTED_VALUE"""),48.0)</f>
        <v>48</v>
      </c>
      <c r="L508" s="27" t="str">
        <f>IFERROR(__xludf.DUMMYFUNCTION("""COMPUTED_VALUE"""),"None")</f>
        <v>None</v>
      </c>
      <c r="M508" s="27" t="str">
        <f>IFERROR(__xludf.DUMMYFUNCTION("""COMPUTED_VALUE"""),"Y")</f>
        <v>Y</v>
      </c>
      <c r="N508" s="24"/>
      <c r="O508" s="24">
        <f>IFERROR(__xludf.DUMMYFUNCTION("""COMPUTED_VALUE"""),1.0)</f>
        <v>1</v>
      </c>
      <c r="P508" s="28" t="str">
        <f>IFERROR(__xludf.DUMMYFUNCTION("""COMPUTED_VALUE"""),"The officer was attempting to arrest a suspect who had threatened to shoot someone when the suspect reached into his waistband and pulled out a weapon forcing the officer to shoot at the suspect.")</f>
        <v>The officer was attempting to arrest a suspect who had threatened to shoot someone when the suspect reached into his waistband and pulled out a weapon forcing the officer to shoot at the suspect.</v>
      </c>
      <c r="Q508" s="24"/>
      <c r="R508" s="24"/>
      <c r="S508" s="24"/>
      <c r="T508" s="24"/>
      <c r="U508" s="24"/>
      <c r="V508" s="24"/>
      <c r="W508" s="24"/>
      <c r="X508" s="24"/>
      <c r="Y508" s="24"/>
      <c r="Z508" s="24"/>
    </row>
    <row r="509" hidden="1">
      <c r="A509" s="29">
        <f>IFERROR(__xludf.DUMMYFUNCTION("""COMPUTED_VALUE"""),40075.0)</f>
        <v>40075</v>
      </c>
      <c r="B509" s="24">
        <f>IFERROR(__xludf.DUMMYFUNCTION("""COMPUTED_VALUE"""),1.37565509E8)</f>
        <v>137565509</v>
      </c>
      <c r="C509" s="24" t="str">
        <f>IFERROR(__xludf.DUMMYFUNCTION("""COMPUTED_VALUE"""),"8038 Turquoise Lane")</f>
        <v>8038 Turquoise Lane</v>
      </c>
      <c r="D509" s="26" t="str">
        <f>IFERROR(__xludf.DUMMYFUNCTION("""COMPUTED_VALUE"""),"M")</f>
        <v>M</v>
      </c>
      <c r="E509" s="26" t="str">
        <f>IFERROR(__xludf.DUMMYFUNCTION("""COMPUTED_VALUE"""),"W")</f>
        <v>W</v>
      </c>
      <c r="F509" s="26">
        <f>IFERROR(__xludf.DUMMYFUNCTION("""COMPUTED_VALUE"""),49.0)</f>
        <v>49</v>
      </c>
      <c r="G509" s="26" t="str">
        <f>IFERROR(__xludf.DUMMYFUNCTION("""COMPUTED_VALUE"""),"Killed")</f>
        <v>Killed</v>
      </c>
      <c r="H509" s="26" t="str">
        <f>IFERROR(__xludf.DUMMYFUNCTION("""COMPUTED_VALUE"""),"Firearm")</f>
        <v>Firearm</v>
      </c>
      <c r="I509" s="27" t="str">
        <f>IFERROR(__xludf.DUMMYFUNCTION("""COMPUTED_VALUE"""),"M")</f>
        <v>M</v>
      </c>
      <c r="J509" s="27" t="str">
        <f>IFERROR(__xludf.DUMMYFUNCTION("""COMPUTED_VALUE"""),"W")</f>
        <v>W</v>
      </c>
      <c r="K509" s="27">
        <f>IFERROR(__xludf.DUMMYFUNCTION("""COMPUTED_VALUE"""),40.0)</f>
        <v>40</v>
      </c>
      <c r="L509" s="27" t="str">
        <f>IFERROR(__xludf.DUMMYFUNCTION("""COMPUTED_VALUE"""),"None")</f>
        <v>None</v>
      </c>
      <c r="M509" s="27" t="str">
        <f>IFERROR(__xludf.DUMMYFUNCTION("""COMPUTED_VALUE"""),"Y")</f>
        <v>Y</v>
      </c>
      <c r="N509" s="24"/>
      <c r="O509" s="24"/>
      <c r="P509" s="24" t="str">
        <f>IFERROR(__xludf.DUMMYFUNCTION("""COMPUTED_VALUE"""),"Officers were attempting to resolve a situation involving an armed barricaded suspect when the suspect came out of the residence and pointed a weapon at the officers forcing the officer to shoot the suspect.")</f>
        <v>Officers were attempting to resolve a situation involving an armed barricaded suspect when the suspect came out of the residence and pointed a weapon at the officers forcing the officer to shoot the suspect.</v>
      </c>
      <c r="Q509" s="24"/>
      <c r="R509" s="24"/>
      <c r="S509" s="24"/>
      <c r="T509" s="24"/>
      <c r="U509" s="24"/>
      <c r="V509" s="24"/>
      <c r="W509" s="24"/>
      <c r="X509" s="24"/>
      <c r="Y509" s="24"/>
      <c r="Z509" s="24"/>
    </row>
    <row r="510" hidden="1">
      <c r="A510" s="29">
        <f>IFERROR(__xludf.DUMMYFUNCTION("""COMPUTED_VALUE"""),40073.0)</f>
        <v>40073</v>
      </c>
      <c r="B510" s="24">
        <f>IFERROR(__xludf.DUMMYFUNCTION("""COMPUTED_VALUE"""),1.36512809E8)</f>
        <v>136512809</v>
      </c>
      <c r="C510" s="24" t="str">
        <f>IFERROR(__xludf.DUMMYFUNCTION("""COMPUTED_VALUE"""),"4211 Sherwood Lane")</f>
        <v>4211 Sherwood Lane</v>
      </c>
      <c r="D510" s="26" t="str">
        <f>IFERROR(__xludf.DUMMYFUNCTION("""COMPUTED_VALUE"""),"M")</f>
        <v>M</v>
      </c>
      <c r="E510" s="26" t="str">
        <f>IFERROR(__xludf.DUMMYFUNCTION("""COMPUTED_VALUE"""),"H")</f>
        <v>H</v>
      </c>
      <c r="F510" s="26">
        <f>IFERROR(__xludf.DUMMYFUNCTION("""COMPUTED_VALUE"""),31.0)</f>
        <v>31</v>
      </c>
      <c r="G510" s="26" t="str">
        <f>IFERROR(__xludf.DUMMYFUNCTION("""COMPUTED_VALUE"""),"Wounded")</f>
        <v>Wounded</v>
      </c>
      <c r="H510" s="26" t="str">
        <f>IFERROR(__xludf.DUMMYFUNCTION("""COMPUTED_VALUE"""),"Physical Force")</f>
        <v>Physical Force</v>
      </c>
      <c r="I510" s="27" t="str">
        <f>IFERROR(__xludf.DUMMYFUNCTION("""COMPUTED_VALUE"""),"M")</f>
        <v>M</v>
      </c>
      <c r="J510" s="27" t="str">
        <f>IFERROR(__xludf.DUMMYFUNCTION("""COMPUTED_VALUE"""),"W")</f>
        <v>W</v>
      </c>
      <c r="K510" s="27">
        <f>IFERROR(__xludf.DUMMYFUNCTION("""COMPUTED_VALUE"""),38.0)</f>
        <v>38</v>
      </c>
      <c r="L510" s="27" t="str">
        <f>IFERROR(__xludf.DUMMYFUNCTION("""COMPUTED_VALUE"""),"None")</f>
        <v>None</v>
      </c>
      <c r="M510" s="27" t="str">
        <f>IFERROR(__xludf.DUMMYFUNCTION("""COMPUTED_VALUE"""),"Y")</f>
        <v>Y</v>
      </c>
      <c r="N510" s="24"/>
      <c r="O510" s="24">
        <f>IFERROR(__xludf.DUMMYFUNCTION("""COMPUTED_VALUE"""),1.0)</f>
        <v>1</v>
      </c>
      <c r="P510" s="28" t="str">
        <f>IFERROR(__xludf.DUMMYFUNCTION("""COMPUTED_VALUE"""),"The officer was conducting a narcotics search warrant when the suspect confronted the officer and attempted to take his weapon away from him. The officer attempted to break free from the suspect but the suspect continued to try to get the officers weapon "&amp;"forcing the officer to shoot the suspect.")</f>
        <v>The officer was conducting a narcotics search warrant when the suspect confronted the officer and attempted to take his weapon away from him. The officer attempted to break free from the suspect but the suspect continued to try to get the officers weapon forcing the officer to shoot the suspect.</v>
      </c>
      <c r="Q510" s="24"/>
      <c r="R510" s="24"/>
      <c r="S510" s="24"/>
      <c r="T510" s="24"/>
      <c r="U510" s="24"/>
      <c r="V510" s="24"/>
      <c r="W510" s="24"/>
      <c r="X510" s="24"/>
      <c r="Y510" s="24"/>
      <c r="Z510" s="24"/>
    </row>
    <row r="511" hidden="1">
      <c r="A511" s="29">
        <f>IFERROR(__xludf.DUMMYFUNCTION("""COMPUTED_VALUE"""),40067.0)</f>
        <v>40067</v>
      </c>
      <c r="B511" s="24">
        <f>IFERROR(__xludf.DUMMYFUNCTION("""COMPUTED_VALUE"""),1.33143109E8)</f>
        <v>133143109</v>
      </c>
      <c r="C511" s="24" t="str">
        <f>IFERROR(__xludf.DUMMYFUNCTION("""COMPUTED_VALUE"""),"763 Marjorie")</f>
        <v>763 Marjorie</v>
      </c>
      <c r="D511" s="26" t="str">
        <f>IFERROR(__xludf.DUMMYFUNCTION("""COMPUTED_VALUE"""),"M")</f>
        <v>M</v>
      </c>
      <c r="E511" s="26" t="str">
        <f>IFERROR(__xludf.DUMMYFUNCTION("""COMPUTED_VALUE"""),"B")</f>
        <v>B</v>
      </c>
      <c r="F511" s="26">
        <f>IFERROR(__xludf.DUMMYFUNCTION("""COMPUTED_VALUE"""),25.0)</f>
        <v>25</v>
      </c>
      <c r="G511" s="26" t="str">
        <f>IFERROR(__xludf.DUMMYFUNCTION("""COMPUTED_VALUE"""),"Wounded")</f>
        <v>Wounded</v>
      </c>
      <c r="H511" s="26" t="str">
        <f>IFERROR(__xludf.DUMMYFUNCTION("""COMPUTED_VALUE"""),"None")</f>
        <v>None</v>
      </c>
      <c r="I511" s="27" t="str">
        <f>IFERROR(__xludf.DUMMYFUNCTION("""COMPUTED_VALUE"""),"M")</f>
        <v>M</v>
      </c>
      <c r="J511" s="27" t="str">
        <f>IFERROR(__xludf.DUMMYFUNCTION("""COMPUTED_VALUE"""),"B")</f>
        <v>B</v>
      </c>
      <c r="K511" s="27">
        <f>IFERROR(__xludf.DUMMYFUNCTION("""COMPUTED_VALUE"""),27.0)</f>
        <v>27</v>
      </c>
      <c r="L511" s="27" t="str">
        <f>IFERROR(__xludf.DUMMYFUNCTION("""COMPUTED_VALUE"""),"None")</f>
        <v>None</v>
      </c>
      <c r="M511" s="27" t="str">
        <f>IFERROR(__xludf.DUMMYFUNCTION("""COMPUTED_VALUE"""),"Y")</f>
        <v>Y</v>
      </c>
      <c r="N511" s="24"/>
      <c r="O511" s="24">
        <f>IFERROR(__xludf.DUMMYFUNCTION("""COMPUTED_VALUE"""),1.0)</f>
        <v>1</v>
      </c>
      <c r="P511" s="28" t="str">
        <f>IFERROR(__xludf.DUMMYFUNCTION("""COMPUTED_VALUE"""),"The officer stopped a vehicle on traffic that was reported stolen. The driver of the vehicle refused to comply with the officer and instead reached toward his waistband area making the officer believe that he was reaching for a weapon. This action caused "&amp;"the officer to shoot the suspect.")</f>
        <v>The officer stopped a vehicle on traffic that was reported stolen. The driver of the vehicle refused to comply with the officer and instead reached toward his waistband area making the officer believe that he was reaching for a weapon. This action caused the officer to shoot the suspect.</v>
      </c>
      <c r="Q511" s="24"/>
      <c r="R511" s="24"/>
      <c r="S511" s="24"/>
      <c r="T511" s="24"/>
      <c r="U511" s="24"/>
      <c r="V511" s="24"/>
      <c r="W511" s="24"/>
      <c r="X511" s="24"/>
      <c r="Y511" s="24"/>
      <c r="Z511" s="24"/>
    </row>
    <row r="512" hidden="1">
      <c r="A512" s="29">
        <f>IFERROR(__xludf.DUMMYFUNCTION("""COMPUTED_VALUE"""),40064.0)</f>
        <v>40064</v>
      </c>
      <c r="B512" s="24">
        <f>IFERROR(__xludf.DUMMYFUNCTION("""COMPUTED_VALUE"""),1.31629809E8)</f>
        <v>131629809</v>
      </c>
      <c r="C512" s="24" t="str">
        <f>IFERROR(__xludf.DUMMYFUNCTION("""COMPUTED_VALUE"""),"5400 Doliver")</f>
        <v>5400 Doliver</v>
      </c>
      <c r="D512" s="26" t="str">
        <f>IFERROR(__xludf.DUMMYFUNCTION("""COMPUTED_VALUE"""),"Juvenile")</f>
        <v>Juvenile</v>
      </c>
      <c r="E512" s="26" t="str">
        <f>IFERROR(__xludf.DUMMYFUNCTION("""COMPUTED_VALUE"""),"Juvenile")</f>
        <v>Juvenile</v>
      </c>
      <c r="F512" s="26"/>
      <c r="G512" s="26" t="str">
        <f>IFERROR(__xludf.DUMMYFUNCTION("""COMPUTED_VALUE"""),"Wounded")</f>
        <v>Wounded</v>
      </c>
      <c r="H512" s="26" t="str">
        <f>IFERROR(__xludf.DUMMYFUNCTION("""COMPUTED_VALUE"""),"Firearm")</f>
        <v>Firearm</v>
      </c>
      <c r="I512" s="27" t="str">
        <f>IFERROR(__xludf.DUMMYFUNCTION("""COMPUTED_VALUE"""),"M")</f>
        <v>M</v>
      </c>
      <c r="J512" s="27" t="str">
        <f>IFERROR(__xludf.DUMMYFUNCTION("""COMPUTED_VALUE"""),"W")</f>
        <v>W</v>
      </c>
      <c r="K512" s="27">
        <f>IFERROR(__xludf.DUMMYFUNCTION("""COMPUTED_VALUE"""),58.0)</f>
        <v>58</v>
      </c>
      <c r="L512" s="27" t="str">
        <f>IFERROR(__xludf.DUMMYFUNCTION("""COMPUTED_VALUE"""),"None")</f>
        <v>None</v>
      </c>
      <c r="M512" s="27" t="str">
        <f>IFERROR(__xludf.DUMMYFUNCTION("""COMPUTED_VALUE"""),"N")</f>
        <v>N</v>
      </c>
      <c r="N512" s="24"/>
      <c r="O512" s="24">
        <f>IFERROR(__xludf.DUMMYFUNCTION("""COMPUTED_VALUE"""),1.0)</f>
        <v>1</v>
      </c>
      <c r="P512" s="28" t="str">
        <f>IFERROR(__xludf.DUMMYFUNCTION("""COMPUTED_VALUE"""),"The officer was sitting in his vehicle when two armed suspects attempted to rob him but the officer was bale to draw his weapon and shoot the suspects.")</f>
        <v>The officer was sitting in his vehicle when two armed suspects attempted to rob him but the officer was bale to draw his weapon and shoot the suspects.</v>
      </c>
      <c r="Q512" s="24"/>
      <c r="R512" s="24"/>
      <c r="S512" s="24"/>
      <c r="T512" s="24"/>
      <c r="U512" s="24"/>
      <c r="V512" s="24"/>
      <c r="W512" s="24"/>
      <c r="X512" s="24"/>
      <c r="Y512" s="24"/>
      <c r="Z512" s="24"/>
    </row>
    <row r="513" hidden="1">
      <c r="A513" s="29"/>
      <c r="B513" s="24"/>
      <c r="C513" s="24"/>
      <c r="D513" s="26" t="str">
        <f>IFERROR(__xludf.DUMMYFUNCTION("""COMPUTED_VALUE"""),"Juvenile")</f>
        <v>Juvenile</v>
      </c>
      <c r="E513" s="26" t="str">
        <f>IFERROR(__xludf.DUMMYFUNCTION("""COMPUTED_VALUE"""),"Juvenile")</f>
        <v>Juvenile</v>
      </c>
      <c r="F513" s="26"/>
      <c r="G513" s="26" t="str">
        <f>IFERROR(__xludf.DUMMYFUNCTION("""COMPUTED_VALUE"""),"Wounded")</f>
        <v>Wounded</v>
      </c>
      <c r="H513" s="26" t="str">
        <f>IFERROR(__xludf.DUMMYFUNCTION("""COMPUTED_VALUE"""),"Firearm")</f>
        <v>Firearm</v>
      </c>
      <c r="I513" s="27"/>
      <c r="J513" s="27"/>
      <c r="K513" s="27"/>
      <c r="L513" s="27"/>
      <c r="M513" s="27"/>
      <c r="N513" s="24"/>
      <c r="O513" s="24"/>
      <c r="P513" s="28"/>
      <c r="Q513" s="24"/>
      <c r="R513" s="24"/>
      <c r="S513" s="24"/>
      <c r="T513" s="24"/>
      <c r="U513" s="24"/>
      <c r="V513" s="24"/>
      <c r="W513" s="24"/>
      <c r="X513" s="24"/>
      <c r="Y513" s="24"/>
      <c r="Z513" s="24"/>
    </row>
    <row r="514">
      <c r="A514" s="29">
        <f>IFERROR(__xludf.DUMMYFUNCTION("""COMPUTED_VALUE"""),40060.0)</f>
        <v>40060</v>
      </c>
      <c r="B514" s="24">
        <f>IFERROR(__xludf.DUMMYFUNCTION("""COMPUTED_VALUE"""),1.29983309E8)</f>
        <v>129983309</v>
      </c>
      <c r="C514" s="24" t="str">
        <f>IFERROR(__xludf.DUMMYFUNCTION("""COMPUTED_VALUE"""),"6807 Feather Creek Drive")</f>
        <v>6807 Feather Creek Drive</v>
      </c>
      <c r="D514" s="26" t="str">
        <f>IFERROR(__xludf.DUMMYFUNCTION("""COMPUTED_VALUE"""),"M")</f>
        <v>M</v>
      </c>
      <c r="E514" s="26" t="str">
        <f>IFERROR(__xludf.DUMMYFUNCTION("""COMPUTED_VALUE"""),"H")</f>
        <v>H</v>
      </c>
      <c r="F514" s="26">
        <f>IFERROR(__xludf.DUMMYFUNCTION("""COMPUTED_VALUE"""),27.0)</f>
        <v>27</v>
      </c>
      <c r="G514" s="26" t="str">
        <f>IFERROR(__xludf.DUMMYFUNCTION("""COMPUTED_VALUE"""),"None")</f>
        <v>None</v>
      </c>
      <c r="H514" s="26" t="str">
        <f>IFERROR(__xludf.DUMMYFUNCTION("""COMPUTED_VALUE"""),"Firearm")</f>
        <v>Firearm</v>
      </c>
      <c r="I514" s="27" t="str">
        <f>IFERROR(__xludf.DUMMYFUNCTION("""COMPUTED_VALUE"""),"M")</f>
        <v>M</v>
      </c>
      <c r="J514" s="27" t="str">
        <f>IFERROR(__xludf.DUMMYFUNCTION("""COMPUTED_VALUE"""),"H")</f>
        <v>H</v>
      </c>
      <c r="K514" s="27">
        <f>IFERROR(__xludf.DUMMYFUNCTION("""COMPUTED_VALUE"""),49.0)</f>
        <v>49</v>
      </c>
      <c r="L514" s="27" t="str">
        <f>IFERROR(__xludf.DUMMYFUNCTION("""COMPUTED_VALUE"""),"None")</f>
        <v>None</v>
      </c>
      <c r="M514" s="27" t="str">
        <f>IFERROR(__xludf.DUMMYFUNCTION("""COMPUTED_VALUE"""),"Y")</f>
        <v>Y</v>
      </c>
      <c r="N514" s="24"/>
      <c r="O514" s="24">
        <f>IFERROR(__xludf.DUMMYFUNCTION("""COMPUTED_VALUE"""),1.0)</f>
        <v>1</v>
      </c>
      <c r="P514" s="28" t="str">
        <f>IFERROR(__xludf.DUMMYFUNCTION("""COMPUTED_VALUE"""),"Two suspects ran from a residence where a murder investigation was being conducted. An officer who was positioned at the rear of the residence saw the suspects and noticed that one was armed with a weapon. The armed suspect refused to comply with the offi"&amp;"cer and instead raised the weapon forcing the officer to shoot at the suspect.")</f>
        <v>Two suspects ran from a residence where a murder investigation was being conducted. An officer who was positioned at the rear of the residence saw the suspects and noticed that one was armed with a weapon. The armed suspect refused to comply with the officer and instead raised the weapon forcing the officer to shoot at the suspect.</v>
      </c>
      <c r="Q514" s="24"/>
      <c r="R514" s="24"/>
      <c r="S514" s="24"/>
      <c r="T514" s="24"/>
      <c r="U514" s="24"/>
      <c r="V514" s="24"/>
      <c r="W514" s="24"/>
      <c r="X514" s="24"/>
      <c r="Y514" s="24"/>
      <c r="Z514" s="24"/>
    </row>
    <row r="515">
      <c r="A515" s="29">
        <f>IFERROR(__xludf.DUMMYFUNCTION("""COMPUTED_VALUE"""),40051.0)</f>
        <v>40051</v>
      </c>
      <c r="B515" s="24">
        <f>IFERROR(__xludf.DUMMYFUNCTION("""COMPUTED_VALUE"""),1.25342709E8)</f>
        <v>125342709</v>
      </c>
      <c r="C515" s="24" t="str">
        <f>IFERROR(__xludf.DUMMYFUNCTION("""COMPUTED_VALUE"""),"9191 North loop East")</f>
        <v>9191 North loop East</v>
      </c>
      <c r="D515" s="26" t="str">
        <f>IFERROR(__xludf.DUMMYFUNCTION("""COMPUTED_VALUE"""),"M")</f>
        <v>M</v>
      </c>
      <c r="E515" s="26" t="str">
        <f>IFERROR(__xludf.DUMMYFUNCTION("""COMPUTED_VALUE"""),"B")</f>
        <v>B</v>
      </c>
      <c r="F515" s="26"/>
      <c r="G515" s="26" t="str">
        <f>IFERROR(__xludf.DUMMYFUNCTION("""COMPUTED_VALUE"""),"None")</f>
        <v>None</v>
      </c>
      <c r="H515" s="26" t="str">
        <f>IFERROR(__xludf.DUMMYFUNCTION("""COMPUTED_VALUE"""),"Firearm")</f>
        <v>Firearm</v>
      </c>
      <c r="I515" s="27" t="str">
        <f>IFERROR(__xludf.DUMMYFUNCTION("""COMPUTED_VALUE"""),"M")</f>
        <v>M</v>
      </c>
      <c r="J515" s="27" t="str">
        <f>IFERROR(__xludf.DUMMYFUNCTION("""COMPUTED_VALUE"""),"W")</f>
        <v>W</v>
      </c>
      <c r="K515" s="27">
        <f>IFERROR(__xludf.DUMMYFUNCTION("""COMPUTED_VALUE"""),25.0)</f>
        <v>25</v>
      </c>
      <c r="L515" s="27" t="str">
        <f>IFERROR(__xludf.DUMMYFUNCTION("""COMPUTED_VALUE"""),"None")</f>
        <v>None</v>
      </c>
      <c r="M515" s="27" t="str">
        <f>IFERROR(__xludf.DUMMYFUNCTION("""COMPUTED_VALUE"""),"N")</f>
        <v>N</v>
      </c>
      <c r="N515" s="24"/>
      <c r="O515" s="24">
        <f>IFERROR(__xludf.DUMMYFUNCTION("""COMPUTED_VALUE"""),1.0)</f>
        <v>1</v>
      </c>
      <c r="P515" s="28" t="str">
        <f>IFERROR(__xludf.DUMMYFUNCTION("""COMPUTED_VALUE"""),"The officer engaged a pair of armed suspects who were attempting to rob a bank. The suspects refused to comply with the officer and instead an exchange of gunfire occurred.")</f>
        <v>The officer engaged a pair of armed suspects who were attempting to rob a bank. The suspects refused to comply with the officer and instead an exchange of gunfire occurred.</v>
      </c>
      <c r="Q515" s="24"/>
      <c r="R515" s="24"/>
      <c r="S515" s="24"/>
      <c r="T515" s="24"/>
      <c r="U515" s="24"/>
      <c r="V515" s="24"/>
      <c r="W515" s="24"/>
      <c r="X515" s="24"/>
      <c r="Y515" s="24"/>
      <c r="Z515" s="24"/>
    </row>
    <row r="516">
      <c r="A516" s="29"/>
      <c r="B516" s="24"/>
      <c r="C516" s="24"/>
      <c r="D516" s="26" t="str">
        <f>IFERROR(__xludf.DUMMYFUNCTION("""COMPUTED_VALUE"""),"M")</f>
        <v>M</v>
      </c>
      <c r="E516" s="26" t="str">
        <f>IFERROR(__xludf.DUMMYFUNCTION("""COMPUTED_VALUE"""),"B")</f>
        <v>B</v>
      </c>
      <c r="F516" s="26"/>
      <c r="G516" s="26" t="str">
        <f>IFERROR(__xludf.DUMMYFUNCTION("""COMPUTED_VALUE"""),"None")</f>
        <v>None</v>
      </c>
      <c r="H516" s="26" t="str">
        <f>IFERROR(__xludf.DUMMYFUNCTION("""COMPUTED_VALUE"""),"Firearm")</f>
        <v>Firearm</v>
      </c>
      <c r="I516" s="27"/>
      <c r="J516" s="27"/>
      <c r="K516" s="27"/>
      <c r="L516" s="27"/>
      <c r="M516" s="27"/>
      <c r="N516" s="24"/>
      <c r="O516" s="24"/>
      <c r="P516" s="28"/>
      <c r="Q516" s="24"/>
      <c r="R516" s="24"/>
      <c r="S516" s="24"/>
      <c r="T516" s="24"/>
      <c r="U516" s="24"/>
      <c r="V516" s="24"/>
      <c r="W516" s="24"/>
      <c r="X516" s="24"/>
      <c r="Y516" s="24"/>
      <c r="Z516" s="24"/>
    </row>
    <row r="517">
      <c r="A517" s="29">
        <f>IFERROR(__xludf.DUMMYFUNCTION("""COMPUTED_VALUE"""),40045.0)</f>
        <v>40045</v>
      </c>
      <c r="B517" s="24">
        <f>IFERROR(__xludf.DUMMYFUNCTION("""COMPUTED_VALUE"""),1.22735709E8)</f>
        <v>122735709</v>
      </c>
      <c r="C517" s="24" t="str">
        <f>IFERROR(__xludf.DUMMYFUNCTION("""COMPUTED_VALUE"""),"14909 North Freeway")</f>
        <v>14909 North Freeway</v>
      </c>
      <c r="D517" s="26" t="str">
        <f>IFERROR(__xludf.DUMMYFUNCTION("""COMPUTED_VALUE"""),"M")</f>
        <v>M</v>
      </c>
      <c r="E517" s="26" t="str">
        <f>IFERROR(__xludf.DUMMYFUNCTION("""COMPUTED_VALUE"""),"W")</f>
        <v>W</v>
      </c>
      <c r="F517" s="26"/>
      <c r="G517" s="26" t="str">
        <f>IFERROR(__xludf.DUMMYFUNCTION("""COMPUTED_VALUE"""),"None")</f>
        <v>None</v>
      </c>
      <c r="H517" s="26" t="str">
        <f>IFERROR(__xludf.DUMMYFUNCTION("""COMPUTED_VALUE"""),"Vehicle")</f>
        <v>Vehicle</v>
      </c>
      <c r="I517" s="27" t="str">
        <f>IFERROR(__xludf.DUMMYFUNCTION("""COMPUTED_VALUE"""),"M")</f>
        <v>M</v>
      </c>
      <c r="J517" s="27" t="str">
        <f>IFERROR(__xludf.DUMMYFUNCTION("""COMPUTED_VALUE"""),"H")</f>
        <v>H</v>
      </c>
      <c r="K517" s="27">
        <f>IFERROR(__xludf.DUMMYFUNCTION("""COMPUTED_VALUE"""),38.0)</f>
        <v>38</v>
      </c>
      <c r="L517" s="27" t="str">
        <f>IFERROR(__xludf.DUMMYFUNCTION("""COMPUTED_VALUE"""),"None")</f>
        <v>None</v>
      </c>
      <c r="M517" s="27" t="str">
        <f>IFERROR(__xludf.DUMMYFUNCTION("""COMPUTED_VALUE"""),"N")</f>
        <v>N</v>
      </c>
      <c r="N517" s="24"/>
      <c r="O517" s="24">
        <f>IFERROR(__xludf.DUMMYFUNCTION("""COMPUTED_VALUE"""),1.0)</f>
        <v>1</v>
      </c>
      <c r="P517" s="28" t="str">
        <f>IFERROR(__xludf.DUMMYFUNCTION("""COMPUTED_VALUE"""),"The officer was attempting to arrest a robbery suspect when the suspect resisted and a physical struggle occurred. The suspect managed to get free of the officer and got to his vehicle. The suspect then attempted to run over the officer forcing the office"&amp;"r to shoot at the suspect.")</f>
        <v>The officer was attempting to arrest a robbery suspect when the suspect resisted and a physical struggle occurred. The suspect managed to get free of the officer and got to his vehicle. The suspect then attempted to run over the officer forcing the officer to shoot at the suspect.</v>
      </c>
      <c r="Q517" s="24"/>
      <c r="R517" s="24"/>
      <c r="S517" s="24"/>
      <c r="T517" s="24"/>
      <c r="U517" s="24"/>
      <c r="V517" s="24"/>
      <c r="W517" s="24"/>
      <c r="X517" s="24"/>
      <c r="Y517" s="24"/>
      <c r="Z517" s="24"/>
    </row>
    <row r="518" hidden="1">
      <c r="A518" s="29">
        <f>IFERROR(__xludf.DUMMYFUNCTION("""COMPUTED_VALUE"""),40032.0)</f>
        <v>40032</v>
      </c>
      <c r="B518" s="24">
        <f>IFERROR(__xludf.DUMMYFUNCTION("""COMPUTED_VALUE"""),1.15531209E8)</f>
        <v>115531209</v>
      </c>
      <c r="C518" s="24" t="str">
        <f>IFERROR(__xludf.DUMMYFUNCTION("""COMPUTED_VALUE"""),"3500 W. Little York")</f>
        <v>3500 W. Little York</v>
      </c>
      <c r="D518" s="26" t="str">
        <f>IFERROR(__xludf.DUMMYFUNCTION("""COMPUTED_VALUE"""),"M")</f>
        <v>M</v>
      </c>
      <c r="E518" s="26" t="str">
        <f>IFERROR(__xludf.DUMMYFUNCTION("""COMPUTED_VALUE"""),"B")</f>
        <v>B</v>
      </c>
      <c r="F518" s="26">
        <f>IFERROR(__xludf.DUMMYFUNCTION("""COMPUTED_VALUE"""),21.0)</f>
        <v>21</v>
      </c>
      <c r="G518" s="26" t="str">
        <f>IFERROR(__xludf.DUMMYFUNCTION("""COMPUTED_VALUE"""),"Wounded")</f>
        <v>Wounded</v>
      </c>
      <c r="H518" s="26" t="str">
        <f>IFERROR(__xludf.DUMMYFUNCTION("""COMPUTED_VALUE"""),"None")</f>
        <v>None</v>
      </c>
      <c r="I518" s="27" t="str">
        <f>IFERROR(__xludf.DUMMYFUNCTION("""COMPUTED_VALUE"""),"M")</f>
        <v>M</v>
      </c>
      <c r="J518" s="27" t="str">
        <f>IFERROR(__xludf.DUMMYFUNCTION("""COMPUTED_VALUE"""),"W")</f>
        <v>W</v>
      </c>
      <c r="K518" s="27">
        <f>IFERROR(__xludf.DUMMYFUNCTION("""COMPUTED_VALUE"""),38.0)</f>
        <v>38</v>
      </c>
      <c r="L518" s="27" t="str">
        <f>IFERROR(__xludf.DUMMYFUNCTION("""COMPUTED_VALUE"""),"None")</f>
        <v>None</v>
      </c>
      <c r="M518" s="27" t="str">
        <f>IFERROR(__xludf.DUMMYFUNCTION("""COMPUTED_VALUE"""),"Y")</f>
        <v>Y</v>
      </c>
      <c r="N518" s="24"/>
      <c r="O518" s="24"/>
      <c r="P518" s="28" t="str">
        <f>IFERROR(__xludf.DUMMYFUNCTION("""COMPUTED_VALUE"""),"The suspect fled the scene of a narcotics search warrant but was confronted by officers outside of the location. The suspect refused to comply with the officers and instead charged at the officer forcing the officer to shoot.")</f>
        <v>The suspect fled the scene of a narcotics search warrant but was confronted by officers outside of the location. The suspect refused to comply with the officers and instead charged at the officer forcing the officer to shoot.</v>
      </c>
      <c r="Q518" s="24"/>
      <c r="R518" s="24"/>
      <c r="S518" s="24"/>
      <c r="T518" s="24"/>
      <c r="U518" s="24"/>
      <c r="V518" s="24"/>
      <c r="W518" s="24"/>
      <c r="X518" s="24"/>
      <c r="Y518" s="24"/>
      <c r="Z518" s="24"/>
    </row>
    <row r="519">
      <c r="A519" s="29">
        <f>IFERROR(__xludf.DUMMYFUNCTION("""COMPUTED_VALUE"""),40032.0)</f>
        <v>40032</v>
      </c>
      <c r="B519" s="24">
        <f>IFERROR(__xludf.DUMMYFUNCTION("""COMPUTED_VALUE"""),1.15591909E8)</f>
        <v>115591909</v>
      </c>
      <c r="C519" s="24" t="str">
        <f>IFERROR(__xludf.DUMMYFUNCTION("""COMPUTED_VALUE"""),"1900 Southwest Freeway")</f>
        <v>1900 Southwest Freeway</v>
      </c>
      <c r="D519" s="26" t="str">
        <f>IFERROR(__xludf.DUMMYFUNCTION("""COMPUTED_VALUE"""),"M")</f>
        <v>M</v>
      </c>
      <c r="E519" s="26" t="str">
        <f>IFERROR(__xludf.DUMMYFUNCTION("""COMPUTED_VALUE"""),"B")</f>
        <v>B</v>
      </c>
      <c r="F519" s="26">
        <f>IFERROR(__xludf.DUMMYFUNCTION("""COMPUTED_VALUE"""),26.0)</f>
        <v>26</v>
      </c>
      <c r="G519" s="26" t="str">
        <f>IFERROR(__xludf.DUMMYFUNCTION("""COMPUTED_VALUE"""),"None")</f>
        <v>None</v>
      </c>
      <c r="H519" s="26" t="str">
        <f>IFERROR(__xludf.DUMMYFUNCTION("""COMPUTED_VALUE"""),"None")</f>
        <v>None</v>
      </c>
      <c r="I519" s="27" t="str">
        <f>IFERROR(__xludf.DUMMYFUNCTION("""COMPUTED_VALUE"""),"M")</f>
        <v>M</v>
      </c>
      <c r="J519" s="27" t="str">
        <f>IFERROR(__xludf.DUMMYFUNCTION("""COMPUTED_VALUE"""),"W")</f>
        <v>W</v>
      </c>
      <c r="K519" s="27">
        <f>IFERROR(__xludf.DUMMYFUNCTION("""COMPUTED_VALUE"""),33.0)</f>
        <v>33</v>
      </c>
      <c r="L519" s="27" t="str">
        <f>IFERROR(__xludf.DUMMYFUNCTION("""COMPUTED_VALUE"""),"None")</f>
        <v>None</v>
      </c>
      <c r="M519" s="27" t="str">
        <f>IFERROR(__xludf.DUMMYFUNCTION("""COMPUTED_VALUE"""),"Y")</f>
        <v>Y</v>
      </c>
      <c r="N519" s="24"/>
      <c r="O519" s="24">
        <f>IFERROR(__xludf.DUMMYFUNCTION("""COMPUTED_VALUE"""),1.0)</f>
        <v>1</v>
      </c>
      <c r="P519" s="28" t="str">
        <f>IFERROR(__xludf.DUMMYFUNCTION("""COMPUTED_VALUE"""),"The officer was attempting to arrest a suspect who was the target of a robbery warrant. The suspect was sitting in a vehicle and refused to comply with the officer. The suspect then shouted something to the officer and made a gesture as if he were reachin"&amp;"g for a weapon forcing the officer to shoot at the suspect.")</f>
        <v>The officer was attempting to arrest a suspect who was the target of a robbery warrant. The suspect was sitting in a vehicle and refused to comply with the officer. The suspect then shouted something to the officer and made a gesture as if he were reaching for a weapon forcing the officer to shoot at the suspect.</v>
      </c>
      <c r="Q519" s="24"/>
      <c r="R519" s="24"/>
      <c r="S519" s="24"/>
      <c r="T519" s="24"/>
      <c r="U519" s="24"/>
      <c r="V519" s="24"/>
      <c r="W519" s="24"/>
      <c r="X519" s="24"/>
      <c r="Y519" s="24"/>
      <c r="Z519" s="24"/>
    </row>
    <row r="520">
      <c r="A520" s="29">
        <f>IFERROR(__xludf.DUMMYFUNCTION("""COMPUTED_VALUE"""),40028.0)</f>
        <v>40028</v>
      </c>
      <c r="B520" s="24">
        <f>IFERROR(__xludf.DUMMYFUNCTION("""COMPUTED_VALUE"""),1.12714009E8)</f>
        <v>112714009</v>
      </c>
      <c r="C520" s="24" t="str">
        <f>IFERROR(__xludf.DUMMYFUNCTION("""COMPUTED_VALUE"""),"100 Goodson")</f>
        <v>100 Goodson</v>
      </c>
      <c r="D520" s="26" t="str">
        <f>IFERROR(__xludf.DUMMYFUNCTION("""COMPUTED_VALUE"""),"M")</f>
        <v>M</v>
      </c>
      <c r="E520" s="26" t="str">
        <f>IFERROR(__xludf.DUMMYFUNCTION("""COMPUTED_VALUE"""),"B")</f>
        <v>B</v>
      </c>
      <c r="F520" s="26">
        <f>IFERROR(__xludf.DUMMYFUNCTION("""COMPUTED_VALUE"""),25.0)</f>
        <v>25</v>
      </c>
      <c r="G520" s="26" t="str">
        <f>IFERROR(__xludf.DUMMYFUNCTION("""COMPUTED_VALUE"""),"None")</f>
        <v>None</v>
      </c>
      <c r="H520" s="26" t="str">
        <f>IFERROR(__xludf.DUMMYFUNCTION("""COMPUTED_VALUE"""),"Vehicle")</f>
        <v>Vehicle</v>
      </c>
      <c r="I520" s="27" t="str">
        <f>IFERROR(__xludf.DUMMYFUNCTION("""COMPUTED_VALUE"""),"M")</f>
        <v>M</v>
      </c>
      <c r="J520" s="27" t="str">
        <f>IFERROR(__xludf.DUMMYFUNCTION("""COMPUTED_VALUE"""),"H")</f>
        <v>H</v>
      </c>
      <c r="K520" s="27">
        <f>IFERROR(__xludf.DUMMYFUNCTION("""COMPUTED_VALUE"""),31.0)</f>
        <v>31</v>
      </c>
      <c r="L520" s="27" t="str">
        <f>IFERROR(__xludf.DUMMYFUNCTION("""COMPUTED_VALUE"""),"None")</f>
        <v>None</v>
      </c>
      <c r="M520" s="27" t="str">
        <f>IFERROR(__xludf.DUMMYFUNCTION("""COMPUTED_VALUE"""),"Y")</f>
        <v>Y</v>
      </c>
      <c r="N520" s="24"/>
      <c r="O520" s="24"/>
      <c r="P520" s="28" t="str">
        <f>IFERROR(__xludf.DUMMYFUNCTION("""COMPUTED_VALUE"""),"The officers were engaged in a traffic stop when the suspect stepped on the gas. The officer believed that the suspect was going to run over him so he shot at the suspect.")</f>
        <v>The officers were engaged in a traffic stop when the suspect stepped on the gas. The officer believed that the suspect was going to run over him so he shot at the suspect.</v>
      </c>
      <c r="Q520" s="24"/>
      <c r="R520" s="24"/>
      <c r="S520" s="24"/>
      <c r="T520" s="24"/>
      <c r="U520" s="24"/>
      <c r="V520" s="24"/>
      <c r="W520" s="24"/>
      <c r="X520" s="24"/>
      <c r="Y520" s="24"/>
      <c r="Z520" s="24"/>
    </row>
    <row r="521" hidden="1">
      <c r="A521" s="29">
        <f>IFERROR(__xludf.DUMMYFUNCTION("""COMPUTED_VALUE"""),40026.0)</f>
        <v>40026</v>
      </c>
      <c r="B521" s="24">
        <f>IFERROR(__xludf.DUMMYFUNCTION("""COMPUTED_VALUE"""),1.11697509E8)</f>
        <v>111697509</v>
      </c>
      <c r="C521" s="24" t="str">
        <f>IFERROR(__xludf.DUMMYFUNCTION("""COMPUTED_VALUE"""),"2139 Lake Hills")</f>
        <v>2139 Lake Hills</v>
      </c>
      <c r="D521" s="26" t="str">
        <f>IFERROR(__xludf.DUMMYFUNCTION("""COMPUTED_VALUE"""),"M")</f>
        <v>M</v>
      </c>
      <c r="E521" s="26" t="str">
        <f>IFERROR(__xludf.DUMMYFUNCTION("""COMPUTED_VALUE"""),"W")</f>
        <v>W</v>
      </c>
      <c r="F521" s="26">
        <f>IFERROR(__xludf.DUMMYFUNCTION("""COMPUTED_VALUE"""),39.0)</f>
        <v>39</v>
      </c>
      <c r="G521" s="26" t="str">
        <f>IFERROR(__xludf.DUMMYFUNCTION("""COMPUTED_VALUE"""),"Killed")</f>
        <v>Killed</v>
      </c>
      <c r="H521" s="26" t="str">
        <f>IFERROR(__xludf.DUMMYFUNCTION("""COMPUTED_VALUE"""),"CED Device")</f>
        <v>CED Device</v>
      </c>
      <c r="I521" s="27" t="str">
        <f>IFERROR(__xludf.DUMMYFUNCTION("""COMPUTED_VALUE"""),"M")</f>
        <v>M</v>
      </c>
      <c r="J521" s="27" t="str">
        <f>IFERROR(__xludf.DUMMYFUNCTION("""COMPUTED_VALUE"""),"W")</f>
        <v>W</v>
      </c>
      <c r="K521" s="27">
        <f>IFERROR(__xludf.DUMMYFUNCTION("""COMPUTED_VALUE"""),32.0)</f>
        <v>32</v>
      </c>
      <c r="L521" s="27" t="str">
        <f>IFERROR(__xludf.DUMMYFUNCTION("""COMPUTED_VALUE"""),"None")</f>
        <v>None</v>
      </c>
      <c r="M521" s="27" t="str">
        <f>IFERROR(__xludf.DUMMYFUNCTION("""COMPUTED_VALUE"""),"N")</f>
        <v>N</v>
      </c>
      <c r="N521" s="24"/>
      <c r="O521" s="24">
        <f>IFERROR(__xludf.DUMMYFUNCTION("""COMPUTED_VALUE"""),1.0)</f>
        <v>1</v>
      </c>
      <c r="P521" s="24" t="str">
        <f>IFERROR(__xludf.DUMMYFUNCTION("""COMPUTED_VALUE"""),"The officer was attempting to detain the suspect when the suspect resisted and fought with the officer. The suspect was able to strip the officer of his taser and was threating to use it forcing the officer to shoot the suspect.")</f>
        <v>The officer was attempting to detain the suspect when the suspect resisted and fought with the officer. The suspect was able to strip the officer of his taser and was threating to use it forcing the officer to shoot the suspect.</v>
      </c>
      <c r="Q521" s="24"/>
      <c r="R521" s="24"/>
      <c r="S521" s="24"/>
      <c r="T521" s="24"/>
      <c r="U521" s="24"/>
      <c r="V521" s="24"/>
      <c r="W521" s="24"/>
      <c r="X521" s="24"/>
      <c r="Y521" s="24"/>
      <c r="Z521" s="24"/>
    </row>
    <row r="522">
      <c r="A522" s="29">
        <f>IFERROR(__xludf.DUMMYFUNCTION("""COMPUTED_VALUE"""),40019.0)</f>
        <v>40019</v>
      </c>
      <c r="B522" s="24">
        <f>IFERROR(__xludf.DUMMYFUNCTION("""COMPUTED_VALUE"""),1.08043709E8)</f>
        <v>108043709</v>
      </c>
      <c r="C522" s="24" t="str">
        <f>IFERROR(__xludf.DUMMYFUNCTION("""COMPUTED_VALUE"""),"11222 S. Sam Houston Pkwy")</f>
        <v>11222 S. Sam Houston Pkwy</v>
      </c>
      <c r="D522" s="26" t="str">
        <f>IFERROR(__xludf.DUMMYFUNCTION("""COMPUTED_VALUE"""),"M")</f>
        <v>M</v>
      </c>
      <c r="E522" s="26" t="str">
        <f>IFERROR(__xludf.DUMMYFUNCTION("""COMPUTED_VALUE"""),"H")</f>
        <v>H</v>
      </c>
      <c r="F522" s="26"/>
      <c r="G522" s="26" t="str">
        <f>IFERROR(__xludf.DUMMYFUNCTION("""COMPUTED_VALUE"""),"None")</f>
        <v>None</v>
      </c>
      <c r="H522" s="26" t="str">
        <f>IFERROR(__xludf.DUMMYFUNCTION("""COMPUTED_VALUE"""),"Firearm")</f>
        <v>Firearm</v>
      </c>
      <c r="I522" s="27" t="str">
        <f>IFERROR(__xludf.DUMMYFUNCTION("""COMPUTED_VALUE"""),"M")</f>
        <v>M</v>
      </c>
      <c r="J522" s="27" t="str">
        <f>IFERROR(__xludf.DUMMYFUNCTION("""COMPUTED_VALUE"""),"W")</f>
        <v>W</v>
      </c>
      <c r="K522" s="27">
        <f>IFERROR(__xludf.DUMMYFUNCTION("""COMPUTED_VALUE"""),36.0)</f>
        <v>36</v>
      </c>
      <c r="L522" s="27" t="str">
        <f>IFERROR(__xludf.DUMMYFUNCTION("""COMPUTED_VALUE"""),"None")</f>
        <v>None</v>
      </c>
      <c r="M522" s="27" t="str">
        <f>IFERROR(__xludf.DUMMYFUNCTION("""COMPUTED_VALUE"""),"Y")</f>
        <v>Y</v>
      </c>
      <c r="N522" s="24"/>
      <c r="O522" s="24">
        <f>IFERROR(__xludf.DUMMYFUNCTION("""COMPUTED_VALUE"""),1.0)</f>
        <v>1</v>
      </c>
      <c r="P522" s="28" t="str">
        <f>IFERROR(__xludf.DUMMYFUNCTION("""COMPUTED_VALUE"""),"The officer was attempting to detain an armed robbery suspect when the suspect stood and produced a firearm causing the officer to shoot at the suspect.")</f>
        <v>The officer was attempting to detain an armed robbery suspect when the suspect stood and produced a firearm causing the officer to shoot at the suspect.</v>
      </c>
      <c r="Q522" s="24"/>
      <c r="R522" s="24"/>
      <c r="S522" s="24"/>
      <c r="T522" s="24"/>
      <c r="U522" s="24"/>
      <c r="V522" s="24"/>
      <c r="W522" s="24"/>
      <c r="X522" s="24"/>
      <c r="Y522" s="24"/>
      <c r="Z522" s="24"/>
    </row>
    <row r="523">
      <c r="A523" s="29">
        <f>IFERROR(__xludf.DUMMYFUNCTION("""COMPUTED_VALUE"""),40018.0)</f>
        <v>40018</v>
      </c>
      <c r="B523" s="24">
        <f>IFERROR(__xludf.DUMMYFUNCTION("""COMPUTED_VALUE"""),1.07327809E8)</f>
        <v>107327809</v>
      </c>
      <c r="C523" s="24" t="str">
        <f>IFERROR(__xludf.DUMMYFUNCTION("""COMPUTED_VALUE"""),"Protected By Law")</f>
        <v>Protected By Law</v>
      </c>
      <c r="D523" s="26" t="str">
        <f>IFERROR(__xludf.DUMMYFUNCTION("""COMPUTED_VALUE"""),"M")</f>
        <v>M</v>
      </c>
      <c r="E523" s="26" t="str">
        <f>IFERROR(__xludf.DUMMYFUNCTION("""COMPUTED_VALUE"""),"U")</f>
        <v>U</v>
      </c>
      <c r="F523" s="26"/>
      <c r="G523" s="26" t="str">
        <f>IFERROR(__xludf.DUMMYFUNCTION("""COMPUTED_VALUE"""),"None")</f>
        <v>None</v>
      </c>
      <c r="H523" s="26" t="str">
        <f>IFERROR(__xludf.DUMMYFUNCTION("""COMPUTED_VALUE"""),"Unknown")</f>
        <v>Unknown</v>
      </c>
      <c r="I523" s="27" t="str">
        <f>IFERROR(__xludf.DUMMYFUNCTION("""COMPUTED_VALUE"""),"M")</f>
        <v>M</v>
      </c>
      <c r="J523" s="27" t="str">
        <f>IFERROR(__xludf.DUMMYFUNCTION("""COMPUTED_VALUE"""),"B")</f>
        <v>B</v>
      </c>
      <c r="K523" s="27">
        <f>IFERROR(__xludf.DUMMYFUNCTION("""COMPUTED_VALUE"""),34.0)</f>
        <v>34</v>
      </c>
      <c r="L523" s="27" t="str">
        <f>IFERROR(__xludf.DUMMYFUNCTION("""COMPUTED_VALUE"""),"None")</f>
        <v>None</v>
      </c>
      <c r="M523" s="27" t="str">
        <f>IFERROR(__xludf.DUMMYFUNCTION("""COMPUTED_VALUE"""),"N")</f>
        <v>N</v>
      </c>
      <c r="N523" s="24"/>
      <c r="O523" s="24">
        <f>IFERROR(__xludf.DUMMYFUNCTION("""COMPUTED_VALUE"""),1.0)</f>
        <v>1</v>
      </c>
      <c r="P523" s="28" t="str">
        <f>IFERROR(__xludf.DUMMYFUNCTION("""COMPUTED_VALUE"""),"The officer heard the suspect attempting to open the door to his residence. The officer was able to get his weapon and as he was going to the door to investigate the door opened forcing the officer to shoot at the suspect.")</f>
        <v>The officer heard the suspect attempting to open the door to his residence. The officer was able to get his weapon and as he was going to the door to investigate the door opened forcing the officer to shoot at the suspect.</v>
      </c>
      <c r="Q523" s="24"/>
      <c r="R523" s="24"/>
      <c r="S523" s="24"/>
      <c r="T523" s="24"/>
      <c r="U523" s="24"/>
      <c r="V523" s="24"/>
      <c r="W523" s="24"/>
      <c r="X523" s="24"/>
      <c r="Y523" s="24"/>
      <c r="Z523" s="24"/>
    </row>
    <row r="524" hidden="1">
      <c r="A524" s="29">
        <f>IFERROR(__xludf.DUMMYFUNCTION("""COMPUTED_VALUE"""),40018.0)</f>
        <v>40018</v>
      </c>
      <c r="B524" s="24">
        <f>IFERROR(__xludf.DUMMYFUNCTION("""COMPUTED_VALUE"""),1.07581809E8)</f>
        <v>107581809</v>
      </c>
      <c r="C524" s="24" t="str">
        <f>IFERROR(__xludf.DUMMYFUNCTION("""COMPUTED_VALUE"""),"7100 Renwick")</f>
        <v>7100 Renwick</v>
      </c>
      <c r="D524" s="26" t="str">
        <f>IFERROR(__xludf.DUMMYFUNCTION("""COMPUTED_VALUE"""),"M")</f>
        <v>M</v>
      </c>
      <c r="E524" s="26" t="str">
        <f>IFERROR(__xludf.DUMMYFUNCTION("""COMPUTED_VALUE"""),"H")</f>
        <v>H</v>
      </c>
      <c r="F524" s="26">
        <f>IFERROR(__xludf.DUMMYFUNCTION("""COMPUTED_VALUE"""),54.0)</f>
        <v>54</v>
      </c>
      <c r="G524" s="26" t="str">
        <f>IFERROR(__xludf.DUMMYFUNCTION("""COMPUTED_VALUE"""),"Killed")</f>
        <v>Killed</v>
      </c>
      <c r="H524" s="26" t="str">
        <f>IFERROR(__xludf.DUMMYFUNCTION("""COMPUTED_VALUE"""),"Srewdriver")</f>
        <v>Srewdriver</v>
      </c>
      <c r="I524" s="27" t="str">
        <f>IFERROR(__xludf.DUMMYFUNCTION("""COMPUTED_VALUE"""),"M")</f>
        <v>M</v>
      </c>
      <c r="J524" s="27" t="str">
        <f>IFERROR(__xludf.DUMMYFUNCTION("""COMPUTED_VALUE"""),"W")</f>
        <v>W</v>
      </c>
      <c r="K524" s="27">
        <f>IFERROR(__xludf.DUMMYFUNCTION("""COMPUTED_VALUE"""),38.0)</f>
        <v>38</v>
      </c>
      <c r="L524" s="27" t="str">
        <f>IFERROR(__xludf.DUMMYFUNCTION("""COMPUTED_VALUE"""),"None")</f>
        <v>None</v>
      </c>
      <c r="M524" s="27" t="str">
        <f>IFERROR(__xludf.DUMMYFUNCTION("""COMPUTED_VALUE"""),"Y")</f>
        <v>Y</v>
      </c>
      <c r="N524" s="24"/>
      <c r="O524" s="24">
        <f>IFERROR(__xludf.DUMMYFUNCTION("""COMPUTED_VALUE"""),1.0)</f>
        <v>1</v>
      </c>
      <c r="P524" s="24" t="str">
        <f>IFERROR(__xludf.DUMMYFUNCTION("""COMPUTED_VALUE"""),"A burgalry suspect was fighting a K9 officer so another officer stepped in to assist. The officer was then able to see that the suspect was holding a weapon but not before the suspect managed to stab the officer - the officers bullet proof vest kept the o"&amp;"fficer from being injured. The suspect was taken to the ground but continued to try to stab the officer forcing the officer to shoot the suspect.")</f>
        <v>A burgalry suspect was fighting a K9 officer so another officer stepped in to assist. The officer was then able to see that the suspect was holding a weapon but not before the suspect managed to stab the officer - the officers bullet proof vest kept the officer from being injured. The suspect was taken to the ground but continued to try to stab the officer forcing the officer to shoot the suspect.</v>
      </c>
      <c r="Q524" s="24"/>
      <c r="R524" s="24"/>
      <c r="S524" s="24"/>
      <c r="T524" s="24"/>
      <c r="U524" s="24"/>
      <c r="V524" s="24"/>
      <c r="W524" s="24"/>
      <c r="X524" s="24"/>
      <c r="Y524" s="24"/>
      <c r="Z524" s="24"/>
    </row>
    <row r="525" hidden="1">
      <c r="A525" s="29">
        <f>IFERROR(__xludf.DUMMYFUNCTION("""COMPUTED_VALUE"""),40008.0)</f>
        <v>40008</v>
      </c>
      <c r="B525" s="24">
        <f>IFERROR(__xludf.DUMMYFUNCTION("""COMPUTED_VALUE"""),1.02282609E8)</f>
        <v>102282609</v>
      </c>
      <c r="C525" s="24" t="str">
        <f>IFERROR(__xludf.DUMMYFUNCTION("""COMPUTED_VALUE"""),"8301 Ley Rd")</f>
        <v>8301 Ley Rd</v>
      </c>
      <c r="D525" s="26" t="str">
        <f>IFERROR(__xludf.DUMMYFUNCTION("""COMPUTED_VALUE"""),"M")</f>
        <v>M</v>
      </c>
      <c r="E525" s="26" t="str">
        <f>IFERROR(__xludf.DUMMYFUNCTION("""COMPUTED_VALUE"""),"B")</f>
        <v>B</v>
      </c>
      <c r="F525" s="26">
        <f>IFERROR(__xludf.DUMMYFUNCTION("""COMPUTED_VALUE"""),29.0)</f>
        <v>29</v>
      </c>
      <c r="G525" s="26" t="str">
        <f>IFERROR(__xludf.DUMMYFUNCTION("""COMPUTED_VALUE"""),"Killed")</f>
        <v>Killed</v>
      </c>
      <c r="H525" s="26" t="str">
        <f>IFERROR(__xludf.DUMMYFUNCTION("""COMPUTED_VALUE"""),"Firearm")</f>
        <v>Firearm</v>
      </c>
      <c r="I525" s="27" t="str">
        <f>IFERROR(__xludf.DUMMYFUNCTION("""COMPUTED_VALUE"""),"M")</f>
        <v>M</v>
      </c>
      <c r="J525" s="27" t="str">
        <f>IFERROR(__xludf.DUMMYFUNCTION("""COMPUTED_VALUE"""),"W")</f>
        <v>W</v>
      </c>
      <c r="K525" s="27">
        <f>IFERROR(__xludf.DUMMYFUNCTION("""COMPUTED_VALUE"""),32.0)</f>
        <v>32</v>
      </c>
      <c r="L525" s="27" t="str">
        <f>IFERROR(__xludf.DUMMYFUNCTION("""COMPUTED_VALUE"""),"None")</f>
        <v>None</v>
      </c>
      <c r="M525" s="27" t="str">
        <f>IFERROR(__xludf.DUMMYFUNCTION("""COMPUTED_VALUE"""),"Y")</f>
        <v>Y</v>
      </c>
      <c r="N525" s="24"/>
      <c r="O525" s="24">
        <f>IFERROR(__xludf.DUMMYFUNCTION("""COMPUTED_VALUE"""),1.0)</f>
        <v>1</v>
      </c>
      <c r="P525" s="24" t="str">
        <f>IFERROR(__xludf.DUMMYFUNCTION("""COMPUTED_VALUE"""),"The suspect drove his way through the barricade of a police substation where he began to ram various objects. The suspect then shot at the officers who were attempting to stop the suspect forcing several officers to return fire.")</f>
        <v>The suspect drove his way through the barricade of a police substation where he began to ram various objects. The suspect then shot at the officers who were attempting to stop the suspect forcing several officers to return fire.</v>
      </c>
      <c r="Q525" s="24"/>
      <c r="R525" s="24"/>
      <c r="S525" s="24"/>
      <c r="T525" s="24"/>
      <c r="U525" s="24"/>
      <c r="V525" s="24"/>
      <c r="W525" s="24"/>
      <c r="X525" s="24"/>
      <c r="Y525" s="24"/>
      <c r="Z525" s="24"/>
    </row>
    <row r="526" hidden="1">
      <c r="A526" s="29"/>
      <c r="B526" s="24"/>
      <c r="C526" s="24"/>
      <c r="D526" s="26"/>
      <c r="E526" s="26"/>
      <c r="F526" s="26"/>
      <c r="G526" s="26"/>
      <c r="H526" s="26"/>
      <c r="I526" s="27" t="str">
        <f>IFERROR(__xludf.DUMMYFUNCTION("""COMPUTED_VALUE"""),"M")</f>
        <v>M</v>
      </c>
      <c r="J526" s="27" t="str">
        <f>IFERROR(__xludf.DUMMYFUNCTION("""COMPUTED_VALUE"""),"W")</f>
        <v>W</v>
      </c>
      <c r="K526" s="27">
        <f>IFERROR(__xludf.DUMMYFUNCTION("""COMPUTED_VALUE"""),35.0)</f>
        <v>35</v>
      </c>
      <c r="L526" s="27" t="str">
        <f>IFERROR(__xludf.DUMMYFUNCTION("""COMPUTED_VALUE"""),"None")</f>
        <v>None</v>
      </c>
      <c r="M526" s="27" t="str">
        <f>IFERROR(__xludf.DUMMYFUNCTION("""COMPUTED_VALUE"""),"Y")</f>
        <v>Y</v>
      </c>
      <c r="N526" s="24"/>
      <c r="O526" s="24">
        <f>IFERROR(__xludf.DUMMYFUNCTION("""COMPUTED_VALUE"""),1.0)</f>
        <v>1</v>
      </c>
      <c r="P526" s="24"/>
      <c r="Q526" s="24"/>
      <c r="R526" s="24"/>
      <c r="S526" s="24"/>
      <c r="T526" s="24"/>
      <c r="U526" s="24"/>
      <c r="V526" s="24"/>
      <c r="W526" s="24"/>
      <c r="X526" s="24"/>
      <c r="Y526" s="24"/>
      <c r="Z526" s="24"/>
    </row>
    <row r="527" hidden="1">
      <c r="A527" s="29"/>
      <c r="B527" s="24"/>
      <c r="C527" s="24"/>
      <c r="D527" s="26"/>
      <c r="E527" s="26"/>
      <c r="F527" s="26"/>
      <c r="G527" s="26"/>
      <c r="H527" s="26"/>
      <c r="I527" s="27" t="str">
        <f>IFERROR(__xludf.DUMMYFUNCTION("""COMPUTED_VALUE"""),"M")</f>
        <v>M</v>
      </c>
      <c r="J527" s="27" t="str">
        <f>IFERROR(__xludf.DUMMYFUNCTION("""COMPUTED_VALUE"""),"H")</f>
        <v>H</v>
      </c>
      <c r="K527" s="27">
        <f>IFERROR(__xludf.DUMMYFUNCTION("""COMPUTED_VALUE"""),41.0)</f>
        <v>41</v>
      </c>
      <c r="L527" s="27" t="str">
        <f>IFERROR(__xludf.DUMMYFUNCTION("""COMPUTED_VALUE"""),"None")</f>
        <v>None</v>
      </c>
      <c r="M527" s="27" t="str">
        <f>IFERROR(__xludf.DUMMYFUNCTION("""COMPUTED_VALUE"""),"Y")</f>
        <v>Y</v>
      </c>
      <c r="N527" s="24"/>
      <c r="O527" s="24">
        <f>IFERROR(__xludf.DUMMYFUNCTION("""COMPUTED_VALUE"""),1.0)</f>
        <v>1</v>
      </c>
      <c r="P527" s="24"/>
      <c r="Q527" s="24"/>
      <c r="R527" s="24"/>
      <c r="S527" s="24"/>
      <c r="T527" s="24"/>
      <c r="U527" s="24"/>
      <c r="V527" s="24"/>
      <c r="W527" s="24"/>
      <c r="X527" s="24"/>
      <c r="Y527" s="24"/>
      <c r="Z527" s="24"/>
    </row>
    <row r="528" hidden="1">
      <c r="A528" s="29"/>
      <c r="B528" s="24"/>
      <c r="C528" s="24"/>
      <c r="D528" s="26"/>
      <c r="E528" s="26"/>
      <c r="F528" s="26"/>
      <c r="G528" s="26"/>
      <c r="H528" s="26"/>
      <c r="I528" s="27" t="str">
        <f>IFERROR(__xludf.DUMMYFUNCTION("""COMPUTED_VALUE"""),"M")</f>
        <v>M</v>
      </c>
      <c r="J528" s="27" t="str">
        <f>IFERROR(__xludf.DUMMYFUNCTION("""COMPUTED_VALUE"""),"W")</f>
        <v>W</v>
      </c>
      <c r="K528" s="27">
        <f>IFERROR(__xludf.DUMMYFUNCTION("""COMPUTED_VALUE"""),46.0)</f>
        <v>46</v>
      </c>
      <c r="L528" s="27" t="str">
        <f>IFERROR(__xludf.DUMMYFUNCTION("""COMPUTED_VALUE"""),"None")</f>
        <v>None</v>
      </c>
      <c r="M528" s="27" t="str">
        <f>IFERROR(__xludf.DUMMYFUNCTION("""COMPUTED_VALUE"""),"Y")</f>
        <v>Y</v>
      </c>
      <c r="N528" s="24"/>
      <c r="O528" s="24">
        <f>IFERROR(__xludf.DUMMYFUNCTION("""COMPUTED_VALUE"""),1.0)</f>
        <v>1</v>
      </c>
      <c r="P528" s="24"/>
      <c r="Q528" s="24"/>
      <c r="R528" s="24"/>
      <c r="S528" s="24"/>
      <c r="T528" s="24"/>
      <c r="U528" s="24"/>
      <c r="V528" s="24"/>
      <c r="W528" s="24"/>
      <c r="X528" s="24"/>
      <c r="Y528" s="24"/>
      <c r="Z528" s="24"/>
    </row>
    <row r="529" hidden="1">
      <c r="A529" s="29"/>
      <c r="B529" s="24"/>
      <c r="C529" s="24"/>
      <c r="D529" s="26"/>
      <c r="E529" s="26"/>
      <c r="F529" s="26"/>
      <c r="G529" s="26"/>
      <c r="H529" s="26"/>
      <c r="I529" s="27" t="str">
        <f>IFERROR(__xludf.DUMMYFUNCTION("""COMPUTED_VALUE"""),"M")</f>
        <v>M</v>
      </c>
      <c r="J529" s="27" t="str">
        <f>IFERROR(__xludf.DUMMYFUNCTION("""COMPUTED_VALUE"""),"B")</f>
        <v>B</v>
      </c>
      <c r="K529" s="27">
        <f>IFERROR(__xludf.DUMMYFUNCTION("""COMPUTED_VALUE"""),47.0)</f>
        <v>47</v>
      </c>
      <c r="L529" s="27" t="str">
        <f>IFERROR(__xludf.DUMMYFUNCTION("""COMPUTED_VALUE"""),"None")</f>
        <v>None</v>
      </c>
      <c r="M529" s="27" t="str">
        <f>IFERROR(__xludf.DUMMYFUNCTION("""COMPUTED_VALUE"""),"Y")</f>
        <v>Y</v>
      </c>
      <c r="N529" s="24"/>
      <c r="O529" s="24">
        <f>IFERROR(__xludf.DUMMYFUNCTION("""COMPUTED_VALUE"""),1.0)</f>
        <v>1</v>
      </c>
      <c r="P529" s="24"/>
      <c r="Q529" s="24"/>
      <c r="R529" s="24"/>
      <c r="S529" s="24"/>
      <c r="T529" s="24"/>
      <c r="U529" s="24"/>
      <c r="V529" s="24"/>
      <c r="W529" s="24"/>
      <c r="X529" s="24"/>
      <c r="Y529" s="24"/>
      <c r="Z529" s="24"/>
    </row>
    <row r="530" hidden="1">
      <c r="A530" s="29"/>
      <c r="B530" s="24"/>
      <c r="C530" s="24"/>
      <c r="D530" s="26"/>
      <c r="E530" s="26"/>
      <c r="F530" s="26"/>
      <c r="G530" s="26"/>
      <c r="H530" s="26"/>
      <c r="I530" s="27" t="str">
        <f>IFERROR(__xludf.DUMMYFUNCTION("""COMPUTED_VALUE"""),"M")</f>
        <v>M</v>
      </c>
      <c r="J530" s="27" t="str">
        <f>IFERROR(__xludf.DUMMYFUNCTION("""COMPUTED_VALUE"""),"H")</f>
        <v>H</v>
      </c>
      <c r="K530" s="27">
        <f>IFERROR(__xludf.DUMMYFUNCTION("""COMPUTED_VALUE"""),24.0)</f>
        <v>24</v>
      </c>
      <c r="L530" s="27" t="str">
        <f>IFERROR(__xludf.DUMMYFUNCTION("""COMPUTED_VALUE"""),"None")</f>
        <v>None</v>
      </c>
      <c r="M530" s="27" t="str">
        <f>IFERROR(__xludf.DUMMYFUNCTION("""COMPUTED_VALUE"""),"Y")</f>
        <v>Y</v>
      </c>
      <c r="N530" s="24"/>
      <c r="O530" s="24">
        <f>IFERROR(__xludf.DUMMYFUNCTION("""COMPUTED_VALUE"""),1.0)</f>
        <v>1</v>
      </c>
      <c r="P530" s="24"/>
      <c r="Q530" s="24"/>
      <c r="R530" s="24"/>
      <c r="S530" s="24"/>
      <c r="T530" s="24"/>
      <c r="U530" s="24"/>
      <c r="V530" s="24"/>
      <c r="W530" s="24"/>
      <c r="X530" s="24"/>
      <c r="Y530" s="24"/>
      <c r="Z530" s="24"/>
    </row>
    <row r="531">
      <c r="A531" s="29">
        <f>IFERROR(__xludf.DUMMYFUNCTION("""COMPUTED_VALUE"""),39994.0)</f>
        <v>39994</v>
      </c>
      <c r="B531" s="24">
        <f>IFERROR(__xludf.DUMMYFUNCTION("""COMPUTED_VALUE"""),9.5423209E7)</f>
        <v>95423209</v>
      </c>
      <c r="C531" s="24" t="str">
        <f>IFERROR(__xludf.DUMMYFUNCTION("""COMPUTED_VALUE"""),"Protected By Law")</f>
        <v>Protected By Law</v>
      </c>
      <c r="D531" s="26" t="str">
        <f>IFERROR(__xludf.DUMMYFUNCTION("""COMPUTED_VALUE"""),"M")</f>
        <v>M</v>
      </c>
      <c r="E531" s="26" t="str">
        <f>IFERROR(__xludf.DUMMYFUNCTION("""COMPUTED_VALUE"""),"H")</f>
        <v>H</v>
      </c>
      <c r="F531" s="26">
        <f>IFERROR(__xludf.DUMMYFUNCTION("""COMPUTED_VALUE"""),26.0)</f>
        <v>26</v>
      </c>
      <c r="G531" s="26" t="str">
        <f>IFERROR(__xludf.DUMMYFUNCTION("""COMPUTED_VALUE"""),"None")</f>
        <v>None</v>
      </c>
      <c r="H531" s="26" t="str">
        <f>IFERROR(__xludf.DUMMYFUNCTION("""COMPUTED_VALUE"""),"Firearm")</f>
        <v>Firearm</v>
      </c>
      <c r="I531" s="27" t="str">
        <f>IFERROR(__xludf.DUMMYFUNCTION("""COMPUTED_VALUE"""),"F")</f>
        <v>F</v>
      </c>
      <c r="J531" s="27" t="str">
        <f>IFERROR(__xludf.DUMMYFUNCTION("""COMPUTED_VALUE"""),"B")</f>
        <v>B</v>
      </c>
      <c r="K531" s="27">
        <f>IFERROR(__xludf.DUMMYFUNCTION("""COMPUTED_VALUE"""),38.0)</f>
        <v>38</v>
      </c>
      <c r="L531" s="27" t="str">
        <f>IFERROR(__xludf.DUMMYFUNCTION("""COMPUTED_VALUE"""),"None")</f>
        <v>None</v>
      </c>
      <c r="M531" s="27" t="str">
        <f>IFERROR(__xludf.DUMMYFUNCTION("""COMPUTED_VALUE"""),"Y")</f>
        <v>Y</v>
      </c>
      <c r="N531" s="24"/>
      <c r="O531" s="24">
        <f>IFERROR(__xludf.DUMMYFUNCTION("""COMPUTED_VALUE"""),1.0)</f>
        <v>1</v>
      </c>
      <c r="P531" s="28" t="str">
        <f>IFERROR(__xludf.DUMMYFUNCTION("""COMPUTED_VALUE"""),"The officer was driving her vehicle when she saw an armed suspect approaching her vehicle. She then saw the suspect raise the pistol toward her causing her to shoot at the suspect.")</f>
        <v>The officer was driving her vehicle when she saw an armed suspect approaching her vehicle. She then saw the suspect raise the pistol toward her causing her to shoot at the suspect.</v>
      </c>
      <c r="Q531" s="24"/>
      <c r="R531" s="24"/>
      <c r="S531" s="24"/>
      <c r="T531" s="24"/>
      <c r="U531" s="24"/>
      <c r="V531" s="24"/>
      <c r="W531" s="24"/>
      <c r="X531" s="24"/>
      <c r="Y531" s="24"/>
      <c r="Z531" s="24"/>
    </row>
    <row r="532" hidden="1">
      <c r="A532" s="29">
        <f>IFERROR(__xludf.DUMMYFUNCTION("""COMPUTED_VALUE"""),39987.0)</f>
        <v>39987</v>
      </c>
      <c r="B532" s="24">
        <f>IFERROR(__xludf.DUMMYFUNCTION("""COMPUTED_VALUE"""),9.1819709E7)</f>
        <v>91819709</v>
      </c>
      <c r="C532" s="24" t="str">
        <f>IFERROR(__xludf.DUMMYFUNCTION("""COMPUTED_VALUE"""),"6700 Hillcroft")</f>
        <v>6700 Hillcroft</v>
      </c>
      <c r="D532" s="26" t="str">
        <f>IFERROR(__xludf.DUMMYFUNCTION("""COMPUTED_VALUE"""),"M")</f>
        <v>M</v>
      </c>
      <c r="E532" s="26" t="str">
        <f>IFERROR(__xludf.DUMMYFUNCTION("""COMPUTED_VALUE"""),"H")</f>
        <v>H</v>
      </c>
      <c r="F532" s="26">
        <f>IFERROR(__xludf.DUMMYFUNCTION("""COMPUTED_VALUE"""),27.0)</f>
        <v>27</v>
      </c>
      <c r="G532" s="26" t="str">
        <f>IFERROR(__xludf.DUMMYFUNCTION("""COMPUTED_VALUE"""),"Killed")</f>
        <v>Killed</v>
      </c>
      <c r="H532" s="26" t="str">
        <f>IFERROR(__xludf.DUMMYFUNCTION("""COMPUTED_VALUE"""),"Firearm")</f>
        <v>Firearm</v>
      </c>
      <c r="I532" s="27" t="str">
        <f>IFERROR(__xludf.DUMMYFUNCTION("""COMPUTED_VALUE"""),"M")</f>
        <v>M</v>
      </c>
      <c r="J532" s="27" t="str">
        <f>IFERROR(__xludf.DUMMYFUNCTION("""COMPUTED_VALUE"""),"H")</f>
        <v>H</v>
      </c>
      <c r="K532" s="27">
        <f>IFERROR(__xludf.DUMMYFUNCTION("""COMPUTED_VALUE"""),43.0)</f>
        <v>43</v>
      </c>
      <c r="L532" s="27" t="str">
        <f>IFERROR(__xludf.DUMMYFUNCTION("""COMPUTED_VALUE"""),"Killed")</f>
        <v>Killed</v>
      </c>
      <c r="M532" s="27" t="str">
        <f>IFERROR(__xludf.DUMMYFUNCTION("""COMPUTED_VALUE"""),"Y")</f>
        <v>Y</v>
      </c>
      <c r="N532" s="24"/>
      <c r="O532" s="24"/>
      <c r="P532" s="24" t="str">
        <f>IFERROR(__xludf.DUMMYFUNCTION("""COMPUTED_VALUE"""),"Officers were conducting a sting operation when the suspect attempted to rob the undercover officer. An exchange of gunfire occurred and both the officer and the suspect were shot. The suspect continued to shot at the officer who was attempting to detain "&amp;"him forcing another officer to shoot as well.")</f>
        <v>Officers were conducting a sting operation when the suspect attempted to rob the undercover officer. An exchange of gunfire occurred and both the officer and the suspect were shot. The suspect continued to shot at the officer who was attempting to detain him forcing another officer to shoot as well.</v>
      </c>
      <c r="Q532" s="24"/>
      <c r="R532" s="24"/>
      <c r="S532" s="24"/>
      <c r="T532" s="24"/>
      <c r="U532" s="24"/>
      <c r="V532" s="24"/>
      <c r="W532" s="24"/>
      <c r="X532" s="24"/>
      <c r="Y532" s="24"/>
      <c r="Z532" s="24"/>
    </row>
    <row r="533" hidden="1">
      <c r="A533" s="29"/>
      <c r="B533" s="24"/>
      <c r="C533" s="24"/>
      <c r="D533" s="26"/>
      <c r="E533" s="26"/>
      <c r="F533" s="26"/>
      <c r="G533" s="26"/>
      <c r="H533" s="26"/>
      <c r="I533" s="27" t="str">
        <f>IFERROR(__xludf.DUMMYFUNCTION("""COMPUTED_VALUE"""),"M")</f>
        <v>M</v>
      </c>
      <c r="J533" s="27" t="str">
        <f>IFERROR(__xludf.DUMMYFUNCTION("""COMPUTED_VALUE"""),"H")</f>
        <v>H</v>
      </c>
      <c r="K533" s="27">
        <f>IFERROR(__xludf.DUMMYFUNCTION("""COMPUTED_VALUE"""),49.0)</f>
        <v>49</v>
      </c>
      <c r="L533" s="27" t="str">
        <f>IFERROR(__xludf.DUMMYFUNCTION("""COMPUTED_VALUE"""),"None")</f>
        <v>None</v>
      </c>
      <c r="M533" s="27" t="str">
        <f>IFERROR(__xludf.DUMMYFUNCTION("""COMPUTED_VALUE"""),"Y")</f>
        <v>Y</v>
      </c>
      <c r="N533" s="24"/>
      <c r="O533" s="24">
        <f>IFERROR(__xludf.DUMMYFUNCTION("""COMPUTED_VALUE"""),1.0)</f>
        <v>1</v>
      </c>
      <c r="P533" s="24"/>
      <c r="Q533" s="24"/>
      <c r="R533" s="24"/>
      <c r="S533" s="24"/>
      <c r="T533" s="24"/>
      <c r="U533" s="24"/>
      <c r="V533" s="24"/>
      <c r="W533" s="24"/>
      <c r="X533" s="24"/>
      <c r="Y533" s="24"/>
      <c r="Z533" s="24"/>
    </row>
    <row r="534">
      <c r="A534" s="29">
        <f>IFERROR(__xludf.DUMMYFUNCTION("""COMPUTED_VALUE"""),39970.0)</f>
        <v>39970</v>
      </c>
      <c r="B534" s="24">
        <f>IFERROR(__xludf.DUMMYFUNCTION("""COMPUTED_VALUE"""),8.2236309E7)</f>
        <v>82236309</v>
      </c>
      <c r="C534" s="24" t="str">
        <f>IFERROR(__xludf.DUMMYFUNCTION("""COMPUTED_VALUE"""),"2901 Walnut Bend")</f>
        <v>2901 Walnut Bend</v>
      </c>
      <c r="D534" s="26" t="str">
        <f>IFERROR(__xludf.DUMMYFUNCTION("""COMPUTED_VALUE"""),"M")</f>
        <v>M</v>
      </c>
      <c r="E534" s="26" t="str">
        <f>IFERROR(__xludf.DUMMYFUNCTION("""COMPUTED_VALUE"""),"B")</f>
        <v>B</v>
      </c>
      <c r="F534" s="26">
        <f>IFERROR(__xludf.DUMMYFUNCTION("""COMPUTED_VALUE"""),22.0)</f>
        <v>22</v>
      </c>
      <c r="G534" s="26" t="str">
        <f>IFERROR(__xludf.DUMMYFUNCTION("""COMPUTED_VALUE"""),"None")</f>
        <v>None</v>
      </c>
      <c r="H534" s="26" t="str">
        <f>IFERROR(__xludf.DUMMYFUNCTION("""COMPUTED_VALUE"""),"Firearm")</f>
        <v>Firearm</v>
      </c>
      <c r="I534" s="27" t="str">
        <f>IFERROR(__xludf.DUMMYFUNCTION("""COMPUTED_VALUE"""),"M")</f>
        <v>M</v>
      </c>
      <c r="J534" s="27" t="str">
        <f>IFERROR(__xludf.DUMMYFUNCTION("""COMPUTED_VALUE"""),"H")</f>
        <v>H</v>
      </c>
      <c r="K534" s="27">
        <f>IFERROR(__xludf.DUMMYFUNCTION("""COMPUTED_VALUE"""),35.0)</f>
        <v>35</v>
      </c>
      <c r="L534" s="27" t="str">
        <f>IFERROR(__xludf.DUMMYFUNCTION("""COMPUTED_VALUE"""),"None")</f>
        <v>None</v>
      </c>
      <c r="M534" s="27" t="str">
        <f>IFERROR(__xludf.DUMMYFUNCTION("""COMPUTED_VALUE"""),"Y")</f>
        <v>Y</v>
      </c>
      <c r="N534" s="24"/>
      <c r="O534" s="24">
        <f>IFERROR(__xludf.DUMMYFUNCTION("""COMPUTED_VALUE"""),1.0)</f>
        <v>1</v>
      </c>
      <c r="P534" s="28" t="str">
        <f>IFERROR(__xludf.DUMMYFUNCTION("""COMPUTED_VALUE"""),"The officer was chasing an armed robbery suspect when the suspect turned toward the officer forcing the officer to shoot at the suspect.")</f>
        <v>The officer was chasing an armed robbery suspect when the suspect turned toward the officer forcing the officer to shoot at the suspect.</v>
      </c>
      <c r="Q534" s="24"/>
      <c r="R534" s="24"/>
      <c r="S534" s="24"/>
      <c r="T534" s="24"/>
      <c r="U534" s="24"/>
      <c r="V534" s="24"/>
      <c r="W534" s="24"/>
      <c r="X534" s="24"/>
      <c r="Y534" s="24"/>
      <c r="Z534" s="24"/>
    </row>
    <row r="535">
      <c r="A535" s="29">
        <f>IFERROR(__xludf.DUMMYFUNCTION("""COMPUTED_VALUE"""),39968.0)</f>
        <v>39968</v>
      </c>
      <c r="B535" s="24">
        <f>IFERROR(__xludf.DUMMYFUNCTION("""COMPUTED_VALUE"""),8.0998609E7)</f>
        <v>80998609</v>
      </c>
      <c r="C535" s="24" t="str">
        <f>IFERROR(__xludf.DUMMYFUNCTION("""COMPUTED_VALUE"""),"8920 North Freeway")</f>
        <v>8920 North Freeway</v>
      </c>
      <c r="D535" s="26" t="str">
        <f>IFERROR(__xludf.DUMMYFUNCTION("""COMPUTED_VALUE"""),"Juvenile")</f>
        <v>Juvenile</v>
      </c>
      <c r="E535" s="26" t="str">
        <f>IFERROR(__xludf.DUMMYFUNCTION("""COMPUTED_VALUE"""),"Juvenile")</f>
        <v>Juvenile</v>
      </c>
      <c r="F535" s="26"/>
      <c r="G535" s="26" t="str">
        <f>IFERROR(__xludf.DUMMYFUNCTION("""COMPUTED_VALUE"""),"None")</f>
        <v>None</v>
      </c>
      <c r="H535" s="26" t="str">
        <f>IFERROR(__xludf.DUMMYFUNCTION("""COMPUTED_VALUE"""),"Firearm")</f>
        <v>Firearm</v>
      </c>
      <c r="I535" s="27" t="str">
        <f>IFERROR(__xludf.DUMMYFUNCTION("""COMPUTED_VALUE"""),"M")</f>
        <v>M</v>
      </c>
      <c r="J535" s="27" t="str">
        <f>IFERROR(__xludf.DUMMYFUNCTION("""COMPUTED_VALUE"""),"W")</f>
        <v>W</v>
      </c>
      <c r="K535" s="27">
        <f>IFERROR(__xludf.DUMMYFUNCTION("""COMPUTED_VALUE"""),54.0)</f>
        <v>54</v>
      </c>
      <c r="L535" s="27" t="str">
        <f>IFERROR(__xludf.DUMMYFUNCTION("""COMPUTED_VALUE"""),"None")</f>
        <v>None</v>
      </c>
      <c r="M535" s="27" t="str">
        <f>IFERROR(__xludf.DUMMYFUNCTION("""COMPUTED_VALUE"""),"Y")</f>
        <v>Y</v>
      </c>
      <c r="N535" s="24"/>
      <c r="O535" s="24">
        <f>IFERROR(__xludf.DUMMYFUNCTION("""COMPUTED_VALUE"""),1.0)</f>
        <v>1</v>
      </c>
      <c r="P535" s="28" t="str">
        <f>IFERROR(__xludf.DUMMYFUNCTION("""COMPUTED_VALUE"""),"The officer was attempting to detain a robbery suspect who was sitting in a vehicle. The officer was telling the suspect to get out of the vehicle but instead the suspect started to slowly drive toward the officer. The suspect then pointed a weapon at the"&amp;" officer forcing the officer to shoot at the suspect.")</f>
        <v>The officer was attempting to detain a robbery suspect who was sitting in a vehicle. The officer was telling the suspect to get out of the vehicle but instead the suspect started to slowly drive toward the officer. The suspect then pointed a weapon at the officer forcing the officer to shoot at the suspect.</v>
      </c>
      <c r="Q535" s="24"/>
      <c r="R535" s="24"/>
      <c r="S535" s="24"/>
      <c r="T535" s="24"/>
      <c r="U535" s="24"/>
      <c r="V535" s="24"/>
      <c r="W535" s="24"/>
      <c r="X535" s="24"/>
      <c r="Y535" s="24"/>
      <c r="Z535" s="24"/>
    </row>
    <row r="536" hidden="1">
      <c r="A536" s="29">
        <f>IFERROR(__xludf.DUMMYFUNCTION("""COMPUTED_VALUE"""),39948.0)</f>
        <v>39948</v>
      </c>
      <c r="B536" s="24">
        <f>IFERROR(__xludf.DUMMYFUNCTION("""COMPUTED_VALUE"""),7.0423809E7)</f>
        <v>70423809</v>
      </c>
      <c r="C536" s="24" t="str">
        <f>IFERROR(__xludf.DUMMYFUNCTION("""COMPUTED_VALUE"""),"11685 Alief Clodine")</f>
        <v>11685 Alief Clodine</v>
      </c>
      <c r="D536" s="26" t="str">
        <f>IFERROR(__xludf.DUMMYFUNCTION("""COMPUTED_VALUE"""),"M")</f>
        <v>M</v>
      </c>
      <c r="E536" s="26" t="str">
        <f>IFERROR(__xludf.DUMMYFUNCTION("""COMPUTED_VALUE"""),"B")</f>
        <v>B</v>
      </c>
      <c r="F536" s="26">
        <f>IFERROR(__xludf.DUMMYFUNCTION("""COMPUTED_VALUE"""),29.0)</f>
        <v>29</v>
      </c>
      <c r="G536" s="26" t="str">
        <f>IFERROR(__xludf.DUMMYFUNCTION("""COMPUTED_VALUE"""),"Wounded")</f>
        <v>Wounded</v>
      </c>
      <c r="H536" s="26" t="str">
        <f>IFERROR(__xludf.DUMMYFUNCTION("""COMPUTED_VALUE"""),"Firearm")</f>
        <v>Firearm</v>
      </c>
      <c r="I536" s="27" t="str">
        <f>IFERROR(__xludf.DUMMYFUNCTION("""COMPUTED_VALUE"""),"M")</f>
        <v>M</v>
      </c>
      <c r="J536" s="27" t="str">
        <f>IFERROR(__xludf.DUMMYFUNCTION("""COMPUTED_VALUE"""),"W")</f>
        <v>W</v>
      </c>
      <c r="K536" s="27">
        <f>IFERROR(__xludf.DUMMYFUNCTION("""COMPUTED_VALUE"""),33.0)</f>
        <v>33</v>
      </c>
      <c r="L536" s="27" t="str">
        <f>IFERROR(__xludf.DUMMYFUNCTION("""COMPUTED_VALUE"""),"None")</f>
        <v>None</v>
      </c>
      <c r="M536" s="27" t="str">
        <f>IFERROR(__xludf.DUMMYFUNCTION("""COMPUTED_VALUE"""),"Y")</f>
        <v>Y</v>
      </c>
      <c r="N536" s="24"/>
      <c r="O536" s="24">
        <f>IFERROR(__xludf.DUMMYFUNCTION("""COMPUTED_VALUE"""),1.0)</f>
        <v>1</v>
      </c>
      <c r="P536" s="28" t="str">
        <f>IFERROR(__xludf.DUMMYFUNCTION("""COMPUTED_VALUE"""),"The officers were preparing to enter a vehicle in which the suspect had locked himself in when the suspect reached to the floorboard and grabbed a weapon. The suspect then pointed the weapon at the officers forcing the officer to shoot the suspect.")</f>
        <v>The officers were preparing to enter a vehicle in which the suspect had locked himself in when the suspect reached to the floorboard and grabbed a weapon. The suspect then pointed the weapon at the officers forcing the officer to shoot the suspect.</v>
      </c>
      <c r="Q536" s="24"/>
      <c r="R536" s="24"/>
      <c r="S536" s="24"/>
      <c r="T536" s="24"/>
      <c r="U536" s="24"/>
      <c r="V536" s="24"/>
      <c r="W536" s="24"/>
      <c r="X536" s="24"/>
      <c r="Y536" s="24"/>
      <c r="Z536" s="24"/>
    </row>
    <row r="537" hidden="1">
      <c r="A537" s="29">
        <f>IFERROR(__xludf.DUMMYFUNCTION("""COMPUTED_VALUE"""),39927.0)</f>
        <v>39927</v>
      </c>
      <c r="B537" s="24">
        <f>IFERROR(__xludf.DUMMYFUNCTION("""COMPUTED_VALUE"""),5.8570609E7)</f>
        <v>58570609</v>
      </c>
      <c r="C537" s="24" t="str">
        <f>IFERROR(__xludf.DUMMYFUNCTION("""COMPUTED_VALUE"""),"3700 Southlawn")</f>
        <v>3700 Southlawn</v>
      </c>
      <c r="D537" s="26" t="str">
        <f>IFERROR(__xludf.DUMMYFUNCTION("""COMPUTED_VALUE"""),"M")</f>
        <v>M</v>
      </c>
      <c r="E537" s="26" t="str">
        <f>IFERROR(__xludf.DUMMYFUNCTION("""COMPUTED_VALUE"""),"H")</f>
        <v>H</v>
      </c>
      <c r="F537" s="26">
        <f>IFERROR(__xludf.DUMMYFUNCTION("""COMPUTED_VALUE"""),25.0)</f>
        <v>25</v>
      </c>
      <c r="G537" s="26" t="str">
        <f>IFERROR(__xludf.DUMMYFUNCTION("""COMPUTED_VALUE"""),"Killed")</f>
        <v>Killed</v>
      </c>
      <c r="H537" s="26" t="str">
        <f>IFERROR(__xludf.DUMMYFUNCTION("""COMPUTED_VALUE"""),"Firearm")</f>
        <v>Firearm</v>
      </c>
      <c r="I537" s="27" t="str">
        <f>IFERROR(__xludf.DUMMYFUNCTION("""COMPUTED_VALUE"""),"M")</f>
        <v>M</v>
      </c>
      <c r="J537" s="27" t="str">
        <f>IFERROR(__xludf.DUMMYFUNCTION("""COMPUTED_VALUE"""),"H")</f>
        <v>H</v>
      </c>
      <c r="K537" s="27">
        <f>IFERROR(__xludf.DUMMYFUNCTION("""COMPUTED_VALUE"""),24.0)</f>
        <v>24</v>
      </c>
      <c r="L537" s="27" t="str">
        <f>IFERROR(__xludf.DUMMYFUNCTION("""COMPUTED_VALUE"""),"None")</f>
        <v>None</v>
      </c>
      <c r="M537" s="27" t="str">
        <f>IFERROR(__xludf.DUMMYFUNCTION("""COMPUTED_VALUE"""),"Y")</f>
        <v>Y</v>
      </c>
      <c r="N537" s="24"/>
      <c r="O537" s="24">
        <f>IFERROR(__xludf.DUMMYFUNCTION("""COMPUTED_VALUE"""),1.0)</f>
        <v>1</v>
      </c>
      <c r="P537" s="24" t="str">
        <f>IFERROR(__xludf.DUMMYFUNCTION("""COMPUTED_VALUE"""),"The officers were attempting to contain a suspect who was armed with a firearm. The suspect was repeatedly told to drop the firearm but instead the suspect charged at the officers while shooting at them forcing the officers to return fire.")</f>
        <v>The officers were attempting to contain a suspect who was armed with a firearm. The suspect was repeatedly told to drop the firearm but instead the suspect charged at the officers while shooting at them forcing the officers to return fire.</v>
      </c>
      <c r="Q537" s="24"/>
      <c r="R537" s="24"/>
      <c r="S537" s="24"/>
      <c r="T537" s="24"/>
      <c r="U537" s="24"/>
      <c r="V537" s="24"/>
      <c r="W537" s="24"/>
      <c r="X537" s="24"/>
      <c r="Y537" s="24"/>
      <c r="Z537" s="24"/>
    </row>
    <row r="538" hidden="1">
      <c r="A538" s="29"/>
      <c r="B538" s="24"/>
      <c r="C538" s="24"/>
      <c r="D538" s="26"/>
      <c r="E538" s="26"/>
      <c r="F538" s="26"/>
      <c r="G538" s="26"/>
      <c r="H538" s="26"/>
      <c r="I538" s="27" t="str">
        <f>IFERROR(__xludf.DUMMYFUNCTION("""COMPUTED_VALUE"""),"M")</f>
        <v>M</v>
      </c>
      <c r="J538" s="27" t="str">
        <f>IFERROR(__xludf.DUMMYFUNCTION("""COMPUTED_VALUE"""),"W")</f>
        <v>W</v>
      </c>
      <c r="K538" s="27">
        <f>IFERROR(__xludf.DUMMYFUNCTION("""COMPUTED_VALUE"""),33.0)</f>
        <v>33</v>
      </c>
      <c r="L538" s="27" t="str">
        <f>IFERROR(__xludf.DUMMYFUNCTION("""COMPUTED_VALUE"""),"None")</f>
        <v>None</v>
      </c>
      <c r="M538" s="27" t="str">
        <f>IFERROR(__xludf.DUMMYFUNCTION("""COMPUTED_VALUE"""),"Y")</f>
        <v>Y</v>
      </c>
      <c r="N538" s="24"/>
      <c r="O538" s="24">
        <f>IFERROR(__xludf.DUMMYFUNCTION("""COMPUTED_VALUE"""),1.0)</f>
        <v>1</v>
      </c>
      <c r="P538" s="24"/>
      <c r="Q538" s="24"/>
      <c r="R538" s="24"/>
      <c r="S538" s="24"/>
      <c r="T538" s="24"/>
      <c r="U538" s="24"/>
      <c r="V538" s="24"/>
      <c r="W538" s="24"/>
      <c r="X538" s="24"/>
      <c r="Y538" s="24"/>
      <c r="Z538" s="24"/>
    </row>
    <row r="539" hidden="1">
      <c r="A539" s="29"/>
      <c r="B539" s="24"/>
      <c r="C539" s="24"/>
      <c r="D539" s="26"/>
      <c r="E539" s="26"/>
      <c r="F539" s="26"/>
      <c r="G539" s="26"/>
      <c r="H539" s="26"/>
      <c r="I539" s="27" t="str">
        <f>IFERROR(__xludf.DUMMYFUNCTION("""COMPUTED_VALUE"""),"M")</f>
        <v>M</v>
      </c>
      <c r="J539" s="27" t="str">
        <f>IFERROR(__xludf.DUMMYFUNCTION("""COMPUTED_VALUE"""),"B")</f>
        <v>B</v>
      </c>
      <c r="K539" s="27">
        <f>IFERROR(__xludf.DUMMYFUNCTION("""COMPUTED_VALUE"""),37.0)</f>
        <v>37</v>
      </c>
      <c r="L539" s="27" t="str">
        <f>IFERROR(__xludf.DUMMYFUNCTION("""COMPUTED_VALUE"""),"None")</f>
        <v>None</v>
      </c>
      <c r="M539" s="27" t="str">
        <f>IFERROR(__xludf.DUMMYFUNCTION("""COMPUTED_VALUE"""),"Y")</f>
        <v>Y</v>
      </c>
      <c r="N539" s="24"/>
      <c r="O539" s="24">
        <f>IFERROR(__xludf.DUMMYFUNCTION("""COMPUTED_VALUE"""),1.0)</f>
        <v>1</v>
      </c>
      <c r="P539" s="24"/>
      <c r="Q539" s="24"/>
      <c r="R539" s="24"/>
      <c r="S539" s="24"/>
      <c r="T539" s="24"/>
      <c r="U539" s="24"/>
      <c r="V539" s="24"/>
      <c r="W539" s="24"/>
      <c r="X539" s="24"/>
      <c r="Y539" s="24"/>
      <c r="Z539" s="24"/>
    </row>
    <row r="540" hidden="1">
      <c r="A540" s="29">
        <f>IFERROR(__xludf.DUMMYFUNCTION("""COMPUTED_VALUE"""),39923.0)</f>
        <v>39923</v>
      </c>
      <c r="B540" s="24">
        <f>IFERROR(__xludf.DUMMYFUNCTION("""COMPUTED_VALUE"""),5.6603609E7)</f>
        <v>56603609</v>
      </c>
      <c r="C540" s="24" t="str">
        <f>IFERROR(__xludf.DUMMYFUNCTION("""COMPUTED_VALUE"""),"8710 Fondren")</f>
        <v>8710 Fondren</v>
      </c>
      <c r="D540" s="26" t="str">
        <f>IFERROR(__xludf.DUMMYFUNCTION("""COMPUTED_VALUE"""),"M")</f>
        <v>M</v>
      </c>
      <c r="E540" s="26" t="str">
        <f>IFERROR(__xludf.DUMMYFUNCTION("""COMPUTED_VALUE"""),"H")</f>
        <v>H</v>
      </c>
      <c r="F540" s="26">
        <f>IFERROR(__xludf.DUMMYFUNCTION("""COMPUTED_VALUE"""),29.0)</f>
        <v>29</v>
      </c>
      <c r="G540" s="26" t="str">
        <f>IFERROR(__xludf.DUMMYFUNCTION("""COMPUTED_VALUE"""),"Killed")</f>
        <v>Killed</v>
      </c>
      <c r="H540" s="26" t="str">
        <f>IFERROR(__xludf.DUMMYFUNCTION("""COMPUTED_VALUE"""),"Knife")</f>
        <v>Knife</v>
      </c>
      <c r="I540" s="27" t="str">
        <f>IFERROR(__xludf.DUMMYFUNCTION("""COMPUTED_VALUE"""),"M")</f>
        <v>M</v>
      </c>
      <c r="J540" s="27" t="str">
        <f>IFERROR(__xludf.DUMMYFUNCTION("""COMPUTED_VALUE"""),"H")</f>
        <v>H</v>
      </c>
      <c r="K540" s="27">
        <f>IFERROR(__xludf.DUMMYFUNCTION("""COMPUTED_VALUE"""),26.0)</f>
        <v>26</v>
      </c>
      <c r="L540" s="27" t="str">
        <f>IFERROR(__xludf.DUMMYFUNCTION("""COMPUTED_VALUE"""),"None")</f>
        <v>None</v>
      </c>
      <c r="M540" s="27" t="str">
        <f>IFERROR(__xludf.DUMMYFUNCTION("""COMPUTED_VALUE"""),"Y")</f>
        <v>Y</v>
      </c>
      <c r="N540" s="24"/>
      <c r="O540" s="24">
        <f>IFERROR(__xludf.DUMMYFUNCTION("""COMPUTED_VALUE"""),1.0)</f>
        <v>1</v>
      </c>
      <c r="P540" s="24" t="str">
        <f>IFERROR(__xludf.DUMMYFUNCTION("""COMPUTED_VALUE"""),"The officer was attempting to detain a suspect who was armed with a knife and a machette. The suspect then charged at the officer with the weapons forcing the officer to shoot him.")</f>
        <v>The officer was attempting to detain a suspect who was armed with a knife and a machette. The suspect then charged at the officer with the weapons forcing the officer to shoot him.</v>
      </c>
      <c r="Q540" s="24"/>
      <c r="R540" s="24"/>
      <c r="S540" s="24"/>
      <c r="T540" s="24"/>
      <c r="U540" s="24"/>
      <c r="V540" s="24"/>
      <c r="W540" s="24"/>
      <c r="X540" s="24"/>
      <c r="Y540" s="24"/>
      <c r="Z540" s="24"/>
    </row>
    <row r="541" hidden="1">
      <c r="A541" s="29">
        <f>IFERROR(__xludf.DUMMYFUNCTION("""COMPUTED_VALUE"""),39920.0)</f>
        <v>39920</v>
      </c>
      <c r="B541" s="24">
        <f>IFERROR(__xludf.DUMMYFUNCTION("""COMPUTED_VALUE"""),5.4787109E7)</f>
        <v>54787109</v>
      </c>
      <c r="C541" s="24" t="str">
        <f>IFERROR(__xludf.DUMMYFUNCTION("""COMPUTED_VALUE"""),"906 Greens Rd")</f>
        <v>906 Greens Rd</v>
      </c>
      <c r="D541" s="26" t="str">
        <f>IFERROR(__xludf.DUMMYFUNCTION("""COMPUTED_VALUE"""),"M")</f>
        <v>M</v>
      </c>
      <c r="E541" s="26" t="str">
        <f>IFERROR(__xludf.DUMMYFUNCTION("""COMPUTED_VALUE"""),"B")</f>
        <v>B</v>
      </c>
      <c r="F541" s="26">
        <f>IFERROR(__xludf.DUMMYFUNCTION("""COMPUTED_VALUE"""),28.0)</f>
        <v>28</v>
      </c>
      <c r="G541" s="26" t="str">
        <f>IFERROR(__xludf.DUMMYFUNCTION("""COMPUTED_VALUE"""),"Wounded")</f>
        <v>Wounded</v>
      </c>
      <c r="H541" s="26" t="str">
        <f>IFERROR(__xludf.DUMMYFUNCTION("""COMPUTED_VALUE"""),"Firearm")</f>
        <v>Firearm</v>
      </c>
      <c r="I541" s="27" t="str">
        <f>IFERROR(__xludf.DUMMYFUNCTION("""COMPUTED_VALUE"""),"M")</f>
        <v>M</v>
      </c>
      <c r="J541" s="27" t="str">
        <f>IFERROR(__xludf.DUMMYFUNCTION("""COMPUTED_VALUE"""),"B")</f>
        <v>B</v>
      </c>
      <c r="K541" s="27">
        <f>IFERROR(__xludf.DUMMYFUNCTION("""COMPUTED_VALUE"""),47.0)</f>
        <v>47</v>
      </c>
      <c r="L541" s="27" t="str">
        <f>IFERROR(__xludf.DUMMYFUNCTION("""COMPUTED_VALUE"""),"None")</f>
        <v>None</v>
      </c>
      <c r="M541" s="27" t="str">
        <f>IFERROR(__xludf.DUMMYFUNCTION("""COMPUTED_VALUE"""),"N")</f>
        <v>N</v>
      </c>
      <c r="N541" s="24"/>
      <c r="O541" s="24">
        <f>IFERROR(__xludf.DUMMYFUNCTION("""COMPUTED_VALUE"""),1.0)</f>
        <v>1</v>
      </c>
      <c r="P541" s="28" t="str">
        <f>IFERROR(__xludf.DUMMYFUNCTION("""COMPUTED_VALUE"""),"Officers were conducting an investigation when two suspects shot at them. The officers chased the suspects and as they were chasing them one of the suspects pointed his weapon at the officers causing the officer to shoot him.")</f>
        <v>Officers were conducting an investigation when two suspects shot at them. The officers chased the suspects and as they were chasing them one of the suspects pointed his weapon at the officers causing the officer to shoot him.</v>
      </c>
      <c r="Q541" s="24"/>
      <c r="R541" s="24"/>
      <c r="S541" s="24"/>
      <c r="T541" s="24"/>
      <c r="U541" s="24"/>
      <c r="V541" s="24"/>
      <c r="W541" s="24"/>
      <c r="X541" s="24"/>
      <c r="Y541" s="24"/>
      <c r="Z541" s="24"/>
    </row>
    <row r="542" hidden="1">
      <c r="A542" s="29">
        <f>IFERROR(__xludf.DUMMYFUNCTION("""COMPUTED_VALUE"""),39909.0)</f>
        <v>39909</v>
      </c>
      <c r="B542" s="24">
        <f>IFERROR(__xludf.DUMMYFUNCTION("""COMPUTED_VALUE"""),4.8859509E7)</f>
        <v>48859509</v>
      </c>
      <c r="C542" s="24" t="str">
        <f>IFERROR(__xludf.DUMMYFUNCTION("""COMPUTED_VALUE"""),"8700 Fondren")</f>
        <v>8700 Fondren</v>
      </c>
      <c r="D542" s="26" t="str">
        <f>IFERROR(__xludf.DUMMYFUNCTION("""COMPUTED_VALUE"""),"M")</f>
        <v>M</v>
      </c>
      <c r="E542" s="26" t="str">
        <f>IFERROR(__xludf.DUMMYFUNCTION("""COMPUTED_VALUE"""),"B")</f>
        <v>B</v>
      </c>
      <c r="F542" s="26">
        <f>IFERROR(__xludf.DUMMYFUNCTION("""COMPUTED_VALUE"""),19.0)</f>
        <v>19</v>
      </c>
      <c r="G542" s="26" t="str">
        <f>IFERROR(__xludf.DUMMYFUNCTION("""COMPUTED_VALUE"""),"Wounded")</f>
        <v>Wounded</v>
      </c>
      <c r="H542" s="26" t="str">
        <f>IFERROR(__xludf.DUMMYFUNCTION("""COMPUTED_VALUE"""),"Firearm")</f>
        <v>Firearm</v>
      </c>
      <c r="I542" s="27" t="str">
        <f>IFERROR(__xludf.DUMMYFUNCTION("""COMPUTED_VALUE"""),"M")</f>
        <v>M</v>
      </c>
      <c r="J542" s="27" t="str">
        <f>IFERROR(__xludf.DUMMYFUNCTION("""COMPUTED_VALUE"""),"W")</f>
        <v>W</v>
      </c>
      <c r="K542" s="27">
        <f>IFERROR(__xludf.DUMMYFUNCTION("""COMPUTED_VALUE"""),57.0)</f>
        <v>57</v>
      </c>
      <c r="L542" s="27" t="str">
        <f>IFERROR(__xludf.DUMMYFUNCTION("""COMPUTED_VALUE"""),"None")</f>
        <v>None</v>
      </c>
      <c r="M542" s="27" t="str">
        <f>IFERROR(__xludf.DUMMYFUNCTION("""COMPUTED_VALUE"""),"Y")</f>
        <v>Y</v>
      </c>
      <c r="N542" s="24"/>
      <c r="O542" s="24">
        <f>IFERROR(__xludf.DUMMYFUNCTION("""COMPUTED_VALUE"""),1.0)</f>
        <v>1</v>
      </c>
      <c r="P542" s="28" t="str">
        <f>IFERROR(__xludf.DUMMYFUNCTION("""COMPUTED_VALUE"""),"The officer chased an armed robbery suspect and ordered him to drop his weapon but the suspect refused to drop it forcing the officer to shoot.")</f>
        <v>The officer chased an armed robbery suspect and ordered him to drop his weapon but the suspect refused to drop it forcing the officer to shoot.</v>
      </c>
      <c r="Q542" s="24"/>
      <c r="R542" s="24"/>
      <c r="S542" s="24"/>
      <c r="T542" s="24"/>
      <c r="U542" s="24"/>
      <c r="V542" s="24"/>
      <c r="W542" s="24"/>
      <c r="X542" s="24"/>
      <c r="Y542" s="24"/>
      <c r="Z542" s="24"/>
    </row>
    <row r="543">
      <c r="A543" s="29">
        <f>IFERROR(__xludf.DUMMYFUNCTION("""COMPUTED_VALUE"""),39893.0)</f>
        <v>39893</v>
      </c>
      <c r="B543" s="24">
        <f>IFERROR(__xludf.DUMMYFUNCTION("""COMPUTED_VALUE"""),4.0670409E7)</f>
        <v>40670409</v>
      </c>
      <c r="C543" s="24" t="str">
        <f>IFERROR(__xludf.DUMMYFUNCTION("""COMPUTED_VALUE"""),"7245 Hillcroft")</f>
        <v>7245 Hillcroft</v>
      </c>
      <c r="D543" s="26" t="str">
        <f>IFERROR(__xludf.DUMMYFUNCTION("""COMPUTED_VALUE"""),"M")</f>
        <v>M</v>
      </c>
      <c r="E543" s="26" t="str">
        <f>IFERROR(__xludf.DUMMYFUNCTION("""COMPUTED_VALUE"""),"B")</f>
        <v>B</v>
      </c>
      <c r="F543" s="26">
        <f>IFERROR(__xludf.DUMMYFUNCTION("""COMPUTED_VALUE"""),23.0)</f>
        <v>23</v>
      </c>
      <c r="G543" s="26" t="str">
        <f>IFERROR(__xludf.DUMMYFUNCTION("""COMPUTED_VALUE"""),"None")</f>
        <v>None</v>
      </c>
      <c r="H543" s="26" t="str">
        <f>IFERROR(__xludf.DUMMYFUNCTION("""COMPUTED_VALUE"""),"Knife")</f>
        <v>Knife</v>
      </c>
      <c r="I543" s="27" t="str">
        <f>IFERROR(__xludf.DUMMYFUNCTION("""COMPUTED_VALUE"""),"M")</f>
        <v>M</v>
      </c>
      <c r="J543" s="27" t="str">
        <f>IFERROR(__xludf.DUMMYFUNCTION("""COMPUTED_VALUE"""),"B")</f>
        <v>B</v>
      </c>
      <c r="K543" s="27">
        <f>IFERROR(__xludf.DUMMYFUNCTION("""COMPUTED_VALUE"""),47.0)</f>
        <v>47</v>
      </c>
      <c r="L543" s="27" t="str">
        <f>IFERROR(__xludf.DUMMYFUNCTION("""COMPUTED_VALUE"""),"None")</f>
        <v>None</v>
      </c>
      <c r="M543" s="27" t="str">
        <f>IFERROR(__xludf.DUMMYFUNCTION("""COMPUTED_VALUE"""),"Y")</f>
        <v>Y</v>
      </c>
      <c r="N543" s="24"/>
      <c r="O543" s="24">
        <f>IFERROR(__xludf.DUMMYFUNCTION("""COMPUTED_VALUE"""),1.0)</f>
        <v>1</v>
      </c>
      <c r="P543" s="28" t="str">
        <f>IFERROR(__xludf.DUMMYFUNCTION("""COMPUTED_VALUE"""),"The officer located a suspect who had just attempted to run over an officer. When the officer approcahed the suspect the suspect was acting irritated and aggressive. The officer attempted to use his taser but the weapon was uneffective. The suspect then p"&amp;"ulled out a knife and lunged at the officer casuing the officer to shoot at the suspect.")</f>
        <v>The officer located a suspect who had just attempted to run over an officer. When the officer approcahed the suspect the suspect was acting irritated and aggressive. The officer attempted to use his taser but the weapon was uneffective. The suspect then pulled out a knife and lunged at the officer casuing the officer to shoot at the suspect.</v>
      </c>
      <c r="Q543" s="24"/>
      <c r="R543" s="24"/>
      <c r="S543" s="24"/>
      <c r="T543" s="24"/>
      <c r="U543" s="24"/>
      <c r="V543" s="24"/>
      <c r="W543" s="24"/>
      <c r="X543" s="24"/>
      <c r="Y543" s="24"/>
      <c r="Z543" s="24"/>
    </row>
    <row r="544">
      <c r="A544" s="29">
        <f>IFERROR(__xludf.DUMMYFUNCTION("""COMPUTED_VALUE"""),39891.0)</f>
        <v>39891</v>
      </c>
      <c r="B544" s="24">
        <f>IFERROR(__xludf.DUMMYFUNCTION("""COMPUTED_VALUE"""),3.9879809E7)</f>
        <v>39879809</v>
      </c>
      <c r="C544" s="24" t="str">
        <f>IFERROR(__xludf.DUMMYFUNCTION("""COMPUTED_VALUE"""),"15615 Eastex Fwy")</f>
        <v>15615 Eastex Fwy</v>
      </c>
      <c r="D544" s="26" t="str">
        <f>IFERROR(__xludf.DUMMYFUNCTION("""COMPUTED_VALUE"""),"M")</f>
        <v>M</v>
      </c>
      <c r="E544" s="26" t="str">
        <f>IFERROR(__xludf.DUMMYFUNCTION("""COMPUTED_VALUE"""),"W")</f>
        <v>W</v>
      </c>
      <c r="F544" s="26">
        <f>IFERROR(__xludf.DUMMYFUNCTION("""COMPUTED_VALUE"""),37.0)</f>
        <v>37</v>
      </c>
      <c r="G544" s="26" t="str">
        <f>IFERROR(__xludf.DUMMYFUNCTION("""COMPUTED_VALUE"""),"None")</f>
        <v>None</v>
      </c>
      <c r="H544" s="26" t="str">
        <f>IFERROR(__xludf.DUMMYFUNCTION("""COMPUTED_VALUE"""),"Vehicle")</f>
        <v>Vehicle</v>
      </c>
      <c r="I544" s="27" t="str">
        <f>IFERROR(__xludf.DUMMYFUNCTION("""COMPUTED_VALUE"""),"M")</f>
        <v>M</v>
      </c>
      <c r="J544" s="27" t="str">
        <f>IFERROR(__xludf.DUMMYFUNCTION("""COMPUTED_VALUE"""),"W")</f>
        <v>W</v>
      </c>
      <c r="K544" s="27">
        <f>IFERROR(__xludf.DUMMYFUNCTION("""COMPUTED_VALUE"""),35.0)</f>
        <v>35</v>
      </c>
      <c r="L544" s="27" t="str">
        <f>IFERROR(__xludf.DUMMYFUNCTION("""COMPUTED_VALUE"""),"None")</f>
        <v>None</v>
      </c>
      <c r="M544" s="27" t="str">
        <f>IFERROR(__xludf.DUMMYFUNCTION("""COMPUTED_VALUE"""),"Y")</f>
        <v>Y</v>
      </c>
      <c r="N544" s="24"/>
      <c r="O544" s="24">
        <f>IFERROR(__xludf.DUMMYFUNCTION("""COMPUTED_VALUE"""),1.0)</f>
        <v>1</v>
      </c>
      <c r="P544" s="28" t="str">
        <f>IFERROR(__xludf.DUMMYFUNCTION("""COMPUTED_VALUE"""),"The officers were attempting to apprehend two suspects who were conducting a narcotics transaction inside a vehicle. The driver of the vehicle saw the officers and attempted to flee the scene by ramming the police vehicles and then by driving at the offic"&amp;"ers forcing the officer to shoot at the suspect.")</f>
        <v>The officers were attempting to apprehend two suspects who were conducting a narcotics transaction inside a vehicle. The driver of the vehicle saw the officers and attempted to flee the scene by ramming the police vehicles and then by driving at the officers forcing the officer to shoot at the suspect.</v>
      </c>
      <c r="Q544" s="24"/>
      <c r="R544" s="24"/>
      <c r="S544" s="24"/>
      <c r="T544" s="24"/>
      <c r="U544" s="24"/>
      <c r="V544" s="24"/>
      <c r="W544" s="24"/>
      <c r="X544" s="24"/>
      <c r="Y544" s="24"/>
      <c r="Z544" s="24"/>
    </row>
    <row r="545" hidden="1">
      <c r="A545" s="29"/>
      <c r="B545" s="24"/>
      <c r="C545" s="24"/>
      <c r="D545" s="26" t="str">
        <f>IFERROR(__xludf.DUMMYFUNCTION("""COMPUTED_VALUE"""),"F")</f>
        <v>F</v>
      </c>
      <c r="E545" s="26" t="str">
        <f>IFERROR(__xludf.DUMMYFUNCTION("""COMPUTED_VALUE"""),"W")</f>
        <v>W</v>
      </c>
      <c r="F545" s="26">
        <f>IFERROR(__xludf.DUMMYFUNCTION("""COMPUTED_VALUE"""),36.0)</f>
        <v>36</v>
      </c>
      <c r="G545" s="26" t="str">
        <f>IFERROR(__xludf.DUMMYFUNCTION("""COMPUTED_VALUE"""),"Wounded")</f>
        <v>Wounded</v>
      </c>
      <c r="H545" s="26" t="str">
        <f>IFERROR(__xludf.DUMMYFUNCTION("""COMPUTED_VALUE"""),"None")</f>
        <v>None</v>
      </c>
      <c r="I545" s="27"/>
      <c r="J545" s="27"/>
      <c r="K545" s="27"/>
      <c r="L545" s="27"/>
      <c r="M545" s="27"/>
      <c r="N545" s="24"/>
      <c r="O545" s="24"/>
      <c r="P545" s="28"/>
      <c r="Q545" s="24"/>
      <c r="R545" s="24"/>
      <c r="S545" s="24"/>
      <c r="T545" s="24"/>
      <c r="U545" s="24"/>
      <c r="V545" s="24"/>
      <c r="W545" s="24"/>
      <c r="X545" s="24"/>
      <c r="Y545" s="24"/>
      <c r="Z545" s="24"/>
    </row>
    <row r="546" hidden="1">
      <c r="A546" s="29">
        <f>IFERROR(__xludf.DUMMYFUNCTION("""COMPUTED_VALUE"""),39879.0)</f>
        <v>39879</v>
      </c>
      <c r="B546" s="24">
        <f>IFERROR(__xludf.DUMMYFUNCTION("""COMPUTED_VALUE"""),3.3424709E7)</f>
        <v>33424709</v>
      </c>
      <c r="C546" s="24" t="str">
        <f>IFERROR(__xludf.DUMMYFUNCTION("""COMPUTED_VALUE"""),"1326 Charnwood")</f>
        <v>1326 Charnwood</v>
      </c>
      <c r="D546" s="26" t="str">
        <f>IFERROR(__xludf.DUMMYFUNCTION("""COMPUTED_VALUE"""),"M")</f>
        <v>M</v>
      </c>
      <c r="E546" s="26" t="str">
        <f>IFERROR(__xludf.DUMMYFUNCTION("""COMPUTED_VALUE"""),"B")</f>
        <v>B</v>
      </c>
      <c r="F546" s="26">
        <f>IFERROR(__xludf.DUMMYFUNCTION("""COMPUTED_VALUE"""),47.0)</f>
        <v>47</v>
      </c>
      <c r="G546" s="26" t="str">
        <f>IFERROR(__xludf.DUMMYFUNCTION("""COMPUTED_VALUE"""),"Killed")</f>
        <v>Killed</v>
      </c>
      <c r="H546" s="26" t="str">
        <f>IFERROR(__xludf.DUMMYFUNCTION("""COMPUTED_VALUE"""),"Firearm")</f>
        <v>Firearm</v>
      </c>
      <c r="I546" s="27" t="str">
        <f>IFERROR(__xludf.DUMMYFUNCTION("""COMPUTED_VALUE"""),"M")</f>
        <v>M</v>
      </c>
      <c r="J546" s="27" t="str">
        <f>IFERROR(__xludf.DUMMYFUNCTION("""COMPUTED_VALUE"""),"H")</f>
        <v>H</v>
      </c>
      <c r="K546" s="27">
        <f>IFERROR(__xludf.DUMMYFUNCTION("""COMPUTED_VALUE"""),50.0)</f>
        <v>50</v>
      </c>
      <c r="L546" s="27" t="str">
        <f>IFERROR(__xludf.DUMMYFUNCTION("""COMPUTED_VALUE"""),"None")</f>
        <v>None</v>
      </c>
      <c r="M546" s="27" t="str">
        <f>IFERROR(__xludf.DUMMYFUNCTION("""COMPUTED_VALUE"""),"Y")</f>
        <v>Y</v>
      </c>
      <c r="N546" s="24"/>
      <c r="O546" s="24">
        <f>IFERROR(__xludf.DUMMYFUNCTION("""COMPUTED_VALUE"""),1.0)</f>
        <v>1</v>
      </c>
      <c r="P546" s="24" t="str">
        <f>IFERROR(__xludf.DUMMYFUNCTION("""COMPUTED_VALUE"""),"The officers were in pursuit of a murder suspect. At the end of the pursuit the suspect pointed a shotgun at the officers forcing them to shoot the suspect.")</f>
        <v>The officers were in pursuit of a murder suspect. At the end of the pursuit the suspect pointed a shotgun at the officers forcing them to shoot the suspect.</v>
      </c>
      <c r="Q546" s="24"/>
      <c r="R546" s="24"/>
      <c r="S546" s="24"/>
      <c r="T546" s="24"/>
      <c r="U546" s="24"/>
      <c r="V546" s="24"/>
      <c r="W546" s="24"/>
      <c r="X546" s="24"/>
      <c r="Y546" s="24"/>
      <c r="Z546" s="24"/>
    </row>
    <row r="547" hidden="1">
      <c r="A547" s="29"/>
      <c r="B547" s="24"/>
      <c r="C547" s="24"/>
      <c r="D547" s="26"/>
      <c r="E547" s="26"/>
      <c r="F547" s="26"/>
      <c r="G547" s="26"/>
      <c r="H547" s="26"/>
      <c r="I547" s="27" t="str">
        <f>IFERROR(__xludf.DUMMYFUNCTION("""COMPUTED_VALUE"""),"M")</f>
        <v>M</v>
      </c>
      <c r="J547" s="27" t="str">
        <f>IFERROR(__xludf.DUMMYFUNCTION("""COMPUTED_VALUE"""),"W")</f>
        <v>W</v>
      </c>
      <c r="K547" s="27">
        <f>IFERROR(__xludf.DUMMYFUNCTION("""COMPUTED_VALUE"""),38.0)</f>
        <v>38</v>
      </c>
      <c r="L547" s="27" t="str">
        <f>IFERROR(__xludf.DUMMYFUNCTION("""COMPUTED_VALUE"""),"None")</f>
        <v>None</v>
      </c>
      <c r="M547" s="27" t="str">
        <f>IFERROR(__xludf.DUMMYFUNCTION("""COMPUTED_VALUE"""),"Y")</f>
        <v>Y</v>
      </c>
      <c r="N547" s="24"/>
      <c r="O547" s="24">
        <f>IFERROR(__xludf.DUMMYFUNCTION("""COMPUTED_VALUE"""),1.0)</f>
        <v>1</v>
      </c>
      <c r="P547" s="24"/>
      <c r="Q547" s="24"/>
      <c r="R547" s="24"/>
      <c r="S547" s="24"/>
      <c r="T547" s="24"/>
      <c r="U547" s="24"/>
      <c r="V547" s="24"/>
      <c r="W547" s="24"/>
      <c r="X547" s="24"/>
      <c r="Y547" s="24"/>
      <c r="Z547" s="24"/>
    </row>
    <row r="548" hidden="1">
      <c r="A548" s="29"/>
      <c r="B548" s="24"/>
      <c r="C548" s="24"/>
      <c r="D548" s="26"/>
      <c r="E548" s="26"/>
      <c r="F548" s="26"/>
      <c r="G548" s="26"/>
      <c r="H548" s="26"/>
      <c r="I548" s="27" t="str">
        <f>IFERROR(__xludf.DUMMYFUNCTION("""COMPUTED_VALUE"""),"M")</f>
        <v>M</v>
      </c>
      <c r="J548" s="27" t="str">
        <f>IFERROR(__xludf.DUMMYFUNCTION("""COMPUTED_VALUE"""),"H")</f>
        <v>H</v>
      </c>
      <c r="K548" s="27">
        <f>IFERROR(__xludf.DUMMYFUNCTION("""COMPUTED_VALUE"""),34.0)</f>
        <v>34</v>
      </c>
      <c r="L548" s="27" t="str">
        <f>IFERROR(__xludf.DUMMYFUNCTION("""COMPUTED_VALUE"""),"None")</f>
        <v>None</v>
      </c>
      <c r="M548" s="27" t="str">
        <f>IFERROR(__xludf.DUMMYFUNCTION("""COMPUTED_VALUE"""),"Y")</f>
        <v>Y</v>
      </c>
      <c r="N548" s="24"/>
      <c r="O548" s="24">
        <f>IFERROR(__xludf.DUMMYFUNCTION("""COMPUTED_VALUE"""),1.0)</f>
        <v>1</v>
      </c>
      <c r="P548" s="24"/>
      <c r="Q548" s="24"/>
      <c r="R548" s="24"/>
      <c r="S548" s="24"/>
      <c r="T548" s="24"/>
      <c r="U548" s="24"/>
      <c r="V548" s="24"/>
      <c r="W548" s="24"/>
      <c r="X548" s="24"/>
      <c r="Y548" s="24"/>
      <c r="Z548" s="24"/>
    </row>
    <row r="549" hidden="1">
      <c r="A549" s="29"/>
      <c r="B549" s="24"/>
      <c r="C549" s="24"/>
      <c r="D549" s="26"/>
      <c r="E549" s="26"/>
      <c r="F549" s="26"/>
      <c r="G549" s="26"/>
      <c r="H549" s="26"/>
      <c r="I549" s="27" t="str">
        <f>IFERROR(__xludf.DUMMYFUNCTION("""COMPUTED_VALUE"""),"M")</f>
        <v>M</v>
      </c>
      <c r="J549" s="27" t="str">
        <f>IFERROR(__xludf.DUMMYFUNCTION("""COMPUTED_VALUE"""),"B")</f>
        <v>B</v>
      </c>
      <c r="K549" s="27">
        <f>IFERROR(__xludf.DUMMYFUNCTION("""COMPUTED_VALUE"""),43.0)</f>
        <v>43</v>
      </c>
      <c r="L549" s="27" t="str">
        <f>IFERROR(__xludf.DUMMYFUNCTION("""COMPUTED_VALUE"""),"None")</f>
        <v>None</v>
      </c>
      <c r="M549" s="27" t="str">
        <f>IFERROR(__xludf.DUMMYFUNCTION("""COMPUTED_VALUE"""),"Y")</f>
        <v>Y</v>
      </c>
      <c r="N549" s="24"/>
      <c r="O549" s="24">
        <f>IFERROR(__xludf.DUMMYFUNCTION("""COMPUTED_VALUE"""),1.0)</f>
        <v>1</v>
      </c>
      <c r="P549" s="24"/>
      <c r="Q549" s="24"/>
      <c r="R549" s="24"/>
      <c r="S549" s="24"/>
      <c r="T549" s="24"/>
      <c r="U549" s="24"/>
      <c r="V549" s="24"/>
      <c r="W549" s="24"/>
      <c r="X549" s="24"/>
      <c r="Y549" s="24"/>
      <c r="Z549" s="24"/>
    </row>
    <row r="550" hidden="1">
      <c r="A550" s="29">
        <f>IFERROR(__xludf.DUMMYFUNCTION("""COMPUTED_VALUE"""),39877.0)</f>
        <v>39877</v>
      </c>
      <c r="B550" s="24">
        <f>IFERROR(__xludf.DUMMYFUNCTION("""COMPUTED_VALUE"""),3.2644409E7)</f>
        <v>32644409</v>
      </c>
      <c r="C550" s="24" t="str">
        <f>IFERROR(__xludf.DUMMYFUNCTION("""COMPUTED_VALUE"""),"9338 E. Avenue O")</f>
        <v>9338 E. Avenue O</v>
      </c>
      <c r="D550" s="26" t="str">
        <f>IFERROR(__xludf.DUMMYFUNCTION("""COMPUTED_VALUE"""),"M")</f>
        <v>M</v>
      </c>
      <c r="E550" s="26" t="str">
        <f>IFERROR(__xludf.DUMMYFUNCTION("""COMPUTED_VALUE"""),"H")</f>
        <v>H</v>
      </c>
      <c r="F550" s="26">
        <f>IFERROR(__xludf.DUMMYFUNCTION("""COMPUTED_VALUE"""),28.0)</f>
        <v>28</v>
      </c>
      <c r="G550" s="26" t="str">
        <f>IFERROR(__xludf.DUMMYFUNCTION("""COMPUTED_VALUE"""),"Killed")</f>
        <v>Killed</v>
      </c>
      <c r="H550" s="26" t="str">
        <f>IFERROR(__xludf.DUMMYFUNCTION("""COMPUTED_VALUE"""),"Firearm")</f>
        <v>Firearm</v>
      </c>
      <c r="I550" s="27" t="str">
        <f>IFERROR(__xludf.DUMMYFUNCTION("""COMPUTED_VALUE"""),"F")</f>
        <v>F</v>
      </c>
      <c r="J550" s="27" t="str">
        <f>IFERROR(__xludf.DUMMYFUNCTION("""COMPUTED_VALUE"""),"W")</f>
        <v>W</v>
      </c>
      <c r="K550" s="27">
        <f>IFERROR(__xludf.DUMMYFUNCTION("""COMPUTED_VALUE"""),39.0)</f>
        <v>39</v>
      </c>
      <c r="L550" s="27" t="str">
        <f>IFERROR(__xludf.DUMMYFUNCTION("""COMPUTED_VALUE"""),"None")</f>
        <v>None</v>
      </c>
      <c r="M550" s="27" t="str">
        <f>IFERROR(__xludf.DUMMYFUNCTION("""COMPUTED_VALUE"""),"Y")</f>
        <v>Y</v>
      </c>
      <c r="N550" s="24"/>
      <c r="O550" s="24"/>
      <c r="P550" s="24" t="str">
        <f>IFERROR(__xludf.DUMMYFUNCTION("""COMPUTED_VALUE"""),"The officers were serving a narcotics warrant when the lead officer was shot by the suspect forcing the other officers to shoot the suspect.")</f>
        <v>The officers were serving a narcotics warrant when the lead officer was shot by the suspect forcing the other officers to shoot the suspect.</v>
      </c>
      <c r="Q550" s="24"/>
      <c r="R550" s="24"/>
      <c r="S550" s="24"/>
      <c r="T550" s="24"/>
      <c r="U550" s="24"/>
      <c r="V550" s="24"/>
      <c r="W550" s="24"/>
      <c r="X550" s="24"/>
      <c r="Y550" s="24"/>
      <c r="Z550" s="24"/>
    </row>
    <row r="551" hidden="1">
      <c r="A551" s="29"/>
      <c r="B551" s="24"/>
      <c r="C551" s="24"/>
      <c r="D551" s="26"/>
      <c r="E551" s="26"/>
      <c r="F551" s="26"/>
      <c r="G551" s="26"/>
      <c r="H551" s="26"/>
      <c r="I551" s="27" t="str">
        <f>IFERROR(__xludf.DUMMYFUNCTION("""COMPUTED_VALUE"""),"M")</f>
        <v>M</v>
      </c>
      <c r="J551" s="27" t="str">
        <f>IFERROR(__xludf.DUMMYFUNCTION("""COMPUTED_VALUE"""),"H")</f>
        <v>H</v>
      </c>
      <c r="K551" s="27">
        <f>IFERROR(__xludf.DUMMYFUNCTION("""COMPUTED_VALUE"""),40.0)</f>
        <v>40</v>
      </c>
      <c r="L551" s="27" t="str">
        <f>IFERROR(__xludf.DUMMYFUNCTION("""COMPUTED_VALUE"""),"None")</f>
        <v>None</v>
      </c>
      <c r="M551" s="27" t="str">
        <f>IFERROR(__xludf.DUMMYFUNCTION("""COMPUTED_VALUE"""),"Y")</f>
        <v>Y</v>
      </c>
      <c r="N551" s="24"/>
      <c r="O551" s="24"/>
      <c r="P551" s="24"/>
      <c r="Q551" s="24"/>
      <c r="R551" s="24"/>
      <c r="S551" s="24"/>
      <c r="T551" s="24"/>
      <c r="U551" s="24"/>
      <c r="V551" s="24"/>
      <c r="W551" s="24"/>
      <c r="X551" s="24"/>
      <c r="Y551" s="24"/>
      <c r="Z551" s="24"/>
    </row>
    <row r="552" hidden="1">
      <c r="A552" s="29"/>
      <c r="B552" s="24"/>
      <c r="C552" s="24"/>
      <c r="D552" s="26"/>
      <c r="E552" s="26"/>
      <c r="F552" s="26"/>
      <c r="G552" s="26"/>
      <c r="H552" s="26"/>
      <c r="I552" s="27" t="str">
        <f>IFERROR(__xludf.DUMMYFUNCTION("""COMPUTED_VALUE"""),"M")</f>
        <v>M</v>
      </c>
      <c r="J552" s="27" t="str">
        <f>IFERROR(__xludf.DUMMYFUNCTION("""COMPUTED_VALUE"""),"B")</f>
        <v>B</v>
      </c>
      <c r="K552" s="27">
        <f>IFERROR(__xludf.DUMMYFUNCTION("""COMPUTED_VALUE"""),38.0)</f>
        <v>38</v>
      </c>
      <c r="L552" s="27" t="str">
        <f>IFERROR(__xludf.DUMMYFUNCTION("""COMPUTED_VALUE"""),"None")</f>
        <v>None</v>
      </c>
      <c r="M552" s="27" t="str">
        <f>IFERROR(__xludf.DUMMYFUNCTION("""COMPUTED_VALUE"""),"Y")</f>
        <v>Y</v>
      </c>
      <c r="N552" s="24"/>
      <c r="O552" s="24"/>
      <c r="P552" s="24"/>
      <c r="Q552" s="24"/>
      <c r="R552" s="24"/>
      <c r="S552" s="24"/>
      <c r="T552" s="24"/>
      <c r="U552" s="24"/>
      <c r="V552" s="24"/>
      <c r="W552" s="24"/>
      <c r="X552" s="24"/>
      <c r="Y552" s="24"/>
      <c r="Z552" s="24"/>
    </row>
    <row r="553">
      <c r="A553" s="29">
        <f>IFERROR(__xludf.DUMMYFUNCTION("""COMPUTED_VALUE"""),39869.0)</f>
        <v>39869</v>
      </c>
      <c r="B553" s="24">
        <f>IFERROR(__xludf.DUMMYFUNCTION("""COMPUTED_VALUE"""),2.8090909E7)</f>
        <v>28090909</v>
      </c>
      <c r="C553" s="24" t="str">
        <f>IFERROR(__xludf.DUMMYFUNCTION("""COMPUTED_VALUE"""),"800 Dennis")</f>
        <v>800 Dennis</v>
      </c>
      <c r="D553" s="26" t="str">
        <f>IFERROR(__xludf.DUMMYFUNCTION("""COMPUTED_VALUE"""),"F")</f>
        <v>F</v>
      </c>
      <c r="E553" s="26" t="str">
        <f>IFERROR(__xludf.DUMMYFUNCTION("""COMPUTED_VALUE"""),"B")</f>
        <v>B</v>
      </c>
      <c r="F553" s="26"/>
      <c r="G553" s="26" t="str">
        <f>IFERROR(__xludf.DUMMYFUNCTION("""COMPUTED_VALUE"""),"None")</f>
        <v>None</v>
      </c>
      <c r="H553" s="26" t="str">
        <f>IFERROR(__xludf.DUMMYFUNCTION("""COMPUTED_VALUE"""),"Firearm")</f>
        <v>Firearm</v>
      </c>
      <c r="I553" s="27" t="str">
        <f>IFERROR(__xludf.DUMMYFUNCTION("""COMPUTED_VALUE"""),"M")</f>
        <v>M</v>
      </c>
      <c r="J553" s="27" t="str">
        <f>IFERROR(__xludf.DUMMYFUNCTION("""COMPUTED_VALUE"""),"H")</f>
        <v>H</v>
      </c>
      <c r="K553" s="27">
        <f>IFERROR(__xludf.DUMMYFUNCTION("""COMPUTED_VALUE"""),38.0)</f>
        <v>38</v>
      </c>
      <c r="L553" s="27" t="str">
        <f>IFERROR(__xludf.DUMMYFUNCTION("""COMPUTED_VALUE"""),"None")</f>
        <v>None</v>
      </c>
      <c r="M553" s="27" t="str">
        <f>IFERROR(__xludf.DUMMYFUNCTION("""COMPUTED_VALUE"""),"N")</f>
        <v>N</v>
      </c>
      <c r="N553" s="24"/>
      <c r="O553" s="24"/>
      <c r="P553" s="28" t="str">
        <f>IFERROR(__xludf.DUMMYFUNCTION("""COMPUTED_VALUE"""),"The officer was approaching a vehicle in which he heard a woman screaming. As he approached, the suspect in the vehicle bagan to fire a weapon in the direction of the officer forcing the officer to return fire.")</f>
        <v>The officer was approaching a vehicle in which he heard a woman screaming. As he approached, the suspect in the vehicle bagan to fire a weapon in the direction of the officer forcing the officer to return fire.</v>
      </c>
      <c r="Q553" s="24"/>
      <c r="R553" s="24"/>
      <c r="S553" s="24"/>
      <c r="T553" s="24"/>
      <c r="U553" s="24"/>
      <c r="V553" s="24"/>
      <c r="W553" s="24"/>
      <c r="X553" s="24"/>
      <c r="Y553" s="24"/>
      <c r="Z553" s="24"/>
    </row>
    <row r="554" hidden="1">
      <c r="A554" s="29">
        <f>IFERROR(__xludf.DUMMYFUNCTION("""COMPUTED_VALUE"""),39853.0)</f>
        <v>39853</v>
      </c>
      <c r="B554" s="24">
        <f>IFERROR(__xludf.DUMMYFUNCTION("""COMPUTED_VALUE"""),2.0116209E7)</f>
        <v>20116209</v>
      </c>
      <c r="C554" s="24" t="str">
        <f>IFERROR(__xludf.DUMMYFUNCTION("""COMPUTED_VALUE"""),"6700 Airline")</f>
        <v>6700 Airline</v>
      </c>
      <c r="D554" s="26" t="str">
        <f>IFERROR(__xludf.DUMMYFUNCTION("""COMPUTED_VALUE"""),"M")</f>
        <v>M</v>
      </c>
      <c r="E554" s="26" t="str">
        <f>IFERROR(__xludf.DUMMYFUNCTION("""COMPUTED_VALUE"""),"B")</f>
        <v>B</v>
      </c>
      <c r="F554" s="26">
        <f>IFERROR(__xludf.DUMMYFUNCTION("""COMPUTED_VALUE"""),28.0)</f>
        <v>28</v>
      </c>
      <c r="G554" s="26" t="str">
        <f>IFERROR(__xludf.DUMMYFUNCTION("""COMPUTED_VALUE"""),"Wounded")</f>
        <v>Wounded</v>
      </c>
      <c r="H554" s="26" t="str">
        <f>IFERROR(__xludf.DUMMYFUNCTION("""COMPUTED_VALUE"""),"Firearm")</f>
        <v>Firearm</v>
      </c>
      <c r="I554" s="27" t="str">
        <f>IFERROR(__xludf.DUMMYFUNCTION("""COMPUTED_VALUE"""),"M")</f>
        <v>M</v>
      </c>
      <c r="J554" s="27" t="str">
        <f>IFERROR(__xludf.DUMMYFUNCTION("""COMPUTED_VALUE"""),"W")</f>
        <v>W</v>
      </c>
      <c r="K554" s="27">
        <f>IFERROR(__xludf.DUMMYFUNCTION("""COMPUTED_VALUE"""),48.0)</f>
        <v>48</v>
      </c>
      <c r="L554" s="27" t="str">
        <f>IFERROR(__xludf.DUMMYFUNCTION("""COMPUTED_VALUE"""),"None")</f>
        <v>None</v>
      </c>
      <c r="M554" s="27" t="str">
        <f>IFERROR(__xludf.DUMMYFUNCTION("""COMPUTED_VALUE"""),"Y")</f>
        <v>Y</v>
      </c>
      <c r="N554" s="24"/>
      <c r="O554" s="24">
        <f>IFERROR(__xludf.DUMMYFUNCTION("""COMPUTED_VALUE"""),1.0)</f>
        <v>1</v>
      </c>
      <c r="P554" s="28" t="str">
        <f>IFERROR(__xludf.DUMMYFUNCTION("""COMPUTED_VALUE"""),"The officers attempted to apprehend an armed robbery suspect when the suspect pulled out a shotgun and pointed it at the officers causing the officers to shoot at the suspect.")</f>
        <v>The officers attempted to apprehend an armed robbery suspect when the suspect pulled out a shotgun and pointed it at the officers causing the officers to shoot at the suspect.</v>
      </c>
      <c r="Q554" s="24"/>
      <c r="R554" s="24"/>
      <c r="S554" s="24"/>
      <c r="T554" s="24"/>
      <c r="U554" s="24"/>
      <c r="V554" s="24"/>
      <c r="W554" s="24"/>
      <c r="X554" s="24"/>
      <c r="Y554" s="24"/>
      <c r="Z554" s="24"/>
    </row>
    <row r="555" hidden="1">
      <c r="A555" s="29"/>
      <c r="B555" s="24"/>
      <c r="C555" s="24"/>
      <c r="D555" s="26"/>
      <c r="E555" s="26"/>
      <c r="F555" s="26"/>
      <c r="G555" s="26"/>
      <c r="H555" s="26"/>
      <c r="I555" s="27" t="str">
        <f>IFERROR(__xludf.DUMMYFUNCTION("""COMPUTED_VALUE"""),"M")</f>
        <v>M</v>
      </c>
      <c r="J555" s="27" t="str">
        <f>IFERROR(__xludf.DUMMYFUNCTION("""COMPUTED_VALUE"""),"H")</f>
        <v>H</v>
      </c>
      <c r="K555" s="27">
        <f>IFERROR(__xludf.DUMMYFUNCTION("""COMPUTED_VALUE"""),34.0)</f>
        <v>34</v>
      </c>
      <c r="L555" s="27" t="str">
        <f>IFERROR(__xludf.DUMMYFUNCTION("""COMPUTED_VALUE"""),"None")</f>
        <v>None</v>
      </c>
      <c r="M555" s="27" t="str">
        <f>IFERROR(__xludf.DUMMYFUNCTION("""COMPUTED_VALUE"""),"Y")</f>
        <v>Y</v>
      </c>
      <c r="N555" s="24"/>
      <c r="O555" s="24">
        <f>IFERROR(__xludf.DUMMYFUNCTION("""COMPUTED_VALUE"""),1.0)</f>
        <v>1</v>
      </c>
      <c r="P555" s="24"/>
      <c r="Q555" s="24"/>
      <c r="R555" s="24"/>
      <c r="S555" s="24"/>
      <c r="T555" s="24"/>
      <c r="U555" s="24"/>
      <c r="V555" s="24"/>
      <c r="W555" s="24"/>
      <c r="X555" s="24"/>
      <c r="Y555" s="24"/>
      <c r="Z555" s="24"/>
    </row>
    <row r="556" hidden="1">
      <c r="A556" s="29">
        <f>IFERROR(__xludf.DUMMYFUNCTION("""COMPUTED_VALUE"""),39853.0)</f>
        <v>39853</v>
      </c>
      <c r="B556" s="24">
        <f>IFERROR(__xludf.DUMMYFUNCTION("""COMPUTED_VALUE"""),2.0348309E7)</f>
        <v>20348309</v>
      </c>
      <c r="C556" s="24" t="str">
        <f>IFERROR(__xludf.DUMMYFUNCTION("""COMPUTED_VALUE"""),"8791 Hammerly")</f>
        <v>8791 Hammerly</v>
      </c>
      <c r="D556" s="26" t="str">
        <f>IFERROR(__xludf.DUMMYFUNCTION("""COMPUTED_VALUE"""),"M")</f>
        <v>M</v>
      </c>
      <c r="E556" s="26" t="str">
        <f>IFERROR(__xludf.DUMMYFUNCTION("""COMPUTED_VALUE"""),"W")</f>
        <v>W</v>
      </c>
      <c r="F556" s="26">
        <f>IFERROR(__xludf.DUMMYFUNCTION("""COMPUTED_VALUE"""),28.0)</f>
        <v>28</v>
      </c>
      <c r="G556" s="26" t="str">
        <f>IFERROR(__xludf.DUMMYFUNCTION("""COMPUTED_VALUE"""),"Killed")</f>
        <v>Killed</v>
      </c>
      <c r="H556" s="26" t="str">
        <f>IFERROR(__xludf.DUMMYFUNCTION("""COMPUTED_VALUE"""),"Firearm")</f>
        <v>Firearm</v>
      </c>
      <c r="I556" s="27" t="str">
        <f>IFERROR(__xludf.DUMMYFUNCTION("""COMPUTED_VALUE"""),"M")</f>
        <v>M</v>
      </c>
      <c r="J556" s="27" t="str">
        <f>IFERROR(__xludf.DUMMYFUNCTION("""COMPUTED_VALUE"""),"W")</f>
        <v>W</v>
      </c>
      <c r="K556" s="27">
        <f>IFERROR(__xludf.DUMMYFUNCTION("""COMPUTED_VALUE"""),28.0)</f>
        <v>28</v>
      </c>
      <c r="L556" s="27" t="str">
        <f>IFERROR(__xludf.DUMMYFUNCTION("""COMPUTED_VALUE"""),"None")</f>
        <v>None</v>
      </c>
      <c r="M556" s="27" t="str">
        <f>IFERROR(__xludf.DUMMYFUNCTION("""COMPUTED_VALUE"""),"Y")</f>
        <v>Y</v>
      </c>
      <c r="N556" s="24"/>
      <c r="O556" s="24">
        <f>IFERROR(__xludf.DUMMYFUNCTION("""COMPUTED_VALUE"""),1.0)</f>
        <v>1</v>
      </c>
      <c r="P556" s="24" t="str">
        <f>IFERROR(__xludf.DUMMYFUNCTION("""COMPUTED_VALUE"""),"The officers were setting up a perimeter outside the residence of an armed suspect when the suspect came out of the residence with a shotgun. The suspect pointed the shotgun at the officers causing them to shoot the suspect.")</f>
        <v>The officers were setting up a perimeter outside the residence of an armed suspect when the suspect came out of the residence with a shotgun. The suspect pointed the shotgun at the officers causing them to shoot the suspect.</v>
      </c>
      <c r="Q556" s="24"/>
      <c r="R556" s="24"/>
      <c r="S556" s="24"/>
      <c r="T556" s="24"/>
      <c r="U556" s="24"/>
      <c r="V556" s="24"/>
      <c r="W556" s="24"/>
      <c r="X556" s="24"/>
      <c r="Y556" s="24"/>
      <c r="Z556" s="24"/>
    </row>
    <row r="557" hidden="1">
      <c r="A557" s="29"/>
      <c r="B557" s="24"/>
      <c r="C557" s="24"/>
      <c r="D557" s="26"/>
      <c r="E557" s="26"/>
      <c r="F557" s="26"/>
      <c r="G557" s="26"/>
      <c r="H557" s="26"/>
      <c r="I557" s="27" t="str">
        <f>IFERROR(__xludf.DUMMYFUNCTION("""COMPUTED_VALUE"""),"M")</f>
        <v>M</v>
      </c>
      <c r="J557" s="27" t="str">
        <f>IFERROR(__xludf.DUMMYFUNCTION("""COMPUTED_VALUE"""),"H")</f>
        <v>H</v>
      </c>
      <c r="K557" s="27">
        <f>IFERROR(__xludf.DUMMYFUNCTION("""COMPUTED_VALUE"""),25.0)</f>
        <v>25</v>
      </c>
      <c r="L557" s="27" t="str">
        <f>IFERROR(__xludf.DUMMYFUNCTION("""COMPUTED_VALUE"""),"None")</f>
        <v>None</v>
      </c>
      <c r="M557" s="27" t="str">
        <f>IFERROR(__xludf.DUMMYFUNCTION("""COMPUTED_VALUE"""),"Y")</f>
        <v>Y</v>
      </c>
      <c r="N557" s="24"/>
      <c r="O557" s="24">
        <f>IFERROR(__xludf.DUMMYFUNCTION("""COMPUTED_VALUE"""),1.0)</f>
        <v>1</v>
      </c>
      <c r="P557" s="24"/>
      <c r="Q557" s="24"/>
      <c r="R557" s="24"/>
      <c r="S557" s="24"/>
      <c r="T557" s="24"/>
      <c r="U557" s="24"/>
      <c r="V557" s="24"/>
      <c r="W557" s="24"/>
      <c r="X557" s="24"/>
      <c r="Y557" s="24"/>
      <c r="Z557" s="24"/>
    </row>
    <row r="558" hidden="1">
      <c r="A558" s="29"/>
      <c r="B558" s="24"/>
      <c r="C558" s="24"/>
      <c r="D558" s="26"/>
      <c r="E558" s="26"/>
      <c r="F558" s="26"/>
      <c r="G558" s="26"/>
      <c r="H558" s="26"/>
      <c r="I558" s="27" t="str">
        <f>IFERROR(__xludf.DUMMYFUNCTION("""COMPUTED_VALUE"""),"M")</f>
        <v>M</v>
      </c>
      <c r="J558" s="27" t="str">
        <f>IFERROR(__xludf.DUMMYFUNCTION("""COMPUTED_VALUE"""),"W")</f>
        <v>W</v>
      </c>
      <c r="K558" s="27">
        <f>IFERROR(__xludf.DUMMYFUNCTION("""COMPUTED_VALUE"""),47.0)</f>
        <v>47</v>
      </c>
      <c r="L558" s="27" t="str">
        <f>IFERROR(__xludf.DUMMYFUNCTION("""COMPUTED_VALUE"""),"None")</f>
        <v>None</v>
      </c>
      <c r="M558" s="27" t="str">
        <f>IFERROR(__xludf.DUMMYFUNCTION("""COMPUTED_VALUE"""),"Y")</f>
        <v>Y</v>
      </c>
      <c r="N558" s="24"/>
      <c r="O558" s="24">
        <f>IFERROR(__xludf.DUMMYFUNCTION("""COMPUTED_VALUE"""),1.0)</f>
        <v>1</v>
      </c>
      <c r="P558" s="24"/>
      <c r="Q558" s="24"/>
      <c r="R558" s="24"/>
      <c r="S558" s="24"/>
      <c r="T558" s="24"/>
      <c r="U558" s="24"/>
      <c r="V558" s="24"/>
      <c r="W558" s="24"/>
      <c r="X558" s="24"/>
      <c r="Y558" s="24"/>
      <c r="Z558" s="24"/>
    </row>
    <row r="559" hidden="1">
      <c r="A559" s="29"/>
      <c r="B559" s="24"/>
      <c r="C559" s="24"/>
      <c r="D559" s="26"/>
      <c r="E559" s="26"/>
      <c r="F559" s="26"/>
      <c r="G559" s="26"/>
      <c r="H559" s="26"/>
      <c r="I559" s="27" t="str">
        <f>IFERROR(__xludf.DUMMYFUNCTION("""COMPUTED_VALUE"""),"M")</f>
        <v>M</v>
      </c>
      <c r="J559" s="27" t="str">
        <f>IFERROR(__xludf.DUMMYFUNCTION("""COMPUTED_VALUE"""),"A")</f>
        <v>A</v>
      </c>
      <c r="K559" s="27">
        <f>IFERROR(__xludf.DUMMYFUNCTION("""COMPUTED_VALUE"""),44.0)</f>
        <v>44</v>
      </c>
      <c r="L559" s="27" t="str">
        <f>IFERROR(__xludf.DUMMYFUNCTION("""COMPUTED_VALUE"""),"None")</f>
        <v>None</v>
      </c>
      <c r="M559" s="27" t="str">
        <f>IFERROR(__xludf.DUMMYFUNCTION("""COMPUTED_VALUE"""),"Y")</f>
        <v>Y</v>
      </c>
      <c r="N559" s="24"/>
      <c r="O559" s="24">
        <f>IFERROR(__xludf.DUMMYFUNCTION("""COMPUTED_VALUE"""),1.0)</f>
        <v>1</v>
      </c>
      <c r="P559" s="24"/>
      <c r="Q559" s="24"/>
      <c r="R559" s="24"/>
      <c r="S559" s="24"/>
      <c r="T559" s="24"/>
      <c r="U559" s="24"/>
      <c r="V559" s="24"/>
      <c r="W559" s="24"/>
      <c r="X559" s="24"/>
      <c r="Y559" s="24"/>
      <c r="Z559" s="24"/>
    </row>
    <row r="560" hidden="1">
      <c r="A560" s="29">
        <f>IFERROR(__xludf.DUMMYFUNCTION("""COMPUTED_VALUE"""),39846.0)</f>
        <v>39846</v>
      </c>
      <c r="B560" s="24">
        <f>IFERROR(__xludf.DUMMYFUNCTION("""COMPUTED_VALUE"""),1.6502609E7)</f>
        <v>16502609</v>
      </c>
      <c r="C560" s="24" t="str">
        <f>IFERROR(__xludf.DUMMYFUNCTION("""COMPUTED_VALUE"""),"1415 Gulf Bank")</f>
        <v>1415 Gulf Bank</v>
      </c>
      <c r="D560" s="26" t="str">
        <f>IFERROR(__xludf.DUMMYFUNCTION("""COMPUTED_VALUE"""),"M")</f>
        <v>M</v>
      </c>
      <c r="E560" s="26" t="str">
        <f>IFERROR(__xludf.DUMMYFUNCTION("""COMPUTED_VALUE"""),"B")</f>
        <v>B</v>
      </c>
      <c r="F560" s="26">
        <f>IFERROR(__xludf.DUMMYFUNCTION("""COMPUTED_VALUE"""),18.0)</f>
        <v>18</v>
      </c>
      <c r="G560" s="26" t="str">
        <f>IFERROR(__xludf.DUMMYFUNCTION("""COMPUTED_VALUE"""),"Wounded")</f>
        <v>Wounded</v>
      </c>
      <c r="H560" s="26" t="str">
        <f>IFERROR(__xludf.DUMMYFUNCTION("""COMPUTED_VALUE"""),"Firearm")</f>
        <v>Firearm</v>
      </c>
      <c r="I560" s="27" t="str">
        <f>IFERROR(__xludf.DUMMYFUNCTION("""COMPUTED_VALUE"""),"M")</f>
        <v>M</v>
      </c>
      <c r="J560" s="27" t="str">
        <f>IFERROR(__xludf.DUMMYFUNCTION("""COMPUTED_VALUE"""),"B")</f>
        <v>B</v>
      </c>
      <c r="K560" s="27">
        <f>IFERROR(__xludf.DUMMYFUNCTION("""COMPUTED_VALUE"""),41.0)</f>
        <v>41</v>
      </c>
      <c r="L560" s="27" t="str">
        <f>IFERROR(__xludf.DUMMYFUNCTION("""COMPUTED_VALUE"""),"None")</f>
        <v>None</v>
      </c>
      <c r="M560" s="27" t="str">
        <f>IFERROR(__xludf.DUMMYFUNCTION("""COMPUTED_VALUE"""),"N")</f>
        <v>N</v>
      </c>
      <c r="N560" s="24"/>
      <c r="O560" s="24"/>
      <c r="P560" s="28" t="str">
        <f>IFERROR(__xludf.DUMMYFUNCTION("""COMPUTED_VALUE"""),"The officer was notified of an armed suspect walking around the complex. The officer located the suspect and when the officer told the suspect to drop his weapon, the suspect raised it and pointed it at the officer causing the officer to shoot the suspect"&amp;".")</f>
        <v>The officer was notified of an armed suspect walking around the complex. The officer located the suspect and when the officer told the suspect to drop his weapon, the suspect raised it and pointed it at the officer causing the officer to shoot the suspect.</v>
      </c>
      <c r="Q560" s="24"/>
      <c r="R560" s="24"/>
      <c r="S560" s="24"/>
      <c r="T560" s="24"/>
      <c r="U560" s="24"/>
      <c r="V560" s="24"/>
      <c r="W560" s="24"/>
      <c r="X560" s="24"/>
      <c r="Y560" s="24"/>
      <c r="Z560" s="24"/>
    </row>
    <row r="561">
      <c r="A561" s="29">
        <f>IFERROR(__xludf.DUMMYFUNCTION("""COMPUTED_VALUE"""),39837.0)</f>
        <v>39837</v>
      </c>
      <c r="B561" s="24">
        <f>IFERROR(__xludf.DUMMYFUNCTION("""COMPUTED_VALUE"""),1.1777609E7)</f>
        <v>11777609</v>
      </c>
      <c r="C561" s="24" t="str">
        <f>IFERROR(__xludf.DUMMYFUNCTION("""COMPUTED_VALUE"""),"6201 W. Bellfort")</f>
        <v>6201 W. Bellfort</v>
      </c>
      <c r="D561" s="26" t="str">
        <f>IFERROR(__xludf.DUMMYFUNCTION("""COMPUTED_VALUE"""),"Juvenile")</f>
        <v>Juvenile</v>
      </c>
      <c r="E561" s="26" t="str">
        <f>IFERROR(__xludf.DUMMYFUNCTION("""COMPUTED_VALUE"""),"Juvenile")</f>
        <v>Juvenile</v>
      </c>
      <c r="F561" s="26"/>
      <c r="G561" s="26" t="str">
        <f>IFERROR(__xludf.DUMMYFUNCTION("""COMPUTED_VALUE"""),"None")</f>
        <v>None</v>
      </c>
      <c r="H561" s="26" t="str">
        <f>IFERROR(__xludf.DUMMYFUNCTION("""COMPUTED_VALUE"""),"None")</f>
        <v>None</v>
      </c>
      <c r="I561" s="27" t="str">
        <f>IFERROR(__xludf.DUMMYFUNCTION("""COMPUTED_VALUE"""),"M")</f>
        <v>M</v>
      </c>
      <c r="J561" s="27" t="str">
        <f>IFERROR(__xludf.DUMMYFUNCTION("""COMPUTED_VALUE"""),"B")</f>
        <v>B</v>
      </c>
      <c r="K561" s="27">
        <f>IFERROR(__xludf.DUMMYFUNCTION("""COMPUTED_VALUE"""),54.0)</f>
        <v>54</v>
      </c>
      <c r="L561" s="27" t="str">
        <f>IFERROR(__xludf.DUMMYFUNCTION("""COMPUTED_VALUE"""),"None")</f>
        <v>None</v>
      </c>
      <c r="M561" s="27" t="str">
        <f>IFERROR(__xludf.DUMMYFUNCTION("""COMPUTED_VALUE"""),"Y")</f>
        <v>Y</v>
      </c>
      <c r="N561" s="24"/>
      <c r="O561" s="24">
        <f>IFERROR(__xludf.DUMMYFUNCTION("""COMPUTED_VALUE"""),1.0)</f>
        <v>1</v>
      </c>
      <c r="P561" s="28" t="str">
        <f>IFERROR(__xludf.DUMMYFUNCTION("""COMPUTED_VALUE"""),"The officer was checking the area for a suspect who was reported to have broken into a residence. The officer was checking around a corner when the suspect lunged at the officer causing the officer to shoot at the suspect.")</f>
        <v>The officer was checking the area for a suspect who was reported to have broken into a residence. The officer was checking around a corner when the suspect lunged at the officer causing the officer to shoot at the suspect.</v>
      </c>
      <c r="Q561" s="24"/>
      <c r="R561" s="24"/>
      <c r="S561" s="24"/>
      <c r="T561" s="24"/>
      <c r="U561" s="24"/>
      <c r="V561" s="24"/>
      <c r="W561" s="24"/>
      <c r="X561" s="24"/>
      <c r="Y561" s="24"/>
      <c r="Z561" s="24"/>
    </row>
    <row r="562">
      <c r="A562" s="29">
        <f>IFERROR(__xludf.DUMMYFUNCTION("""COMPUTED_VALUE"""),39832.0)</f>
        <v>39832</v>
      </c>
      <c r="B562" s="24">
        <f>IFERROR(__xludf.DUMMYFUNCTION("""COMPUTED_VALUE"""),9269409.0)</f>
        <v>9269409</v>
      </c>
      <c r="C562" s="24" t="str">
        <f>IFERROR(__xludf.DUMMYFUNCTION("""COMPUTED_VALUE"""),"800 Northwest Mall")</f>
        <v>800 Northwest Mall</v>
      </c>
      <c r="D562" s="26" t="str">
        <f>IFERROR(__xludf.DUMMYFUNCTION("""COMPUTED_VALUE"""),"M")</f>
        <v>M</v>
      </c>
      <c r="E562" s="26" t="str">
        <f>IFERROR(__xludf.DUMMYFUNCTION("""COMPUTED_VALUE"""),"H")</f>
        <v>H</v>
      </c>
      <c r="F562" s="26"/>
      <c r="G562" s="26" t="str">
        <f>IFERROR(__xludf.DUMMYFUNCTION("""COMPUTED_VALUE"""),"None")</f>
        <v>None</v>
      </c>
      <c r="H562" s="26" t="str">
        <f>IFERROR(__xludf.DUMMYFUNCTION("""COMPUTED_VALUE"""),"Firearm")</f>
        <v>Firearm</v>
      </c>
      <c r="I562" s="27" t="str">
        <f>IFERROR(__xludf.DUMMYFUNCTION("""COMPUTED_VALUE"""),"M")</f>
        <v>M</v>
      </c>
      <c r="J562" s="27" t="str">
        <f>IFERROR(__xludf.DUMMYFUNCTION("""COMPUTED_VALUE"""),"P")</f>
        <v>P</v>
      </c>
      <c r="K562" s="27">
        <f>IFERROR(__xludf.DUMMYFUNCTION("""COMPUTED_VALUE"""),31.0)</f>
        <v>31</v>
      </c>
      <c r="L562" s="27" t="str">
        <f>IFERROR(__xludf.DUMMYFUNCTION("""COMPUTED_VALUE"""),"None")</f>
        <v>None</v>
      </c>
      <c r="M562" s="27" t="str">
        <f>IFERROR(__xludf.DUMMYFUNCTION("""COMPUTED_VALUE"""),"N")</f>
        <v>N</v>
      </c>
      <c r="N562" s="24"/>
      <c r="O562" s="24"/>
      <c r="P562" s="28" t="str">
        <f>IFERROR(__xludf.DUMMYFUNCTION("""COMPUTED_VALUE"""),"The officers confronted multiple armed suspects who were pointing a weapon at another individual. The suspects ran from the officers and while they were being chased one of the suspects fired at the officers casuing the officer to return fire.")</f>
        <v>The officers confronted multiple armed suspects who were pointing a weapon at another individual. The suspects ran from the officers and while they were being chased one of the suspects fired at the officers casuing the officer to return fire.</v>
      </c>
      <c r="Q562" s="24"/>
      <c r="R562" s="24"/>
      <c r="S562" s="24"/>
      <c r="T562" s="24"/>
      <c r="U562" s="24"/>
      <c r="V562" s="24"/>
      <c r="W562" s="24"/>
      <c r="X562" s="24"/>
      <c r="Y562" s="24"/>
      <c r="Z562" s="24"/>
    </row>
    <row r="563">
      <c r="A563" s="29"/>
      <c r="B563" s="24"/>
      <c r="C563" s="24"/>
      <c r="D563" s="26" t="str">
        <f>IFERROR(__xludf.DUMMYFUNCTION("""COMPUTED_VALUE"""),"M")</f>
        <v>M</v>
      </c>
      <c r="E563" s="26" t="str">
        <f>IFERROR(__xludf.DUMMYFUNCTION("""COMPUTED_VALUE"""),"H")</f>
        <v>H</v>
      </c>
      <c r="F563" s="26"/>
      <c r="G563" s="26" t="str">
        <f>IFERROR(__xludf.DUMMYFUNCTION("""COMPUTED_VALUE"""),"None")</f>
        <v>None</v>
      </c>
      <c r="H563" s="26" t="str">
        <f>IFERROR(__xludf.DUMMYFUNCTION("""COMPUTED_VALUE"""),"Firearm")</f>
        <v>Firearm</v>
      </c>
      <c r="I563" s="27" t="str">
        <f>IFERROR(__xludf.DUMMYFUNCTION("""COMPUTED_VALUE"""),"M")</f>
        <v>M</v>
      </c>
      <c r="J563" s="27" t="str">
        <f>IFERROR(__xludf.DUMMYFUNCTION("""COMPUTED_VALUE"""),"H")</f>
        <v>H</v>
      </c>
      <c r="K563" s="27">
        <f>IFERROR(__xludf.DUMMYFUNCTION("""COMPUTED_VALUE"""),40.0)</f>
        <v>40</v>
      </c>
      <c r="L563" s="27" t="str">
        <f>IFERROR(__xludf.DUMMYFUNCTION("""COMPUTED_VALUE"""),"None")</f>
        <v>None</v>
      </c>
      <c r="M563" s="27" t="str">
        <f>IFERROR(__xludf.DUMMYFUNCTION("""COMPUTED_VALUE"""),"N")</f>
        <v>N</v>
      </c>
      <c r="N563" s="24"/>
      <c r="O563" s="24"/>
      <c r="P563" s="28"/>
      <c r="Q563" s="24"/>
      <c r="R563" s="24"/>
      <c r="S563" s="24"/>
      <c r="T563" s="24"/>
      <c r="U563" s="24"/>
      <c r="V563" s="24"/>
      <c r="W563" s="24"/>
      <c r="X563" s="24"/>
      <c r="Y563" s="24"/>
      <c r="Z563" s="24"/>
    </row>
    <row r="564" hidden="1">
      <c r="A564" s="29">
        <f>IFERROR(__xludf.DUMMYFUNCTION("""COMPUTED_VALUE"""),39832.0)</f>
        <v>39832</v>
      </c>
      <c r="B564" s="24">
        <f>IFERROR(__xludf.DUMMYFUNCTION("""COMPUTED_VALUE"""),9518409.0)</f>
        <v>9518409</v>
      </c>
      <c r="C564" s="24" t="str">
        <f>IFERROR(__xludf.DUMMYFUNCTION("""COMPUTED_VALUE"""),"1162 W. Sam Houston Pkwy N.")</f>
        <v>1162 W. Sam Houston Pkwy N.</v>
      </c>
      <c r="D564" s="26" t="str">
        <f>IFERROR(__xludf.DUMMYFUNCTION("""COMPUTED_VALUE"""),"F")</f>
        <v>F</v>
      </c>
      <c r="E564" s="26" t="str">
        <f>IFERROR(__xludf.DUMMYFUNCTION("""COMPUTED_VALUE"""),"W")</f>
        <v>W</v>
      </c>
      <c r="F564" s="26">
        <f>IFERROR(__xludf.DUMMYFUNCTION("""COMPUTED_VALUE"""),33.0)</f>
        <v>33</v>
      </c>
      <c r="G564" s="26" t="str">
        <f>IFERROR(__xludf.DUMMYFUNCTION("""COMPUTED_VALUE"""),"Wounded")</f>
        <v>Wounded</v>
      </c>
      <c r="H564" s="26" t="str">
        <f>IFERROR(__xludf.DUMMYFUNCTION("""COMPUTED_VALUE"""),"Bow and Arrow")</f>
        <v>Bow and Arrow</v>
      </c>
      <c r="I564" s="27" t="str">
        <f>IFERROR(__xludf.DUMMYFUNCTION("""COMPUTED_VALUE"""),"M")</f>
        <v>M</v>
      </c>
      <c r="J564" s="27" t="str">
        <f>IFERROR(__xludf.DUMMYFUNCTION("""COMPUTED_VALUE"""),"W")</f>
        <v>W</v>
      </c>
      <c r="K564" s="27">
        <f>IFERROR(__xludf.DUMMYFUNCTION("""COMPUTED_VALUE"""),47.0)</f>
        <v>47</v>
      </c>
      <c r="L564" s="27" t="str">
        <f>IFERROR(__xludf.DUMMYFUNCTION("""COMPUTED_VALUE"""),"None")</f>
        <v>None</v>
      </c>
      <c r="M564" s="27" t="str">
        <f>IFERROR(__xludf.DUMMYFUNCTION("""COMPUTED_VALUE"""),"Y")</f>
        <v>Y</v>
      </c>
      <c r="N564" s="24"/>
      <c r="O564" s="24"/>
      <c r="P564" s="28" t="str">
        <f>IFERROR(__xludf.DUMMYFUNCTION("""COMPUTED_VALUE"""),"The suspect entered the place of business and shot 1 employee with a bow. The suspect was being detained by other employees but she managed to get into a room with her bow. The officers arrived and when they attempted to detain the suspect, the suspect po"&amp;"inted the bow at them forcing the officers to shoot.")</f>
        <v>The suspect entered the place of business and shot 1 employee with a bow. The suspect was being detained by other employees but she managed to get into a room with her bow. The officers arrived and when they attempted to detain the suspect, the suspect pointed the bow at them forcing the officers to shoot.</v>
      </c>
      <c r="Q564" s="24"/>
      <c r="R564" s="24"/>
      <c r="S564" s="24"/>
      <c r="T564" s="24"/>
      <c r="U564" s="24"/>
      <c r="V564" s="24"/>
      <c r="W564" s="24"/>
      <c r="X564" s="24"/>
      <c r="Y564" s="24"/>
      <c r="Z564" s="24"/>
    </row>
    <row r="565" hidden="1">
      <c r="A565" s="29">
        <f>IFERROR(__xludf.DUMMYFUNCTION("""COMPUTED_VALUE"""),39824.0)</f>
        <v>39824</v>
      </c>
      <c r="B565" s="24">
        <f>IFERROR(__xludf.DUMMYFUNCTION("""COMPUTED_VALUE"""),5625709.0)</f>
        <v>5625709</v>
      </c>
      <c r="C565" s="24" t="str">
        <f>IFERROR(__xludf.DUMMYFUNCTION("""COMPUTED_VALUE"""),"3215 Soway")</f>
        <v>3215 Soway</v>
      </c>
      <c r="D565" s="26" t="str">
        <f>IFERROR(__xludf.DUMMYFUNCTION("""COMPUTED_VALUE"""),"M")</f>
        <v>M</v>
      </c>
      <c r="E565" s="26" t="str">
        <f>IFERROR(__xludf.DUMMYFUNCTION("""COMPUTED_VALUE"""),"W")</f>
        <v>W</v>
      </c>
      <c r="F565" s="26">
        <f>IFERROR(__xludf.DUMMYFUNCTION("""COMPUTED_VALUE"""),54.0)</f>
        <v>54</v>
      </c>
      <c r="G565" s="26" t="str">
        <f>IFERROR(__xludf.DUMMYFUNCTION("""COMPUTED_VALUE"""),"Killed")</f>
        <v>Killed</v>
      </c>
      <c r="H565" s="26" t="str">
        <f>IFERROR(__xludf.DUMMYFUNCTION("""COMPUTED_VALUE"""),"Firearm")</f>
        <v>Firearm</v>
      </c>
      <c r="I565" s="27" t="str">
        <f>IFERROR(__xludf.DUMMYFUNCTION("""COMPUTED_VALUE"""),"M")</f>
        <v>M</v>
      </c>
      <c r="J565" s="27" t="str">
        <f>IFERROR(__xludf.DUMMYFUNCTION("""COMPUTED_VALUE"""),"W")</f>
        <v>W</v>
      </c>
      <c r="K565" s="27">
        <f>IFERROR(__xludf.DUMMYFUNCTION("""COMPUTED_VALUE"""),53.0)</f>
        <v>53</v>
      </c>
      <c r="L565" s="27" t="str">
        <f>IFERROR(__xludf.DUMMYFUNCTION("""COMPUTED_VALUE"""),"None")</f>
        <v>None</v>
      </c>
      <c r="M565" s="27" t="str">
        <f>IFERROR(__xludf.DUMMYFUNCTION("""COMPUTED_VALUE"""),"Y")</f>
        <v>Y</v>
      </c>
      <c r="N565" s="24"/>
      <c r="O565" s="24">
        <f>IFERROR(__xludf.DUMMYFUNCTION("""COMPUTED_VALUE"""),1.0)</f>
        <v>1</v>
      </c>
      <c r="P565" s="24" t="str">
        <f>IFERROR(__xludf.DUMMYFUNCTION("""COMPUTED_VALUE"""),"Officers were setting up outside the residence of an armed barricaded suspect. The suspect then opened the door and raised his weapon as if to fire on the officers forcing the officers to shoot the suspect.")</f>
        <v>Officers were setting up outside the residence of an armed barricaded suspect. The suspect then opened the door and raised his weapon as if to fire on the officers forcing the officers to shoot the suspect.</v>
      </c>
      <c r="Q565" s="24"/>
      <c r="R565" s="24"/>
      <c r="S565" s="24"/>
      <c r="T565" s="24"/>
      <c r="U565" s="24"/>
      <c r="V565" s="24"/>
      <c r="W565" s="24"/>
      <c r="X565" s="24"/>
      <c r="Y565" s="24"/>
      <c r="Z565" s="24"/>
    </row>
    <row r="566" hidden="1">
      <c r="A566" s="29"/>
      <c r="B566" s="24"/>
      <c r="C566" s="24"/>
      <c r="D566" s="26"/>
      <c r="E566" s="26"/>
      <c r="F566" s="26"/>
      <c r="G566" s="26"/>
      <c r="H566" s="26"/>
      <c r="I566" s="27" t="str">
        <f>IFERROR(__xludf.DUMMYFUNCTION("""COMPUTED_VALUE"""),"M")</f>
        <v>M</v>
      </c>
      <c r="J566" s="27" t="str">
        <f>IFERROR(__xludf.DUMMYFUNCTION("""COMPUTED_VALUE"""),"B")</f>
        <v>B</v>
      </c>
      <c r="K566" s="27">
        <f>IFERROR(__xludf.DUMMYFUNCTION("""COMPUTED_VALUE"""),51.0)</f>
        <v>51</v>
      </c>
      <c r="L566" s="27" t="str">
        <f>IFERROR(__xludf.DUMMYFUNCTION("""COMPUTED_VALUE"""),"None")</f>
        <v>None</v>
      </c>
      <c r="M566" s="27" t="str">
        <f>IFERROR(__xludf.DUMMYFUNCTION("""COMPUTED_VALUE"""),"Y")</f>
        <v>Y</v>
      </c>
      <c r="N566" s="24"/>
      <c r="O566" s="24">
        <f>IFERROR(__xludf.DUMMYFUNCTION("""COMPUTED_VALUE"""),1.0)</f>
        <v>1</v>
      </c>
      <c r="P566" s="24"/>
      <c r="Q566" s="24"/>
      <c r="R566" s="24"/>
      <c r="S566" s="24"/>
      <c r="T566" s="24"/>
      <c r="U566" s="24"/>
      <c r="V566" s="24"/>
      <c r="W566" s="24"/>
      <c r="X566" s="24"/>
      <c r="Y566" s="24"/>
      <c r="Z566" s="24"/>
    </row>
    <row r="567" hidden="1">
      <c r="A567" s="29"/>
      <c r="B567" s="24"/>
      <c r="C567" s="24"/>
      <c r="D567" s="26"/>
      <c r="E567" s="26"/>
      <c r="F567" s="26"/>
      <c r="G567" s="26"/>
      <c r="H567" s="26"/>
      <c r="I567" s="27" t="str">
        <f>IFERROR(__xludf.DUMMYFUNCTION("""COMPUTED_VALUE"""),"M")</f>
        <v>M</v>
      </c>
      <c r="J567" s="27" t="str">
        <f>IFERROR(__xludf.DUMMYFUNCTION("""COMPUTED_VALUE"""),"W")</f>
        <v>W</v>
      </c>
      <c r="K567" s="27">
        <f>IFERROR(__xludf.DUMMYFUNCTION("""COMPUTED_VALUE"""),40.0)</f>
        <v>40</v>
      </c>
      <c r="L567" s="27" t="str">
        <f>IFERROR(__xludf.DUMMYFUNCTION("""COMPUTED_VALUE"""),"None")</f>
        <v>None</v>
      </c>
      <c r="M567" s="27" t="str">
        <f>IFERROR(__xludf.DUMMYFUNCTION("""COMPUTED_VALUE"""),"Y")</f>
        <v>Y</v>
      </c>
      <c r="N567" s="24"/>
      <c r="O567" s="24">
        <f>IFERROR(__xludf.DUMMYFUNCTION("""COMPUTED_VALUE"""),1.0)</f>
        <v>1</v>
      </c>
      <c r="P567" s="24"/>
      <c r="Q567" s="24"/>
      <c r="R567" s="24"/>
      <c r="S567" s="24"/>
      <c r="T567" s="24"/>
      <c r="U567" s="24"/>
      <c r="V567" s="24"/>
      <c r="W567" s="24"/>
      <c r="X567" s="24"/>
      <c r="Y567" s="24"/>
      <c r="Z567" s="24"/>
    </row>
    <row r="568" hidden="1">
      <c r="A568" s="29">
        <f>IFERROR(__xludf.DUMMYFUNCTION("""COMPUTED_VALUE"""),39802.0)</f>
        <v>39802</v>
      </c>
      <c r="B568" s="24">
        <f>IFERROR(__xludf.DUMMYFUNCTION("""COMPUTED_VALUE"""),1.86639008E8)</f>
        <v>186639008</v>
      </c>
      <c r="C568" s="24" t="str">
        <f>IFERROR(__xludf.DUMMYFUNCTION("""COMPUTED_VALUE"""),"4605 W. Tidwell")</f>
        <v>4605 W. Tidwell</v>
      </c>
      <c r="D568" s="26" t="str">
        <f>IFERROR(__xludf.DUMMYFUNCTION("""COMPUTED_VALUE"""),"M")</f>
        <v>M</v>
      </c>
      <c r="E568" s="26" t="str">
        <f>IFERROR(__xludf.DUMMYFUNCTION("""COMPUTED_VALUE"""),"B")</f>
        <v>B</v>
      </c>
      <c r="F568" s="26">
        <f>IFERROR(__xludf.DUMMYFUNCTION("""COMPUTED_VALUE"""),24.0)</f>
        <v>24</v>
      </c>
      <c r="G568" s="26" t="str">
        <f>IFERROR(__xludf.DUMMYFUNCTION("""COMPUTED_VALUE"""),"Wounded")</f>
        <v>Wounded</v>
      </c>
      <c r="H568" s="26" t="str">
        <f>IFERROR(__xludf.DUMMYFUNCTION("""COMPUTED_VALUE"""),"None")</f>
        <v>None</v>
      </c>
      <c r="I568" s="27" t="str">
        <f>IFERROR(__xludf.DUMMYFUNCTION("""COMPUTED_VALUE"""),"M")</f>
        <v>M</v>
      </c>
      <c r="J568" s="27" t="str">
        <f>IFERROR(__xludf.DUMMYFUNCTION("""COMPUTED_VALUE"""),"W")</f>
        <v>W</v>
      </c>
      <c r="K568" s="27">
        <f>IFERROR(__xludf.DUMMYFUNCTION("""COMPUTED_VALUE"""),29.0)</f>
        <v>29</v>
      </c>
      <c r="L568" s="27" t="str">
        <f>IFERROR(__xludf.DUMMYFUNCTION("""COMPUTED_VALUE"""),"None")</f>
        <v>None</v>
      </c>
      <c r="M568" s="27" t="str">
        <f>IFERROR(__xludf.DUMMYFUNCTION("""COMPUTED_VALUE"""),"Y")</f>
        <v>Y</v>
      </c>
      <c r="N568" s="24"/>
      <c r="O568" s="24">
        <f>IFERROR(__xludf.DUMMYFUNCTION("""COMPUTED_VALUE"""),1.0)</f>
        <v>1</v>
      </c>
      <c r="P568" s="28" t="str">
        <f>IFERROR(__xludf.DUMMYFUNCTION("""COMPUTED_VALUE"""),"The officer was chasing the suspect on foot when he saw the suspect reaching into his waistband area and pull something out. The suspect then turned and faced the officer as if he were going to shoot him so the officer shot at the suspect.")</f>
        <v>The officer was chasing the suspect on foot when he saw the suspect reaching into his waistband area and pull something out. The suspect then turned and faced the officer as if he were going to shoot him so the officer shot at the suspect.</v>
      </c>
      <c r="Q568" s="24"/>
      <c r="R568" s="24"/>
      <c r="S568" s="24"/>
      <c r="T568" s="24"/>
      <c r="U568" s="24"/>
      <c r="V568" s="24"/>
      <c r="W568" s="24"/>
      <c r="X568" s="24"/>
      <c r="Y568" s="24"/>
      <c r="Z568" s="24"/>
    </row>
    <row r="569" hidden="1">
      <c r="A569" s="29">
        <f>IFERROR(__xludf.DUMMYFUNCTION("""COMPUTED_VALUE"""),39794.0)</f>
        <v>39794</v>
      </c>
      <c r="B569" s="24">
        <f>IFERROR(__xludf.DUMMYFUNCTION("""COMPUTED_VALUE"""),1.82749508E8)</f>
        <v>182749508</v>
      </c>
      <c r="C569" s="24" t="str">
        <f>IFERROR(__xludf.DUMMYFUNCTION("""COMPUTED_VALUE"""),"9797 Leawood Blvd")</f>
        <v>9797 Leawood Blvd</v>
      </c>
      <c r="D569" s="26" t="str">
        <f>IFERROR(__xludf.DUMMYFUNCTION("""COMPUTED_VALUE"""),"M")</f>
        <v>M</v>
      </c>
      <c r="E569" s="26" t="str">
        <f>IFERROR(__xludf.DUMMYFUNCTION("""COMPUTED_VALUE"""),"B")</f>
        <v>B</v>
      </c>
      <c r="F569" s="26">
        <f>IFERROR(__xludf.DUMMYFUNCTION("""COMPUTED_VALUE"""),18.0)</f>
        <v>18</v>
      </c>
      <c r="G569" s="26" t="str">
        <f>IFERROR(__xludf.DUMMYFUNCTION("""COMPUTED_VALUE"""),"Wounded")</f>
        <v>Wounded</v>
      </c>
      <c r="H569" s="26" t="str">
        <f>IFERROR(__xludf.DUMMYFUNCTION("""COMPUTED_VALUE"""),"Firearm")</f>
        <v>Firearm</v>
      </c>
      <c r="I569" s="27" t="str">
        <f>IFERROR(__xludf.DUMMYFUNCTION("""COMPUTED_VALUE"""),"M")</f>
        <v>M</v>
      </c>
      <c r="J569" s="27" t="str">
        <f>IFERROR(__xludf.DUMMYFUNCTION("""COMPUTED_VALUE"""),"H")</f>
        <v>H</v>
      </c>
      <c r="K569" s="27">
        <f>IFERROR(__xludf.DUMMYFUNCTION("""COMPUTED_VALUE"""),47.0)</f>
        <v>47</v>
      </c>
      <c r="L569" s="27" t="str">
        <f>IFERROR(__xludf.DUMMYFUNCTION("""COMPUTED_VALUE"""),"None")</f>
        <v>None</v>
      </c>
      <c r="M569" s="27" t="str">
        <f>IFERROR(__xludf.DUMMYFUNCTION("""COMPUTED_VALUE"""),"Y")</f>
        <v>Y</v>
      </c>
      <c r="N569" s="24"/>
      <c r="O569" s="24">
        <f>IFERROR(__xludf.DUMMYFUNCTION("""COMPUTED_VALUE"""),1.0)</f>
        <v>1</v>
      </c>
      <c r="P569" s="28" t="str">
        <f>IFERROR(__xludf.DUMMYFUNCTION("""COMPUTED_VALUE"""),"The officer confronted an armed robbery suspect. The suspect turned and pointed a weapon at the officer forcing the officer to shoot.")</f>
        <v>The officer confronted an armed robbery suspect. The suspect turned and pointed a weapon at the officer forcing the officer to shoot.</v>
      </c>
      <c r="Q569" s="24"/>
      <c r="R569" s="24"/>
      <c r="S569" s="24"/>
      <c r="T569" s="24"/>
      <c r="U569" s="24"/>
      <c r="V569" s="24"/>
      <c r="W569" s="24"/>
      <c r="X569" s="24"/>
      <c r="Y569" s="24"/>
      <c r="Z569" s="24"/>
    </row>
    <row r="570" hidden="1">
      <c r="A570" s="29">
        <f>IFERROR(__xludf.DUMMYFUNCTION("""COMPUTED_VALUE"""),39754.0)</f>
        <v>39754</v>
      </c>
      <c r="B570" s="24">
        <f>IFERROR(__xludf.DUMMYFUNCTION("""COMPUTED_VALUE"""),1.62114608E8)</f>
        <v>162114608</v>
      </c>
      <c r="C570" s="24" t="str">
        <f>IFERROR(__xludf.DUMMYFUNCTION("""COMPUTED_VALUE"""),"7500 Bellfort")</f>
        <v>7500 Bellfort</v>
      </c>
      <c r="D570" s="26" t="str">
        <f>IFERROR(__xludf.DUMMYFUNCTION("""COMPUTED_VALUE"""),"M")</f>
        <v>M</v>
      </c>
      <c r="E570" s="26" t="str">
        <f>IFERROR(__xludf.DUMMYFUNCTION("""COMPUTED_VALUE"""),"H")</f>
        <v>H</v>
      </c>
      <c r="F570" s="26">
        <f>IFERROR(__xludf.DUMMYFUNCTION("""COMPUTED_VALUE"""),24.0)</f>
        <v>24</v>
      </c>
      <c r="G570" s="26" t="str">
        <f>IFERROR(__xludf.DUMMYFUNCTION("""COMPUTED_VALUE"""),"Killed")</f>
        <v>Killed</v>
      </c>
      <c r="H570" s="26" t="str">
        <f>IFERROR(__xludf.DUMMYFUNCTION("""COMPUTED_VALUE"""),"Firearm")</f>
        <v>Firearm</v>
      </c>
      <c r="I570" s="27" t="str">
        <f>IFERROR(__xludf.DUMMYFUNCTION("""COMPUTED_VALUE"""),"M")</f>
        <v>M</v>
      </c>
      <c r="J570" s="27" t="str">
        <f>IFERROR(__xludf.DUMMYFUNCTION("""COMPUTED_VALUE"""),"W")</f>
        <v>W</v>
      </c>
      <c r="K570" s="27">
        <f>IFERROR(__xludf.DUMMYFUNCTION("""COMPUTED_VALUE"""),30.0)</f>
        <v>30</v>
      </c>
      <c r="L570" s="27" t="str">
        <f>IFERROR(__xludf.DUMMYFUNCTION("""COMPUTED_VALUE"""),"None")</f>
        <v>None</v>
      </c>
      <c r="M570" s="27" t="str">
        <f>IFERROR(__xludf.DUMMYFUNCTION("""COMPUTED_VALUE"""),"Y")</f>
        <v>Y</v>
      </c>
      <c r="N570" s="24"/>
      <c r="O570" s="24">
        <f>IFERROR(__xludf.DUMMYFUNCTION("""COMPUTED_VALUE"""),1.0)</f>
        <v>1</v>
      </c>
      <c r="P570" s="24" t="str">
        <f>IFERROR(__xludf.DUMMYFUNCTION("""COMPUTED_VALUE"""),"The officer responded to the sound of gunfire and saw the suspect shooting at passing vehicles. The officer saw the suspect ready to fire at more cars forcing him to shoot at the suspect.")</f>
        <v>The officer responded to the sound of gunfire and saw the suspect shooting at passing vehicles. The officer saw the suspect ready to fire at more cars forcing him to shoot at the suspect.</v>
      </c>
      <c r="Q570" s="24"/>
      <c r="R570" s="24"/>
      <c r="S570" s="24"/>
      <c r="T570" s="24"/>
      <c r="U570" s="24"/>
      <c r="V570" s="24"/>
      <c r="W570" s="24"/>
      <c r="X570" s="24"/>
      <c r="Y570" s="24"/>
      <c r="Z570" s="24"/>
    </row>
    <row r="571">
      <c r="A571" s="29">
        <f>IFERROR(__xludf.DUMMYFUNCTION("""COMPUTED_VALUE"""),39750.0)</f>
        <v>39750</v>
      </c>
      <c r="B571" s="24">
        <f>IFERROR(__xludf.DUMMYFUNCTION("""COMPUTED_VALUE"""),1.60051508E8)</f>
        <v>160051508</v>
      </c>
      <c r="C571" s="24" t="str">
        <f>IFERROR(__xludf.DUMMYFUNCTION("""COMPUTED_VALUE"""),"1500 Eldridge Parkway")</f>
        <v>1500 Eldridge Parkway</v>
      </c>
      <c r="D571" s="26" t="str">
        <f>IFERROR(__xludf.DUMMYFUNCTION("""COMPUTED_VALUE"""),"M")</f>
        <v>M</v>
      </c>
      <c r="E571" s="26" t="str">
        <f>IFERROR(__xludf.DUMMYFUNCTION("""COMPUTED_VALUE"""),"B")</f>
        <v>B</v>
      </c>
      <c r="F571" s="26">
        <f>IFERROR(__xludf.DUMMYFUNCTION("""COMPUTED_VALUE"""),29.0)</f>
        <v>29</v>
      </c>
      <c r="G571" s="26" t="str">
        <f>IFERROR(__xludf.DUMMYFUNCTION("""COMPUTED_VALUE"""),"None")</f>
        <v>None</v>
      </c>
      <c r="H571" s="26" t="str">
        <f>IFERROR(__xludf.DUMMYFUNCTION("""COMPUTED_VALUE"""),"Vehicle")</f>
        <v>Vehicle</v>
      </c>
      <c r="I571" s="27" t="str">
        <f>IFERROR(__xludf.DUMMYFUNCTION("""COMPUTED_VALUE"""),"M")</f>
        <v>M</v>
      </c>
      <c r="J571" s="27" t="str">
        <f>IFERROR(__xludf.DUMMYFUNCTION("""COMPUTED_VALUE"""),"W")</f>
        <v>W</v>
      </c>
      <c r="K571" s="27">
        <f>IFERROR(__xludf.DUMMYFUNCTION("""COMPUTED_VALUE"""),39.0)</f>
        <v>39</v>
      </c>
      <c r="L571" s="27" t="str">
        <f>IFERROR(__xludf.DUMMYFUNCTION("""COMPUTED_VALUE"""),"None")</f>
        <v>None</v>
      </c>
      <c r="M571" s="27" t="str">
        <f>IFERROR(__xludf.DUMMYFUNCTION("""COMPUTED_VALUE"""),"Y")</f>
        <v>Y</v>
      </c>
      <c r="N571" s="24"/>
      <c r="O571" s="24">
        <f>IFERROR(__xludf.DUMMYFUNCTION("""COMPUTED_VALUE"""),1.0)</f>
        <v>1</v>
      </c>
      <c r="P571" s="28" t="str">
        <f>IFERROR(__xludf.DUMMYFUNCTION("""COMPUTED_VALUE"""),"The officers were attempting to arrest a narcotics suspect when the suspect attempted to flee by driving over a police vehicle. An officer was trapped in the vehicle that the suspect was attempting to run over forcing the officer to shoot in an attempt to"&amp;" stop the suspect.")</f>
        <v>The officers were attempting to arrest a narcotics suspect when the suspect attempted to flee by driving over a police vehicle. An officer was trapped in the vehicle that the suspect was attempting to run over forcing the officer to shoot in an attempt to stop the suspect.</v>
      </c>
      <c r="Q571" s="24"/>
      <c r="R571" s="24"/>
      <c r="S571" s="24"/>
      <c r="T571" s="24"/>
      <c r="U571" s="24"/>
      <c r="V571" s="24"/>
      <c r="W571" s="24"/>
      <c r="X571" s="24"/>
      <c r="Y571" s="24"/>
      <c r="Z571" s="24"/>
    </row>
    <row r="572" hidden="1">
      <c r="A572" s="29">
        <f>IFERROR(__xludf.DUMMYFUNCTION("""COMPUTED_VALUE"""),39749.0)</f>
        <v>39749</v>
      </c>
      <c r="B572" s="24">
        <f>IFERROR(__xludf.DUMMYFUNCTION("""COMPUTED_VALUE"""),1.59479208E8)</f>
        <v>159479208</v>
      </c>
      <c r="C572" s="24" t="str">
        <f>IFERROR(__xludf.DUMMYFUNCTION("""COMPUTED_VALUE"""),"2330 W. Little York")</f>
        <v>2330 W. Little York</v>
      </c>
      <c r="D572" s="26" t="str">
        <f>IFERROR(__xludf.DUMMYFUNCTION("""COMPUTED_VALUE"""),"M")</f>
        <v>M</v>
      </c>
      <c r="E572" s="26" t="str">
        <f>IFERROR(__xludf.DUMMYFUNCTION("""COMPUTED_VALUE"""),"B")</f>
        <v>B</v>
      </c>
      <c r="F572" s="26">
        <f>IFERROR(__xludf.DUMMYFUNCTION("""COMPUTED_VALUE"""),45.0)</f>
        <v>45</v>
      </c>
      <c r="G572" s="26" t="str">
        <f>IFERROR(__xludf.DUMMYFUNCTION("""COMPUTED_VALUE"""),"Killed")</f>
        <v>Killed</v>
      </c>
      <c r="H572" s="26" t="str">
        <f>IFERROR(__xludf.DUMMYFUNCTION("""COMPUTED_VALUE"""),"Firearm")</f>
        <v>Firearm</v>
      </c>
      <c r="I572" s="27" t="str">
        <f>IFERROR(__xludf.DUMMYFUNCTION("""COMPUTED_VALUE"""),"M")</f>
        <v>M</v>
      </c>
      <c r="J572" s="27" t="str">
        <f>IFERROR(__xludf.DUMMYFUNCTION("""COMPUTED_VALUE"""),"P")</f>
        <v>P</v>
      </c>
      <c r="K572" s="27">
        <f>IFERROR(__xludf.DUMMYFUNCTION("""COMPUTED_VALUE"""),46.0)</f>
        <v>46</v>
      </c>
      <c r="L572" s="27" t="str">
        <f>IFERROR(__xludf.DUMMYFUNCTION("""COMPUTED_VALUE"""),"None")</f>
        <v>None</v>
      </c>
      <c r="M572" s="27" t="str">
        <f>IFERROR(__xludf.DUMMYFUNCTION("""COMPUTED_VALUE"""),"Y")</f>
        <v>Y</v>
      </c>
      <c r="N572" s="24"/>
      <c r="O572" s="24"/>
      <c r="P572" s="24" t="str">
        <f>IFERROR(__xludf.DUMMYFUNCTION("""COMPUTED_VALUE"""),"The officer was set up on the perimiter of a house where an armed suspect had barricaded himself inside. The officer saw the suspect point a weapon at him and was forced to shoot at the suspect fearing that the suspect was going to shoot.")</f>
        <v>The officer was set up on the perimiter of a house where an armed suspect had barricaded himself inside. The officer saw the suspect point a weapon at him and was forced to shoot at the suspect fearing that the suspect was going to shoot.</v>
      </c>
      <c r="Q572" s="24"/>
      <c r="R572" s="24"/>
      <c r="S572" s="24"/>
      <c r="T572" s="24"/>
      <c r="U572" s="24"/>
      <c r="V572" s="24"/>
      <c r="W572" s="24"/>
      <c r="X572" s="24"/>
      <c r="Y572" s="24"/>
      <c r="Z572" s="24"/>
    </row>
    <row r="573">
      <c r="A573" s="29">
        <f>IFERROR(__xludf.DUMMYFUNCTION("""COMPUTED_VALUE"""),39736.0)</f>
        <v>39736</v>
      </c>
      <c r="B573" s="24">
        <f>IFERROR(__xludf.DUMMYFUNCTION("""COMPUTED_VALUE"""),1.52494608E8)</f>
        <v>152494608</v>
      </c>
      <c r="C573" s="24" t="str">
        <f>IFERROR(__xludf.DUMMYFUNCTION("""COMPUTED_VALUE"""),"6556 Peerless")</f>
        <v>6556 Peerless</v>
      </c>
      <c r="D573" s="26" t="str">
        <f>IFERROR(__xludf.DUMMYFUNCTION("""COMPUTED_VALUE"""),"M")</f>
        <v>M</v>
      </c>
      <c r="E573" s="26" t="str">
        <f>IFERROR(__xludf.DUMMYFUNCTION("""COMPUTED_VALUE"""),"B")</f>
        <v>B</v>
      </c>
      <c r="F573" s="26"/>
      <c r="G573" s="26" t="str">
        <f>IFERROR(__xludf.DUMMYFUNCTION("""COMPUTED_VALUE"""),"None")</f>
        <v>None</v>
      </c>
      <c r="H573" s="26" t="str">
        <f>IFERROR(__xludf.DUMMYFUNCTION("""COMPUTED_VALUE"""),"Firearm")</f>
        <v>Firearm</v>
      </c>
      <c r="I573" s="27" t="str">
        <f>IFERROR(__xludf.DUMMYFUNCTION("""COMPUTED_VALUE"""),"M")</f>
        <v>M</v>
      </c>
      <c r="J573" s="27" t="str">
        <f>IFERROR(__xludf.DUMMYFUNCTION("""COMPUTED_VALUE"""),"W")</f>
        <v>W</v>
      </c>
      <c r="K573" s="27">
        <f>IFERROR(__xludf.DUMMYFUNCTION("""COMPUTED_VALUE"""),24.0)</f>
        <v>24</v>
      </c>
      <c r="L573" s="27" t="str">
        <f>IFERROR(__xludf.DUMMYFUNCTION("""COMPUTED_VALUE"""),"None")</f>
        <v>None</v>
      </c>
      <c r="M573" s="27" t="str">
        <f>IFERROR(__xludf.DUMMYFUNCTION("""COMPUTED_VALUE"""),"Y")</f>
        <v>Y</v>
      </c>
      <c r="N573" s="24"/>
      <c r="O573" s="24">
        <f>IFERROR(__xludf.DUMMYFUNCTION("""COMPUTED_VALUE"""),1.0)</f>
        <v>1</v>
      </c>
      <c r="P573" s="28" t="str">
        <f>IFERROR(__xludf.DUMMYFUNCTION("""COMPUTED_VALUE"""),"The officer responded to teh sound of gunfire and when he arrived he saw the suspect shooting at a vehicle. The officer told the suspect to drop the weapon but the suspect turned and pointed the weapon at the officer forcing the officer to shoot.")</f>
        <v>The officer responded to teh sound of gunfire and when he arrived he saw the suspect shooting at a vehicle. The officer told the suspect to drop the weapon but the suspect turned and pointed the weapon at the officer forcing the officer to shoot.</v>
      </c>
      <c r="Q573" s="24"/>
      <c r="R573" s="24"/>
      <c r="S573" s="24"/>
      <c r="T573" s="24"/>
      <c r="U573" s="24"/>
      <c r="V573" s="24"/>
      <c r="W573" s="24"/>
      <c r="X573" s="24"/>
      <c r="Y573" s="24"/>
      <c r="Z573" s="24"/>
    </row>
    <row r="574">
      <c r="A574" s="29">
        <f>IFERROR(__xludf.DUMMYFUNCTION("""COMPUTED_VALUE"""),39735.0)</f>
        <v>39735</v>
      </c>
      <c r="B574" s="24">
        <f>IFERROR(__xludf.DUMMYFUNCTION("""COMPUTED_VALUE"""),1.52368308E8)</f>
        <v>152368308</v>
      </c>
      <c r="C574" s="24" t="str">
        <f>IFERROR(__xludf.DUMMYFUNCTION("""COMPUTED_VALUE"""),"5720 Rampart")</f>
        <v>5720 Rampart</v>
      </c>
      <c r="D574" s="26" t="str">
        <f>IFERROR(__xludf.DUMMYFUNCTION("""COMPUTED_VALUE"""),"M")</f>
        <v>M</v>
      </c>
      <c r="E574" s="26" t="str">
        <f>IFERROR(__xludf.DUMMYFUNCTION("""COMPUTED_VALUE"""),"H")</f>
        <v>H</v>
      </c>
      <c r="F574" s="26">
        <f>IFERROR(__xludf.DUMMYFUNCTION("""COMPUTED_VALUE"""),21.0)</f>
        <v>21</v>
      </c>
      <c r="G574" s="26" t="str">
        <f>IFERROR(__xludf.DUMMYFUNCTION("""COMPUTED_VALUE"""),"None")</f>
        <v>None</v>
      </c>
      <c r="H574" s="26" t="str">
        <f>IFERROR(__xludf.DUMMYFUNCTION("""COMPUTED_VALUE"""),"Firearm")</f>
        <v>Firearm</v>
      </c>
      <c r="I574" s="27" t="str">
        <f>IFERROR(__xludf.DUMMYFUNCTION("""COMPUTED_VALUE"""),"F")</f>
        <v>F</v>
      </c>
      <c r="J574" s="27" t="str">
        <f>IFERROR(__xludf.DUMMYFUNCTION("""COMPUTED_VALUE"""),"W")</f>
        <v>W</v>
      </c>
      <c r="K574" s="27">
        <f>IFERROR(__xludf.DUMMYFUNCTION("""COMPUTED_VALUE"""),37.0)</f>
        <v>37</v>
      </c>
      <c r="L574" s="27" t="str">
        <f>IFERROR(__xludf.DUMMYFUNCTION("""COMPUTED_VALUE"""),"None")</f>
        <v>None</v>
      </c>
      <c r="M574" s="27" t="str">
        <f>IFERROR(__xludf.DUMMYFUNCTION("""COMPUTED_VALUE"""),"Y")</f>
        <v>Y</v>
      </c>
      <c r="N574" s="24"/>
      <c r="O574" s="24">
        <f>IFERROR(__xludf.DUMMYFUNCTION("""COMPUTED_VALUE"""),1.0)</f>
        <v>1</v>
      </c>
      <c r="P574" s="28" t="str">
        <f>IFERROR(__xludf.DUMMYFUNCTION("""COMPUTED_VALUE"""),"The officer was chasing the robbery suspect when the suspect pulled out a weapon and shot at the officer forcing the officer to return fire.")</f>
        <v>The officer was chasing the robbery suspect when the suspect pulled out a weapon and shot at the officer forcing the officer to return fire.</v>
      </c>
      <c r="Q574" s="24"/>
      <c r="R574" s="24"/>
      <c r="S574" s="24"/>
      <c r="T574" s="24"/>
      <c r="U574" s="24"/>
      <c r="V574" s="24"/>
      <c r="W574" s="24"/>
      <c r="X574" s="24"/>
      <c r="Y574" s="24"/>
      <c r="Z574" s="24"/>
    </row>
    <row r="575">
      <c r="A575" s="29">
        <f>IFERROR(__xludf.DUMMYFUNCTION("""COMPUTED_VALUE"""),39735.0)</f>
        <v>39735</v>
      </c>
      <c r="B575" s="24">
        <f>IFERROR(__xludf.DUMMYFUNCTION("""COMPUTED_VALUE"""),1.52464708E8)</f>
        <v>152464708</v>
      </c>
      <c r="C575" s="24" t="str">
        <f>IFERROR(__xludf.DUMMYFUNCTION("""COMPUTED_VALUE"""),"3333 Old Spanish Trail")</f>
        <v>3333 Old Spanish Trail</v>
      </c>
      <c r="D575" s="26" t="str">
        <f>IFERROR(__xludf.DUMMYFUNCTION("""COMPUTED_VALUE"""),"M")</f>
        <v>M</v>
      </c>
      <c r="E575" s="26" t="str">
        <f>IFERROR(__xludf.DUMMYFUNCTION("""COMPUTED_VALUE"""),"B")</f>
        <v>B</v>
      </c>
      <c r="F575" s="26"/>
      <c r="G575" s="26" t="str">
        <f>IFERROR(__xludf.DUMMYFUNCTION("""COMPUTED_VALUE"""),"None")</f>
        <v>None</v>
      </c>
      <c r="H575" s="26" t="str">
        <f>IFERROR(__xludf.DUMMYFUNCTION("""COMPUTED_VALUE"""),"Firearm")</f>
        <v>Firearm</v>
      </c>
      <c r="I575" s="27" t="str">
        <f>IFERROR(__xludf.DUMMYFUNCTION("""COMPUTED_VALUE"""),"M")</f>
        <v>M</v>
      </c>
      <c r="J575" s="27" t="str">
        <f>IFERROR(__xludf.DUMMYFUNCTION("""COMPUTED_VALUE"""),"B")</f>
        <v>B</v>
      </c>
      <c r="K575" s="27">
        <f>IFERROR(__xludf.DUMMYFUNCTION("""COMPUTED_VALUE"""),32.0)</f>
        <v>32</v>
      </c>
      <c r="L575" s="27" t="str">
        <f>IFERROR(__xludf.DUMMYFUNCTION("""COMPUTED_VALUE"""),"None")</f>
        <v>None</v>
      </c>
      <c r="M575" s="27" t="str">
        <f>IFERROR(__xludf.DUMMYFUNCTION("""COMPUTED_VALUE"""),"N")</f>
        <v>N</v>
      </c>
      <c r="N575" s="24"/>
      <c r="O575" s="24">
        <f>IFERROR(__xludf.DUMMYFUNCTION("""COMPUTED_VALUE"""),1.0)</f>
        <v>1</v>
      </c>
      <c r="P575" s="28" t="str">
        <f>IFERROR(__xludf.DUMMYFUNCTION("""COMPUTED_VALUE"""),"The officers was attempting to detain a suspect when the suspect jumped into a vehicle pulled out a weapon and pointed it at the officer forcing the officer to shoot at the suspect before the vehicle sped off.")</f>
        <v>The officers was attempting to detain a suspect when the suspect jumped into a vehicle pulled out a weapon and pointed it at the officer forcing the officer to shoot at the suspect before the vehicle sped off.</v>
      </c>
      <c r="Q575" s="24"/>
      <c r="R575" s="24"/>
      <c r="S575" s="24"/>
      <c r="T575" s="24"/>
      <c r="U575" s="24"/>
      <c r="V575" s="24"/>
      <c r="W575" s="24"/>
      <c r="X575" s="24"/>
      <c r="Y575" s="24"/>
      <c r="Z575" s="24"/>
    </row>
    <row r="576">
      <c r="A576" s="29">
        <f>IFERROR(__xludf.DUMMYFUNCTION("""COMPUTED_VALUE"""),39709.0)</f>
        <v>39709</v>
      </c>
      <c r="B576" s="24">
        <f>IFERROR(__xludf.DUMMYFUNCTION("""COMPUTED_VALUE"""),1.37113208E8)</f>
        <v>137113208</v>
      </c>
      <c r="C576" s="24" t="str">
        <f>IFERROR(__xludf.DUMMYFUNCTION("""COMPUTED_VALUE"""),"5901 Selinsky")</f>
        <v>5901 Selinsky</v>
      </c>
      <c r="D576" s="26" t="str">
        <f>IFERROR(__xludf.DUMMYFUNCTION("""COMPUTED_VALUE"""),"M")</f>
        <v>M</v>
      </c>
      <c r="E576" s="26" t="str">
        <f>IFERROR(__xludf.DUMMYFUNCTION("""COMPUTED_VALUE"""),"B")</f>
        <v>B</v>
      </c>
      <c r="F576" s="26"/>
      <c r="G576" s="26" t="str">
        <f>IFERROR(__xludf.DUMMYFUNCTION("""COMPUTED_VALUE"""),"None")</f>
        <v>None</v>
      </c>
      <c r="H576" s="26" t="str">
        <f>IFERROR(__xludf.DUMMYFUNCTION("""COMPUTED_VALUE"""),"Firearm")</f>
        <v>Firearm</v>
      </c>
      <c r="I576" s="27" t="str">
        <f>IFERROR(__xludf.DUMMYFUNCTION("""COMPUTED_VALUE"""),"M")</f>
        <v>M</v>
      </c>
      <c r="J576" s="27" t="str">
        <f>IFERROR(__xludf.DUMMYFUNCTION("""COMPUTED_VALUE"""),"H")</f>
        <v>H</v>
      </c>
      <c r="K576" s="27">
        <f>IFERROR(__xludf.DUMMYFUNCTION("""COMPUTED_VALUE"""),35.0)</f>
        <v>35</v>
      </c>
      <c r="L576" s="27" t="str">
        <f>IFERROR(__xludf.DUMMYFUNCTION("""COMPUTED_VALUE"""),"None")</f>
        <v>None</v>
      </c>
      <c r="M576" s="27" t="str">
        <f>IFERROR(__xludf.DUMMYFUNCTION("""COMPUTED_VALUE"""),"Y")</f>
        <v>Y</v>
      </c>
      <c r="N576" s="24"/>
      <c r="O576" s="24"/>
      <c r="P576" s="28" t="str">
        <f>IFERROR(__xludf.DUMMYFUNCTION("""COMPUTED_VALUE"""),"The officers were getting out of their vehicle when the suspect pulled a weapon from his pocket and fired at the officers forcing one of the officers to return fire.")</f>
        <v>The officers were getting out of their vehicle when the suspect pulled a weapon from his pocket and fired at the officers forcing one of the officers to return fire.</v>
      </c>
      <c r="Q576" s="24"/>
      <c r="R576" s="24"/>
      <c r="S576" s="24"/>
      <c r="T576" s="24"/>
      <c r="U576" s="24"/>
      <c r="V576" s="24"/>
      <c r="W576" s="24"/>
      <c r="X576" s="24"/>
      <c r="Y576" s="24"/>
      <c r="Z576" s="24"/>
    </row>
    <row r="577" hidden="1">
      <c r="A577" s="29">
        <f>IFERROR(__xludf.DUMMYFUNCTION("""COMPUTED_VALUE"""),39708.0)</f>
        <v>39708</v>
      </c>
      <c r="B577" s="24">
        <f>IFERROR(__xludf.DUMMYFUNCTION("""COMPUTED_VALUE"""),1.36611408E8)</f>
        <v>136611408</v>
      </c>
      <c r="C577" s="24" t="str">
        <f>IFERROR(__xludf.DUMMYFUNCTION("""COMPUTED_VALUE"""),"5300 Hershe")</f>
        <v>5300 Hershe</v>
      </c>
      <c r="D577" s="26" t="str">
        <f>IFERROR(__xludf.DUMMYFUNCTION("""COMPUTED_VALUE"""),"M")</f>
        <v>M</v>
      </c>
      <c r="E577" s="26" t="str">
        <f>IFERROR(__xludf.DUMMYFUNCTION("""COMPUTED_VALUE"""),"B")</f>
        <v>B</v>
      </c>
      <c r="F577" s="26">
        <f>IFERROR(__xludf.DUMMYFUNCTION("""COMPUTED_VALUE"""),29.0)</f>
        <v>29</v>
      </c>
      <c r="G577" s="26" t="str">
        <f>IFERROR(__xludf.DUMMYFUNCTION("""COMPUTED_VALUE"""),"Killed")</f>
        <v>Killed</v>
      </c>
      <c r="H577" s="26" t="str">
        <f>IFERROR(__xludf.DUMMYFUNCTION("""COMPUTED_VALUE"""),"Firearm")</f>
        <v>Firearm</v>
      </c>
      <c r="I577" s="27" t="str">
        <f>IFERROR(__xludf.DUMMYFUNCTION("""COMPUTED_VALUE"""),"M")</f>
        <v>M</v>
      </c>
      <c r="J577" s="27" t="str">
        <f>IFERROR(__xludf.DUMMYFUNCTION("""COMPUTED_VALUE"""),"W")</f>
        <v>W</v>
      </c>
      <c r="K577" s="27">
        <f>IFERROR(__xludf.DUMMYFUNCTION("""COMPUTED_VALUE"""),39.0)</f>
        <v>39</v>
      </c>
      <c r="L577" s="27" t="str">
        <f>IFERROR(__xludf.DUMMYFUNCTION("""COMPUTED_VALUE"""),"None")</f>
        <v>None</v>
      </c>
      <c r="M577" s="27" t="str">
        <f>IFERROR(__xludf.DUMMYFUNCTION("""COMPUTED_VALUE"""),"Y")</f>
        <v>Y</v>
      </c>
      <c r="N577" s="24"/>
      <c r="O577" s="24">
        <f>IFERROR(__xludf.DUMMYFUNCTION("""COMPUTED_VALUE"""),1.0)</f>
        <v>1</v>
      </c>
      <c r="P577" s="24" t="str">
        <f>IFERROR(__xludf.DUMMYFUNCTION("""COMPUTED_VALUE"""),"The officer heard a child screaming and when he found the child he saw that the suspect was holding the child and had a shotgun pointed at him. The officer was able to get the child free and as the child ran the suspect pointed the weapon at the child for"&amp;"cing the officer to shoot.")</f>
        <v>The officer heard a child screaming and when he found the child he saw that the suspect was holding the child and had a shotgun pointed at him. The officer was able to get the child free and as the child ran the suspect pointed the weapon at the child forcing the officer to shoot.</v>
      </c>
      <c r="Q577" s="24"/>
      <c r="R577" s="24"/>
      <c r="S577" s="24"/>
      <c r="T577" s="24"/>
      <c r="U577" s="24"/>
      <c r="V577" s="24"/>
      <c r="W577" s="24"/>
      <c r="X577" s="24"/>
      <c r="Y577" s="24"/>
      <c r="Z577" s="24"/>
    </row>
    <row r="578" hidden="1">
      <c r="A578" s="29">
        <f>IFERROR(__xludf.DUMMYFUNCTION("""COMPUTED_VALUE"""),39694.0)</f>
        <v>39694</v>
      </c>
      <c r="B578" s="24">
        <f>IFERROR(__xludf.DUMMYFUNCTION("""COMPUTED_VALUE"""),1.28334208E8)</f>
        <v>128334208</v>
      </c>
      <c r="C578" s="24" t="str">
        <f>IFERROR(__xludf.DUMMYFUNCTION("""COMPUTED_VALUE"""),"Protected By Law")</f>
        <v>Protected By Law</v>
      </c>
      <c r="D578" s="26" t="str">
        <f>IFERROR(__xludf.DUMMYFUNCTION("""COMPUTED_VALUE"""),"M")</f>
        <v>M</v>
      </c>
      <c r="E578" s="26" t="str">
        <f>IFERROR(__xludf.DUMMYFUNCTION("""COMPUTED_VALUE"""),"B")</f>
        <v>B</v>
      </c>
      <c r="F578" s="26">
        <f>IFERROR(__xludf.DUMMYFUNCTION("""COMPUTED_VALUE"""),25.0)</f>
        <v>25</v>
      </c>
      <c r="G578" s="26" t="str">
        <f>IFERROR(__xludf.DUMMYFUNCTION("""COMPUTED_VALUE"""),"Killed")</f>
        <v>Killed</v>
      </c>
      <c r="H578" s="26" t="str">
        <f>IFERROR(__xludf.DUMMYFUNCTION("""COMPUTED_VALUE"""),"None")</f>
        <v>None</v>
      </c>
      <c r="I578" s="27" t="str">
        <f>IFERROR(__xludf.DUMMYFUNCTION("""COMPUTED_VALUE"""),"M")</f>
        <v>M</v>
      </c>
      <c r="J578" s="27" t="str">
        <f>IFERROR(__xludf.DUMMYFUNCTION("""COMPUTED_VALUE"""),"B")</f>
        <v>B</v>
      </c>
      <c r="K578" s="27">
        <f>IFERROR(__xludf.DUMMYFUNCTION("""COMPUTED_VALUE"""),38.0)</f>
        <v>38</v>
      </c>
      <c r="L578" s="27" t="str">
        <f>IFERROR(__xludf.DUMMYFUNCTION("""COMPUTED_VALUE"""),"None")</f>
        <v>None</v>
      </c>
      <c r="M578" s="27" t="str">
        <f>IFERROR(__xludf.DUMMYFUNCTION("""COMPUTED_VALUE"""),"N")</f>
        <v>N</v>
      </c>
      <c r="N578" s="24"/>
      <c r="O578" s="24">
        <f>IFERROR(__xludf.DUMMYFUNCTION("""COMPUTED_VALUE"""),1.0)</f>
        <v>1</v>
      </c>
      <c r="P578" s="24" t="str">
        <f>IFERROR(__xludf.DUMMYFUNCTION("""COMPUTED_VALUE"""),"The officer confronted a burglary of a residence suspect. The suspect had an object in his hand and appeared to point it at the officer causing the officer to shoot.")</f>
        <v>The officer confronted a burglary of a residence suspect. The suspect had an object in his hand and appeared to point it at the officer causing the officer to shoot.</v>
      </c>
      <c r="Q578" s="24"/>
      <c r="R578" s="24"/>
      <c r="S578" s="24"/>
      <c r="T578" s="24"/>
      <c r="U578" s="24"/>
      <c r="V578" s="24"/>
      <c r="W578" s="24"/>
      <c r="X578" s="24"/>
      <c r="Y578" s="24"/>
      <c r="Z578" s="24"/>
    </row>
    <row r="579" hidden="1">
      <c r="A579" s="29">
        <f>IFERROR(__xludf.DUMMYFUNCTION("""COMPUTED_VALUE"""),39682.0)</f>
        <v>39682</v>
      </c>
      <c r="B579" s="24">
        <f>IFERROR(__xludf.DUMMYFUNCTION("""COMPUTED_VALUE"""),1.22355008E8)</f>
        <v>122355008</v>
      </c>
      <c r="C579" s="24" t="str">
        <f>IFERROR(__xludf.DUMMYFUNCTION("""COMPUTED_VALUE"""),"9220 E. Ave K")</f>
        <v>9220 E. Ave K</v>
      </c>
      <c r="D579" s="26" t="str">
        <f>IFERROR(__xludf.DUMMYFUNCTION("""COMPUTED_VALUE"""),"M")</f>
        <v>M</v>
      </c>
      <c r="E579" s="26" t="str">
        <f>IFERROR(__xludf.DUMMYFUNCTION("""COMPUTED_VALUE"""),"H")</f>
        <v>H</v>
      </c>
      <c r="F579" s="26">
        <f>IFERROR(__xludf.DUMMYFUNCTION("""COMPUTED_VALUE"""),20.0)</f>
        <v>20</v>
      </c>
      <c r="G579" s="26" t="str">
        <f>IFERROR(__xludf.DUMMYFUNCTION("""COMPUTED_VALUE"""),"Wounded")</f>
        <v>Wounded</v>
      </c>
      <c r="H579" s="26" t="str">
        <f>IFERROR(__xludf.DUMMYFUNCTION("""COMPUTED_VALUE"""),"None")</f>
        <v>None</v>
      </c>
      <c r="I579" s="27" t="str">
        <f>IFERROR(__xludf.DUMMYFUNCTION("""COMPUTED_VALUE"""),"M")</f>
        <v>M</v>
      </c>
      <c r="J579" s="27" t="str">
        <f>IFERROR(__xludf.DUMMYFUNCTION("""COMPUTED_VALUE"""),"W")</f>
        <v>W</v>
      </c>
      <c r="K579" s="27">
        <f>IFERROR(__xludf.DUMMYFUNCTION("""COMPUTED_VALUE"""),38.0)</f>
        <v>38</v>
      </c>
      <c r="L579" s="27" t="str">
        <f>IFERROR(__xludf.DUMMYFUNCTION("""COMPUTED_VALUE"""),"None")</f>
        <v>None</v>
      </c>
      <c r="M579" s="27" t="str">
        <f>IFERROR(__xludf.DUMMYFUNCTION("""COMPUTED_VALUE"""),"Y")</f>
        <v>Y</v>
      </c>
      <c r="N579" s="24"/>
      <c r="O579" s="24"/>
      <c r="P579" s="28" t="str">
        <f>IFERROR(__xludf.DUMMYFUNCTION("""COMPUTED_VALUE"""),"The officer was conducting a narcotics search warrant when the suspect was spotted. The suspect refused to comply with the officer and instead made a gesture as if to reach for a weapon forcing the officer to shoot.")</f>
        <v>The officer was conducting a narcotics search warrant when the suspect was spotted. The suspect refused to comply with the officer and instead made a gesture as if to reach for a weapon forcing the officer to shoot.</v>
      </c>
      <c r="Q579" s="24"/>
      <c r="R579" s="24"/>
      <c r="S579" s="24"/>
      <c r="T579" s="24"/>
      <c r="U579" s="24"/>
      <c r="V579" s="24"/>
      <c r="W579" s="24"/>
      <c r="X579" s="24"/>
      <c r="Y579" s="24"/>
      <c r="Z579" s="24"/>
    </row>
    <row r="580" hidden="1">
      <c r="A580" s="29">
        <f>IFERROR(__xludf.DUMMYFUNCTION("""COMPUTED_VALUE"""),39676.0)</f>
        <v>39676</v>
      </c>
      <c r="B580" s="24">
        <f>IFERROR(__xludf.DUMMYFUNCTION("""COMPUTED_VALUE"""),1.19425508E8)</f>
        <v>119425508</v>
      </c>
      <c r="C580" s="24" t="str">
        <f>IFERROR(__xludf.DUMMYFUNCTION("""COMPUTED_VALUE"""),"3307 Hastings")</f>
        <v>3307 Hastings</v>
      </c>
      <c r="D580" s="26" t="str">
        <f>IFERROR(__xludf.DUMMYFUNCTION("""COMPUTED_VALUE"""),"M")</f>
        <v>M</v>
      </c>
      <c r="E580" s="26" t="str">
        <f>IFERROR(__xludf.DUMMYFUNCTION("""COMPUTED_VALUE"""),"H")</f>
        <v>H</v>
      </c>
      <c r="F580" s="26">
        <f>IFERROR(__xludf.DUMMYFUNCTION("""COMPUTED_VALUE"""),28.0)</f>
        <v>28</v>
      </c>
      <c r="G580" s="26" t="str">
        <f>IFERROR(__xludf.DUMMYFUNCTION("""COMPUTED_VALUE"""),"Wounded")</f>
        <v>Wounded</v>
      </c>
      <c r="H580" s="26" t="str">
        <f>IFERROR(__xludf.DUMMYFUNCTION("""COMPUTED_VALUE"""),"Sword")</f>
        <v>Sword</v>
      </c>
      <c r="I580" s="27" t="str">
        <f>IFERROR(__xludf.DUMMYFUNCTION("""COMPUTED_VALUE"""),"M")</f>
        <v>M</v>
      </c>
      <c r="J580" s="27" t="str">
        <f>IFERROR(__xludf.DUMMYFUNCTION("""COMPUTED_VALUE"""),"H")</f>
        <v>H</v>
      </c>
      <c r="K580" s="27">
        <f>IFERROR(__xludf.DUMMYFUNCTION("""COMPUTED_VALUE"""),24.0)</f>
        <v>24</v>
      </c>
      <c r="L580" s="27" t="str">
        <f>IFERROR(__xludf.DUMMYFUNCTION("""COMPUTED_VALUE"""),"None")</f>
        <v>None</v>
      </c>
      <c r="M580" s="27" t="str">
        <f>IFERROR(__xludf.DUMMYFUNCTION("""COMPUTED_VALUE"""),"Y")</f>
        <v>Y</v>
      </c>
      <c r="N580" s="24"/>
      <c r="O580" s="24">
        <f>IFERROR(__xludf.DUMMYFUNCTION("""COMPUTED_VALUE"""),1.0)</f>
        <v>1</v>
      </c>
      <c r="P580" s="28" t="str">
        <f>IFERROR(__xludf.DUMMYFUNCTION("""COMPUTED_VALUE"""),"The suspect was threatening people with a sword. The officer arrived and found the suspect who was still armed. The officer attempted to get the suspect to drop the weapon but the suspect refused and continued to advance on the officer forcing the officer"&amp;" to shoot.")</f>
        <v>The suspect was threatening people with a sword. The officer arrived and found the suspect who was still armed. The officer attempted to get the suspect to drop the weapon but the suspect refused and continued to advance on the officer forcing the officer to shoot.</v>
      </c>
      <c r="Q580" s="24"/>
      <c r="R580" s="24"/>
      <c r="S580" s="24"/>
      <c r="T580" s="24"/>
      <c r="U580" s="24"/>
      <c r="V580" s="24"/>
      <c r="W580" s="24"/>
      <c r="X580" s="24"/>
      <c r="Y580" s="24"/>
      <c r="Z580" s="24"/>
    </row>
    <row r="581">
      <c r="A581" s="29">
        <f>IFERROR(__xludf.DUMMYFUNCTION("""COMPUTED_VALUE"""),39671.0)</f>
        <v>39671</v>
      </c>
      <c r="B581" s="24">
        <f>IFERROR(__xludf.DUMMYFUNCTION("""COMPUTED_VALUE"""),1.16404708E8)</f>
        <v>116404708</v>
      </c>
      <c r="C581" s="24" t="str">
        <f>IFERROR(__xludf.DUMMYFUNCTION("""COMPUTED_VALUE"""),"5706 Richmond Ave.")</f>
        <v>5706 Richmond Ave.</v>
      </c>
      <c r="D581" s="26" t="str">
        <f>IFERROR(__xludf.DUMMYFUNCTION("""COMPUTED_VALUE"""),"M")</f>
        <v>M</v>
      </c>
      <c r="E581" s="26" t="str">
        <f>IFERROR(__xludf.DUMMYFUNCTION("""COMPUTED_VALUE"""),"B")</f>
        <v>B</v>
      </c>
      <c r="F581" s="26">
        <f>IFERROR(__xludf.DUMMYFUNCTION("""COMPUTED_VALUE"""),19.0)</f>
        <v>19</v>
      </c>
      <c r="G581" s="26" t="str">
        <f>IFERROR(__xludf.DUMMYFUNCTION("""COMPUTED_VALUE"""),"None")</f>
        <v>None</v>
      </c>
      <c r="H581" s="26" t="str">
        <f>IFERROR(__xludf.DUMMYFUNCTION("""COMPUTED_VALUE"""),"Firearm")</f>
        <v>Firearm</v>
      </c>
      <c r="I581" s="27" t="str">
        <f>IFERROR(__xludf.DUMMYFUNCTION("""COMPUTED_VALUE"""),"M")</f>
        <v>M</v>
      </c>
      <c r="J581" s="27" t="str">
        <f>IFERROR(__xludf.DUMMYFUNCTION("""COMPUTED_VALUE"""),"B")</f>
        <v>B</v>
      </c>
      <c r="K581" s="27">
        <f>IFERROR(__xludf.DUMMYFUNCTION("""COMPUTED_VALUE"""),33.0)</f>
        <v>33</v>
      </c>
      <c r="L581" s="27" t="str">
        <f>IFERROR(__xludf.DUMMYFUNCTION("""COMPUTED_VALUE"""),"None")</f>
        <v>None</v>
      </c>
      <c r="M581" s="27" t="str">
        <f>IFERROR(__xludf.DUMMYFUNCTION("""COMPUTED_VALUE"""),"N")</f>
        <v>N</v>
      </c>
      <c r="N581" s="24"/>
      <c r="O581" s="24"/>
      <c r="P581" s="28" t="str">
        <f>IFERROR(__xludf.DUMMYFUNCTION("""COMPUTED_VALUE"""),"The officer was chasing a suspect who had fired a weapon into a crowd of people, During the chase the suspect turned and pointed the weapon at the officer forcing the officer to shoot.")</f>
        <v>The officer was chasing a suspect who had fired a weapon into a crowd of people, During the chase the suspect turned and pointed the weapon at the officer forcing the officer to shoot.</v>
      </c>
      <c r="Q581" s="24"/>
      <c r="R581" s="24"/>
      <c r="S581" s="24"/>
      <c r="T581" s="24"/>
      <c r="U581" s="24"/>
      <c r="V581" s="24"/>
      <c r="W581" s="24"/>
      <c r="X581" s="24"/>
      <c r="Y581" s="24"/>
      <c r="Z581" s="24"/>
    </row>
    <row r="582" hidden="1">
      <c r="A582" s="29">
        <f>IFERROR(__xludf.DUMMYFUNCTION("""COMPUTED_VALUE"""),39627.0)</f>
        <v>39627</v>
      </c>
      <c r="B582" s="24">
        <f>IFERROR(__xludf.DUMMYFUNCTION("""COMPUTED_VALUE"""),9.4306208E7)</f>
        <v>94306208</v>
      </c>
      <c r="C582" s="24" t="str">
        <f>IFERROR(__xludf.DUMMYFUNCTION("""COMPUTED_VALUE"""),"5400 Lockwood")</f>
        <v>5400 Lockwood</v>
      </c>
      <c r="D582" s="26" t="str">
        <f>IFERROR(__xludf.DUMMYFUNCTION("""COMPUTED_VALUE"""),"M")</f>
        <v>M</v>
      </c>
      <c r="E582" s="26" t="str">
        <f>IFERROR(__xludf.DUMMYFUNCTION("""COMPUTED_VALUE"""),"B")</f>
        <v>B</v>
      </c>
      <c r="F582" s="26">
        <f>IFERROR(__xludf.DUMMYFUNCTION("""COMPUTED_VALUE"""),33.0)</f>
        <v>33</v>
      </c>
      <c r="G582" s="26" t="str">
        <f>IFERROR(__xludf.DUMMYFUNCTION("""COMPUTED_VALUE"""),"Killed")</f>
        <v>Killed</v>
      </c>
      <c r="H582" s="26" t="str">
        <f>IFERROR(__xludf.DUMMYFUNCTION("""COMPUTED_VALUE"""),"Firearm")</f>
        <v>Firearm</v>
      </c>
      <c r="I582" s="27" t="str">
        <f>IFERROR(__xludf.DUMMYFUNCTION("""COMPUTED_VALUE"""),"M")</f>
        <v>M</v>
      </c>
      <c r="J582" s="27" t="str">
        <f>IFERROR(__xludf.DUMMYFUNCTION("""COMPUTED_VALUE"""),"B")</f>
        <v>B</v>
      </c>
      <c r="K582" s="27">
        <f>IFERROR(__xludf.DUMMYFUNCTION("""COMPUTED_VALUE"""),30.0)</f>
        <v>30</v>
      </c>
      <c r="L582" s="27" t="str">
        <f>IFERROR(__xludf.DUMMYFUNCTION("""COMPUTED_VALUE"""),"None")</f>
        <v>None</v>
      </c>
      <c r="M582" s="27" t="str">
        <f>IFERROR(__xludf.DUMMYFUNCTION("""COMPUTED_VALUE"""),"Y")</f>
        <v>Y</v>
      </c>
      <c r="N582" s="24"/>
      <c r="O582" s="24"/>
      <c r="P582" s="24" t="str">
        <f>IFERROR(__xludf.DUMMYFUNCTION("""COMPUTED_VALUE"""),"The officers had chased an armed suspect and when the cahse ended the suspect took a postion of cover in front of his vehicle. The suspect was told to drop the weapon and come out but instead the suspect prepared to fire on the officers forcing the office"&amp;"r to shoot.")</f>
        <v>The officers had chased an armed suspect and when the cahse ended the suspect took a postion of cover in front of his vehicle. The suspect was told to drop the weapon and come out but instead the suspect prepared to fire on the officers forcing the officer to shoot.</v>
      </c>
      <c r="Q582" s="24"/>
      <c r="R582" s="24"/>
      <c r="S582" s="24"/>
      <c r="T582" s="24"/>
      <c r="U582" s="24"/>
      <c r="V582" s="24"/>
      <c r="W582" s="24"/>
      <c r="X582" s="24"/>
      <c r="Y582" s="24"/>
      <c r="Z582" s="24"/>
    </row>
    <row r="583" hidden="1">
      <c r="A583" s="29">
        <f>IFERROR(__xludf.DUMMYFUNCTION("""COMPUTED_VALUE"""),39614.0)</f>
        <v>39614</v>
      </c>
      <c r="B583" s="24">
        <f>IFERROR(__xludf.DUMMYFUNCTION("""COMPUTED_VALUE"""),8.81874308E8)</f>
        <v>881874308</v>
      </c>
      <c r="C583" s="24" t="str">
        <f>IFERROR(__xludf.DUMMYFUNCTION("""COMPUTED_VALUE"""),"800 Dallas")</f>
        <v>800 Dallas</v>
      </c>
      <c r="D583" s="26" t="str">
        <f>IFERROR(__xludf.DUMMYFUNCTION("""COMPUTED_VALUE"""),"M")</f>
        <v>M</v>
      </c>
      <c r="E583" s="26" t="str">
        <f>IFERROR(__xludf.DUMMYFUNCTION("""COMPUTED_VALUE"""),"H")</f>
        <v>H</v>
      </c>
      <c r="F583" s="26">
        <f>IFERROR(__xludf.DUMMYFUNCTION("""COMPUTED_VALUE"""),28.0)</f>
        <v>28</v>
      </c>
      <c r="G583" s="26" t="str">
        <f>IFERROR(__xludf.DUMMYFUNCTION("""COMPUTED_VALUE"""),"Wounded")</f>
        <v>Wounded</v>
      </c>
      <c r="H583" s="26" t="str">
        <f>IFERROR(__xludf.DUMMYFUNCTION("""COMPUTED_VALUE"""),"None")</f>
        <v>None</v>
      </c>
      <c r="I583" s="27" t="str">
        <f>IFERROR(__xludf.DUMMYFUNCTION("""COMPUTED_VALUE"""),"F")</f>
        <v>F</v>
      </c>
      <c r="J583" s="27" t="str">
        <f>IFERROR(__xludf.DUMMYFUNCTION("""COMPUTED_VALUE"""),"P")</f>
        <v>P</v>
      </c>
      <c r="K583" s="27">
        <f>IFERROR(__xludf.DUMMYFUNCTION("""COMPUTED_VALUE"""),30.0)</f>
        <v>30</v>
      </c>
      <c r="L583" s="27" t="str">
        <f>IFERROR(__xludf.DUMMYFUNCTION("""COMPUTED_VALUE"""),"None")</f>
        <v>None</v>
      </c>
      <c r="M583" s="27" t="str">
        <f>IFERROR(__xludf.DUMMYFUNCTION("""COMPUTED_VALUE"""),"Y")</f>
        <v>Y</v>
      </c>
      <c r="N583" s="24"/>
      <c r="O583" s="24">
        <f>IFERROR(__xludf.DUMMYFUNCTION("""COMPUTED_VALUE"""),1.0)</f>
        <v>1</v>
      </c>
      <c r="P583" s="28" t="str">
        <f>IFERROR(__xludf.DUMMYFUNCTION("""COMPUTED_VALUE"""),"The officer was attempting to apprehend a suspect who he saw attempting to take a persons car. The suspect refused to comply with the officer but instead the suspect charged at the officer forcing the officer to shoot.")</f>
        <v>The officer was attempting to apprehend a suspect who he saw attempting to take a persons car. The suspect refused to comply with the officer but instead the suspect charged at the officer forcing the officer to shoot.</v>
      </c>
      <c r="Q583" s="24"/>
      <c r="R583" s="24"/>
      <c r="S583" s="24"/>
      <c r="T583" s="24"/>
      <c r="U583" s="24"/>
      <c r="V583" s="24"/>
      <c r="W583" s="24"/>
      <c r="X583" s="24"/>
      <c r="Y583" s="24"/>
      <c r="Z583" s="24"/>
    </row>
    <row r="584" hidden="1">
      <c r="A584" s="29">
        <f>IFERROR(__xludf.DUMMYFUNCTION("""COMPUTED_VALUE"""),39603.0)</f>
        <v>39603</v>
      </c>
      <c r="B584" s="24">
        <f>IFERROR(__xludf.DUMMYFUNCTION("""COMPUTED_VALUE"""),8.1947208E7)</f>
        <v>81947208</v>
      </c>
      <c r="C584" s="24" t="str">
        <f>IFERROR(__xludf.DUMMYFUNCTION("""COMPUTED_VALUE"""),"8500 Broadway")</f>
        <v>8500 Broadway</v>
      </c>
      <c r="D584" s="26" t="str">
        <f>IFERROR(__xludf.DUMMYFUNCTION("""COMPUTED_VALUE"""),"M")</f>
        <v>M</v>
      </c>
      <c r="E584" s="26" t="str">
        <f>IFERROR(__xludf.DUMMYFUNCTION("""COMPUTED_VALUE"""),"B")</f>
        <v>B</v>
      </c>
      <c r="F584" s="26">
        <f>IFERROR(__xludf.DUMMYFUNCTION("""COMPUTED_VALUE"""),30.0)</f>
        <v>30</v>
      </c>
      <c r="G584" s="26" t="str">
        <f>IFERROR(__xludf.DUMMYFUNCTION("""COMPUTED_VALUE"""),"Killed")</f>
        <v>Killed</v>
      </c>
      <c r="H584" s="26" t="str">
        <f>IFERROR(__xludf.DUMMYFUNCTION("""COMPUTED_VALUE"""),"None")</f>
        <v>None</v>
      </c>
      <c r="I584" s="27" t="str">
        <f>IFERROR(__xludf.DUMMYFUNCTION("""COMPUTED_VALUE"""),"M")</f>
        <v>M</v>
      </c>
      <c r="J584" s="27" t="str">
        <f>IFERROR(__xludf.DUMMYFUNCTION("""COMPUTED_VALUE"""),"B")</f>
        <v>B</v>
      </c>
      <c r="K584" s="27">
        <f>IFERROR(__xludf.DUMMYFUNCTION("""COMPUTED_VALUE"""),23.0)</f>
        <v>23</v>
      </c>
      <c r="L584" s="27" t="str">
        <f>IFERROR(__xludf.DUMMYFUNCTION("""COMPUTED_VALUE"""),"None")</f>
        <v>None</v>
      </c>
      <c r="M584" s="27" t="str">
        <f>IFERROR(__xludf.DUMMYFUNCTION("""COMPUTED_VALUE"""),"Y")</f>
        <v>Y</v>
      </c>
      <c r="N584" s="24"/>
      <c r="O584" s="24">
        <f>IFERROR(__xludf.DUMMYFUNCTION("""COMPUTED_VALUE"""),1.0)</f>
        <v>1</v>
      </c>
      <c r="P584" s="24" t="str">
        <f>IFERROR(__xludf.DUMMYFUNCTION("""COMPUTED_VALUE"""),"The officers were attempting to arrest the suspect but the suspect resisted. A physical altercation ensued all the while the suspect was attempting to reach for his waistband area as if reaching for a weapon. The officers were trying to get control of the"&amp;" suspect without allowing the suspect to get whatever he was reaching for but the suspect broke free causing the officer to have to shoot.")</f>
        <v>The officers were attempting to arrest the suspect but the suspect resisted. A physical altercation ensued all the while the suspect was attempting to reach for his waistband area as if reaching for a weapon. The officers were trying to get control of the suspect without allowing the suspect to get whatever he was reaching for but the suspect broke free causing the officer to have to shoot.</v>
      </c>
      <c r="Q584" s="24"/>
      <c r="R584" s="24"/>
      <c r="S584" s="24"/>
      <c r="T584" s="24"/>
      <c r="U584" s="24"/>
      <c r="V584" s="24"/>
      <c r="W584" s="24"/>
      <c r="X584" s="24"/>
      <c r="Y584" s="24"/>
      <c r="Z584" s="24"/>
    </row>
    <row r="585" hidden="1">
      <c r="A585" s="29">
        <f>IFERROR(__xludf.DUMMYFUNCTION("""COMPUTED_VALUE"""),39592.0)</f>
        <v>39592</v>
      </c>
      <c r="B585" s="24">
        <f>IFERROR(__xludf.DUMMYFUNCTION("""COMPUTED_VALUE"""),7.6302208E7)</f>
        <v>76302208</v>
      </c>
      <c r="C585" s="24" t="str">
        <f>IFERROR(__xludf.DUMMYFUNCTION("""COMPUTED_VALUE"""),"8135 St. Louis")</f>
        <v>8135 St. Louis</v>
      </c>
      <c r="D585" s="26" t="str">
        <f>IFERROR(__xludf.DUMMYFUNCTION("""COMPUTED_VALUE"""),"F")</f>
        <v>F</v>
      </c>
      <c r="E585" s="26" t="str">
        <f>IFERROR(__xludf.DUMMYFUNCTION("""COMPUTED_VALUE"""),"B")</f>
        <v>B</v>
      </c>
      <c r="F585" s="26">
        <f>IFERROR(__xludf.DUMMYFUNCTION("""COMPUTED_VALUE"""),30.0)</f>
        <v>30</v>
      </c>
      <c r="G585" s="26" t="str">
        <f>IFERROR(__xludf.DUMMYFUNCTION("""COMPUTED_VALUE"""),"Wounded")</f>
        <v>Wounded</v>
      </c>
      <c r="H585" s="26" t="str">
        <f>IFERROR(__xludf.DUMMYFUNCTION("""COMPUTED_VALUE"""),"Firearm")</f>
        <v>Firearm</v>
      </c>
      <c r="I585" s="27" t="str">
        <f>IFERROR(__xludf.DUMMYFUNCTION("""COMPUTED_VALUE"""),"M")</f>
        <v>M</v>
      </c>
      <c r="J585" s="27" t="str">
        <f>IFERROR(__xludf.DUMMYFUNCTION("""COMPUTED_VALUE"""),"W")</f>
        <v>W</v>
      </c>
      <c r="K585" s="27">
        <f>IFERROR(__xludf.DUMMYFUNCTION("""COMPUTED_VALUE"""),45.0)</f>
        <v>45</v>
      </c>
      <c r="L585" s="27" t="str">
        <f>IFERROR(__xludf.DUMMYFUNCTION("""COMPUTED_VALUE"""),"None")</f>
        <v>None</v>
      </c>
      <c r="M585" s="27" t="str">
        <f>IFERROR(__xludf.DUMMYFUNCTION("""COMPUTED_VALUE"""),"Y")</f>
        <v>Y</v>
      </c>
      <c r="N585" s="24"/>
      <c r="O585" s="24"/>
      <c r="P585" s="28" t="str">
        <f>IFERROR(__xludf.DUMMYFUNCTION("""COMPUTED_VALUE"""),"The officers were setting up a perimeter on the residence of an armed suspect when the suspect broke out a window and pointed a weapon at the officers forcing the officer to shoot.")</f>
        <v>The officers were setting up a perimeter on the residence of an armed suspect when the suspect broke out a window and pointed a weapon at the officers forcing the officer to shoot.</v>
      </c>
      <c r="Q585" s="24"/>
      <c r="R585" s="24"/>
      <c r="S585" s="24"/>
      <c r="T585" s="24"/>
      <c r="U585" s="24"/>
      <c r="V585" s="24"/>
      <c r="W585" s="24"/>
      <c r="X585" s="24"/>
      <c r="Y585" s="24"/>
      <c r="Z585" s="24"/>
    </row>
    <row r="586" hidden="1">
      <c r="A586" s="29">
        <f>IFERROR(__xludf.DUMMYFUNCTION("""COMPUTED_VALUE"""),39567.0)</f>
        <v>39567</v>
      </c>
      <c r="B586" s="24">
        <f>IFERROR(__xludf.DUMMYFUNCTION("""COMPUTED_VALUE"""),6.2576608E7)</f>
        <v>62576608</v>
      </c>
      <c r="C586" s="24" t="str">
        <f>IFERROR(__xludf.DUMMYFUNCTION("""COMPUTED_VALUE"""),"200 West Loop South")</f>
        <v>200 West Loop South</v>
      </c>
      <c r="D586" s="26" t="str">
        <f>IFERROR(__xludf.DUMMYFUNCTION("""COMPUTED_VALUE"""),"M")</f>
        <v>M</v>
      </c>
      <c r="E586" s="26" t="str">
        <f>IFERROR(__xludf.DUMMYFUNCTION("""COMPUTED_VALUE"""),"W")</f>
        <v>W</v>
      </c>
      <c r="F586" s="26">
        <f>IFERROR(__xludf.DUMMYFUNCTION("""COMPUTED_VALUE"""),53.0)</f>
        <v>53</v>
      </c>
      <c r="G586" s="26" t="str">
        <f>IFERROR(__xludf.DUMMYFUNCTION("""COMPUTED_VALUE"""),"Killed")</f>
        <v>Killed</v>
      </c>
      <c r="H586" s="26" t="str">
        <f>IFERROR(__xludf.DUMMYFUNCTION("""COMPUTED_VALUE"""),"None")</f>
        <v>None</v>
      </c>
      <c r="I586" s="27" t="str">
        <f>IFERROR(__xludf.DUMMYFUNCTION("""COMPUTED_VALUE"""),"M")</f>
        <v>M</v>
      </c>
      <c r="J586" s="27" t="str">
        <f>IFERROR(__xludf.DUMMYFUNCTION("""COMPUTED_VALUE"""),"W")</f>
        <v>W</v>
      </c>
      <c r="K586" s="27">
        <f>IFERROR(__xludf.DUMMYFUNCTION("""COMPUTED_VALUE"""),42.0)</f>
        <v>42</v>
      </c>
      <c r="L586" s="27" t="str">
        <f>IFERROR(__xludf.DUMMYFUNCTION("""COMPUTED_VALUE"""),"None")</f>
        <v>None</v>
      </c>
      <c r="M586" s="27" t="str">
        <f>IFERROR(__xludf.DUMMYFUNCTION("""COMPUTED_VALUE"""),"Y")</f>
        <v>Y</v>
      </c>
      <c r="N586" s="24"/>
      <c r="O586" s="24">
        <f>IFERROR(__xludf.DUMMYFUNCTION("""COMPUTED_VALUE"""),1.0)</f>
        <v>1</v>
      </c>
      <c r="P586" s="24" t="str">
        <f>IFERROR(__xludf.DUMMYFUNCTION("""COMPUTED_VALUE"""),"The suspect was stopped on traffic and when the officers were preparing to arrest him, the suspect fled in his vehicle. The officers were eventually able to get the suspect stopped but the suspect refused to get out of the vehicle. The suspect then opened"&amp;" the door but as he was getting out he reached in and grabbed an object that appeared to be a weapon forcing the officers to shoot.")</f>
        <v>The suspect was stopped on traffic and when the officers were preparing to arrest him, the suspect fled in his vehicle. The officers were eventually able to get the suspect stopped but the suspect refused to get out of the vehicle. The suspect then opened the door but as he was getting out he reached in and grabbed an object that appeared to be a weapon forcing the officers to shoot.</v>
      </c>
      <c r="Q586" s="24"/>
      <c r="R586" s="24"/>
      <c r="S586" s="24"/>
      <c r="T586" s="24"/>
      <c r="U586" s="24"/>
      <c r="V586" s="24"/>
      <c r="W586" s="24"/>
      <c r="X586" s="24"/>
      <c r="Y586" s="24"/>
      <c r="Z586" s="24"/>
    </row>
    <row r="587" hidden="1">
      <c r="A587" s="29"/>
      <c r="B587" s="24"/>
      <c r="C587" s="24"/>
      <c r="D587" s="26"/>
      <c r="E587" s="26"/>
      <c r="F587" s="26"/>
      <c r="G587" s="26"/>
      <c r="H587" s="26"/>
      <c r="I587" s="27" t="str">
        <f>IFERROR(__xludf.DUMMYFUNCTION("""COMPUTED_VALUE"""),"M")</f>
        <v>M</v>
      </c>
      <c r="J587" s="27" t="str">
        <f>IFERROR(__xludf.DUMMYFUNCTION("""COMPUTED_VALUE"""),"B")</f>
        <v>B</v>
      </c>
      <c r="K587" s="27">
        <f>IFERROR(__xludf.DUMMYFUNCTION("""COMPUTED_VALUE"""),44.0)</f>
        <v>44</v>
      </c>
      <c r="L587" s="27" t="str">
        <f>IFERROR(__xludf.DUMMYFUNCTION("""COMPUTED_VALUE"""),"None")</f>
        <v>None</v>
      </c>
      <c r="M587" s="27" t="str">
        <f>IFERROR(__xludf.DUMMYFUNCTION("""COMPUTED_VALUE"""),"Y")</f>
        <v>Y</v>
      </c>
      <c r="N587" s="24"/>
      <c r="O587" s="24">
        <f>IFERROR(__xludf.DUMMYFUNCTION("""COMPUTED_VALUE"""),1.0)</f>
        <v>1</v>
      </c>
      <c r="P587" s="24"/>
      <c r="Q587" s="24"/>
      <c r="R587" s="24"/>
      <c r="S587" s="24"/>
      <c r="T587" s="24"/>
      <c r="U587" s="24"/>
      <c r="V587" s="24"/>
      <c r="W587" s="24"/>
      <c r="X587" s="24"/>
      <c r="Y587" s="24"/>
      <c r="Z587" s="24"/>
    </row>
    <row r="588" hidden="1">
      <c r="A588" s="29">
        <f>IFERROR(__xludf.DUMMYFUNCTION("""COMPUTED_VALUE"""),39549.0)</f>
        <v>39549</v>
      </c>
      <c r="B588" s="24">
        <f>IFERROR(__xludf.DUMMYFUNCTION("""COMPUTED_VALUE"""),5.2498908E7)</f>
        <v>52498908</v>
      </c>
      <c r="C588" s="24" t="str">
        <f>IFERROR(__xludf.DUMMYFUNCTION("""COMPUTED_VALUE"""),"1200 W. Tidwell")</f>
        <v>1200 W. Tidwell</v>
      </c>
      <c r="D588" s="26" t="str">
        <f>IFERROR(__xludf.DUMMYFUNCTION("""COMPUTED_VALUE"""),"M")</f>
        <v>M</v>
      </c>
      <c r="E588" s="26" t="str">
        <f>IFERROR(__xludf.DUMMYFUNCTION("""COMPUTED_VALUE"""),"B")</f>
        <v>B</v>
      </c>
      <c r="F588" s="26">
        <f>IFERROR(__xludf.DUMMYFUNCTION("""COMPUTED_VALUE"""),28.0)</f>
        <v>28</v>
      </c>
      <c r="G588" s="26" t="str">
        <f>IFERROR(__xludf.DUMMYFUNCTION("""COMPUTED_VALUE"""),"Killed")</f>
        <v>Killed</v>
      </c>
      <c r="H588" s="26" t="str">
        <f>IFERROR(__xludf.DUMMYFUNCTION("""COMPUTED_VALUE"""),"Screwdriver")</f>
        <v>Screwdriver</v>
      </c>
      <c r="I588" s="27" t="str">
        <f>IFERROR(__xludf.DUMMYFUNCTION("""COMPUTED_VALUE"""),"M")</f>
        <v>M</v>
      </c>
      <c r="J588" s="27" t="str">
        <f>IFERROR(__xludf.DUMMYFUNCTION("""COMPUTED_VALUE"""),"B")</f>
        <v>B</v>
      </c>
      <c r="K588" s="27">
        <f>IFERROR(__xludf.DUMMYFUNCTION("""COMPUTED_VALUE"""),52.0)</f>
        <v>52</v>
      </c>
      <c r="L588" s="27" t="str">
        <f>IFERROR(__xludf.DUMMYFUNCTION("""COMPUTED_VALUE"""),"None")</f>
        <v>None</v>
      </c>
      <c r="M588" s="27" t="str">
        <f>IFERROR(__xludf.DUMMYFUNCTION("""COMPUTED_VALUE"""),"N")</f>
        <v>N</v>
      </c>
      <c r="N588" s="24"/>
      <c r="O588" s="24">
        <f>IFERROR(__xludf.DUMMYFUNCTION("""COMPUTED_VALUE"""),1.0)</f>
        <v>1</v>
      </c>
      <c r="P588" s="24" t="str">
        <f>IFERROR(__xludf.DUMMYFUNCTION("""COMPUTED_VALUE"""),"The officer confronted the suspect who was in the process of burglarizing a motor vehicle. The officer attempted to detain the suspect but the suspect lunged at the officer with a weapon in his hand forcing the officer to shoot.")</f>
        <v>The officer confronted the suspect who was in the process of burglarizing a motor vehicle. The officer attempted to detain the suspect but the suspect lunged at the officer with a weapon in his hand forcing the officer to shoot.</v>
      </c>
      <c r="Q588" s="24"/>
      <c r="R588" s="24"/>
      <c r="S588" s="24"/>
      <c r="T588" s="24"/>
      <c r="U588" s="24"/>
      <c r="V588" s="24"/>
      <c r="W588" s="24"/>
      <c r="X588" s="24"/>
      <c r="Y588" s="24"/>
      <c r="Z588" s="24"/>
    </row>
    <row r="589" hidden="1">
      <c r="A589" s="29">
        <f>IFERROR(__xludf.DUMMYFUNCTION("""COMPUTED_VALUE"""),39547.0)</f>
        <v>39547</v>
      </c>
      <c r="B589" s="24">
        <f>IFERROR(__xludf.DUMMYFUNCTION("""COMPUTED_VALUE"""),5.1417008E7)</f>
        <v>51417008</v>
      </c>
      <c r="C589" s="24" t="str">
        <f>IFERROR(__xludf.DUMMYFUNCTION("""COMPUTED_VALUE"""),"5800 Hillsboro")</f>
        <v>5800 Hillsboro</v>
      </c>
      <c r="D589" s="26" t="str">
        <f>IFERROR(__xludf.DUMMYFUNCTION("""COMPUTED_VALUE"""),"M")</f>
        <v>M</v>
      </c>
      <c r="E589" s="26" t="str">
        <f>IFERROR(__xludf.DUMMYFUNCTION("""COMPUTED_VALUE"""),"H")</f>
        <v>H</v>
      </c>
      <c r="F589" s="26">
        <f>IFERROR(__xludf.DUMMYFUNCTION("""COMPUTED_VALUE"""),33.0)</f>
        <v>33</v>
      </c>
      <c r="G589" s="26" t="str">
        <f>IFERROR(__xludf.DUMMYFUNCTION("""COMPUTED_VALUE"""),"Wounded")</f>
        <v>Wounded</v>
      </c>
      <c r="H589" s="26" t="str">
        <f>IFERROR(__xludf.DUMMYFUNCTION("""COMPUTED_VALUE"""),"None")</f>
        <v>None</v>
      </c>
      <c r="I589" s="27" t="str">
        <f>IFERROR(__xludf.DUMMYFUNCTION("""COMPUTED_VALUE"""),"M")</f>
        <v>M</v>
      </c>
      <c r="J589" s="27" t="str">
        <f>IFERROR(__xludf.DUMMYFUNCTION("""COMPUTED_VALUE"""),"W")</f>
        <v>W</v>
      </c>
      <c r="K589" s="27">
        <f>IFERROR(__xludf.DUMMYFUNCTION("""COMPUTED_VALUE"""),46.0)</f>
        <v>46</v>
      </c>
      <c r="L589" s="27" t="str">
        <f>IFERROR(__xludf.DUMMYFUNCTION("""COMPUTED_VALUE"""),"None")</f>
        <v>None</v>
      </c>
      <c r="M589" s="27" t="str">
        <f>IFERROR(__xludf.DUMMYFUNCTION("""COMPUTED_VALUE"""),"Y")</f>
        <v>Y</v>
      </c>
      <c r="N589" s="24"/>
      <c r="O589" s="24"/>
      <c r="P589" s="28" t="str">
        <f>IFERROR(__xludf.DUMMYFUNCTION("""COMPUTED_VALUE"""),"The officer was chasing the suspect on foot when the suspect appeared to be reaching for a weapon. The officer told the suspect to stop and show his hands but instead the suspect moved as if getting in a position to shoot at the officer focing the officer"&amp;" to shoot.")</f>
        <v>The officer was chasing the suspect on foot when the suspect appeared to be reaching for a weapon. The officer told the suspect to stop and show his hands but instead the suspect moved as if getting in a position to shoot at the officer focing the officer to shoot.</v>
      </c>
      <c r="Q589" s="24"/>
      <c r="R589" s="24"/>
      <c r="S589" s="24"/>
      <c r="T589" s="24"/>
      <c r="U589" s="24"/>
      <c r="V589" s="24"/>
      <c r="W589" s="24"/>
      <c r="X589" s="24"/>
      <c r="Y589" s="24"/>
      <c r="Z589" s="24"/>
    </row>
    <row r="590" hidden="1">
      <c r="A590" s="29">
        <f>IFERROR(__xludf.DUMMYFUNCTION("""COMPUTED_VALUE"""),39511.0)</f>
        <v>39511</v>
      </c>
      <c r="B590" s="24">
        <f>IFERROR(__xludf.DUMMYFUNCTION("""COMPUTED_VALUE"""),3.2223108E7)</f>
        <v>32223108</v>
      </c>
      <c r="C590" s="24" t="str">
        <f>IFERROR(__xludf.DUMMYFUNCTION("""COMPUTED_VALUE"""),"27100 Northwest Freeway")</f>
        <v>27100 Northwest Freeway</v>
      </c>
      <c r="D590" s="26" t="str">
        <f>IFERROR(__xludf.DUMMYFUNCTION("""COMPUTED_VALUE"""),"M")</f>
        <v>M</v>
      </c>
      <c r="E590" s="26" t="str">
        <f>IFERROR(__xludf.DUMMYFUNCTION("""COMPUTED_VALUE"""),"W")</f>
        <v>W</v>
      </c>
      <c r="F590" s="26">
        <f>IFERROR(__xludf.DUMMYFUNCTION("""COMPUTED_VALUE"""),42.0)</f>
        <v>42</v>
      </c>
      <c r="G590" s="26" t="str">
        <f>IFERROR(__xludf.DUMMYFUNCTION("""COMPUTED_VALUE"""),"Killed")</f>
        <v>Killed</v>
      </c>
      <c r="H590" s="26" t="str">
        <f>IFERROR(__xludf.DUMMYFUNCTION("""COMPUTED_VALUE"""),"Vehicle")</f>
        <v>Vehicle</v>
      </c>
      <c r="I590" s="27" t="str">
        <f>IFERROR(__xludf.DUMMYFUNCTION("""COMPUTED_VALUE"""),"M")</f>
        <v>M</v>
      </c>
      <c r="J590" s="27" t="str">
        <f>IFERROR(__xludf.DUMMYFUNCTION("""COMPUTED_VALUE"""),"W")</f>
        <v>W</v>
      </c>
      <c r="K590" s="27">
        <f>IFERROR(__xludf.DUMMYFUNCTION("""COMPUTED_VALUE"""),59.0)</f>
        <v>59</v>
      </c>
      <c r="L590" s="27" t="str">
        <f>IFERROR(__xludf.DUMMYFUNCTION("""COMPUTED_VALUE"""),"None")</f>
        <v>None</v>
      </c>
      <c r="M590" s="27" t="str">
        <f>IFERROR(__xludf.DUMMYFUNCTION("""COMPUTED_VALUE"""),"Y")</f>
        <v>Y</v>
      </c>
      <c r="N590" s="24"/>
      <c r="O590" s="24">
        <f>IFERROR(__xludf.DUMMYFUNCTION("""COMPUTED_VALUE"""),1.0)</f>
        <v>1</v>
      </c>
      <c r="P590" s="24" t="str">
        <f>IFERROR(__xludf.DUMMYFUNCTION("""COMPUTED_VALUE"""),"The suspect was involved in a vehicle pursuit and when he was boxed in he attempted to flee by running over the officers forcing them to shoot the suspect.")</f>
        <v>The suspect was involved in a vehicle pursuit and when he was boxed in he attempted to flee by running over the officers forcing them to shoot the suspect.</v>
      </c>
      <c r="Q590" s="24"/>
      <c r="R590" s="24"/>
      <c r="S590" s="24"/>
      <c r="T590" s="24"/>
      <c r="U590" s="24"/>
      <c r="V590" s="24"/>
      <c r="W590" s="24"/>
      <c r="X590" s="24"/>
      <c r="Y590" s="24"/>
      <c r="Z590" s="24"/>
    </row>
    <row r="591" hidden="1">
      <c r="A591" s="29"/>
      <c r="B591" s="24"/>
      <c r="C591" s="24"/>
      <c r="D591" s="26"/>
      <c r="E591" s="26"/>
      <c r="F591" s="26"/>
      <c r="G591" s="26"/>
      <c r="H591" s="26"/>
      <c r="I591" s="27" t="str">
        <f>IFERROR(__xludf.DUMMYFUNCTION("""COMPUTED_VALUE"""),"M")</f>
        <v>M</v>
      </c>
      <c r="J591" s="27" t="str">
        <f>IFERROR(__xludf.DUMMYFUNCTION("""COMPUTED_VALUE"""),"H")</f>
        <v>H</v>
      </c>
      <c r="K591" s="27">
        <f>IFERROR(__xludf.DUMMYFUNCTION("""COMPUTED_VALUE"""),45.0)</f>
        <v>45</v>
      </c>
      <c r="L591" s="27" t="str">
        <f>IFERROR(__xludf.DUMMYFUNCTION("""COMPUTED_VALUE"""),"None")</f>
        <v>None</v>
      </c>
      <c r="M591" s="27" t="str">
        <f>IFERROR(__xludf.DUMMYFUNCTION("""COMPUTED_VALUE"""),"Y")</f>
        <v>Y</v>
      </c>
      <c r="N591" s="24"/>
      <c r="O591" s="24">
        <f>IFERROR(__xludf.DUMMYFUNCTION("""COMPUTED_VALUE"""),1.0)</f>
        <v>1</v>
      </c>
      <c r="P591" s="24"/>
      <c r="Q591" s="24"/>
      <c r="R591" s="24"/>
      <c r="S591" s="24"/>
      <c r="T591" s="24"/>
      <c r="U591" s="24"/>
      <c r="V591" s="24"/>
      <c r="W591" s="24"/>
      <c r="X591" s="24"/>
      <c r="Y591" s="24"/>
      <c r="Z591" s="24"/>
    </row>
    <row r="592" hidden="1">
      <c r="A592" s="29"/>
      <c r="B592" s="24"/>
      <c r="C592" s="24"/>
      <c r="D592" s="26"/>
      <c r="E592" s="26"/>
      <c r="F592" s="26"/>
      <c r="G592" s="26"/>
      <c r="H592" s="26"/>
      <c r="I592" s="27" t="str">
        <f>IFERROR(__xludf.DUMMYFUNCTION("""COMPUTED_VALUE"""),"M")</f>
        <v>M</v>
      </c>
      <c r="J592" s="27" t="str">
        <f>IFERROR(__xludf.DUMMYFUNCTION("""COMPUTED_VALUE"""),"W")</f>
        <v>W</v>
      </c>
      <c r="K592" s="27">
        <f>IFERROR(__xludf.DUMMYFUNCTION("""COMPUTED_VALUE"""),48.0)</f>
        <v>48</v>
      </c>
      <c r="L592" s="27" t="str">
        <f>IFERROR(__xludf.DUMMYFUNCTION("""COMPUTED_VALUE"""),"None")</f>
        <v>None</v>
      </c>
      <c r="M592" s="27" t="str">
        <f>IFERROR(__xludf.DUMMYFUNCTION("""COMPUTED_VALUE"""),"Y")</f>
        <v>Y</v>
      </c>
      <c r="N592" s="24"/>
      <c r="O592" s="24">
        <f>IFERROR(__xludf.DUMMYFUNCTION("""COMPUTED_VALUE"""),1.0)</f>
        <v>1</v>
      </c>
      <c r="P592" s="24"/>
      <c r="Q592" s="24"/>
      <c r="R592" s="24"/>
      <c r="S592" s="24"/>
      <c r="T592" s="24"/>
      <c r="U592" s="24"/>
      <c r="V592" s="24"/>
      <c r="W592" s="24"/>
      <c r="X592" s="24"/>
      <c r="Y592" s="24"/>
      <c r="Z592" s="24"/>
    </row>
    <row r="593" hidden="1">
      <c r="A593" s="29"/>
      <c r="B593" s="24"/>
      <c r="C593" s="24"/>
      <c r="D593" s="26"/>
      <c r="E593" s="26"/>
      <c r="F593" s="26"/>
      <c r="G593" s="26"/>
      <c r="H593" s="26"/>
      <c r="I593" s="27" t="str">
        <f>IFERROR(__xludf.DUMMYFUNCTION("""COMPUTED_VALUE"""),"M")</f>
        <v>M</v>
      </c>
      <c r="J593" s="27" t="str">
        <f>IFERROR(__xludf.DUMMYFUNCTION("""COMPUTED_VALUE"""),"H")</f>
        <v>H</v>
      </c>
      <c r="K593" s="27">
        <f>IFERROR(__xludf.DUMMYFUNCTION("""COMPUTED_VALUE"""),58.0)</f>
        <v>58</v>
      </c>
      <c r="L593" s="27" t="str">
        <f>IFERROR(__xludf.DUMMYFUNCTION("""COMPUTED_VALUE"""),"None")</f>
        <v>None</v>
      </c>
      <c r="M593" s="27" t="str">
        <f>IFERROR(__xludf.DUMMYFUNCTION("""COMPUTED_VALUE"""),"Y")</f>
        <v>Y</v>
      </c>
      <c r="N593" s="24"/>
      <c r="O593" s="24">
        <f>IFERROR(__xludf.DUMMYFUNCTION("""COMPUTED_VALUE"""),1.0)</f>
        <v>1</v>
      </c>
      <c r="P593" s="24"/>
      <c r="Q593" s="24"/>
      <c r="R593" s="24"/>
      <c r="S593" s="24"/>
      <c r="T593" s="24"/>
      <c r="U593" s="24"/>
      <c r="V593" s="24"/>
      <c r="W593" s="24"/>
      <c r="X593" s="24"/>
      <c r="Y593" s="24"/>
      <c r="Z593" s="24"/>
    </row>
    <row r="594" hidden="1">
      <c r="A594" s="29">
        <f>IFERROR(__xludf.DUMMYFUNCTION("""COMPUTED_VALUE"""),39500.0)</f>
        <v>39500</v>
      </c>
      <c r="B594" s="24">
        <f>IFERROR(__xludf.DUMMYFUNCTION("""COMPUTED_VALUE"""),2.6740208E7)</f>
        <v>26740208</v>
      </c>
      <c r="C594" s="24" t="str">
        <f>IFERROR(__xludf.DUMMYFUNCTION("""COMPUTED_VALUE"""),"800 Northwest Mall")</f>
        <v>800 Northwest Mall</v>
      </c>
      <c r="D594" s="26" t="str">
        <f>IFERROR(__xludf.DUMMYFUNCTION("""COMPUTED_VALUE"""),"M")</f>
        <v>M</v>
      </c>
      <c r="E594" s="26" t="str">
        <f>IFERROR(__xludf.DUMMYFUNCTION("""COMPUTED_VALUE"""),"H")</f>
        <v>H</v>
      </c>
      <c r="F594" s="26">
        <f>IFERROR(__xludf.DUMMYFUNCTION("""COMPUTED_VALUE"""),21.0)</f>
        <v>21</v>
      </c>
      <c r="G594" s="26" t="str">
        <f>IFERROR(__xludf.DUMMYFUNCTION("""COMPUTED_VALUE"""),"Killed")</f>
        <v>Killed</v>
      </c>
      <c r="H594" s="26" t="str">
        <f>IFERROR(__xludf.DUMMYFUNCTION("""COMPUTED_VALUE"""),"Firearm")</f>
        <v>Firearm</v>
      </c>
      <c r="I594" s="27" t="str">
        <f>IFERROR(__xludf.DUMMYFUNCTION("""COMPUTED_VALUE"""),"M")</f>
        <v>M</v>
      </c>
      <c r="J594" s="27" t="str">
        <f>IFERROR(__xludf.DUMMYFUNCTION("""COMPUTED_VALUE"""),"H")</f>
        <v>H</v>
      </c>
      <c r="K594" s="27">
        <f>IFERROR(__xludf.DUMMYFUNCTION("""COMPUTED_VALUE"""),39.0)</f>
        <v>39</v>
      </c>
      <c r="L594" s="27" t="str">
        <f>IFERROR(__xludf.DUMMYFUNCTION("""COMPUTED_VALUE"""),"None")</f>
        <v>None</v>
      </c>
      <c r="M594" s="27" t="str">
        <f>IFERROR(__xludf.DUMMYFUNCTION("""COMPUTED_VALUE"""),"N")</f>
        <v>N</v>
      </c>
      <c r="N594" s="24"/>
      <c r="O594" s="24"/>
      <c r="P594" s="24" t="str">
        <f>IFERROR(__xludf.DUMMYFUNCTION("""COMPUTED_VALUE"""),"The officers were pursuing the suspect on foot when the suspect turned and shot one of the officers. Other officers continued to pursue the suspect and one agian the suspect turned and shot at them forcing them to return fire.")</f>
        <v>The officers were pursuing the suspect on foot when the suspect turned and shot one of the officers. Other officers continued to pursue the suspect and one agian the suspect turned and shot at them forcing them to return fire.</v>
      </c>
      <c r="Q594" s="24"/>
      <c r="R594" s="24"/>
      <c r="S594" s="24"/>
      <c r="T594" s="24"/>
      <c r="U594" s="24"/>
      <c r="V594" s="24"/>
      <c r="W594" s="24"/>
      <c r="X594" s="24"/>
      <c r="Y594" s="24"/>
      <c r="Z594" s="24"/>
    </row>
    <row r="595" hidden="1">
      <c r="A595" s="29"/>
      <c r="B595" s="24"/>
      <c r="C595" s="24"/>
      <c r="D595" s="26"/>
      <c r="E595" s="26"/>
      <c r="F595" s="26"/>
      <c r="G595" s="26"/>
      <c r="H595" s="26"/>
      <c r="I595" s="27" t="str">
        <f>IFERROR(__xludf.DUMMYFUNCTION("""COMPUTED_VALUE"""),"M")</f>
        <v>M</v>
      </c>
      <c r="J595" s="27" t="str">
        <f>IFERROR(__xludf.DUMMYFUNCTION("""COMPUTED_VALUE"""),"H")</f>
        <v>H</v>
      </c>
      <c r="K595" s="27">
        <f>IFERROR(__xludf.DUMMYFUNCTION("""COMPUTED_VALUE"""),30.0)</f>
        <v>30</v>
      </c>
      <c r="L595" s="27" t="str">
        <f>IFERROR(__xludf.DUMMYFUNCTION("""COMPUTED_VALUE"""),"Wounded")</f>
        <v>Wounded</v>
      </c>
      <c r="M595" s="27" t="str">
        <f>IFERROR(__xludf.DUMMYFUNCTION("""COMPUTED_VALUE"""),"N")</f>
        <v>N</v>
      </c>
      <c r="N595" s="24"/>
      <c r="O595" s="24"/>
      <c r="P595" s="24"/>
      <c r="Q595" s="24"/>
      <c r="R595" s="24"/>
      <c r="S595" s="24"/>
      <c r="T595" s="24"/>
      <c r="U595" s="24"/>
      <c r="V595" s="24"/>
      <c r="W595" s="24"/>
      <c r="X595" s="24"/>
      <c r="Y595" s="24"/>
      <c r="Z595" s="24"/>
    </row>
    <row r="596" hidden="1">
      <c r="A596" s="29"/>
      <c r="B596" s="24"/>
      <c r="C596" s="24"/>
      <c r="D596" s="26"/>
      <c r="E596" s="26"/>
      <c r="F596" s="26"/>
      <c r="G596" s="26"/>
      <c r="H596" s="26"/>
      <c r="I596" s="27" t="str">
        <f>IFERROR(__xludf.DUMMYFUNCTION("""COMPUTED_VALUE"""),"M")</f>
        <v>M</v>
      </c>
      <c r="J596" s="27" t="str">
        <f>IFERROR(__xludf.DUMMYFUNCTION("""COMPUTED_VALUE"""),"H")</f>
        <v>H</v>
      </c>
      <c r="K596" s="27">
        <f>IFERROR(__xludf.DUMMYFUNCTION("""COMPUTED_VALUE"""),43.0)</f>
        <v>43</v>
      </c>
      <c r="L596" s="27" t="str">
        <f>IFERROR(__xludf.DUMMYFUNCTION("""COMPUTED_VALUE"""),"None")</f>
        <v>None</v>
      </c>
      <c r="M596" s="27" t="str">
        <f>IFERROR(__xludf.DUMMYFUNCTION("""COMPUTED_VALUE"""),"N")</f>
        <v>N</v>
      </c>
      <c r="N596" s="24"/>
      <c r="O596" s="24"/>
      <c r="P596" s="24"/>
      <c r="Q596" s="24"/>
      <c r="R596" s="24"/>
      <c r="S596" s="24"/>
      <c r="T596" s="24"/>
      <c r="U596" s="24"/>
      <c r="V596" s="24"/>
      <c r="W596" s="24"/>
      <c r="X596" s="24"/>
      <c r="Y596" s="24"/>
      <c r="Z596" s="24"/>
    </row>
    <row r="597" hidden="1">
      <c r="A597" s="29">
        <f>IFERROR(__xludf.DUMMYFUNCTION("""COMPUTED_VALUE"""),39498.0)</f>
        <v>39498</v>
      </c>
      <c r="B597" s="24">
        <f>IFERROR(__xludf.DUMMYFUNCTION("""COMPUTED_VALUE"""),2.5524808E7)</f>
        <v>25524808</v>
      </c>
      <c r="C597" s="24" t="str">
        <f>IFERROR(__xludf.DUMMYFUNCTION("""COMPUTED_VALUE"""),"10118 Cheeves")</f>
        <v>10118 Cheeves</v>
      </c>
      <c r="D597" s="26" t="str">
        <f>IFERROR(__xludf.DUMMYFUNCTION("""COMPUTED_VALUE"""),"M")</f>
        <v>M</v>
      </c>
      <c r="E597" s="26" t="str">
        <f>IFERROR(__xludf.DUMMYFUNCTION("""COMPUTED_VALUE"""),"B")</f>
        <v>B</v>
      </c>
      <c r="F597" s="26">
        <f>IFERROR(__xludf.DUMMYFUNCTION("""COMPUTED_VALUE"""),31.0)</f>
        <v>31</v>
      </c>
      <c r="G597" s="26" t="str">
        <f>IFERROR(__xludf.DUMMYFUNCTION("""COMPUTED_VALUE"""),"Wounded")</f>
        <v>Wounded</v>
      </c>
      <c r="H597" s="26" t="str">
        <f>IFERROR(__xludf.DUMMYFUNCTION("""COMPUTED_VALUE"""),"None")</f>
        <v>None</v>
      </c>
      <c r="I597" s="27" t="str">
        <f>IFERROR(__xludf.DUMMYFUNCTION("""COMPUTED_VALUE"""),"M")</f>
        <v>M</v>
      </c>
      <c r="J597" s="27" t="str">
        <f>IFERROR(__xludf.DUMMYFUNCTION("""COMPUTED_VALUE"""),"W")</f>
        <v>W</v>
      </c>
      <c r="K597" s="27">
        <f>IFERROR(__xludf.DUMMYFUNCTION("""COMPUTED_VALUE"""),46.0)</f>
        <v>46</v>
      </c>
      <c r="L597" s="27" t="str">
        <f>IFERROR(__xludf.DUMMYFUNCTION("""COMPUTED_VALUE"""),"None")</f>
        <v>None</v>
      </c>
      <c r="M597" s="27" t="str">
        <f>IFERROR(__xludf.DUMMYFUNCTION("""COMPUTED_VALUE"""),"Y")</f>
        <v>Y</v>
      </c>
      <c r="N597" s="24"/>
      <c r="O597" s="24">
        <f>IFERROR(__xludf.DUMMYFUNCTION("""COMPUTED_VALUE"""),1.0)</f>
        <v>1</v>
      </c>
      <c r="P597" s="28" t="str">
        <f>IFERROR(__xludf.DUMMYFUNCTION("""COMPUTED_VALUE"""),"The officers were executing a search warrant when they were attacked by a dog. The officer was forced to shoot the dog and in doing so the suspect suffered a wound from a ricoched pellet.")</f>
        <v>The officers were executing a search warrant when they were attacked by a dog. The officer was forced to shoot the dog and in doing so the suspect suffered a wound from a ricoched pellet.</v>
      </c>
      <c r="Q597" s="24"/>
      <c r="R597" s="24"/>
      <c r="S597" s="24"/>
      <c r="T597" s="24"/>
      <c r="U597" s="24"/>
      <c r="V597" s="24"/>
      <c r="W597" s="24"/>
      <c r="X597" s="24"/>
      <c r="Y597" s="24"/>
      <c r="Z597" s="24"/>
    </row>
    <row r="598" hidden="1">
      <c r="A598" s="29">
        <f>IFERROR(__xludf.DUMMYFUNCTION("""COMPUTED_VALUE"""),39491.0)</f>
        <v>39491</v>
      </c>
      <c r="B598" s="24">
        <f>IFERROR(__xludf.DUMMYFUNCTION("""COMPUTED_VALUE"""),2.19790008E8)</f>
        <v>219790008</v>
      </c>
      <c r="C598" s="24" t="str">
        <f>IFERROR(__xludf.DUMMYFUNCTION("""COMPUTED_VALUE"""),"2929 Renshaw St.")</f>
        <v>2929 Renshaw St.</v>
      </c>
      <c r="D598" s="26" t="str">
        <f>IFERROR(__xludf.DUMMYFUNCTION("""COMPUTED_VALUE"""),"F")</f>
        <v>F</v>
      </c>
      <c r="E598" s="26" t="str">
        <f>IFERROR(__xludf.DUMMYFUNCTION("""COMPUTED_VALUE"""),"H")</f>
        <v>H</v>
      </c>
      <c r="F598" s="26">
        <f>IFERROR(__xludf.DUMMYFUNCTION("""COMPUTED_VALUE"""),29.0)</f>
        <v>29</v>
      </c>
      <c r="G598" s="26" t="str">
        <f>IFERROR(__xludf.DUMMYFUNCTION("""COMPUTED_VALUE"""),"Wounded")</f>
        <v>Wounded</v>
      </c>
      <c r="H598" s="26" t="str">
        <f>IFERROR(__xludf.DUMMYFUNCTION("""COMPUTED_VALUE"""),"Vehicle")</f>
        <v>Vehicle</v>
      </c>
      <c r="I598" s="27" t="str">
        <f>IFERROR(__xludf.DUMMYFUNCTION("""COMPUTED_VALUE"""),"M")</f>
        <v>M</v>
      </c>
      <c r="J598" s="27" t="str">
        <f>IFERROR(__xludf.DUMMYFUNCTION("""COMPUTED_VALUE"""),"H")</f>
        <v>H</v>
      </c>
      <c r="K598" s="27">
        <f>IFERROR(__xludf.DUMMYFUNCTION("""COMPUTED_VALUE"""),29.0)</f>
        <v>29</v>
      </c>
      <c r="L598" s="27" t="str">
        <f>IFERROR(__xludf.DUMMYFUNCTION("""COMPUTED_VALUE"""),"None")</f>
        <v>None</v>
      </c>
      <c r="M598" s="27" t="str">
        <f>IFERROR(__xludf.DUMMYFUNCTION("""COMPUTED_VALUE"""),"Y")</f>
        <v>Y</v>
      </c>
      <c r="N598" s="24"/>
      <c r="O598" s="24">
        <f>IFERROR(__xludf.DUMMYFUNCTION("""COMPUTED_VALUE"""),1.0)</f>
        <v>1</v>
      </c>
      <c r="P598" s="28" t="str">
        <f>IFERROR(__xludf.DUMMYFUNCTION("""COMPUTED_VALUE"""),"The officers located a stolen vehicle and when they tried to detain the suspect the suspect attempted to flee from the officers by ramming into the patrol cars and then by trying to run over the officers forcing them to shoot the suspect.")</f>
        <v>The officers located a stolen vehicle and when they tried to detain the suspect the suspect attempted to flee from the officers by ramming into the patrol cars and then by trying to run over the officers forcing them to shoot the suspect.</v>
      </c>
      <c r="Q598" s="24"/>
      <c r="R598" s="24"/>
      <c r="S598" s="24"/>
      <c r="T598" s="24"/>
      <c r="U598" s="24"/>
      <c r="V598" s="24"/>
      <c r="W598" s="24"/>
      <c r="X598" s="24"/>
      <c r="Y598" s="24"/>
      <c r="Z598" s="24"/>
    </row>
    <row r="599" hidden="1">
      <c r="A599" s="29"/>
      <c r="B599" s="24"/>
      <c r="C599" s="24"/>
      <c r="D599" s="26"/>
      <c r="E599" s="26"/>
      <c r="F599" s="26"/>
      <c r="G599" s="26" t="str">
        <f>IFERROR(__xludf.DUMMYFUNCTION("""COMPUTED_VALUE"""),"Wounded")</f>
        <v>Wounded</v>
      </c>
      <c r="H599" s="26" t="str">
        <f>IFERROR(__xludf.DUMMYFUNCTION("""COMPUTED_VALUE"""),"Vehicle")</f>
        <v>Vehicle</v>
      </c>
      <c r="I599" s="27" t="str">
        <f>IFERROR(__xludf.DUMMYFUNCTION("""COMPUTED_VALUE"""),"M")</f>
        <v>M</v>
      </c>
      <c r="J599" s="27" t="str">
        <f>IFERROR(__xludf.DUMMYFUNCTION("""COMPUTED_VALUE"""),"H")</f>
        <v>H</v>
      </c>
      <c r="K599" s="27">
        <f>IFERROR(__xludf.DUMMYFUNCTION("""COMPUTED_VALUE"""),27.0)</f>
        <v>27</v>
      </c>
      <c r="L599" s="27" t="str">
        <f>IFERROR(__xludf.DUMMYFUNCTION("""COMPUTED_VALUE"""),"None")</f>
        <v>None</v>
      </c>
      <c r="M599" s="27" t="str">
        <f>IFERROR(__xludf.DUMMYFUNCTION("""COMPUTED_VALUE"""),"Y")</f>
        <v>Y</v>
      </c>
      <c r="N599" s="24"/>
      <c r="O599" s="24">
        <f>IFERROR(__xludf.DUMMYFUNCTION("""COMPUTED_VALUE"""),1.0)</f>
        <v>1</v>
      </c>
      <c r="P599" s="28"/>
      <c r="Q599" s="24"/>
      <c r="R599" s="24"/>
      <c r="S599" s="24"/>
      <c r="T599" s="24"/>
      <c r="U599" s="24"/>
      <c r="V599" s="24"/>
      <c r="W599" s="24"/>
      <c r="X599" s="24"/>
      <c r="Y599" s="24"/>
      <c r="Z599" s="24"/>
    </row>
    <row r="600" hidden="1">
      <c r="A600" s="29"/>
      <c r="B600" s="24"/>
      <c r="C600" s="24"/>
      <c r="D600" s="26"/>
      <c r="E600" s="26"/>
      <c r="F600" s="26"/>
      <c r="G600" s="26" t="str">
        <f>IFERROR(__xludf.DUMMYFUNCTION("""COMPUTED_VALUE"""),"Wounded")</f>
        <v>Wounded</v>
      </c>
      <c r="H600" s="26" t="str">
        <f>IFERROR(__xludf.DUMMYFUNCTION("""COMPUTED_VALUE"""),"Vehicle")</f>
        <v>Vehicle</v>
      </c>
      <c r="I600" s="27" t="str">
        <f>IFERROR(__xludf.DUMMYFUNCTION("""COMPUTED_VALUE"""),"M")</f>
        <v>M</v>
      </c>
      <c r="J600" s="27" t="str">
        <f>IFERROR(__xludf.DUMMYFUNCTION("""COMPUTED_VALUE"""),"H")</f>
        <v>H</v>
      </c>
      <c r="K600" s="27">
        <f>IFERROR(__xludf.DUMMYFUNCTION("""COMPUTED_VALUE"""),28.0)</f>
        <v>28</v>
      </c>
      <c r="L600" s="27" t="str">
        <f>IFERROR(__xludf.DUMMYFUNCTION("""COMPUTED_VALUE"""),"None")</f>
        <v>None</v>
      </c>
      <c r="M600" s="27" t="str">
        <f>IFERROR(__xludf.DUMMYFUNCTION("""COMPUTED_VALUE"""),"Y")</f>
        <v>Y</v>
      </c>
      <c r="N600" s="24"/>
      <c r="O600" s="24">
        <f>IFERROR(__xludf.DUMMYFUNCTION("""COMPUTED_VALUE"""),1.0)</f>
        <v>1</v>
      </c>
      <c r="P600" s="28"/>
      <c r="Q600" s="24"/>
      <c r="R600" s="24"/>
      <c r="S600" s="24"/>
      <c r="T600" s="24"/>
      <c r="U600" s="24"/>
      <c r="V600" s="24"/>
      <c r="W600" s="24"/>
      <c r="X600" s="24"/>
      <c r="Y600" s="24"/>
      <c r="Z600" s="24"/>
    </row>
    <row r="601">
      <c r="A601" s="29">
        <f>IFERROR(__xludf.DUMMYFUNCTION("""COMPUTED_VALUE"""),39465.0)</f>
        <v>39465</v>
      </c>
      <c r="B601" s="24">
        <f>IFERROR(__xludf.DUMMYFUNCTION("""COMPUTED_VALUE"""),839028.0)</f>
        <v>839028</v>
      </c>
      <c r="C601" s="24" t="str">
        <f>IFERROR(__xludf.DUMMYFUNCTION("""COMPUTED_VALUE"""),"5400 Malmedy")</f>
        <v>5400 Malmedy</v>
      </c>
      <c r="D601" s="26" t="str">
        <f>IFERROR(__xludf.DUMMYFUNCTION("""COMPUTED_VALUE"""),"M")</f>
        <v>M</v>
      </c>
      <c r="E601" s="26" t="str">
        <f>IFERROR(__xludf.DUMMYFUNCTION("""COMPUTED_VALUE"""),"B")</f>
        <v>B</v>
      </c>
      <c r="F601" s="26">
        <f>IFERROR(__xludf.DUMMYFUNCTION("""COMPUTED_VALUE"""),51.0)</f>
        <v>51</v>
      </c>
      <c r="G601" s="26" t="str">
        <f>IFERROR(__xludf.DUMMYFUNCTION("""COMPUTED_VALUE"""),"None")</f>
        <v>None</v>
      </c>
      <c r="H601" s="26" t="str">
        <f>IFERROR(__xludf.DUMMYFUNCTION("""COMPUTED_VALUE"""),"None")</f>
        <v>None</v>
      </c>
      <c r="I601" s="27" t="str">
        <f>IFERROR(__xludf.DUMMYFUNCTION("""COMPUTED_VALUE"""),"M")</f>
        <v>M</v>
      </c>
      <c r="J601" s="27" t="str">
        <f>IFERROR(__xludf.DUMMYFUNCTION("""COMPUTED_VALUE"""),"B")</f>
        <v>B</v>
      </c>
      <c r="K601" s="27">
        <f>IFERROR(__xludf.DUMMYFUNCTION("""COMPUTED_VALUE"""),39.0)</f>
        <v>39</v>
      </c>
      <c r="L601" s="27" t="str">
        <f>IFERROR(__xludf.DUMMYFUNCTION("""COMPUTED_VALUE"""),"None")</f>
        <v>None</v>
      </c>
      <c r="M601" s="27" t="str">
        <f>IFERROR(__xludf.DUMMYFUNCTION("""COMPUTED_VALUE"""),"Y")</f>
        <v>Y</v>
      </c>
      <c r="N601" s="24"/>
      <c r="O601" s="24">
        <f>IFERROR(__xludf.DUMMYFUNCTION("""COMPUTED_VALUE"""),1.0)</f>
        <v>1</v>
      </c>
      <c r="P601" s="28" t="str">
        <f>IFERROR(__xludf.DUMMYFUNCTION("""COMPUTED_VALUE"""),"The officer was attempting to arrest an evading arrest suspect who he found hiding behind a fence. The suspect failed to comply with the officers orders and made a gesture as if he was pointing a weapon at the officer forcing the officer to shoot at the s"&amp;"uspect.")</f>
        <v>The officer was attempting to arrest an evading arrest suspect who he found hiding behind a fence. The suspect failed to comply with the officers orders and made a gesture as if he was pointing a weapon at the officer forcing the officer to shoot at the suspect.</v>
      </c>
      <c r="Q601" s="24"/>
      <c r="R601" s="24"/>
      <c r="S601" s="24"/>
      <c r="T601" s="24"/>
      <c r="U601" s="24"/>
      <c r="V601" s="24"/>
      <c r="W601" s="24"/>
      <c r="X601" s="24"/>
      <c r="Y601" s="24"/>
      <c r="Z601" s="24"/>
    </row>
    <row r="602">
      <c r="A602" s="29"/>
      <c r="B602" s="24"/>
      <c r="C602" s="24"/>
      <c r="D602" s="26" t="str">
        <f>IFERROR(__xludf.DUMMYFUNCTION("""COMPUTED_VALUE"""),"M")</f>
        <v>M</v>
      </c>
      <c r="E602" s="26" t="str">
        <f>IFERROR(__xludf.DUMMYFUNCTION("""COMPUTED_VALUE"""),"B")</f>
        <v>B</v>
      </c>
      <c r="F602" s="26">
        <f>IFERROR(__xludf.DUMMYFUNCTION("""COMPUTED_VALUE"""),48.0)</f>
        <v>48</v>
      </c>
      <c r="G602" s="26" t="str">
        <f>IFERROR(__xludf.DUMMYFUNCTION("""COMPUTED_VALUE"""),"None")</f>
        <v>None</v>
      </c>
      <c r="H602" s="26" t="str">
        <f>IFERROR(__xludf.DUMMYFUNCTION("""COMPUTED_VALUE"""),"None")</f>
        <v>None</v>
      </c>
      <c r="I602" s="27"/>
      <c r="J602" s="27"/>
      <c r="K602" s="27"/>
      <c r="L602" s="27"/>
      <c r="M602" s="27"/>
      <c r="N602" s="24"/>
      <c r="O602" s="24"/>
      <c r="P602" s="28"/>
      <c r="Q602" s="24"/>
      <c r="R602" s="24"/>
      <c r="S602" s="24"/>
      <c r="T602" s="24"/>
      <c r="U602" s="24"/>
      <c r="V602" s="24"/>
      <c r="W602" s="24"/>
      <c r="X602" s="24"/>
      <c r="Y602" s="24"/>
      <c r="Z602" s="24"/>
    </row>
    <row r="603" hidden="1">
      <c r="A603" s="29">
        <f>IFERROR(__xludf.DUMMYFUNCTION("""COMPUTED_VALUE"""),39462.0)</f>
        <v>39462</v>
      </c>
      <c r="B603" s="24">
        <f>IFERROR(__xludf.DUMMYFUNCTION("""COMPUTED_VALUE"""),7143608.0)</f>
        <v>7143608</v>
      </c>
      <c r="C603" s="24" t="str">
        <f>IFERROR(__xludf.DUMMYFUNCTION("""COMPUTED_VALUE"""),"2000 Santa Rosa")</f>
        <v>2000 Santa Rosa</v>
      </c>
      <c r="D603" s="26" t="str">
        <f>IFERROR(__xludf.DUMMYFUNCTION("""COMPUTED_VALUE"""),"M")</f>
        <v>M</v>
      </c>
      <c r="E603" s="26" t="str">
        <f>IFERROR(__xludf.DUMMYFUNCTION("""COMPUTED_VALUE"""),"H")</f>
        <v>H</v>
      </c>
      <c r="F603" s="26">
        <f>IFERROR(__xludf.DUMMYFUNCTION("""COMPUTED_VALUE"""),21.0)</f>
        <v>21</v>
      </c>
      <c r="G603" s="26" t="str">
        <f>IFERROR(__xludf.DUMMYFUNCTION("""COMPUTED_VALUE"""),"Wounded")</f>
        <v>Wounded</v>
      </c>
      <c r="H603" s="26" t="str">
        <f>IFERROR(__xludf.DUMMYFUNCTION("""COMPUTED_VALUE"""),"BB Gun")</f>
        <v>BB Gun</v>
      </c>
      <c r="I603" s="27" t="str">
        <f>IFERROR(__xludf.DUMMYFUNCTION("""COMPUTED_VALUE"""),"M")</f>
        <v>M</v>
      </c>
      <c r="J603" s="27" t="str">
        <f>IFERROR(__xludf.DUMMYFUNCTION("""COMPUTED_VALUE"""),"W")</f>
        <v>W</v>
      </c>
      <c r="K603" s="27">
        <f>IFERROR(__xludf.DUMMYFUNCTION("""COMPUTED_VALUE"""),46.0)</f>
        <v>46</v>
      </c>
      <c r="L603" s="27" t="str">
        <f>IFERROR(__xludf.DUMMYFUNCTION("""COMPUTED_VALUE"""),"None")</f>
        <v>None</v>
      </c>
      <c r="M603" s="27" t="str">
        <f>IFERROR(__xludf.DUMMYFUNCTION("""COMPUTED_VALUE"""),"Y")</f>
        <v>Y</v>
      </c>
      <c r="N603" s="24"/>
      <c r="O603" s="24">
        <f>IFERROR(__xludf.DUMMYFUNCTION("""COMPUTED_VALUE"""),1.0)</f>
        <v>1</v>
      </c>
      <c r="P603" s="28" t="str">
        <f>IFERROR(__xludf.DUMMYFUNCTION("""COMPUTED_VALUE"""),"The armed suspect fled from police in a vehicle and on foot. During the pursuit the suspect engaged the officer by pointing his weapon at the officers forcing the officers to shoot at the suspect.")</f>
        <v>The armed suspect fled from police in a vehicle and on foot. During the pursuit the suspect engaged the officer by pointing his weapon at the officers forcing the officers to shoot at the suspect.</v>
      </c>
      <c r="Q603" s="24"/>
      <c r="R603" s="24"/>
      <c r="S603" s="24"/>
      <c r="T603" s="24"/>
      <c r="U603" s="24"/>
      <c r="V603" s="24"/>
      <c r="W603" s="24"/>
      <c r="X603" s="24"/>
      <c r="Y603" s="24"/>
      <c r="Z603" s="24"/>
    </row>
    <row r="604" hidden="1">
      <c r="A604" s="29"/>
      <c r="B604" s="24"/>
      <c r="C604" s="24"/>
      <c r="D604" s="26"/>
      <c r="E604" s="26"/>
      <c r="F604" s="26"/>
      <c r="G604" s="26"/>
      <c r="H604" s="26"/>
      <c r="I604" s="27" t="str">
        <f>IFERROR(__xludf.DUMMYFUNCTION("""COMPUTED_VALUE"""),"M")</f>
        <v>M</v>
      </c>
      <c r="J604" s="27" t="str">
        <f>IFERROR(__xludf.DUMMYFUNCTION("""COMPUTED_VALUE"""),"H")</f>
        <v>H</v>
      </c>
      <c r="K604" s="27">
        <f>IFERROR(__xludf.DUMMYFUNCTION("""COMPUTED_VALUE"""),49.0)</f>
        <v>49</v>
      </c>
      <c r="L604" s="27" t="str">
        <f>IFERROR(__xludf.DUMMYFUNCTION("""COMPUTED_VALUE"""),"None")</f>
        <v>None</v>
      </c>
      <c r="M604" s="27" t="str">
        <f>IFERROR(__xludf.DUMMYFUNCTION("""COMPUTED_VALUE"""),"Y")</f>
        <v>Y</v>
      </c>
      <c r="N604" s="24"/>
      <c r="O604" s="24">
        <f>IFERROR(__xludf.DUMMYFUNCTION("""COMPUTED_VALUE"""),1.0)</f>
        <v>1</v>
      </c>
      <c r="P604" s="24"/>
      <c r="Q604" s="24"/>
      <c r="R604" s="24"/>
      <c r="S604" s="24"/>
      <c r="T604" s="24"/>
      <c r="U604" s="24"/>
      <c r="V604" s="24"/>
      <c r="W604" s="24"/>
      <c r="X604" s="24"/>
      <c r="Y604" s="24"/>
      <c r="Z604" s="24"/>
    </row>
    <row r="605" hidden="1">
      <c r="A605" s="29"/>
      <c r="B605" s="24"/>
      <c r="C605" s="24"/>
      <c r="D605" s="26"/>
      <c r="E605" s="26"/>
      <c r="F605" s="26"/>
      <c r="G605" s="26"/>
      <c r="H605" s="26"/>
      <c r="I605" s="27" t="str">
        <f>IFERROR(__xludf.DUMMYFUNCTION("""COMPUTED_VALUE"""),"M")</f>
        <v>M</v>
      </c>
      <c r="J605" s="27" t="str">
        <f>IFERROR(__xludf.DUMMYFUNCTION("""COMPUTED_VALUE"""),"W")</f>
        <v>W</v>
      </c>
      <c r="K605" s="27">
        <f>IFERROR(__xludf.DUMMYFUNCTION("""COMPUTED_VALUE"""),51.0)</f>
        <v>51</v>
      </c>
      <c r="L605" s="27" t="str">
        <f>IFERROR(__xludf.DUMMYFUNCTION("""COMPUTED_VALUE"""),"None")</f>
        <v>None</v>
      </c>
      <c r="M605" s="27" t="str">
        <f>IFERROR(__xludf.DUMMYFUNCTION("""COMPUTED_VALUE"""),"Y")</f>
        <v>Y</v>
      </c>
      <c r="N605" s="24"/>
      <c r="O605" s="24">
        <f>IFERROR(__xludf.DUMMYFUNCTION("""COMPUTED_VALUE"""),1.0)</f>
        <v>1</v>
      </c>
      <c r="P605" s="24"/>
      <c r="Q605" s="24"/>
      <c r="R605" s="24"/>
      <c r="S605" s="24"/>
      <c r="T605" s="24"/>
      <c r="U605" s="24"/>
      <c r="V605" s="24"/>
      <c r="W605" s="24"/>
      <c r="X605" s="24"/>
      <c r="Y605" s="24"/>
      <c r="Z605" s="24"/>
    </row>
    <row r="606" hidden="1">
      <c r="A606" s="29"/>
      <c r="B606" s="24"/>
      <c r="C606" s="24"/>
      <c r="D606" s="26"/>
      <c r="E606" s="26"/>
      <c r="F606" s="26"/>
      <c r="G606" s="26"/>
      <c r="H606" s="26"/>
      <c r="I606" s="27" t="str">
        <f>IFERROR(__xludf.DUMMYFUNCTION("""COMPUTED_VALUE"""),"M")</f>
        <v>M</v>
      </c>
      <c r="J606" s="27" t="str">
        <f>IFERROR(__xludf.DUMMYFUNCTION("""COMPUTED_VALUE"""),"H")</f>
        <v>H</v>
      </c>
      <c r="K606" s="27">
        <f>IFERROR(__xludf.DUMMYFUNCTION("""COMPUTED_VALUE"""),41.0)</f>
        <v>41</v>
      </c>
      <c r="L606" s="27" t="str">
        <f>IFERROR(__xludf.DUMMYFUNCTION("""COMPUTED_VALUE"""),"None")</f>
        <v>None</v>
      </c>
      <c r="M606" s="27" t="str">
        <f>IFERROR(__xludf.DUMMYFUNCTION("""COMPUTED_VALUE"""),"Y")</f>
        <v>Y</v>
      </c>
      <c r="N606" s="24"/>
      <c r="O606" s="24">
        <f>IFERROR(__xludf.DUMMYFUNCTION("""COMPUTED_VALUE"""),1.0)</f>
        <v>1</v>
      </c>
      <c r="P606" s="24"/>
      <c r="Q606" s="24"/>
      <c r="R606" s="24"/>
      <c r="S606" s="24"/>
      <c r="T606" s="24"/>
      <c r="U606" s="24"/>
      <c r="V606" s="24"/>
      <c r="W606" s="24"/>
      <c r="X606" s="24"/>
      <c r="Y606" s="24"/>
      <c r="Z606" s="24"/>
    </row>
    <row r="607" hidden="1">
      <c r="A607" s="29"/>
      <c r="B607" s="24"/>
      <c r="C607" s="24"/>
      <c r="D607" s="26"/>
      <c r="E607" s="26"/>
      <c r="F607" s="26"/>
      <c r="G607" s="26"/>
      <c r="H607" s="26"/>
      <c r="I607" s="27" t="str">
        <f>IFERROR(__xludf.DUMMYFUNCTION("""COMPUTED_VALUE"""),"M")</f>
        <v>M</v>
      </c>
      <c r="J607" s="27" t="str">
        <f>IFERROR(__xludf.DUMMYFUNCTION("""COMPUTED_VALUE"""),"H")</f>
        <v>H</v>
      </c>
      <c r="K607" s="27">
        <f>IFERROR(__xludf.DUMMYFUNCTION("""COMPUTED_VALUE"""),52.0)</f>
        <v>52</v>
      </c>
      <c r="L607" s="27" t="str">
        <f>IFERROR(__xludf.DUMMYFUNCTION("""COMPUTED_VALUE"""),"None")</f>
        <v>None</v>
      </c>
      <c r="M607" s="27" t="str">
        <f>IFERROR(__xludf.DUMMYFUNCTION("""COMPUTED_VALUE"""),"Y")</f>
        <v>Y</v>
      </c>
      <c r="N607" s="24"/>
      <c r="O607" s="24">
        <f>IFERROR(__xludf.DUMMYFUNCTION("""COMPUTED_VALUE"""),1.0)</f>
        <v>1</v>
      </c>
      <c r="P607" s="24"/>
      <c r="Q607" s="24"/>
      <c r="R607" s="24"/>
      <c r="S607" s="24"/>
      <c r="T607" s="24"/>
      <c r="U607" s="24"/>
      <c r="V607" s="24"/>
      <c r="W607" s="24"/>
      <c r="X607" s="24"/>
      <c r="Y607" s="24"/>
      <c r="Z607" s="24"/>
    </row>
    <row r="608" hidden="1">
      <c r="A608" s="29"/>
      <c r="B608" s="24"/>
      <c r="C608" s="24"/>
      <c r="D608" s="26"/>
      <c r="E608" s="26"/>
      <c r="F608" s="26"/>
      <c r="G608" s="26"/>
      <c r="H608" s="26"/>
      <c r="I608" s="27" t="str">
        <f>IFERROR(__xludf.DUMMYFUNCTION("""COMPUTED_VALUE"""),"M")</f>
        <v>M</v>
      </c>
      <c r="J608" s="27" t="str">
        <f>IFERROR(__xludf.DUMMYFUNCTION("""COMPUTED_VALUE"""),"H")</f>
        <v>H</v>
      </c>
      <c r="K608" s="27">
        <f>IFERROR(__xludf.DUMMYFUNCTION("""COMPUTED_VALUE"""),46.0)</f>
        <v>46</v>
      </c>
      <c r="L608" s="27" t="str">
        <f>IFERROR(__xludf.DUMMYFUNCTION("""COMPUTED_VALUE"""),"None")</f>
        <v>None</v>
      </c>
      <c r="M608" s="27" t="str">
        <f>IFERROR(__xludf.DUMMYFUNCTION("""COMPUTED_VALUE"""),"Y")</f>
        <v>Y</v>
      </c>
      <c r="N608" s="24"/>
      <c r="O608" s="24">
        <f>IFERROR(__xludf.DUMMYFUNCTION("""COMPUTED_VALUE"""),1.0)</f>
        <v>1</v>
      </c>
      <c r="P608" s="24"/>
      <c r="Q608" s="24"/>
      <c r="R608" s="24"/>
      <c r="S608" s="24"/>
      <c r="T608" s="24"/>
      <c r="U608" s="24"/>
      <c r="V608" s="24"/>
      <c r="W608" s="24"/>
      <c r="X608" s="24"/>
      <c r="Y608" s="24"/>
      <c r="Z608" s="24"/>
    </row>
    <row r="609" hidden="1">
      <c r="A609" s="29"/>
      <c r="B609" s="24"/>
      <c r="C609" s="24"/>
      <c r="D609" s="26"/>
      <c r="E609" s="26"/>
      <c r="F609" s="26"/>
      <c r="G609" s="26"/>
      <c r="H609" s="26"/>
      <c r="I609" s="27" t="str">
        <f>IFERROR(__xludf.DUMMYFUNCTION("""COMPUTED_VALUE"""),"M")</f>
        <v>M</v>
      </c>
      <c r="J609" s="27" t="str">
        <f>IFERROR(__xludf.DUMMYFUNCTION("""COMPUTED_VALUE"""),"H")</f>
        <v>H</v>
      </c>
      <c r="K609" s="27">
        <f>IFERROR(__xludf.DUMMYFUNCTION("""COMPUTED_VALUE"""),43.0)</f>
        <v>43</v>
      </c>
      <c r="L609" s="27" t="str">
        <f>IFERROR(__xludf.DUMMYFUNCTION("""COMPUTED_VALUE"""),"None")</f>
        <v>None</v>
      </c>
      <c r="M609" s="27" t="str">
        <f>IFERROR(__xludf.DUMMYFUNCTION("""COMPUTED_VALUE"""),"Y")</f>
        <v>Y</v>
      </c>
      <c r="N609" s="24"/>
      <c r="O609" s="24">
        <f>IFERROR(__xludf.DUMMYFUNCTION("""COMPUTED_VALUE"""),1.0)</f>
        <v>1</v>
      </c>
      <c r="P609" s="24"/>
      <c r="Q609" s="24"/>
      <c r="R609" s="24"/>
      <c r="S609" s="24"/>
      <c r="T609" s="24"/>
      <c r="U609" s="24"/>
      <c r="V609" s="24"/>
      <c r="W609" s="24"/>
      <c r="X609" s="24"/>
      <c r="Y609" s="24"/>
      <c r="Z609" s="24"/>
    </row>
    <row r="610" hidden="1">
      <c r="A610" s="29"/>
      <c r="B610" s="24"/>
      <c r="C610" s="24"/>
      <c r="D610" s="26"/>
      <c r="E610" s="26"/>
      <c r="F610" s="26"/>
      <c r="G610" s="26"/>
      <c r="H610" s="26"/>
      <c r="I610" s="27" t="str">
        <f>IFERROR(__xludf.DUMMYFUNCTION("""COMPUTED_VALUE"""),"M")</f>
        <v>M</v>
      </c>
      <c r="J610" s="27" t="str">
        <f>IFERROR(__xludf.DUMMYFUNCTION("""COMPUTED_VALUE"""),"H")</f>
        <v>H</v>
      </c>
      <c r="K610" s="27">
        <f>IFERROR(__xludf.DUMMYFUNCTION("""COMPUTED_VALUE"""),53.0)</f>
        <v>53</v>
      </c>
      <c r="L610" s="27" t="str">
        <f>IFERROR(__xludf.DUMMYFUNCTION("""COMPUTED_VALUE"""),"None")</f>
        <v>None</v>
      </c>
      <c r="M610" s="27" t="str">
        <f>IFERROR(__xludf.DUMMYFUNCTION("""COMPUTED_VALUE"""),"Y")</f>
        <v>Y</v>
      </c>
      <c r="N610" s="24"/>
      <c r="O610" s="24">
        <f>IFERROR(__xludf.DUMMYFUNCTION("""COMPUTED_VALUE"""),1.0)</f>
        <v>1</v>
      </c>
      <c r="P610" s="24"/>
      <c r="Q610" s="24"/>
      <c r="R610" s="24"/>
      <c r="S610" s="24"/>
      <c r="T610" s="24"/>
      <c r="U610" s="24"/>
      <c r="V610" s="24"/>
      <c r="W610" s="24"/>
      <c r="X610" s="24"/>
      <c r="Y610" s="24"/>
      <c r="Z610" s="24"/>
    </row>
    <row r="611" hidden="1">
      <c r="A611" s="29">
        <f>IFERROR(__xludf.DUMMYFUNCTION("""COMPUTED_VALUE"""),39447.0)</f>
        <v>39447</v>
      </c>
      <c r="B611" s="24">
        <f>IFERROR(__xludf.DUMMYFUNCTION("""COMPUTED_VALUE"""),1.90773207E8)</f>
        <v>190773207</v>
      </c>
      <c r="C611" s="24" t="str">
        <f>IFERROR(__xludf.DUMMYFUNCTION("""COMPUTED_VALUE"""),"8700 Broadway")</f>
        <v>8700 Broadway</v>
      </c>
      <c r="D611" s="26" t="str">
        <f>IFERROR(__xludf.DUMMYFUNCTION("""COMPUTED_VALUE"""),"M")</f>
        <v>M</v>
      </c>
      <c r="E611" s="26" t="str">
        <f>IFERROR(__xludf.DUMMYFUNCTION("""COMPUTED_VALUE"""),"H")</f>
        <v>H</v>
      </c>
      <c r="F611" s="26">
        <f>IFERROR(__xludf.DUMMYFUNCTION("""COMPUTED_VALUE"""),23.0)</f>
        <v>23</v>
      </c>
      <c r="G611" s="26" t="str">
        <f>IFERROR(__xludf.DUMMYFUNCTION("""COMPUTED_VALUE"""),"Wounded")</f>
        <v>Wounded</v>
      </c>
      <c r="H611" s="26" t="str">
        <f>IFERROR(__xludf.DUMMYFUNCTION("""COMPUTED_VALUE"""),"Flashlight")</f>
        <v>Flashlight</v>
      </c>
      <c r="I611" s="27" t="str">
        <f>IFERROR(__xludf.DUMMYFUNCTION("""COMPUTED_VALUE"""),"M")</f>
        <v>M</v>
      </c>
      <c r="J611" s="27" t="str">
        <f>IFERROR(__xludf.DUMMYFUNCTION("""COMPUTED_VALUE"""),"H")</f>
        <v>H</v>
      </c>
      <c r="K611" s="27">
        <f>IFERROR(__xludf.DUMMYFUNCTION("""COMPUTED_VALUE"""),27.0)</f>
        <v>27</v>
      </c>
      <c r="L611" s="27" t="str">
        <f>IFERROR(__xludf.DUMMYFUNCTION("""COMPUTED_VALUE"""),"Wounded")</f>
        <v>Wounded</v>
      </c>
      <c r="M611" s="27" t="str">
        <f>IFERROR(__xludf.DUMMYFUNCTION("""COMPUTED_VALUE"""),"N")</f>
        <v>N</v>
      </c>
      <c r="N611" s="24"/>
      <c r="O611" s="24">
        <f>IFERROR(__xludf.DUMMYFUNCTION("""COMPUTED_VALUE"""),1.0)</f>
        <v>1</v>
      </c>
      <c r="P611" s="28" t="str">
        <f>IFERROR(__xludf.DUMMYFUNCTION("""COMPUTED_VALUE"""),"The officer was notified of a rape and when he confronted the suspect, the suspect fought the officer before running off. The officer chased the suspect and the two engaged in another physical confrontation. It was when the suspect picked up an object and"&amp;" was going to hit the officer with it that the officer was forced to shoot.")</f>
        <v>The officer was notified of a rape and when he confronted the suspect, the suspect fought the officer before running off. The officer chased the suspect and the two engaged in another physical confrontation. It was when the suspect picked up an object and was going to hit the officer with it that the officer was forced to shoot.</v>
      </c>
      <c r="Q611" s="24"/>
      <c r="R611" s="24"/>
      <c r="S611" s="24"/>
      <c r="T611" s="24"/>
      <c r="U611" s="24"/>
      <c r="V611" s="24"/>
      <c r="W611" s="24"/>
      <c r="X611" s="24"/>
      <c r="Y611" s="24"/>
      <c r="Z611" s="24"/>
    </row>
    <row r="612" hidden="1">
      <c r="A612" s="29">
        <f>IFERROR(__xludf.DUMMYFUNCTION("""COMPUTED_VALUE"""),39373.0)</f>
        <v>39373</v>
      </c>
      <c r="B612" s="24">
        <f>IFERROR(__xludf.DUMMYFUNCTION("""COMPUTED_VALUE"""),1.53198907E8)</f>
        <v>153198907</v>
      </c>
      <c r="C612" s="24" t="str">
        <f>IFERROR(__xludf.DUMMYFUNCTION("""COMPUTED_VALUE"""),"6000 T. C. Jester")</f>
        <v>6000 T. C. Jester</v>
      </c>
      <c r="D612" s="26" t="str">
        <f>IFERROR(__xludf.DUMMYFUNCTION("""COMPUTED_VALUE"""),"M")</f>
        <v>M</v>
      </c>
      <c r="E612" s="26" t="str">
        <f>IFERROR(__xludf.DUMMYFUNCTION("""COMPUTED_VALUE"""),"B")</f>
        <v>B</v>
      </c>
      <c r="F612" s="26">
        <f>IFERROR(__xludf.DUMMYFUNCTION("""COMPUTED_VALUE"""),30.0)</f>
        <v>30</v>
      </c>
      <c r="G612" s="26" t="str">
        <f>IFERROR(__xludf.DUMMYFUNCTION("""COMPUTED_VALUE"""),"Killed")</f>
        <v>Killed</v>
      </c>
      <c r="H612" s="26" t="str">
        <f>IFERROR(__xludf.DUMMYFUNCTION("""COMPUTED_VALUE"""),"Physical Force")</f>
        <v>Physical Force</v>
      </c>
      <c r="I612" s="27" t="str">
        <f>IFERROR(__xludf.DUMMYFUNCTION("""COMPUTED_VALUE"""),"M")</f>
        <v>M</v>
      </c>
      <c r="J612" s="27" t="str">
        <f>IFERROR(__xludf.DUMMYFUNCTION("""COMPUTED_VALUE"""),"H")</f>
        <v>H</v>
      </c>
      <c r="K612" s="27">
        <f>IFERROR(__xludf.DUMMYFUNCTION("""COMPUTED_VALUE"""),29.0)</f>
        <v>29</v>
      </c>
      <c r="L612" s="27" t="str">
        <f>IFERROR(__xludf.DUMMYFUNCTION("""COMPUTED_VALUE"""),"None")</f>
        <v>None</v>
      </c>
      <c r="M612" s="27" t="str">
        <f>IFERROR(__xludf.DUMMYFUNCTION("""COMPUTED_VALUE"""),"Y")</f>
        <v>Y</v>
      </c>
      <c r="N612" s="24"/>
      <c r="O612" s="24">
        <f>IFERROR(__xludf.DUMMYFUNCTION("""COMPUTED_VALUE"""),1.0)</f>
        <v>1</v>
      </c>
      <c r="P612" s="24" t="str">
        <f>IFERROR(__xludf.DUMMYFUNCTION("""COMPUTED_VALUE"""),"The suspect was stopped on traffic when he became very aggressive and attacked tehe officer. The officer attempted to use a taser on the suspect but the taser was ineffective. The suspect continued his aggression toward the officer after being tasered for"&amp;"cing the officer to shoot.")</f>
        <v>The suspect was stopped on traffic when he became very aggressive and attacked tehe officer. The officer attempted to use a taser on the suspect but the taser was ineffective. The suspect continued his aggression toward the officer after being tasered forcing the officer to shoot.</v>
      </c>
      <c r="Q612" s="24"/>
      <c r="R612" s="24"/>
      <c r="S612" s="24"/>
      <c r="T612" s="24"/>
      <c r="U612" s="24"/>
      <c r="V612" s="24"/>
      <c r="W612" s="24"/>
      <c r="X612" s="24"/>
      <c r="Y612" s="24"/>
      <c r="Z612" s="24"/>
    </row>
    <row r="613">
      <c r="A613" s="29">
        <f>IFERROR(__xludf.DUMMYFUNCTION("""COMPUTED_VALUE"""),39345.0)</f>
        <v>39345</v>
      </c>
      <c r="B613" s="24">
        <f>IFERROR(__xludf.DUMMYFUNCTION("""COMPUTED_VALUE"""),1.38627007E8)</f>
        <v>138627007</v>
      </c>
      <c r="C613" s="24" t="str">
        <f>IFERROR(__xludf.DUMMYFUNCTION("""COMPUTED_VALUE"""),"10500 Wolbrook")</f>
        <v>10500 Wolbrook</v>
      </c>
      <c r="D613" s="26" t="str">
        <f>IFERROR(__xludf.DUMMYFUNCTION("""COMPUTED_VALUE"""),"M")</f>
        <v>M</v>
      </c>
      <c r="E613" s="26" t="str">
        <f>IFERROR(__xludf.DUMMYFUNCTION("""COMPUTED_VALUE"""),"B")</f>
        <v>B</v>
      </c>
      <c r="F613" s="26">
        <f>IFERROR(__xludf.DUMMYFUNCTION("""COMPUTED_VALUE"""),26.0)</f>
        <v>26</v>
      </c>
      <c r="G613" s="26" t="str">
        <f>IFERROR(__xludf.DUMMYFUNCTION("""COMPUTED_VALUE"""),"None")</f>
        <v>None</v>
      </c>
      <c r="H613" s="26" t="str">
        <f>IFERROR(__xludf.DUMMYFUNCTION("""COMPUTED_VALUE"""),"Vehicle")</f>
        <v>Vehicle</v>
      </c>
      <c r="I613" s="27" t="str">
        <f>IFERROR(__xludf.DUMMYFUNCTION("""COMPUTED_VALUE"""),"M")</f>
        <v>M</v>
      </c>
      <c r="J613" s="27" t="str">
        <f>IFERROR(__xludf.DUMMYFUNCTION("""COMPUTED_VALUE"""),"W")</f>
        <v>W</v>
      </c>
      <c r="K613" s="27">
        <f>IFERROR(__xludf.DUMMYFUNCTION("""COMPUTED_VALUE"""),30.0)</f>
        <v>30</v>
      </c>
      <c r="L613" s="27" t="str">
        <f>IFERROR(__xludf.DUMMYFUNCTION("""COMPUTED_VALUE"""),"None")</f>
        <v>None</v>
      </c>
      <c r="M613" s="27" t="str">
        <f>IFERROR(__xludf.DUMMYFUNCTION("""COMPUTED_VALUE"""),"Y")</f>
        <v>Y</v>
      </c>
      <c r="N613" s="24"/>
      <c r="O613" s="24"/>
      <c r="P613" s="28" t="str">
        <f>IFERROR(__xludf.DUMMYFUNCTION("""COMPUTED_VALUE"""),"The suspect was posing as an officer and when he was going to be arrested he jumped into a vehicle and drove at the arresting officers striking one of them. The involved officer believed the suspect was going to hit other officers so he shot at the suspec"&amp;"t.")</f>
        <v>The suspect was posing as an officer and when he was going to be arrested he jumped into a vehicle and drove at the arresting officers striking one of them. The involved officer believed the suspect was going to hit other officers so he shot at the suspect.</v>
      </c>
      <c r="Q613" s="24"/>
      <c r="R613" s="24"/>
      <c r="S613" s="24"/>
      <c r="T613" s="24"/>
      <c r="U613" s="24"/>
      <c r="V613" s="24"/>
      <c r="W613" s="24"/>
      <c r="X613" s="24"/>
      <c r="Y613" s="24"/>
      <c r="Z613" s="24"/>
    </row>
    <row r="614">
      <c r="A614" s="29">
        <f>IFERROR(__xludf.DUMMYFUNCTION("""COMPUTED_VALUE"""),39339.0)</f>
        <v>39339</v>
      </c>
      <c r="B614" s="24">
        <f>IFERROR(__xludf.DUMMYFUNCTION("""COMPUTED_VALUE"""),1.36079707E8)</f>
        <v>136079707</v>
      </c>
      <c r="C614" s="24" t="str">
        <f>IFERROR(__xludf.DUMMYFUNCTION("""COMPUTED_VALUE"""),"200 Stafford")</f>
        <v>200 Stafford</v>
      </c>
      <c r="D614" s="26" t="str">
        <f>IFERROR(__xludf.DUMMYFUNCTION("""COMPUTED_VALUE"""),"F")</f>
        <v>F</v>
      </c>
      <c r="E614" s="26" t="str">
        <f>IFERROR(__xludf.DUMMYFUNCTION("""COMPUTED_VALUE"""),"W")</f>
        <v>W</v>
      </c>
      <c r="F614" s="26">
        <f>IFERROR(__xludf.DUMMYFUNCTION("""COMPUTED_VALUE"""),23.0)</f>
        <v>23</v>
      </c>
      <c r="G614" s="26" t="str">
        <f>IFERROR(__xludf.DUMMYFUNCTION("""COMPUTED_VALUE"""),"None")</f>
        <v>None</v>
      </c>
      <c r="H614" s="26" t="str">
        <f>IFERROR(__xludf.DUMMYFUNCTION("""COMPUTED_VALUE"""),"Vehicle")</f>
        <v>Vehicle</v>
      </c>
      <c r="I614" s="27" t="str">
        <f>IFERROR(__xludf.DUMMYFUNCTION("""COMPUTED_VALUE"""),"M")</f>
        <v>M</v>
      </c>
      <c r="J614" s="27" t="str">
        <f>IFERROR(__xludf.DUMMYFUNCTION("""COMPUTED_VALUE"""),"H")</f>
        <v>H</v>
      </c>
      <c r="K614" s="27">
        <f>IFERROR(__xludf.DUMMYFUNCTION("""COMPUTED_VALUE"""),27.0)</f>
        <v>27</v>
      </c>
      <c r="L614" s="27" t="str">
        <f>IFERROR(__xludf.DUMMYFUNCTION("""COMPUTED_VALUE"""),"None")</f>
        <v>None</v>
      </c>
      <c r="M614" s="27" t="str">
        <f>IFERROR(__xludf.DUMMYFUNCTION("""COMPUTED_VALUE"""),"Y")</f>
        <v>Y</v>
      </c>
      <c r="N614" s="24"/>
      <c r="O614" s="24"/>
      <c r="P614" s="28" t="str">
        <f>IFERROR(__xludf.DUMMYFUNCTION("""COMPUTED_VALUE"""),"The suspect was engaged in a vehicle pursuit with the officers when she lost control of the vehicle and hit a fence. The officer saw this as an opportunity to get the suspect out of the vehicle but as he approached, the suspect drove at the officer forcin"&amp;"g him to shoot.")</f>
        <v>The suspect was engaged in a vehicle pursuit with the officers when she lost control of the vehicle and hit a fence. The officer saw this as an opportunity to get the suspect out of the vehicle but as he approached, the suspect drove at the officer forcing him to shoot.</v>
      </c>
      <c r="Q614" s="24"/>
      <c r="R614" s="24"/>
      <c r="S614" s="24"/>
      <c r="T614" s="24"/>
      <c r="U614" s="24"/>
      <c r="V614" s="24"/>
      <c r="W614" s="24"/>
      <c r="X614" s="24"/>
      <c r="Y614" s="24"/>
      <c r="Z614" s="24"/>
    </row>
    <row r="615" hidden="1">
      <c r="A615" s="29">
        <f>IFERROR(__xludf.DUMMYFUNCTION("""COMPUTED_VALUE"""),39307.0)</f>
        <v>39307</v>
      </c>
      <c r="B615" s="24">
        <f>IFERROR(__xludf.DUMMYFUNCTION("""COMPUTED_VALUE"""),1.19818907E8)</f>
        <v>119818907</v>
      </c>
      <c r="C615" s="24" t="str">
        <f>IFERROR(__xludf.DUMMYFUNCTION("""COMPUTED_VALUE"""),"7373 N. Wayside")</f>
        <v>7373 N. Wayside</v>
      </c>
      <c r="D615" s="26" t="str">
        <f>IFERROR(__xludf.DUMMYFUNCTION("""COMPUTED_VALUE"""),"F")</f>
        <v>F</v>
      </c>
      <c r="E615" s="26" t="str">
        <f>IFERROR(__xludf.DUMMYFUNCTION("""COMPUTED_VALUE"""),"B")</f>
        <v>B</v>
      </c>
      <c r="F615" s="26">
        <f>IFERROR(__xludf.DUMMYFUNCTION("""COMPUTED_VALUE"""),18.0)</f>
        <v>18</v>
      </c>
      <c r="G615" s="26" t="str">
        <f>IFERROR(__xludf.DUMMYFUNCTION("""COMPUTED_VALUE"""),"Wounded")</f>
        <v>Wounded</v>
      </c>
      <c r="H615" s="26" t="str">
        <f>IFERROR(__xludf.DUMMYFUNCTION("""COMPUTED_VALUE"""),"None")</f>
        <v>None</v>
      </c>
      <c r="I615" s="27" t="str">
        <f>IFERROR(__xludf.DUMMYFUNCTION("""COMPUTED_VALUE"""),"M")</f>
        <v>M</v>
      </c>
      <c r="J615" s="27" t="str">
        <f>IFERROR(__xludf.DUMMYFUNCTION("""COMPUTED_VALUE"""),"B")</f>
        <v>B</v>
      </c>
      <c r="K615" s="27">
        <f>IFERROR(__xludf.DUMMYFUNCTION("""COMPUTED_VALUE"""),39.0)</f>
        <v>39</v>
      </c>
      <c r="L615" s="27" t="str">
        <f>IFERROR(__xludf.DUMMYFUNCTION("""COMPUTED_VALUE"""),"None")</f>
        <v>None</v>
      </c>
      <c r="M615" s="27" t="str">
        <f>IFERROR(__xludf.DUMMYFUNCTION("""COMPUTED_VALUE"""),"Y")</f>
        <v>Y</v>
      </c>
      <c r="N615" s="24"/>
      <c r="O615" s="24"/>
      <c r="P615" s="28" t="str">
        <f>IFERROR(__xludf.DUMMYFUNCTION("""COMPUTED_VALUE"""),"The suspect led the officers on a vehicle pursuit which ended when the suspect pulled into the parking lot of an apartment complex. The suspect wes seen making movements in the vehicle but refused to get out of the car. When the suspect did open the door "&amp;"it appeared as though she had a weapon in her hand forcing the officer to shoot at the suspect.")</f>
        <v>The suspect led the officers on a vehicle pursuit which ended when the suspect pulled into the parking lot of an apartment complex. The suspect wes seen making movements in the vehicle but refused to get out of the car. When the suspect did open the door it appeared as though she had a weapon in her hand forcing the officer to shoot at the suspect.</v>
      </c>
      <c r="Q615" s="24"/>
      <c r="R615" s="24"/>
      <c r="S615" s="24"/>
      <c r="T615" s="24"/>
      <c r="U615" s="24"/>
      <c r="V615" s="24"/>
      <c r="W615" s="24"/>
      <c r="X615" s="24"/>
      <c r="Y615" s="24"/>
      <c r="Z615" s="24"/>
    </row>
    <row r="616">
      <c r="A616" s="29">
        <f>IFERROR(__xludf.DUMMYFUNCTION("""COMPUTED_VALUE"""),39306.0)</f>
        <v>39306</v>
      </c>
      <c r="B616" s="24">
        <f>IFERROR(__xludf.DUMMYFUNCTION("""COMPUTED_VALUE"""),1.18920907E8)</f>
        <v>118920907</v>
      </c>
      <c r="C616" s="24" t="str">
        <f>IFERROR(__xludf.DUMMYFUNCTION("""COMPUTED_VALUE"""),"Protected By Law")</f>
        <v>Protected By Law</v>
      </c>
      <c r="D616" s="26" t="str">
        <f>IFERROR(__xludf.DUMMYFUNCTION("""COMPUTED_VALUE"""),"M")</f>
        <v>M</v>
      </c>
      <c r="E616" s="26" t="str">
        <f>IFERROR(__xludf.DUMMYFUNCTION("""COMPUTED_VALUE"""),"W")</f>
        <v>W</v>
      </c>
      <c r="F616" s="26">
        <f>IFERROR(__xludf.DUMMYFUNCTION("""COMPUTED_VALUE"""),24.0)</f>
        <v>24</v>
      </c>
      <c r="G616" s="26" t="str">
        <f>IFERROR(__xludf.DUMMYFUNCTION("""COMPUTED_VALUE"""),"None")</f>
        <v>None</v>
      </c>
      <c r="H616" s="26" t="str">
        <f>IFERROR(__xludf.DUMMYFUNCTION("""COMPUTED_VALUE"""),"Firearm")</f>
        <v>Firearm</v>
      </c>
      <c r="I616" s="27" t="str">
        <f>IFERROR(__xludf.DUMMYFUNCTION("""COMPUTED_VALUE"""),"M")</f>
        <v>M</v>
      </c>
      <c r="J616" s="27" t="str">
        <f>IFERROR(__xludf.DUMMYFUNCTION("""COMPUTED_VALUE"""),"B")</f>
        <v>B</v>
      </c>
      <c r="K616" s="27">
        <f>IFERROR(__xludf.DUMMYFUNCTION("""COMPUTED_VALUE"""),26.0)</f>
        <v>26</v>
      </c>
      <c r="L616" s="27" t="str">
        <f>IFERROR(__xludf.DUMMYFUNCTION("""COMPUTED_VALUE"""),"Wounded")</f>
        <v>Wounded</v>
      </c>
      <c r="M616" s="27" t="str">
        <f>IFERROR(__xludf.DUMMYFUNCTION("""COMPUTED_VALUE"""),"N")</f>
        <v>N</v>
      </c>
      <c r="N616" s="24"/>
      <c r="O616" s="24">
        <f>IFERROR(__xludf.DUMMYFUNCTION("""COMPUTED_VALUE"""),1.0)</f>
        <v>1</v>
      </c>
      <c r="P616" s="28" t="str">
        <f>IFERROR(__xludf.DUMMYFUNCTION("""COMPUTED_VALUE"""),"The officer saw the suspect trying to break into a vehicle and when teh officer confronted him, the suspect ran off. The officer chased the suspect as when he turned a corner the suspect jumped out of hiding and shot the officer. The officer was wearing h"&amp;"is ballistic vest which absorbed the gunshot so he was able to return fire before the suspect ran off.")</f>
        <v>The officer saw the suspect trying to break into a vehicle and when teh officer confronted him, the suspect ran off. The officer chased the suspect as when he turned a corner the suspect jumped out of hiding and shot the officer. The officer was wearing his ballistic vest which absorbed the gunshot so he was able to return fire before the suspect ran off.</v>
      </c>
      <c r="Q616" s="24"/>
      <c r="R616" s="24"/>
      <c r="S616" s="24"/>
      <c r="T616" s="24"/>
      <c r="U616" s="24"/>
      <c r="V616" s="24"/>
      <c r="W616" s="24"/>
      <c r="X616" s="24"/>
      <c r="Y616" s="24"/>
      <c r="Z616" s="24"/>
    </row>
    <row r="617" hidden="1">
      <c r="A617" s="29">
        <f>IFERROR(__xludf.DUMMYFUNCTION("""COMPUTED_VALUE"""),39294.0)</f>
        <v>39294</v>
      </c>
      <c r="B617" s="24">
        <f>IFERROR(__xludf.DUMMYFUNCTION("""COMPUTED_VALUE"""),1.12773907E8)</f>
        <v>112773907</v>
      </c>
      <c r="C617" s="24" t="str">
        <f>IFERROR(__xludf.DUMMYFUNCTION("""COMPUTED_VALUE"""),"4400 Mowery")</f>
        <v>4400 Mowery</v>
      </c>
      <c r="D617" s="26" t="str">
        <f>IFERROR(__xludf.DUMMYFUNCTION("""COMPUTED_VALUE"""),"M")</f>
        <v>M</v>
      </c>
      <c r="E617" s="26" t="str">
        <f>IFERROR(__xludf.DUMMYFUNCTION("""COMPUTED_VALUE"""),"B")</f>
        <v>B</v>
      </c>
      <c r="F617" s="26">
        <f>IFERROR(__xludf.DUMMYFUNCTION("""COMPUTED_VALUE"""),21.0)</f>
        <v>21</v>
      </c>
      <c r="G617" s="26" t="str">
        <f>IFERROR(__xludf.DUMMYFUNCTION("""COMPUTED_VALUE"""),"Killed")</f>
        <v>Killed</v>
      </c>
      <c r="H617" s="26" t="str">
        <f>IFERROR(__xludf.DUMMYFUNCTION("""COMPUTED_VALUE"""),"Firearm")</f>
        <v>Firearm</v>
      </c>
      <c r="I617" s="27" t="str">
        <f>IFERROR(__xludf.DUMMYFUNCTION("""COMPUTED_VALUE"""),"M")</f>
        <v>M</v>
      </c>
      <c r="J617" s="27" t="str">
        <f>IFERROR(__xludf.DUMMYFUNCTION("""COMPUTED_VALUE"""),"H")</f>
        <v>H</v>
      </c>
      <c r="K617" s="27">
        <f>IFERROR(__xludf.DUMMYFUNCTION("""COMPUTED_VALUE"""),49.0)</f>
        <v>49</v>
      </c>
      <c r="L617" s="27" t="str">
        <f>IFERROR(__xludf.DUMMYFUNCTION("""COMPUTED_VALUE"""),"None")</f>
        <v>None</v>
      </c>
      <c r="M617" s="27" t="str">
        <f>IFERROR(__xludf.DUMMYFUNCTION("""COMPUTED_VALUE"""),"Y")</f>
        <v>Y</v>
      </c>
      <c r="N617" s="24"/>
      <c r="O617" s="24"/>
      <c r="P617" s="24" t="str">
        <f>IFERROR(__xludf.DUMMYFUNCTION("""COMPUTED_VALUE"""),"The officers responded to a disturbance with an armed suspect but were able to get the suspect to place his weapon on the ground. As an officer was moving to arrest the suspect, the suspect grabbed the weapon that was on the ground forcing the officers to"&amp;" shoot. The suspect continued to fire at the officers despite being down forcing other officers to engage the suspect.")</f>
        <v>The officers responded to a disturbance with an armed suspect but were able to get the suspect to place his weapon on the ground. As an officer was moving to arrest the suspect, the suspect grabbed the weapon that was on the ground forcing the officers to shoot. The suspect continued to fire at the officers despite being down forcing other officers to engage the suspect.</v>
      </c>
      <c r="Q617" s="24"/>
      <c r="R617" s="24"/>
      <c r="S617" s="24"/>
      <c r="T617" s="24"/>
      <c r="U617" s="24"/>
      <c r="V617" s="24"/>
      <c r="W617" s="24"/>
      <c r="X617" s="24"/>
      <c r="Y617" s="24"/>
      <c r="Z617" s="24"/>
    </row>
    <row r="618" hidden="1">
      <c r="A618" s="29"/>
      <c r="B618" s="24"/>
      <c r="C618" s="24"/>
      <c r="D618" s="26"/>
      <c r="E618" s="26"/>
      <c r="F618" s="26"/>
      <c r="G618" s="26"/>
      <c r="H618" s="26"/>
      <c r="I618" s="27" t="str">
        <f>IFERROR(__xludf.DUMMYFUNCTION("""COMPUTED_VALUE"""),"M")</f>
        <v>M</v>
      </c>
      <c r="J618" s="27" t="str">
        <f>IFERROR(__xludf.DUMMYFUNCTION("""COMPUTED_VALUE"""),"W")</f>
        <v>W</v>
      </c>
      <c r="K618" s="27">
        <f>IFERROR(__xludf.DUMMYFUNCTION("""COMPUTED_VALUE"""),30.0)</f>
        <v>30</v>
      </c>
      <c r="L618" s="27" t="str">
        <f>IFERROR(__xludf.DUMMYFUNCTION("""COMPUTED_VALUE"""),"None")</f>
        <v>None</v>
      </c>
      <c r="M618" s="27" t="str">
        <f>IFERROR(__xludf.DUMMYFUNCTION("""COMPUTED_VALUE"""),"Y")</f>
        <v>Y</v>
      </c>
      <c r="N618" s="24"/>
      <c r="O618" s="24"/>
      <c r="P618" s="24"/>
      <c r="Q618" s="24"/>
      <c r="R618" s="24"/>
      <c r="S618" s="24"/>
      <c r="T618" s="24"/>
      <c r="U618" s="24"/>
      <c r="V618" s="24"/>
      <c r="W618" s="24"/>
      <c r="X618" s="24"/>
      <c r="Y618" s="24"/>
      <c r="Z618" s="24"/>
    </row>
    <row r="619" hidden="1">
      <c r="A619" s="29"/>
      <c r="B619" s="24"/>
      <c r="C619" s="24"/>
      <c r="D619" s="26"/>
      <c r="E619" s="26"/>
      <c r="F619" s="26"/>
      <c r="G619" s="26"/>
      <c r="H619" s="26"/>
      <c r="I619" s="27" t="str">
        <f>IFERROR(__xludf.DUMMYFUNCTION("""COMPUTED_VALUE"""),"M")</f>
        <v>M</v>
      </c>
      <c r="J619" s="27" t="str">
        <f>IFERROR(__xludf.DUMMYFUNCTION("""COMPUTED_VALUE"""),"W")</f>
        <v>W</v>
      </c>
      <c r="K619" s="27">
        <f>IFERROR(__xludf.DUMMYFUNCTION("""COMPUTED_VALUE"""),38.0)</f>
        <v>38</v>
      </c>
      <c r="L619" s="27" t="str">
        <f>IFERROR(__xludf.DUMMYFUNCTION("""COMPUTED_VALUE"""),"None")</f>
        <v>None</v>
      </c>
      <c r="M619" s="27" t="str">
        <f>IFERROR(__xludf.DUMMYFUNCTION("""COMPUTED_VALUE"""),"Y")</f>
        <v>Y</v>
      </c>
      <c r="N619" s="24"/>
      <c r="O619" s="24"/>
      <c r="P619" s="24"/>
      <c r="Q619" s="24"/>
      <c r="R619" s="24"/>
      <c r="S619" s="24"/>
      <c r="T619" s="24"/>
      <c r="U619" s="24"/>
      <c r="V619" s="24"/>
      <c r="W619" s="24"/>
      <c r="X619" s="24"/>
      <c r="Y619" s="24"/>
      <c r="Z619" s="24"/>
    </row>
    <row r="620" hidden="1">
      <c r="A620" s="29"/>
      <c r="B620" s="24"/>
      <c r="C620" s="24"/>
      <c r="D620" s="26"/>
      <c r="E620" s="26"/>
      <c r="F620" s="26"/>
      <c r="G620" s="26"/>
      <c r="H620" s="26"/>
      <c r="I620" s="27" t="str">
        <f>IFERROR(__xludf.DUMMYFUNCTION("""COMPUTED_VALUE"""),"M")</f>
        <v>M</v>
      </c>
      <c r="J620" s="27" t="str">
        <f>IFERROR(__xludf.DUMMYFUNCTION("""COMPUTED_VALUE"""),"W")</f>
        <v>W</v>
      </c>
      <c r="K620" s="27">
        <f>IFERROR(__xludf.DUMMYFUNCTION("""COMPUTED_VALUE"""),42.0)</f>
        <v>42</v>
      </c>
      <c r="L620" s="27" t="str">
        <f>IFERROR(__xludf.DUMMYFUNCTION("""COMPUTED_VALUE"""),"None")</f>
        <v>None</v>
      </c>
      <c r="M620" s="27" t="str">
        <f>IFERROR(__xludf.DUMMYFUNCTION("""COMPUTED_VALUE"""),"Y")</f>
        <v>Y</v>
      </c>
      <c r="N620" s="24"/>
      <c r="O620" s="24"/>
      <c r="P620" s="24"/>
      <c r="Q620" s="24"/>
      <c r="R620" s="24"/>
      <c r="S620" s="24"/>
      <c r="T620" s="24"/>
      <c r="U620" s="24"/>
      <c r="V620" s="24"/>
      <c r="W620" s="24"/>
      <c r="X620" s="24"/>
      <c r="Y620" s="24"/>
      <c r="Z620" s="24"/>
    </row>
    <row r="621" hidden="1">
      <c r="A621" s="29"/>
      <c r="B621" s="24"/>
      <c r="C621" s="24"/>
      <c r="D621" s="26"/>
      <c r="E621" s="26"/>
      <c r="F621" s="26"/>
      <c r="G621" s="26"/>
      <c r="H621" s="26"/>
      <c r="I621" s="27" t="str">
        <f>IFERROR(__xludf.DUMMYFUNCTION("""COMPUTED_VALUE"""),"M")</f>
        <v>M</v>
      </c>
      <c r="J621" s="27" t="str">
        <f>IFERROR(__xludf.DUMMYFUNCTION("""COMPUTED_VALUE"""),"W")</f>
        <v>W</v>
      </c>
      <c r="K621" s="27">
        <f>IFERROR(__xludf.DUMMYFUNCTION("""COMPUTED_VALUE"""),55.0)</f>
        <v>55</v>
      </c>
      <c r="L621" s="27" t="str">
        <f>IFERROR(__xludf.DUMMYFUNCTION("""COMPUTED_VALUE"""),"None")</f>
        <v>None</v>
      </c>
      <c r="M621" s="27" t="str">
        <f>IFERROR(__xludf.DUMMYFUNCTION("""COMPUTED_VALUE"""),"Y")</f>
        <v>Y</v>
      </c>
      <c r="N621" s="24"/>
      <c r="O621" s="24">
        <f>IFERROR(__xludf.DUMMYFUNCTION("""COMPUTED_VALUE"""),1.0)</f>
        <v>1</v>
      </c>
      <c r="P621" s="24"/>
      <c r="Q621" s="24"/>
      <c r="R621" s="24"/>
      <c r="S621" s="24"/>
      <c r="T621" s="24"/>
      <c r="U621" s="24"/>
      <c r="V621" s="24"/>
      <c r="W621" s="24"/>
      <c r="X621" s="24"/>
      <c r="Y621" s="24"/>
      <c r="Z621" s="24"/>
    </row>
    <row r="622" hidden="1">
      <c r="A622" s="29"/>
      <c r="B622" s="24"/>
      <c r="C622" s="24"/>
      <c r="D622" s="26"/>
      <c r="E622" s="26"/>
      <c r="F622" s="26"/>
      <c r="G622" s="26"/>
      <c r="H622" s="26"/>
      <c r="I622" s="27" t="str">
        <f>IFERROR(__xludf.DUMMYFUNCTION("""COMPUTED_VALUE"""),"M")</f>
        <v>M</v>
      </c>
      <c r="J622" s="27" t="str">
        <f>IFERROR(__xludf.DUMMYFUNCTION("""COMPUTED_VALUE"""),"W")</f>
        <v>W</v>
      </c>
      <c r="K622" s="27">
        <f>IFERROR(__xludf.DUMMYFUNCTION("""COMPUTED_VALUE"""),37.0)</f>
        <v>37</v>
      </c>
      <c r="L622" s="27" t="str">
        <f>IFERROR(__xludf.DUMMYFUNCTION("""COMPUTED_VALUE"""),"None")</f>
        <v>None</v>
      </c>
      <c r="M622" s="27" t="str">
        <f>IFERROR(__xludf.DUMMYFUNCTION("""COMPUTED_VALUE"""),"Y")</f>
        <v>Y</v>
      </c>
      <c r="N622" s="24"/>
      <c r="O622" s="24"/>
      <c r="P622" s="24"/>
      <c r="Q622" s="24"/>
      <c r="R622" s="24"/>
      <c r="S622" s="24"/>
      <c r="T622" s="24"/>
      <c r="U622" s="24"/>
      <c r="V622" s="24"/>
      <c r="W622" s="24"/>
      <c r="X622" s="24"/>
      <c r="Y622" s="24"/>
      <c r="Z622" s="24"/>
    </row>
    <row r="623" hidden="1">
      <c r="A623" s="29">
        <f>IFERROR(__xludf.DUMMYFUNCTION("""COMPUTED_VALUE"""),39284.0)</f>
        <v>39284</v>
      </c>
      <c r="B623" s="24">
        <f>IFERROR(__xludf.DUMMYFUNCTION("""COMPUTED_VALUE"""),1.07981607E8)</f>
        <v>107981607</v>
      </c>
      <c r="C623" s="24" t="str">
        <f>IFERROR(__xludf.DUMMYFUNCTION("""COMPUTED_VALUE"""),"6600 Foster St")</f>
        <v>6600 Foster St</v>
      </c>
      <c r="D623" s="26" t="str">
        <f>IFERROR(__xludf.DUMMYFUNCTION("""COMPUTED_VALUE"""),"M")</f>
        <v>M</v>
      </c>
      <c r="E623" s="26" t="str">
        <f>IFERROR(__xludf.DUMMYFUNCTION("""COMPUTED_VALUE"""),"B")</f>
        <v>B</v>
      </c>
      <c r="F623" s="26">
        <f>IFERROR(__xludf.DUMMYFUNCTION("""COMPUTED_VALUE"""),39.0)</f>
        <v>39</v>
      </c>
      <c r="G623" s="26" t="str">
        <f>IFERROR(__xludf.DUMMYFUNCTION("""COMPUTED_VALUE"""),"Killed")</f>
        <v>Killed</v>
      </c>
      <c r="H623" s="26" t="str">
        <f>IFERROR(__xludf.DUMMYFUNCTION("""COMPUTED_VALUE"""),"Club")</f>
        <v>Club</v>
      </c>
      <c r="I623" s="27" t="str">
        <f>IFERROR(__xludf.DUMMYFUNCTION("""COMPUTED_VALUE"""),"M")</f>
        <v>M</v>
      </c>
      <c r="J623" s="27" t="str">
        <f>IFERROR(__xludf.DUMMYFUNCTION("""COMPUTED_VALUE"""),"B")</f>
        <v>B</v>
      </c>
      <c r="K623" s="27">
        <f>IFERROR(__xludf.DUMMYFUNCTION("""COMPUTED_VALUE"""),40.0)</f>
        <v>40</v>
      </c>
      <c r="L623" s="27" t="str">
        <f>IFERROR(__xludf.DUMMYFUNCTION("""COMPUTED_VALUE"""),"None")</f>
        <v>None</v>
      </c>
      <c r="M623" s="27" t="str">
        <f>IFERROR(__xludf.DUMMYFUNCTION("""COMPUTED_VALUE"""),"Y")</f>
        <v>Y</v>
      </c>
      <c r="N623" s="24"/>
      <c r="O623" s="24"/>
      <c r="P623" s="24" t="str">
        <f>IFERROR(__xludf.DUMMYFUNCTION("""COMPUTED_VALUE"""),"The responding officers were being treatened by the suspect who was armed with a metal pipe. The officers attempted to use a taser weapon on the suspect but it had no effect. The suspect continued to advance toward the officers and then raised the pipe as"&amp;" if to preparing to strike the officers forcing them to shoot the suspect.")</f>
        <v>The responding officers were being treatened by the suspect who was armed with a metal pipe. The officers attempted to use a taser weapon on the suspect but it had no effect. The suspect continued to advance toward the officers and then raised the pipe as if to preparing to strike the officers forcing them to shoot the suspect.</v>
      </c>
      <c r="Q623" s="24"/>
      <c r="R623" s="24"/>
      <c r="S623" s="24"/>
      <c r="T623" s="24"/>
      <c r="U623" s="24"/>
      <c r="V623" s="24"/>
      <c r="W623" s="24"/>
      <c r="X623" s="24"/>
      <c r="Y623" s="24"/>
      <c r="Z623" s="24"/>
    </row>
    <row r="624" hidden="1">
      <c r="A624" s="29"/>
      <c r="B624" s="24"/>
      <c r="C624" s="24"/>
      <c r="D624" s="26"/>
      <c r="E624" s="26"/>
      <c r="F624" s="26"/>
      <c r="G624" s="26"/>
      <c r="H624" s="26"/>
      <c r="I624" s="27" t="str">
        <f>IFERROR(__xludf.DUMMYFUNCTION("""COMPUTED_VALUE"""),"M")</f>
        <v>M</v>
      </c>
      <c r="J624" s="27" t="str">
        <f>IFERROR(__xludf.DUMMYFUNCTION("""COMPUTED_VALUE"""),"W")</f>
        <v>W</v>
      </c>
      <c r="K624" s="27">
        <f>IFERROR(__xludf.DUMMYFUNCTION("""COMPUTED_VALUE"""),24.0)</f>
        <v>24</v>
      </c>
      <c r="L624" s="27" t="str">
        <f>IFERROR(__xludf.DUMMYFUNCTION("""COMPUTED_VALUE"""),"None")</f>
        <v>None</v>
      </c>
      <c r="M624" s="27" t="str">
        <f>IFERROR(__xludf.DUMMYFUNCTION("""COMPUTED_VALUE"""),"Y")</f>
        <v>Y</v>
      </c>
      <c r="N624" s="24"/>
      <c r="O624" s="24">
        <f>IFERROR(__xludf.DUMMYFUNCTION("""COMPUTED_VALUE"""),1.0)</f>
        <v>1</v>
      </c>
      <c r="P624" s="24"/>
      <c r="Q624" s="24"/>
      <c r="R624" s="24"/>
      <c r="S624" s="24"/>
      <c r="T624" s="24"/>
      <c r="U624" s="24"/>
      <c r="V624" s="24"/>
      <c r="W624" s="24"/>
      <c r="X624" s="24"/>
      <c r="Y624" s="24"/>
      <c r="Z624" s="24"/>
    </row>
    <row r="625" hidden="1">
      <c r="A625" s="29">
        <f>IFERROR(__xludf.DUMMYFUNCTION("""COMPUTED_VALUE"""),39283.0)</f>
        <v>39283</v>
      </c>
      <c r="B625" s="24">
        <f>IFERROR(__xludf.DUMMYFUNCTION("""COMPUTED_VALUE"""),1.07479507E8)</f>
        <v>107479507</v>
      </c>
      <c r="C625" s="24" t="str">
        <f>IFERROR(__xludf.DUMMYFUNCTION("""COMPUTED_VALUE"""),"5900 Golf Course Dr")</f>
        <v>5900 Golf Course Dr</v>
      </c>
      <c r="D625" s="26" t="str">
        <f>IFERROR(__xludf.DUMMYFUNCTION("""COMPUTED_VALUE"""),"M")</f>
        <v>M</v>
      </c>
      <c r="E625" s="26" t="str">
        <f>IFERROR(__xludf.DUMMYFUNCTION("""COMPUTED_VALUE"""),"B")</f>
        <v>B</v>
      </c>
      <c r="F625" s="26">
        <f>IFERROR(__xludf.DUMMYFUNCTION("""COMPUTED_VALUE"""),43.0)</f>
        <v>43</v>
      </c>
      <c r="G625" s="26" t="str">
        <f>IFERROR(__xludf.DUMMYFUNCTION("""COMPUTED_VALUE"""),"Wounded")</f>
        <v>Wounded</v>
      </c>
      <c r="H625" s="26" t="str">
        <f>IFERROR(__xludf.DUMMYFUNCTION("""COMPUTED_VALUE"""),"Physical Force")</f>
        <v>Physical Force</v>
      </c>
      <c r="I625" s="27" t="str">
        <f>IFERROR(__xludf.DUMMYFUNCTION("""COMPUTED_VALUE"""),"M")</f>
        <v>M</v>
      </c>
      <c r="J625" s="27" t="str">
        <f>IFERROR(__xludf.DUMMYFUNCTION("""COMPUTED_VALUE"""),"B")</f>
        <v>B</v>
      </c>
      <c r="K625" s="27">
        <f>IFERROR(__xludf.DUMMYFUNCTION("""COMPUTED_VALUE"""),38.0)</f>
        <v>38</v>
      </c>
      <c r="L625" s="27" t="str">
        <f>IFERROR(__xludf.DUMMYFUNCTION("""COMPUTED_VALUE"""),"Wounded")</f>
        <v>Wounded</v>
      </c>
      <c r="M625" s="27" t="str">
        <f>IFERROR(__xludf.DUMMYFUNCTION("""COMPUTED_VALUE"""),"Y")</f>
        <v>Y</v>
      </c>
      <c r="N625" s="24"/>
      <c r="O625" s="24">
        <f>IFERROR(__xludf.DUMMYFUNCTION("""COMPUTED_VALUE"""),1.0)</f>
        <v>1</v>
      </c>
      <c r="P625" s="28" t="str">
        <f>IFERROR(__xludf.DUMMYFUNCTION("""COMPUTED_VALUE"""),"The officer located a suspect who had just committed an armed robbery but the suspect fought with the officer when he attempted to detain him. The suspect was then trying to get the officer's weapon as they were struggling with each other until the suspec"&amp;"t managed to break free from the officer. The officer then saw the suspect recahing toward his waistband and because the suspect was reported to be armed, the officer was forced to shoot the suspect.")</f>
        <v>The officer located a suspect who had just committed an armed robbery but the suspect fought with the officer when he attempted to detain him. The suspect was then trying to get the officer's weapon as they were struggling with each other until the suspect managed to break free from the officer. The officer then saw the suspect recahing toward his waistband and because the suspect was reported to be armed, the officer was forced to shoot the suspect.</v>
      </c>
      <c r="Q625" s="24"/>
      <c r="R625" s="24"/>
      <c r="S625" s="24"/>
      <c r="T625" s="24"/>
      <c r="U625" s="24"/>
      <c r="V625" s="24"/>
      <c r="W625" s="24"/>
      <c r="X625" s="24"/>
      <c r="Y625" s="24"/>
      <c r="Z625" s="24"/>
    </row>
    <row r="626" hidden="1">
      <c r="A626" s="29">
        <f>IFERROR(__xludf.DUMMYFUNCTION("""COMPUTED_VALUE"""),39266.0)</f>
        <v>39266</v>
      </c>
      <c r="B626" s="24">
        <f>IFERROR(__xludf.DUMMYFUNCTION("""COMPUTED_VALUE"""),9.8260207E7)</f>
        <v>98260207</v>
      </c>
      <c r="C626" s="24" t="str">
        <f>IFERROR(__xludf.DUMMYFUNCTION("""COMPUTED_VALUE"""),"8900 Bissonnet")</f>
        <v>8900 Bissonnet</v>
      </c>
      <c r="D626" s="26" t="str">
        <f>IFERROR(__xludf.DUMMYFUNCTION("""COMPUTED_VALUE"""),"Juvenile")</f>
        <v>Juvenile</v>
      </c>
      <c r="E626" s="26" t="str">
        <f>IFERROR(__xludf.DUMMYFUNCTION("""COMPUTED_VALUE"""),"Juvenile")</f>
        <v>Juvenile</v>
      </c>
      <c r="F626" s="26"/>
      <c r="G626" s="26" t="str">
        <f>IFERROR(__xludf.DUMMYFUNCTION("""COMPUTED_VALUE"""),"Wounded")</f>
        <v>Wounded</v>
      </c>
      <c r="H626" s="26" t="str">
        <f>IFERROR(__xludf.DUMMYFUNCTION("""COMPUTED_VALUE"""),"Vehicle")</f>
        <v>Vehicle</v>
      </c>
      <c r="I626" s="27" t="str">
        <f>IFERROR(__xludf.DUMMYFUNCTION("""COMPUTED_VALUE"""),"M")</f>
        <v>M</v>
      </c>
      <c r="J626" s="27" t="str">
        <f>IFERROR(__xludf.DUMMYFUNCTION("""COMPUTED_VALUE"""),"W")</f>
        <v>W</v>
      </c>
      <c r="K626" s="27">
        <f>IFERROR(__xludf.DUMMYFUNCTION("""COMPUTED_VALUE"""),28.0)</f>
        <v>28</v>
      </c>
      <c r="L626" s="27" t="str">
        <f>IFERROR(__xludf.DUMMYFUNCTION("""COMPUTED_VALUE"""),"None")</f>
        <v>None</v>
      </c>
      <c r="M626" s="27" t="str">
        <f>IFERROR(__xludf.DUMMYFUNCTION("""COMPUTED_VALUE"""),"Y")</f>
        <v>Y</v>
      </c>
      <c r="N626" s="24"/>
      <c r="O626" s="24">
        <f>IFERROR(__xludf.DUMMYFUNCTION("""COMPUTED_VALUE"""),1.0)</f>
        <v>1</v>
      </c>
      <c r="P626" s="28" t="str">
        <f>IFERROR(__xludf.DUMMYFUNCTION("""COMPUTED_VALUE"""),"The officer was attempted to detain a narcotics suspect when the suspect accelerated his vehicle and drove at the officer forcing the officer to shoot.")</f>
        <v>The officer was attempted to detain a narcotics suspect when the suspect accelerated his vehicle and drove at the officer forcing the officer to shoot.</v>
      </c>
      <c r="Q626" s="24"/>
      <c r="R626" s="24"/>
      <c r="S626" s="24"/>
      <c r="T626" s="24"/>
      <c r="U626" s="24"/>
      <c r="V626" s="24"/>
      <c r="W626" s="24"/>
      <c r="X626" s="24"/>
      <c r="Y626" s="24"/>
      <c r="Z626" s="24"/>
    </row>
    <row r="627">
      <c r="A627" s="29">
        <f>IFERROR(__xludf.DUMMYFUNCTION("""COMPUTED_VALUE"""),39264.0)</f>
        <v>39264</v>
      </c>
      <c r="B627" s="24">
        <f>IFERROR(__xludf.DUMMYFUNCTION("""COMPUTED_VALUE"""),9.6935007E7)</f>
        <v>96935007</v>
      </c>
      <c r="C627" s="24" t="str">
        <f>IFERROR(__xludf.DUMMYFUNCTION("""COMPUTED_VALUE"""),"6500 Airline Dr.")</f>
        <v>6500 Airline Dr.</v>
      </c>
      <c r="D627" s="26" t="str">
        <f>IFERROR(__xludf.DUMMYFUNCTION("""COMPUTED_VALUE"""),"M")</f>
        <v>M</v>
      </c>
      <c r="E627" s="26" t="str">
        <f>IFERROR(__xludf.DUMMYFUNCTION("""COMPUTED_VALUE"""),"H")</f>
        <v>H</v>
      </c>
      <c r="F627" s="26">
        <f>IFERROR(__xludf.DUMMYFUNCTION("""COMPUTED_VALUE"""),26.0)</f>
        <v>26</v>
      </c>
      <c r="G627" s="26" t="str">
        <f>IFERROR(__xludf.DUMMYFUNCTION("""COMPUTED_VALUE"""),"None")</f>
        <v>None</v>
      </c>
      <c r="H627" s="26" t="str">
        <f>IFERROR(__xludf.DUMMYFUNCTION("""COMPUTED_VALUE"""),"None")</f>
        <v>None</v>
      </c>
      <c r="I627" s="27" t="str">
        <f>IFERROR(__xludf.DUMMYFUNCTION("""COMPUTED_VALUE"""),"F")</f>
        <v>F</v>
      </c>
      <c r="J627" s="27" t="str">
        <f>IFERROR(__xludf.DUMMYFUNCTION("""COMPUTED_VALUE"""),"B")</f>
        <v>B</v>
      </c>
      <c r="K627" s="27">
        <f>IFERROR(__xludf.DUMMYFUNCTION("""COMPUTED_VALUE"""),40.0)</f>
        <v>40</v>
      </c>
      <c r="L627" s="27" t="str">
        <f>IFERROR(__xludf.DUMMYFUNCTION("""COMPUTED_VALUE"""),"None")</f>
        <v>None</v>
      </c>
      <c r="M627" s="27" t="str">
        <f>IFERROR(__xludf.DUMMYFUNCTION("""COMPUTED_VALUE"""),"N")</f>
        <v>N</v>
      </c>
      <c r="N627" s="24"/>
      <c r="O627" s="24">
        <f>IFERROR(__xludf.DUMMYFUNCTION("""COMPUTED_VALUE"""),1.0)</f>
        <v>1</v>
      </c>
      <c r="P627" s="28" t="str">
        <f>IFERROR(__xludf.DUMMYFUNCTION("""COMPUTED_VALUE"""),"The officer was involved in a traffic accident and made initial contact with the suspect who was driving the other vehicle. The suspect then walked back to his car and as he entered the vehicle the officer saw him pull an object from his pocket. The suspe"&amp;"ct then drove off and as he was passing the officer the suspect pointed the object at the officer forcing the officer to shoot because it was believed that the object was a weapon.")</f>
        <v>The officer was involved in a traffic accident and made initial contact with the suspect who was driving the other vehicle. The suspect then walked back to his car and as he entered the vehicle the officer saw him pull an object from his pocket. The suspect then drove off and as he was passing the officer the suspect pointed the object at the officer forcing the officer to shoot because it was believed that the object was a weapon.</v>
      </c>
      <c r="Q627" s="24"/>
      <c r="R627" s="24"/>
      <c r="S627" s="24"/>
      <c r="T627" s="24"/>
      <c r="U627" s="24"/>
      <c r="V627" s="24"/>
      <c r="W627" s="24"/>
      <c r="X627" s="24"/>
      <c r="Y627" s="24"/>
      <c r="Z627" s="24"/>
    </row>
    <row r="628" hidden="1">
      <c r="A628" s="29">
        <f>IFERROR(__xludf.DUMMYFUNCTION("""COMPUTED_VALUE"""),39241.0)</f>
        <v>39241</v>
      </c>
      <c r="B628" s="24">
        <f>IFERROR(__xludf.DUMMYFUNCTION("""COMPUTED_VALUE"""),8.4230307E7)</f>
        <v>84230307</v>
      </c>
      <c r="C628" s="24" t="str">
        <f>IFERROR(__xludf.DUMMYFUNCTION("""COMPUTED_VALUE"""),"7200 Keller")</f>
        <v>7200 Keller</v>
      </c>
      <c r="D628" s="26" t="str">
        <f>IFERROR(__xludf.DUMMYFUNCTION("""COMPUTED_VALUE"""),"M")</f>
        <v>M</v>
      </c>
      <c r="E628" s="26" t="str">
        <f>IFERROR(__xludf.DUMMYFUNCTION("""COMPUTED_VALUE"""),"B")</f>
        <v>B</v>
      </c>
      <c r="F628" s="26">
        <f>IFERROR(__xludf.DUMMYFUNCTION("""COMPUTED_VALUE"""),23.0)</f>
        <v>23</v>
      </c>
      <c r="G628" s="26" t="str">
        <f>IFERROR(__xludf.DUMMYFUNCTION("""COMPUTED_VALUE"""),"Wounded")</f>
        <v>Wounded</v>
      </c>
      <c r="H628" s="26" t="str">
        <f>IFERROR(__xludf.DUMMYFUNCTION("""COMPUTED_VALUE"""),"Firearm")</f>
        <v>Firearm</v>
      </c>
      <c r="I628" s="27" t="str">
        <f>IFERROR(__xludf.DUMMYFUNCTION("""COMPUTED_VALUE"""),"M")</f>
        <v>M</v>
      </c>
      <c r="J628" s="27" t="str">
        <f>IFERROR(__xludf.DUMMYFUNCTION("""COMPUTED_VALUE"""),"H")</f>
        <v>H</v>
      </c>
      <c r="K628" s="27">
        <f>IFERROR(__xludf.DUMMYFUNCTION("""COMPUTED_VALUE"""),38.0)</f>
        <v>38</v>
      </c>
      <c r="L628" s="27" t="str">
        <f>IFERROR(__xludf.DUMMYFUNCTION("""COMPUTED_VALUE"""),"None")</f>
        <v>None</v>
      </c>
      <c r="M628" s="27" t="str">
        <f>IFERROR(__xludf.DUMMYFUNCTION("""COMPUTED_VALUE"""),"Y")</f>
        <v>Y</v>
      </c>
      <c r="N628" s="24"/>
      <c r="O628" s="24">
        <f>IFERROR(__xludf.DUMMYFUNCTION("""COMPUTED_VALUE"""),1.0)</f>
        <v>1</v>
      </c>
      <c r="P628" s="28" t="str">
        <f>IFERROR(__xludf.DUMMYFUNCTION("""COMPUTED_VALUE"""),"The officer was alerted to the position of an armed robbery suspect and when the officer confronted him the suspect refused to listen to the officer. Instead the suspect moved toward the officer and then made a gesture as if to reach for a weapon casuing "&amp;"the officer to shoot at the suspect.")</f>
        <v>The officer was alerted to the position of an armed robbery suspect and when the officer confronted him the suspect refused to listen to the officer. Instead the suspect moved toward the officer and then made a gesture as if to reach for a weapon casuing the officer to shoot at the suspect.</v>
      </c>
      <c r="Q628" s="24"/>
      <c r="R628" s="24"/>
      <c r="S628" s="24"/>
      <c r="T628" s="24"/>
      <c r="U628" s="24"/>
      <c r="V628" s="24"/>
      <c r="W628" s="24"/>
      <c r="X628" s="24"/>
      <c r="Y628" s="24"/>
      <c r="Z628" s="24"/>
    </row>
    <row r="629" hidden="1">
      <c r="A629" s="29">
        <f>IFERROR(__xludf.DUMMYFUNCTION("""COMPUTED_VALUE"""),39236.0)</f>
        <v>39236</v>
      </c>
      <c r="B629" s="24">
        <f>IFERROR(__xludf.DUMMYFUNCTION("""COMPUTED_VALUE"""),8.1607707E7)</f>
        <v>81607707</v>
      </c>
      <c r="C629" s="24" t="str">
        <f>IFERROR(__xludf.DUMMYFUNCTION("""COMPUTED_VALUE"""),"5600 Hoover")</f>
        <v>5600 Hoover</v>
      </c>
      <c r="D629" s="26" t="str">
        <f>IFERROR(__xludf.DUMMYFUNCTION("""COMPUTED_VALUE"""),"M")</f>
        <v>M</v>
      </c>
      <c r="E629" s="26" t="str">
        <f>IFERROR(__xludf.DUMMYFUNCTION("""COMPUTED_VALUE"""),"B")</f>
        <v>B</v>
      </c>
      <c r="F629" s="26">
        <f>IFERROR(__xludf.DUMMYFUNCTION("""COMPUTED_VALUE"""),42.0)</f>
        <v>42</v>
      </c>
      <c r="G629" s="26" t="str">
        <f>IFERROR(__xludf.DUMMYFUNCTION("""COMPUTED_VALUE"""),"Wounded")</f>
        <v>Wounded</v>
      </c>
      <c r="H629" s="26" t="str">
        <f>IFERROR(__xludf.DUMMYFUNCTION("""COMPUTED_VALUE"""),"None")</f>
        <v>None</v>
      </c>
      <c r="I629" s="27" t="str">
        <f>IFERROR(__xludf.DUMMYFUNCTION("""COMPUTED_VALUE"""),"M")</f>
        <v>M</v>
      </c>
      <c r="J629" s="27" t="str">
        <f>IFERROR(__xludf.DUMMYFUNCTION("""COMPUTED_VALUE"""),"H")</f>
        <v>H</v>
      </c>
      <c r="K629" s="27">
        <f>IFERROR(__xludf.DUMMYFUNCTION("""COMPUTED_VALUE"""),40.0)</f>
        <v>40</v>
      </c>
      <c r="L629" s="27" t="str">
        <f>IFERROR(__xludf.DUMMYFUNCTION("""COMPUTED_VALUE"""),"None")</f>
        <v>None</v>
      </c>
      <c r="M629" s="27" t="str">
        <f>IFERROR(__xludf.DUMMYFUNCTION("""COMPUTED_VALUE"""),"Y")</f>
        <v>Y</v>
      </c>
      <c r="N629" s="24"/>
      <c r="O629" s="24">
        <f>IFERROR(__xludf.DUMMYFUNCTION("""COMPUTED_VALUE"""),1.0)</f>
        <v>1</v>
      </c>
      <c r="P629" s="28" t="str">
        <f>IFERROR(__xludf.DUMMYFUNCTION("""COMPUTED_VALUE"""),"The officer was chasing a burglary suspect when the suspect turned towrd the officer with an object in his hand. The officer belived the object to be a weapon forcing the officer to shoot.")</f>
        <v>The officer was chasing a burglary suspect when the suspect turned towrd the officer with an object in his hand. The officer belived the object to be a weapon forcing the officer to shoot.</v>
      </c>
      <c r="Q629" s="24"/>
      <c r="R629" s="24"/>
      <c r="S629" s="24"/>
      <c r="T629" s="24"/>
      <c r="U629" s="24"/>
      <c r="V629" s="24"/>
      <c r="W629" s="24"/>
      <c r="X629" s="24"/>
      <c r="Y629" s="24"/>
      <c r="Z629" s="24"/>
    </row>
    <row r="630" hidden="1">
      <c r="A630" s="29">
        <f>IFERROR(__xludf.DUMMYFUNCTION("""COMPUTED_VALUE"""),39232.0)</f>
        <v>39232</v>
      </c>
      <c r="B630" s="24">
        <f>IFERROR(__xludf.DUMMYFUNCTION("""COMPUTED_VALUE"""),7.9542707E7)</f>
        <v>79542707</v>
      </c>
      <c r="C630" s="24" t="str">
        <f>IFERROR(__xludf.DUMMYFUNCTION("""COMPUTED_VALUE"""),"6700 Renwick")</f>
        <v>6700 Renwick</v>
      </c>
      <c r="D630" s="26" t="str">
        <f>IFERROR(__xludf.DUMMYFUNCTION("""COMPUTED_VALUE"""),"Juvenile")</f>
        <v>Juvenile</v>
      </c>
      <c r="E630" s="26" t="str">
        <f>IFERROR(__xludf.DUMMYFUNCTION("""COMPUTED_VALUE"""),"Juvenile")</f>
        <v>Juvenile</v>
      </c>
      <c r="F630" s="26"/>
      <c r="G630" s="26" t="str">
        <f>IFERROR(__xludf.DUMMYFUNCTION("""COMPUTED_VALUE"""),"Wounded")</f>
        <v>Wounded</v>
      </c>
      <c r="H630" s="26" t="str">
        <f>IFERROR(__xludf.DUMMYFUNCTION("""COMPUTED_VALUE"""),"Firearm")</f>
        <v>Firearm</v>
      </c>
      <c r="I630" s="27" t="str">
        <f>IFERROR(__xludf.DUMMYFUNCTION("""COMPUTED_VALUE"""),"M")</f>
        <v>M</v>
      </c>
      <c r="J630" s="27" t="str">
        <f>IFERROR(__xludf.DUMMYFUNCTION("""COMPUTED_VALUE"""),"W")</f>
        <v>W</v>
      </c>
      <c r="K630" s="27">
        <f>IFERROR(__xludf.DUMMYFUNCTION("""COMPUTED_VALUE"""),28.0)</f>
        <v>28</v>
      </c>
      <c r="L630" s="27" t="str">
        <f>IFERROR(__xludf.DUMMYFUNCTION("""COMPUTED_VALUE"""),"None")</f>
        <v>None</v>
      </c>
      <c r="M630" s="27" t="str">
        <f>IFERROR(__xludf.DUMMYFUNCTION("""COMPUTED_VALUE"""),"Y")</f>
        <v>Y</v>
      </c>
      <c r="N630" s="24"/>
      <c r="O630" s="24"/>
      <c r="P630" s="28" t="str">
        <f>IFERROR(__xludf.DUMMYFUNCTION("""COMPUTED_VALUE"""),"The suspect was being detained by the officer when the suspect saw an opportunity to pull out a weapon. The officer was able to grab the suspect's hand before the suspect was able to shoot and a fight over the weapon ensued. Another officer went to assist"&amp;" and when he had an opening he fired his weapon at the suspect.")</f>
        <v>The suspect was being detained by the officer when the suspect saw an opportunity to pull out a weapon. The officer was able to grab the suspect's hand before the suspect was able to shoot and a fight over the weapon ensued. Another officer went to assist and when he had an opening he fired his weapon at the suspect.</v>
      </c>
      <c r="Q630" s="24"/>
      <c r="R630" s="24"/>
      <c r="S630" s="24"/>
      <c r="T630" s="24"/>
      <c r="U630" s="24"/>
      <c r="V630" s="24"/>
      <c r="W630" s="24"/>
      <c r="X630" s="24"/>
      <c r="Y630" s="24"/>
      <c r="Z630" s="24"/>
    </row>
    <row r="631">
      <c r="A631" s="29">
        <f>IFERROR(__xludf.DUMMYFUNCTION("""COMPUTED_VALUE"""),39223.0)</f>
        <v>39223</v>
      </c>
      <c r="B631" s="24">
        <f>IFERROR(__xludf.DUMMYFUNCTION("""COMPUTED_VALUE"""),7.4313707E7)</f>
        <v>74313707</v>
      </c>
      <c r="C631" s="24" t="str">
        <f>IFERROR(__xludf.DUMMYFUNCTION("""COMPUTED_VALUE"""),"2610 Hardy")</f>
        <v>2610 Hardy</v>
      </c>
      <c r="D631" s="26" t="str">
        <f>IFERROR(__xludf.DUMMYFUNCTION("""COMPUTED_VALUE"""),"M")</f>
        <v>M</v>
      </c>
      <c r="E631" s="26" t="str">
        <f>IFERROR(__xludf.DUMMYFUNCTION("""COMPUTED_VALUE"""),"H")</f>
        <v>H</v>
      </c>
      <c r="F631" s="26"/>
      <c r="G631" s="26" t="str">
        <f>IFERROR(__xludf.DUMMYFUNCTION("""COMPUTED_VALUE"""),"Unknown")</f>
        <v>Unknown</v>
      </c>
      <c r="H631" s="26" t="str">
        <f>IFERROR(__xludf.DUMMYFUNCTION("""COMPUTED_VALUE"""),"Toy Gun")</f>
        <v>Toy Gun</v>
      </c>
      <c r="I631" s="27" t="str">
        <f>IFERROR(__xludf.DUMMYFUNCTION("""COMPUTED_VALUE"""),"M")</f>
        <v>M</v>
      </c>
      <c r="J631" s="27" t="str">
        <f>IFERROR(__xludf.DUMMYFUNCTION("""COMPUTED_VALUE"""),"H")</f>
        <v>H</v>
      </c>
      <c r="K631" s="27">
        <f>IFERROR(__xludf.DUMMYFUNCTION("""COMPUTED_VALUE"""),40.0)</f>
        <v>40</v>
      </c>
      <c r="L631" s="27" t="str">
        <f>IFERROR(__xludf.DUMMYFUNCTION("""COMPUTED_VALUE"""),"None")</f>
        <v>None</v>
      </c>
      <c r="M631" s="27" t="str">
        <f>IFERROR(__xludf.DUMMYFUNCTION("""COMPUTED_VALUE"""),"N")</f>
        <v>N</v>
      </c>
      <c r="N631" s="24"/>
      <c r="O631" s="24"/>
      <c r="P631" s="28" t="str">
        <f>IFERROR(__xludf.DUMMYFUNCTION("""COMPUTED_VALUE"""),"The officer was informed of a robbery in progress and when he confronted the suspect, the suspect turned and pointed a weapon at him forcing the officer to shoot.")</f>
        <v>The officer was informed of a robbery in progress and when he confronted the suspect, the suspect turned and pointed a weapon at him forcing the officer to shoot.</v>
      </c>
      <c r="Q631" s="24"/>
      <c r="R631" s="24"/>
      <c r="S631" s="24"/>
      <c r="T631" s="24"/>
      <c r="U631" s="24"/>
      <c r="V631" s="24"/>
      <c r="W631" s="24"/>
      <c r="X631" s="24"/>
      <c r="Y631" s="24"/>
      <c r="Z631" s="24"/>
    </row>
    <row r="632" hidden="1">
      <c r="A632" s="29">
        <f>IFERROR(__xludf.DUMMYFUNCTION("""COMPUTED_VALUE"""),39214.0)</f>
        <v>39214</v>
      </c>
      <c r="B632" s="24">
        <f>IFERROR(__xludf.DUMMYFUNCTION("""COMPUTED_VALUE"""),6.9483207E7)</f>
        <v>69483207</v>
      </c>
      <c r="C632" s="24" t="str">
        <f>IFERROR(__xludf.DUMMYFUNCTION("""COMPUTED_VALUE"""),"6200 West Bellfort")</f>
        <v>6200 West Bellfort</v>
      </c>
      <c r="D632" s="26" t="str">
        <f>IFERROR(__xludf.DUMMYFUNCTION("""COMPUTED_VALUE"""),"M")</f>
        <v>M</v>
      </c>
      <c r="E632" s="26" t="str">
        <f>IFERROR(__xludf.DUMMYFUNCTION("""COMPUTED_VALUE"""),"H")</f>
        <v>H</v>
      </c>
      <c r="F632" s="26">
        <f>IFERROR(__xludf.DUMMYFUNCTION("""COMPUTED_VALUE"""),21.0)</f>
        <v>21</v>
      </c>
      <c r="G632" s="26" t="str">
        <f>IFERROR(__xludf.DUMMYFUNCTION("""COMPUTED_VALUE"""),"Killed")</f>
        <v>Killed</v>
      </c>
      <c r="H632" s="26" t="str">
        <f>IFERROR(__xludf.DUMMYFUNCTION("""COMPUTED_VALUE"""),"Firearm")</f>
        <v>Firearm</v>
      </c>
      <c r="I632" s="27" t="str">
        <f>IFERROR(__xludf.DUMMYFUNCTION("""COMPUTED_VALUE"""),"M")</f>
        <v>M</v>
      </c>
      <c r="J632" s="27" t="str">
        <f>IFERROR(__xludf.DUMMYFUNCTION("""COMPUTED_VALUE"""),"B")</f>
        <v>B</v>
      </c>
      <c r="K632" s="27">
        <f>IFERROR(__xludf.DUMMYFUNCTION("""COMPUTED_VALUE"""),40.0)</f>
        <v>40</v>
      </c>
      <c r="L632" s="27" t="str">
        <f>IFERROR(__xludf.DUMMYFUNCTION("""COMPUTED_VALUE"""),"None")</f>
        <v>None</v>
      </c>
      <c r="M632" s="27" t="str">
        <f>IFERROR(__xludf.DUMMYFUNCTION("""COMPUTED_VALUE"""),"Y")</f>
        <v>Y</v>
      </c>
      <c r="N632" s="24"/>
      <c r="O632" s="24">
        <f>IFERROR(__xludf.DUMMYFUNCTION("""COMPUTED_VALUE"""),1.0)</f>
        <v>1</v>
      </c>
      <c r="P632" s="24" t="str">
        <f>IFERROR(__xludf.DUMMYFUNCTION("""COMPUTED_VALUE"""),"The arned robbery suspect fled from the police on foot. The officer chased the suspect and managed to corner him. The suspect then ran toward the officer with a pistol in his hand forcing the officer to shoot.")</f>
        <v>The arned robbery suspect fled from the police on foot. The officer chased the suspect and managed to corner him. The suspect then ran toward the officer with a pistol in his hand forcing the officer to shoot.</v>
      </c>
      <c r="Q632" s="24"/>
      <c r="R632" s="24"/>
      <c r="S632" s="24"/>
      <c r="T632" s="24"/>
      <c r="U632" s="24"/>
      <c r="V632" s="24"/>
      <c r="W632" s="24"/>
      <c r="X632" s="24"/>
      <c r="Y632" s="24"/>
      <c r="Z632" s="24"/>
    </row>
    <row r="633" hidden="1">
      <c r="A633" s="29">
        <f>IFERROR(__xludf.DUMMYFUNCTION("""COMPUTED_VALUE"""),39212.0)</f>
        <v>39212</v>
      </c>
      <c r="B633" s="24">
        <f>IFERROR(__xludf.DUMMYFUNCTION("""COMPUTED_VALUE"""),6.8594007E7)</f>
        <v>68594007</v>
      </c>
      <c r="C633" s="24" t="str">
        <f>IFERROR(__xludf.DUMMYFUNCTION("""COMPUTED_VALUE"""),"7920 Harrisburg")</f>
        <v>7920 Harrisburg</v>
      </c>
      <c r="D633" s="26" t="str">
        <f>IFERROR(__xludf.DUMMYFUNCTION("""COMPUTED_VALUE"""),"M")</f>
        <v>M</v>
      </c>
      <c r="E633" s="26" t="str">
        <f>IFERROR(__xludf.DUMMYFUNCTION("""COMPUTED_VALUE"""),"H")</f>
        <v>H</v>
      </c>
      <c r="F633" s="26">
        <f>IFERROR(__xludf.DUMMYFUNCTION("""COMPUTED_VALUE"""),77.0)</f>
        <v>77</v>
      </c>
      <c r="G633" s="26" t="str">
        <f>IFERROR(__xludf.DUMMYFUNCTION("""COMPUTED_VALUE"""),"Killed")</f>
        <v>Killed</v>
      </c>
      <c r="H633" s="26" t="str">
        <f>IFERROR(__xludf.DUMMYFUNCTION("""COMPUTED_VALUE"""),"Firearm")</f>
        <v>Firearm</v>
      </c>
      <c r="I633" s="27" t="str">
        <f>IFERROR(__xludf.DUMMYFUNCTION("""COMPUTED_VALUE"""),"M")</f>
        <v>M</v>
      </c>
      <c r="J633" s="27" t="str">
        <f>IFERROR(__xludf.DUMMYFUNCTION("""COMPUTED_VALUE"""),"W")</f>
        <v>W</v>
      </c>
      <c r="K633" s="27">
        <f>IFERROR(__xludf.DUMMYFUNCTION("""COMPUTED_VALUE"""),54.0)</f>
        <v>54</v>
      </c>
      <c r="L633" s="27" t="str">
        <f>IFERROR(__xludf.DUMMYFUNCTION("""COMPUTED_VALUE"""),"None")</f>
        <v>None</v>
      </c>
      <c r="M633" s="27" t="str">
        <f>IFERROR(__xludf.DUMMYFUNCTION("""COMPUTED_VALUE"""),"Y")</f>
        <v>Y</v>
      </c>
      <c r="N633" s="24"/>
      <c r="O633" s="24"/>
      <c r="P633" s="24" t="str">
        <f>IFERROR(__xludf.DUMMYFUNCTION("""COMPUTED_VALUE"""),"The officers were conducting a narcotics operation which led them to the listed location. They were met by the suspect at the front door and after identifying themselves as police officers, the suspect assaulted one of the officers before pulling out a pi"&amp;"stol and shooting at the officers forcing the officer to return fire.")</f>
        <v>The officers were conducting a narcotics operation which led them to the listed location. They were met by the suspect at the front door and after identifying themselves as police officers, the suspect assaulted one of the officers before pulling out a pistol and shooting at the officers forcing the officer to return fire.</v>
      </c>
      <c r="Q633" s="24"/>
      <c r="R633" s="24"/>
      <c r="S633" s="24"/>
      <c r="T633" s="24"/>
      <c r="U633" s="24"/>
      <c r="V633" s="24"/>
      <c r="W633" s="24"/>
      <c r="X633" s="24"/>
      <c r="Y633" s="24"/>
      <c r="Z633" s="24"/>
    </row>
    <row r="634" hidden="1">
      <c r="A634" s="29">
        <f>IFERROR(__xludf.DUMMYFUNCTION("""COMPUTED_VALUE"""),39208.0)</f>
        <v>39208</v>
      </c>
      <c r="B634" s="24">
        <f>IFERROR(__xludf.DUMMYFUNCTION("""COMPUTED_VALUE"""),6.5913307E7)</f>
        <v>65913307</v>
      </c>
      <c r="C634" s="24" t="str">
        <f>IFERROR(__xludf.DUMMYFUNCTION("""COMPUTED_VALUE"""),"1200 Travis")</f>
        <v>1200 Travis</v>
      </c>
      <c r="D634" s="26" t="str">
        <f>IFERROR(__xludf.DUMMYFUNCTION("""COMPUTED_VALUE"""),"M")</f>
        <v>M</v>
      </c>
      <c r="E634" s="26" t="str">
        <f>IFERROR(__xludf.DUMMYFUNCTION("""COMPUTED_VALUE"""),"B")</f>
        <v>B</v>
      </c>
      <c r="F634" s="26">
        <f>IFERROR(__xludf.DUMMYFUNCTION("""COMPUTED_VALUE"""),42.0)</f>
        <v>42</v>
      </c>
      <c r="G634" s="26" t="str">
        <f>IFERROR(__xludf.DUMMYFUNCTION("""COMPUTED_VALUE"""),"Killed")</f>
        <v>Killed</v>
      </c>
      <c r="H634" s="26" t="str">
        <f>IFERROR(__xludf.DUMMYFUNCTION("""COMPUTED_VALUE"""),"Knife")</f>
        <v>Knife</v>
      </c>
      <c r="I634" s="27" t="str">
        <f>IFERROR(__xludf.DUMMYFUNCTION("""COMPUTED_VALUE"""),"M")</f>
        <v>M</v>
      </c>
      <c r="J634" s="27" t="str">
        <f>IFERROR(__xludf.DUMMYFUNCTION("""COMPUTED_VALUE"""),"W")</f>
        <v>W</v>
      </c>
      <c r="K634" s="27">
        <f>IFERROR(__xludf.DUMMYFUNCTION("""COMPUTED_VALUE"""),35.0)</f>
        <v>35</v>
      </c>
      <c r="L634" s="27" t="str">
        <f>IFERROR(__xludf.DUMMYFUNCTION("""COMPUTED_VALUE"""),"None")</f>
        <v>None</v>
      </c>
      <c r="M634" s="27" t="str">
        <f>IFERROR(__xludf.DUMMYFUNCTION("""COMPUTED_VALUE"""),"Y")</f>
        <v>Y</v>
      </c>
      <c r="N634" s="24"/>
      <c r="O634" s="24"/>
      <c r="P634" s="24" t="str">
        <f>IFERROR(__xludf.DUMMYFUNCTION("""COMPUTED_VALUE"""),"The suspect entered the police station armed with a knife. The suspect appeared to be stabbing herslf with the knife but was not stabbing hard enough to cause injury. She then told the officers - let's end this - and moved towrd the officers with the knif"&amp;"e. One officer attempted to stop her by use of a taser but the taser had no effect forcing another officer to shoot the suspect.")</f>
        <v>The suspect entered the police station armed with a knife. The suspect appeared to be stabbing herslf with the knife but was not stabbing hard enough to cause injury. She then told the officers - let's end this - and moved towrd the officers with the knife. One officer attempted to stop her by use of a taser but the taser had no effect forcing another officer to shoot the suspect.</v>
      </c>
      <c r="Q634" s="24"/>
      <c r="R634" s="24"/>
      <c r="S634" s="24"/>
      <c r="T634" s="24"/>
      <c r="U634" s="24"/>
      <c r="V634" s="24"/>
      <c r="W634" s="24"/>
      <c r="X634" s="24"/>
      <c r="Y634" s="24"/>
      <c r="Z634" s="24"/>
    </row>
    <row r="635" hidden="1">
      <c r="A635" s="29">
        <f>IFERROR(__xludf.DUMMYFUNCTION("""COMPUTED_VALUE"""),39205.0)</f>
        <v>39205</v>
      </c>
      <c r="B635" s="24">
        <f>IFERROR(__xludf.DUMMYFUNCTION("""COMPUTED_VALUE"""),6.4609707E7)</f>
        <v>64609707</v>
      </c>
      <c r="C635" s="24" t="str">
        <f>IFERROR(__xludf.DUMMYFUNCTION("""COMPUTED_VALUE"""),"13200 Jones Road")</f>
        <v>13200 Jones Road</v>
      </c>
      <c r="D635" s="26" t="str">
        <f>IFERROR(__xludf.DUMMYFUNCTION("""COMPUTED_VALUE"""),"M")</f>
        <v>M</v>
      </c>
      <c r="E635" s="26" t="str">
        <f>IFERROR(__xludf.DUMMYFUNCTION("""COMPUTED_VALUE"""),"B")</f>
        <v>B</v>
      </c>
      <c r="F635" s="26">
        <f>IFERROR(__xludf.DUMMYFUNCTION("""COMPUTED_VALUE"""),18.0)</f>
        <v>18</v>
      </c>
      <c r="G635" s="26" t="str">
        <f>IFERROR(__xludf.DUMMYFUNCTION("""COMPUTED_VALUE"""),"Wounded")</f>
        <v>Wounded</v>
      </c>
      <c r="H635" s="26" t="str">
        <f>IFERROR(__xludf.DUMMYFUNCTION("""COMPUTED_VALUE"""),"Toy Gun")</f>
        <v>Toy Gun</v>
      </c>
      <c r="I635" s="27" t="str">
        <f>IFERROR(__xludf.DUMMYFUNCTION("""COMPUTED_VALUE"""),"M")</f>
        <v>M</v>
      </c>
      <c r="J635" s="27" t="str">
        <f>IFERROR(__xludf.DUMMYFUNCTION("""COMPUTED_VALUE"""),"H")</f>
        <v>H</v>
      </c>
      <c r="K635" s="27">
        <f>IFERROR(__xludf.DUMMYFUNCTION("""COMPUTED_VALUE"""),48.0)</f>
        <v>48</v>
      </c>
      <c r="L635" s="27" t="str">
        <f>IFERROR(__xludf.DUMMYFUNCTION("""COMPUTED_VALUE"""),"None")</f>
        <v>None</v>
      </c>
      <c r="M635" s="27" t="str">
        <f>IFERROR(__xludf.DUMMYFUNCTION("""COMPUTED_VALUE"""),"N")</f>
        <v>N</v>
      </c>
      <c r="N635" s="24"/>
      <c r="O635" s="24">
        <f>IFERROR(__xludf.DUMMYFUNCTION("""COMPUTED_VALUE"""),1.0)</f>
        <v>1</v>
      </c>
      <c r="P635" s="28" t="str">
        <f>IFERROR(__xludf.DUMMYFUNCTION("""COMPUTED_VALUE"""),"The officer was off duty when he was informed of a robbery in progress. The officer spotted the suspect at which time the suspect pointed a weapon at the officer forcing the officer to shoot at the suspect.")</f>
        <v>The officer was off duty when he was informed of a robbery in progress. The officer spotted the suspect at which time the suspect pointed a weapon at the officer forcing the officer to shoot at the suspect.</v>
      </c>
      <c r="Q635" s="24"/>
      <c r="R635" s="24"/>
      <c r="S635" s="24"/>
      <c r="T635" s="24"/>
      <c r="U635" s="24"/>
      <c r="V635" s="24"/>
      <c r="W635" s="24"/>
      <c r="X635" s="24"/>
      <c r="Y635" s="24"/>
      <c r="Z635" s="24"/>
    </row>
    <row r="636" hidden="1">
      <c r="A636" s="29">
        <f>IFERROR(__xludf.DUMMYFUNCTION("""COMPUTED_VALUE"""),39197.0)</f>
        <v>39197</v>
      </c>
      <c r="B636" s="24">
        <f>IFERROR(__xludf.DUMMYFUNCTION("""COMPUTED_VALUE"""),5.9821907E7)</f>
        <v>59821907</v>
      </c>
      <c r="C636" s="24" t="str">
        <f>IFERROR(__xludf.DUMMYFUNCTION("""COMPUTED_VALUE"""),"15902 Galveston Rd")</f>
        <v>15902 Galveston Rd</v>
      </c>
      <c r="D636" s="26" t="str">
        <f>IFERROR(__xludf.DUMMYFUNCTION("""COMPUTED_VALUE"""),"M")</f>
        <v>M</v>
      </c>
      <c r="E636" s="26" t="str">
        <f>IFERROR(__xludf.DUMMYFUNCTION("""COMPUTED_VALUE"""),"H")</f>
        <v>H</v>
      </c>
      <c r="F636" s="26">
        <f>IFERROR(__xludf.DUMMYFUNCTION("""COMPUTED_VALUE"""),26.0)</f>
        <v>26</v>
      </c>
      <c r="G636" s="26" t="str">
        <f>IFERROR(__xludf.DUMMYFUNCTION("""COMPUTED_VALUE"""),"Wounded")</f>
        <v>Wounded</v>
      </c>
      <c r="H636" s="26" t="str">
        <f>IFERROR(__xludf.DUMMYFUNCTION("""COMPUTED_VALUE"""),"Firearm")</f>
        <v>Firearm</v>
      </c>
      <c r="I636" s="27" t="str">
        <f>IFERROR(__xludf.DUMMYFUNCTION("""COMPUTED_VALUE"""),"M")</f>
        <v>M</v>
      </c>
      <c r="J636" s="27" t="str">
        <f>IFERROR(__xludf.DUMMYFUNCTION("""COMPUTED_VALUE"""),"W")</f>
        <v>W</v>
      </c>
      <c r="K636" s="27">
        <f>IFERROR(__xludf.DUMMYFUNCTION("""COMPUTED_VALUE"""),49.0)</f>
        <v>49</v>
      </c>
      <c r="L636" s="27" t="str">
        <f>IFERROR(__xludf.DUMMYFUNCTION("""COMPUTED_VALUE"""),"None")</f>
        <v>None</v>
      </c>
      <c r="M636" s="27" t="str">
        <f>IFERROR(__xludf.DUMMYFUNCTION("""COMPUTED_VALUE"""),"Y")</f>
        <v>Y</v>
      </c>
      <c r="N636" s="24"/>
      <c r="O636" s="24"/>
      <c r="P636" s="28" t="str">
        <f>IFERROR(__xludf.DUMMYFUNCTION("""COMPUTED_VALUE"""),"Officers forced entry into an apartment to execute a narcotics arrest warrant. The officers were confronted by the suspect who was armed with a shotgun forcing the officers to shoot.")</f>
        <v>Officers forced entry into an apartment to execute a narcotics arrest warrant. The officers were confronted by the suspect who was armed with a shotgun forcing the officers to shoot.</v>
      </c>
      <c r="Q636" s="24"/>
      <c r="R636" s="24"/>
      <c r="S636" s="24"/>
      <c r="T636" s="24"/>
      <c r="U636" s="24"/>
      <c r="V636" s="24"/>
      <c r="W636" s="24"/>
      <c r="X636" s="24"/>
      <c r="Y636" s="24"/>
      <c r="Z636" s="24"/>
    </row>
    <row r="637" hidden="1">
      <c r="A637" s="29"/>
      <c r="B637" s="24"/>
      <c r="C637" s="24"/>
      <c r="D637" s="26"/>
      <c r="E637" s="26"/>
      <c r="F637" s="26"/>
      <c r="G637" s="26"/>
      <c r="H637" s="26" t="str">
        <f>IFERROR(__xludf.DUMMYFUNCTION("""COMPUTED_VALUE"""),"Firearm")</f>
        <v>Firearm</v>
      </c>
      <c r="I637" s="27" t="str">
        <f>IFERROR(__xludf.DUMMYFUNCTION("""COMPUTED_VALUE"""),"M")</f>
        <v>M</v>
      </c>
      <c r="J637" s="27" t="str">
        <f>IFERROR(__xludf.DUMMYFUNCTION("""COMPUTED_VALUE"""),"H")</f>
        <v>H</v>
      </c>
      <c r="K637" s="27">
        <f>IFERROR(__xludf.DUMMYFUNCTION("""COMPUTED_VALUE"""),42.0)</f>
        <v>42</v>
      </c>
      <c r="L637" s="27" t="str">
        <f>IFERROR(__xludf.DUMMYFUNCTION("""COMPUTED_VALUE"""),"None")</f>
        <v>None</v>
      </c>
      <c r="M637" s="27" t="str">
        <f>IFERROR(__xludf.DUMMYFUNCTION("""COMPUTED_VALUE"""),"Y")</f>
        <v>Y</v>
      </c>
      <c r="N637" s="24"/>
      <c r="O637" s="24"/>
      <c r="P637" s="24"/>
      <c r="Q637" s="24"/>
      <c r="R637" s="24"/>
      <c r="S637" s="24"/>
      <c r="T637" s="24"/>
      <c r="U637" s="24"/>
      <c r="V637" s="24"/>
      <c r="W637" s="24"/>
      <c r="X637" s="24"/>
      <c r="Y637" s="24"/>
      <c r="Z637" s="24"/>
    </row>
    <row r="638">
      <c r="A638" s="29">
        <f>IFERROR(__xludf.DUMMYFUNCTION("""COMPUTED_VALUE"""),39189.0)</f>
        <v>39189</v>
      </c>
      <c r="B638" s="24">
        <f>IFERROR(__xludf.DUMMYFUNCTION("""COMPUTED_VALUE"""),5.5773407E7)</f>
        <v>55773407</v>
      </c>
      <c r="C638" s="24" t="str">
        <f>IFERROR(__xludf.DUMMYFUNCTION("""COMPUTED_VALUE"""),"5700 South Loop East")</f>
        <v>5700 South Loop East</v>
      </c>
      <c r="D638" s="26" t="str">
        <f>IFERROR(__xludf.DUMMYFUNCTION("""COMPUTED_VALUE"""),"M")</f>
        <v>M</v>
      </c>
      <c r="E638" s="26" t="str">
        <f>IFERROR(__xludf.DUMMYFUNCTION("""COMPUTED_VALUE"""),"H")</f>
        <v>H</v>
      </c>
      <c r="F638" s="26">
        <f>IFERROR(__xludf.DUMMYFUNCTION("""COMPUTED_VALUE"""),28.0)</f>
        <v>28</v>
      </c>
      <c r="G638" s="26" t="str">
        <f>IFERROR(__xludf.DUMMYFUNCTION("""COMPUTED_VALUE"""),"None")</f>
        <v>None</v>
      </c>
      <c r="H638" s="26" t="str">
        <f>IFERROR(__xludf.DUMMYFUNCTION("""COMPUTED_VALUE"""),"Vehicle")</f>
        <v>Vehicle</v>
      </c>
      <c r="I638" s="27" t="str">
        <f>IFERROR(__xludf.DUMMYFUNCTION("""COMPUTED_VALUE"""),"M")</f>
        <v>M</v>
      </c>
      <c r="J638" s="27" t="str">
        <f>IFERROR(__xludf.DUMMYFUNCTION("""COMPUTED_VALUE"""),"H")</f>
        <v>H</v>
      </c>
      <c r="K638" s="27">
        <f>IFERROR(__xludf.DUMMYFUNCTION("""COMPUTED_VALUE"""),37.0)</f>
        <v>37</v>
      </c>
      <c r="L638" s="27" t="str">
        <f>IFERROR(__xludf.DUMMYFUNCTION("""COMPUTED_VALUE"""),"None")</f>
        <v>None</v>
      </c>
      <c r="M638" s="27" t="str">
        <f>IFERROR(__xludf.DUMMYFUNCTION("""COMPUTED_VALUE"""),"Y")</f>
        <v>Y</v>
      </c>
      <c r="N638" s="24"/>
      <c r="O638" s="24"/>
      <c r="P638" s="28" t="str">
        <f>IFERROR(__xludf.DUMMYFUNCTION("""COMPUTED_VALUE"""),"The officers were attempting to arrest a burglary of a motor vehicle suspect when the suspect drove his vehicle at the officers forcing them to shoot at the suspect.")</f>
        <v>The officers were attempting to arrest a burglary of a motor vehicle suspect when the suspect drove his vehicle at the officers forcing them to shoot at the suspect.</v>
      </c>
      <c r="Q638" s="24"/>
      <c r="R638" s="24"/>
      <c r="S638" s="24"/>
      <c r="T638" s="24"/>
      <c r="U638" s="24"/>
      <c r="V638" s="24"/>
      <c r="W638" s="24"/>
      <c r="X638" s="24"/>
      <c r="Y638" s="24"/>
      <c r="Z638" s="24"/>
    </row>
    <row r="639" hidden="1">
      <c r="A639" s="29"/>
      <c r="B639" s="24"/>
      <c r="C639" s="24"/>
      <c r="D639" s="26"/>
      <c r="E639" s="26"/>
      <c r="F639" s="26"/>
      <c r="G639" s="26"/>
      <c r="H639" s="26"/>
      <c r="I639" s="27" t="str">
        <f>IFERROR(__xludf.DUMMYFUNCTION("""COMPUTED_VALUE"""),"M")</f>
        <v>M</v>
      </c>
      <c r="J639" s="27" t="str">
        <f>IFERROR(__xludf.DUMMYFUNCTION("""COMPUTED_VALUE"""),"W")</f>
        <v>W</v>
      </c>
      <c r="K639" s="27">
        <f>IFERROR(__xludf.DUMMYFUNCTION("""COMPUTED_VALUE"""),49.0)</f>
        <v>49</v>
      </c>
      <c r="L639" s="27" t="str">
        <f>IFERROR(__xludf.DUMMYFUNCTION("""COMPUTED_VALUE"""),"None")</f>
        <v>None</v>
      </c>
      <c r="M639" s="27" t="str">
        <f>IFERROR(__xludf.DUMMYFUNCTION("""COMPUTED_VALUE"""),"Y")</f>
        <v>Y</v>
      </c>
      <c r="N639" s="24"/>
      <c r="O639" s="24">
        <f>IFERROR(__xludf.DUMMYFUNCTION("""COMPUTED_VALUE"""),1.0)</f>
        <v>1</v>
      </c>
      <c r="P639" s="24"/>
      <c r="Q639" s="24"/>
      <c r="R639" s="24"/>
      <c r="S639" s="24"/>
      <c r="T639" s="24"/>
      <c r="U639" s="24"/>
      <c r="V639" s="24"/>
      <c r="W639" s="24"/>
      <c r="X639" s="24"/>
      <c r="Y639" s="24"/>
      <c r="Z639" s="24"/>
    </row>
    <row r="640" hidden="1">
      <c r="A640" s="29">
        <f>IFERROR(__xludf.DUMMYFUNCTION("""COMPUTED_VALUE"""),39185.0)</f>
        <v>39185</v>
      </c>
      <c r="B640" s="24">
        <f>IFERROR(__xludf.DUMMYFUNCTION("""COMPUTED_VALUE"""),5.3207807E7)</f>
        <v>53207807</v>
      </c>
      <c r="C640" s="24" t="str">
        <f>IFERROR(__xludf.DUMMYFUNCTION("""COMPUTED_VALUE"""),"200 Holmes Road")</f>
        <v>200 Holmes Road</v>
      </c>
      <c r="D640" s="26" t="str">
        <f>IFERROR(__xludf.DUMMYFUNCTION("""COMPUTED_VALUE"""),"M")</f>
        <v>M</v>
      </c>
      <c r="E640" s="26" t="str">
        <f>IFERROR(__xludf.DUMMYFUNCTION("""COMPUTED_VALUE"""),"B")</f>
        <v>B</v>
      </c>
      <c r="F640" s="26">
        <f>IFERROR(__xludf.DUMMYFUNCTION("""COMPUTED_VALUE"""),24.0)</f>
        <v>24</v>
      </c>
      <c r="G640" s="26" t="str">
        <f>IFERROR(__xludf.DUMMYFUNCTION("""COMPUTED_VALUE"""),"S")</f>
        <v>S</v>
      </c>
      <c r="H640" s="26" t="str">
        <f>IFERROR(__xludf.DUMMYFUNCTION("""COMPUTED_VALUE"""),"Firearm")</f>
        <v>Firearm</v>
      </c>
      <c r="I640" s="27" t="str">
        <f>IFERROR(__xludf.DUMMYFUNCTION("""COMPUTED_VALUE"""),"M")</f>
        <v>M</v>
      </c>
      <c r="J640" s="27" t="str">
        <f>IFERROR(__xludf.DUMMYFUNCTION("""COMPUTED_VALUE"""),"H")</f>
        <v>H</v>
      </c>
      <c r="K640" s="27">
        <f>IFERROR(__xludf.DUMMYFUNCTION("""COMPUTED_VALUE"""),36.0)</f>
        <v>36</v>
      </c>
      <c r="L640" s="27" t="str">
        <f>IFERROR(__xludf.DUMMYFUNCTION("""COMPUTED_VALUE"""),"None")</f>
        <v>None</v>
      </c>
      <c r="M640" s="27" t="str">
        <f>IFERROR(__xludf.DUMMYFUNCTION("""COMPUTED_VALUE"""),"Y")</f>
        <v>Y</v>
      </c>
      <c r="N640" s="24"/>
      <c r="O640" s="24">
        <f>IFERROR(__xludf.DUMMYFUNCTION("""COMPUTED_VALUE"""),1.0)</f>
        <v>1</v>
      </c>
      <c r="P640" s="24" t="str">
        <f>IFERROR(__xludf.DUMMYFUNCTION("""COMPUTED_VALUE"""),"The officer attempted to stop the suspect but the suspect fled from him. The suspect stopped his vehicle and got out but was found to be armed. The suspect shot at the officers before getting into another vehicle. As the suspect drove by officers who had "&amp;"set a perimter, he was shooting at them forcing one of the officers to return fire in an attempt to stop him.")</f>
        <v>The officer attempted to stop the suspect but the suspect fled from him. The suspect stopped his vehicle and got out but was found to be armed. The suspect shot at the officers before getting into another vehicle. As the suspect drove by officers who had set a perimter, he was shooting at them forcing one of the officers to return fire in an attempt to stop him.</v>
      </c>
      <c r="Q640" s="24"/>
      <c r="R640" s="24"/>
      <c r="S640" s="24"/>
      <c r="T640" s="24"/>
      <c r="U640" s="24"/>
      <c r="V640" s="24"/>
      <c r="W640" s="24"/>
      <c r="X640" s="24"/>
      <c r="Y640" s="24"/>
      <c r="Z640" s="24"/>
    </row>
    <row r="641">
      <c r="A641" s="29">
        <f>IFERROR(__xludf.DUMMYFUNCTION("""COMPUTED_VALUE"""),39162.0)</f>
        <v>39162</v>
      </c>
      <c r="B641" s="24">
        <f>IFERROR(__xludf.DUMMYFUNCTION("""COMPUTED_VALUE"""),4.1346907E7)</f>
        <v>41346907</v>
      </c>
      <c r="C641" s="24" t="str">
        <f>IFERROR(__xludf.DUMMYFUNCTION("""COMPUTED_VALUE"""),"2800 Winbern")</f>
        <v>2800 Winbern</v>
      </c>
      <c r="D641" s="26" t="str">
        <f>IFERROR(__xludf.DUMMYFUNCTION("""COMPUTED_VALUE"""),"F")</f>
        <v>F</v>
      </c>
      <c r="E641" s="26" t="str">
        <f>IFERROR(__xludf.DUMMYFUNCTION("""COMPUTED_VALUE"""),"B")</f>
        <v>B</v>
      </c>
      <c r="F641" s="26">
        <f>IFERROR(__xludf.DUMMYFUNCTION("""COMPUTED_VALUE"""),20.0)</f>
        <v>20</v>
      </c>
      <c r="G641" s="26" t="str">
        <f>IFERROR(__xludf.DUMMYFUNCTION("""COMPUTED_VALUE"""),"None")</f>
        <v>None</v>
      </c>
      <c r="H641" s="26" t="str">
        <f>IFERROR(__xludf.DUMMYFUNCTION("""COMPUTED_VALUE"""),"Vehicle")</f>
        <v>Vehicle</v>
      </c>
      <c r="I641" s="27" t="str">
        <f>IFERROR(__xludf.DUMMYFUNCTION("""COMPUTED_VALUE"""),"M")</f>
        <v>M</v>
      </c>
      <c r="J641" s="27" t="str">
        <f>IFERROR(__xludf.DUMMYFUNCTION("""COMPUTED_VALUE"""),"B")</f>
        <v>B</v>
      </c>
      <c r="K641" s="27">
        <f>IFERROR(__xludf.DUMMYFUNCTION("""COMPUTED_VALUE"""),34.0)</f>
        <v>34</v>
      </c>
      <c r="L641" s="27" t="str">
        <f>IFERROR(__xludf.DUMMYFUNCTION("""COMPUTED_VALUE"""),"Wounded")</f>
        <v>Wounded</v>
      </c>
      <c r="M641" s="27" t="str">
        <f>IFERROR(__xludf.DUMMYFUNCTION("""COMPUTED_VALUE"""),"Y")</f>
        <v>Y</v>
      </c>
      <c r="N641" s="24"/>
      <c r="O641" s="24">
        <f>IFERROR(__xludf.DUMMYFUNCTION("""COMPUTED_VALUE"""),1.0)</f>
        <v>1</v>
      </c>
      <c r="P641" s="28" t="str">
        <f>IFERROR(__xludf.DUMMYFUNCTION("""COMPUTED_VALUE"""),"The officer attempted to stop a suspect who was fleeing from the police but was struck by the vehicle in the process. The officer believed that the suspect was going to hit him again forcing him to shoot at the suspect.")</f>
        <v>The officer attempted to stop a suspect who was fleeing from the police but was struck by the vehicle in the process. The officer believed that the suspect was going to hit him again forcing him to shoot at the suspect.</v>
      </c>
      <c r="Q641" s="24"/>
      <c r="R641" s="24"/>
      <c r="S641" s="24"/>
      <c r="T641" s="24"/>
      <c r="U641" s="24"/>
      <c r="V641" s="24"/>
      <c r="W641" s="24"/>
      <c r="X641" s="24"/>
      <c r="Y641" s="24"/>
      <c r="Z641" s="24"/>
    </row>
    <row r="642" hidden="1">
      <c r="A642" s="29">
        <f>IFERROR(__xludf.DUMMYFUNCTION("""COMPUTED_VALUE"""),39123.0)</f>
        <v>39123</v>
      </c>
      <c r="B642" s="24">
        <f>IFERROR(__xludf.DUMMYFUNCTION("""COMPUTED_VALUE"""),2.0557707E7)</f>
        <v>20557707</v>
      </c>
      <c r="C642" s="24" t="str">
        <f>IFERROR(__xludf.DUMMYFUNCTION("""COMPUTED_VALUE"""),"1100 Holland Ave.")</f>
        <v>1100 Holland Ave.</v>
      </c>
      <c r="D642" s="26" t="str">
        <f>IFERROR(__xludf.DUMMYFUNCTION("""COMPUTED_VALUE"""),"M")</f>
        <v>M</v>
      </c>
      <c r="E642" s="26" t="str">
        <f>IFERROR(__xludf.DUMMYFUNCTION("""COMPUTED_VALUE"""),"W")</f>
        <v>W</v>
      </c>
      <c r="F642" s="26">
        <f>IFERROR(__xludf.DUMMYFUNCTION("""COMPUTED_VALUE"""),37.0)</f>
        <v>37</v>
      </c>
      <c r="G642" s="26" t="str">
        <f>IFERROR(__xludf.DUMMYFUNCTION("""COMPUTED_VALUE"""),"Killed")</f>
        <v>Killed</v>
      </c>
      <c r="H642" s="26" t="str">
        <f>IFERROR(__xludf.DUMMYFUNCTION("""COMPUTED_VALUE"""),"Knife")</f>
        <v>Knife</v>
      </c>
      <c r="I642" s="27" t="str">
        <f>IFERROR(__xludf.DUMMYFUNCTION("""COMPUTED_VALUE"""),"M")</f>
        <v>M</v>
      </c>
      <c r="J642" s="27" t="str">
        <f>IFERROR(__xludf.DUMMYFUNCTION("""COMPUTED_VALUE"""),"W")</f>
        <v>W</v>
      </c>
      <c r="K642" s="27">
        <f>IFERROR(__xludf.DUMMYFUNCTION("""COMPUTED_VALUE"""),43.0)</f>
        <v>43</v>
      </c>
      <c r="L642" s="27" t="str">
        <f>IFERROR(__xludf.DUMMYFUNCTION("""COMPUTED_VALUE"""),"None")</f>
        <v>None</v>
      </c>
      <c r="M642" s="27" t="str">
        <f>IFERROR(__xludf.DUMMYFUNCTION("""COMPUTED_VALUE"""),"Y")</f>
        <v>Y</v>
      </c>
      <c r="N642" s="24"/>
      <c r="O642" s="24">
        <f>IFERROR(__xludf.DUMMYFUNCTION("""COMPUTED_VALUE"""),1.0)</f>
        <v>1</v>
      </c>
      <c r="P642" s="24" t="str">
        <f>IFERROR(__xludf.DUMMYFUNCTION("""COMPUTED_VALUE"""),"An armed robbery suspect exited the business and charged at the officer forcing the officer to shoot him.")</f>
        <v>An armed robbery suspect exited the business and charged at the officer forcing the officer to shoot him.</v>
      </c>
      <c r="Q642" s="24"/>
      <c r="R642" s="24"/>
      <c r="S642" s="24"/>
      <c r="T642" s="24"/>
      <c r="U642" s="24"/>
      <c r="V642" s="24"/>
      <c r="W642" s="24"/>
      <c r="X642" s="24"/>
      <c r="Y642" s="24"/>
      <c r="Z642" s="24"/>
    </row>
    <row r="643" hidden="1">
      <c r="A643" s="29">
        <f>IFERROR(__xludf.DUMMYFUNCTION("""COMPUTED_VALUE"""),39108.0)</f>
        <v>39108</v>
      </c>
      <c r="B643" s="24">
        <f>IFERROR(__xludf.DUMMYFUNCTION("""COMPUTED_VALUE"""),1.2751707E7)</f>
        <v>12751707</v>
      </c>
      <c r="C643" s="24" t="str">
        <f>IFERROR(__xludf.DUMMYFUNCTION("""COMPUTED_VALUE"""),"20205 Eastex Fwy")</f>
        <v>20205 Eastex Fwy</v>
      </c>
      <c r="D643" s="26" t="str">
        <f>IFERROR(__xludf.DUMMYFUNCTION("""COMPUTED_VALUE"""),"M")</f>
        <v>M</v>
      </c>
      <c r="E643" s="26" t="str">
        <f>IFERROR(__xludf.DUMMYFUNCTION("""COMPUTED_VALUE"""),"B")</f>
        <v>B</v>
      </c>
      <c r="F643" s="26">
        <f>IFERROR(__xludf.DUMMYFUNCTION("""COMPUTED_VALUE"""),19.0)</f>
        <v>19</v>
      </c>
      <c r="G643" s="26" t="str">
        <f>IFERROR(__xludf.DUMMYFUNCTION("""COMPUTED_VALUE"""),"Wounded")</f>
        <v>Wounded</v>
      </c>
      <c r="H643" s="26" t="str">
        <f>IFERROR(__xludf.DUMMYFUNCTION("""COMPUTED_VALUE"""),"Vehicle")</f>
        <v>Vehicle</v>
      </c>
      <c r="I643" s="27" t="str">
        <f>IFERROR(__xludf.DUMMYFUNCTION("""COMPUTED_VALUE"""),"M")</f>
        <v>M</v>
      </c>
      <c r="J643" s="27" t="str">
        <f>IFERROR(__xludf.DUMMYFUNCTION("""COMPUTED_VALUE"""),"W")</f>
        <v>W</v>
      </c>
      <c r="K643" s="27">
        <f>IFERROR(__xludf.DUMMYFUNCTION("""COMPUTED_VALUE"""),34.0)</f>
        <v>34</v>
      </c>
      <c r="L643" s="27" t="str">
        <f>IFERROR(__xludf.DUMMYFUNCTION("""COMPUTED_VALUE"""),"Wounded")</f>
        <v>Wounded</v>
      </c>
      <c r="M643" s="27" t="str">
        <f>IFERROR(__xludf.DUMMYFUNCTION("""COMPUTED_VALUE"""),"Y")</f>
        <v>Y</v>
      </c>
      <c r="N643" s="24"/>
      <c r="O643" s="24"/>
      <c r="P643" s="28" t="str">
        <f>IFERROR(__xludf.DUMMYFUNCTION("""COMPUTED_VALUE"""),"The officers found the suspect breaking into an unmarked city vehicle. The officers identified themselves at which time the suspect jumped into a waiting vehicle and drove at the officers causing the officers to shoot at the suspect but not before both of"&amp;"ficers were struck by the suspect's vehicle.")</f>
        <v>The officers found the suspect breaking into an unmarked city vehicle. The officers identified themselves at which time the suspect jumped into a waiting vehicle and drove at the officers causing the officers to shoot at the suspect but not before both officers were struck by the suspect's vehicle.</v>
      </c>
      <c r="Q643" s="24"/>
      <c r="R643" s="24"/>
      <c r="S643" s="24"/>
      <c r="T643" s="24"/>
      <c r="U643" s="24"/>
      <c r="V643" s="24"/>
      <c r="W643" s="24"/>
      <c r="X643" s="24"/>
      <c r="Y643" s="24"/>
      <c r="Z643" s="24"/>
    </row>
    <row r="644" hidden="1">
      <c r="A644" s="29"/>
      <c r="B644" s="24"/>
      <c r="C644" s="24"/>
      <c r="D644" s="26"/>
      <c r="E644" s="26"/>
      <c r="F644" s="26"/>
      <c r="G644" s="26"/>
      <c r="H644" s="26"/>
      <c r="I644" s="27" t="str">
        <f>IFERROR(__xludf.DUMMYFUNCTION("""COMPUTED_VALUE"""),"M")</f>
        <v>M</v>
      </c>
      <c r="J644" s="27" t="str">
        <f>IFERROR(__xludf.DUMMYFUNCTION("""COMPUTED_VALUE"""),"W")</f>
        <v>W</v>
      </c>
      <c r="K644" s="27">
        <f>IFERROR(__xludf.DUMMYFUNCTION("""COMPUTED_VALUE"""),48.0)</f>
        <v>48</v>
      </c>
      <c r="L644" s="27" t="str">
        <f>IFERROR(__xludf.DUMMYFUNCTION("""COMPUTED_VALUE"""),"Wounded")</f>
        <v>Wounded</v>
      </c>
      <c r="M644" s="27" t="str">
        <f>IFERROR(__xludf.DUMMYFUNCTION("""COMPUTED_VALUE"""),"Y")</f>
        <v>Y</v>
      </c>
      <c r="N644" s="24"/>
      <c r="O644" s="24"/>
      <c r="P644" s="24"/>
      <c r="Q644" s="24"/>
      <c r="R644" s="24"/>
      <c r="S644" s="24"/>
      <c r="T644" s="24"/>
      <c r="U644" s="24"/>
      <c r="V644" s="24"/>
      <c r="W644" s="24"/>
      <c r="X644" s="24"/>
      <c r="Y644" s="24"/>
      <c r="Z644" s="24"/>
    </row>
    <row r="645" hidden="1">
      <c r="A645" s="29">
        <f>IFERROR(__xludf.DUMMYFUNCTION("""COMPUTED_VALUE"""),39090.0)</f>
        <v>39090</v>
      </c>
      <c r="B645" s="24">
        <f>IFERROR(__xludf.DUMMYFUNCTION("""COMPUTED_VALUE"""),3998207.0)</f>
        <v>3998207</v>
      </c>
      <c r="C645" s="24" t="str">
        <f>IFERROR(__xludf.DUMMYFUNCTION("""COMPUTED_VALUE"""),"4600 Knoxville")</f>
        <v>4600 Knoxville</v>
      </c>
      <c r="D645" s="26" t="str">
        <f>IFERROR(__xludf.DUMMYFUNCTION("""COMPUTED_VALUE"""),"M")</f>
        <v>M</v>
      </c>
      <c r="E645" s="26" t="str">
        <f>IFERROR(__xludf.DUMMYFUNCTION("""COMPUTED_VALUE"""),"B")</f>
        <v>B</v>
      </c>
      <c r="F645" s="26">
        <f>IFERROR(__xludf.DUMMYFUNCTION("""COMPUTED_VALUE"""),23.0)</f>
        <v>23</v>
      </c>
      <c r="G645" s="26" t="str">
        <f>IFERROR(__xludf.DUMMYFUNCTION("""COMPUTED_VALUE"""),"Killed")</f>
        <v>Killed</v>
      </c>
      <c r="H645" s="26" t="str">
        <f>IFERROR(__xludf.DUMMYFUNCTION("""COMPUTED_VALUE"""),"Taser")</f>
        <v>Taser</v>
      </c>
      <c r="I645" s="27" t="str">
        <f>IFERROR(__xludf.DUMMYFUNCTION("""COMPUTED_VALUE"""),"M")</f>
        <v>M</v>
      </c>
      <c r="J645" s="27" t="str">
        <f>IFERROR(__xludf.DUMMYFUNCTION("""COMPUTED_VALUE"""),"W")</f>
        <v>W</v>
      </c>
      <c r="K645" s="27">
        <f>IFERROR(__xludf.DUMMYFUNCTION("""COMPUTED_VALUE"""),38.0)</f>
        <v>38</v>
      </c>
      <c r="L645" s="27" t="str">
        <f>IFERROR(__xludf.DUMMYFUNCTION("""COMPUTED_VALUE"""),"Wounded")</f>
        <v>Wounded</v>
      </c>
      <c r="M645" s="27" t="str">
        <f>IFERROR(__xludf.DUMMYFUNCTION("""COMPUTED_VALUE"""),"Y")</f>
        <v>Y</v>
      </c>
      <c r="N645" s="24"/>
      <c r="O645" s="24">
        <f>IFERROR(__xludf.DUMMYFUNCTION("""COMPUTED_VALUE"""),1.0)</f>
        <v>1</v>
      </c>
      <c r="P645" s="24" t="str">
        <f>IFERROR(__xludf.DUMMYFUNCTION("""COMPUTED_VALUE"""),"The suspect was stopped on traffic and fought the officer as the officer was attempting to arrest him. A foot pursuit followed at which time the officer attempted to use his taser device but was unsucceful. The suspect once again struggled with the office"&amp;"r managing to turn the taser on the officer. The officer was tased multiple times and had his right thumb broken forcing him to shoot the suspect.")</f>
        <v>The suspect was stopped on traffic and fought the officer as the officer was attempting to arrest him. A foot pursuit followed at which time the officer attempted to use his taser device but was unsucceful. The suspect once again struggled with the officer managing to turn the taser on the officer. The officer was tased multiple times and had his right thumb broken forcing him to shoot the suspect.</v>
      </c>
      <c r="Q645" s="24"/>
      <c r="R645" s="24"/>
      <c r="S645" s="24"/>
      <c r="T645" s="24"/>
      <c r="U645" s="24"/>
      <c r="V645" s="24"/>
      <c r="W645" s="24"/>
      <c r="X645" s="24"/>
      <c r="Y645" s="24"/>
      <c r="Z645" s="24"/>
    </row>
    <row r="646" hidden="1">
      <c r="A646" s="29">
        <f>IFERROR(__xludf.DUMMYFUNCTION("""COMPUTED_VALUE"""),39089.0)</f>
        <v>39089</v>
      </c>
      <c r="B646" s="24">
        <f>IFERROR(__xludf.DUMMYFUNCTION("""COMPUTED_VALUE"""),3392207.0)</f>
        <v>3392207</v>
      </c>
      <c r="C646" s="24" t="str">
        <f>IFERROR(__xludf.DUMMYFUNCTION("""COMPUTED_VALUE"""),"5018 Curtain Street")</f>
        <v>5018 Curtain Street</v>
      </c>
      <c r="D646" s="26" t="str">
        <f>IFERROR(__xludf.DUMMYFUNCTION("""COMPUTED_VALUE"""),"M")</f>
        <v>M</v>
      </c>
      <c r="E646" s="26" t="str">
        <f>IFERROR(__xludf.DUMMYFUNCTION("""COMPUTED_VALUE"""),"H")</f>
        <v>H</v>
      </c>
      <c r="F646" s="26">
        <f>IFERROR(__xludf.DUMMYFUNCTION("""COMPUTED_VALUE"""),21.0)</f>
        <v>21</v>
      </c>
      <c r="G646" s="26" t="str">
        <f>IFERROR(__xludf.DUMMYFUNCTION("""COMPUTED_VALUE"""),"Killed")</f>
        <v>Killed</v>
      </c>
      <c r="H646" s="26" t="str">
        <f>IFERROR(__xludf.DUMMYFUNCTION("""COMPUTED_VALUE"""),"Hammer")</f>
        <v>Hammer</v>
      </c>
      <c r="I646" s="27" t="str">
        <f>IFERROR(__xludf.DUMMYFUNCTION("""COMPUTED_VALUE"""),"M")</f>
        <v>M</v>
      </c>
      <c r="J646" s="27" t="str">
        <f>IFERROR(__xludf.DUMMYFUNCTION("""COMPUTED_VALUE"""),"B")</f>
        <v>B</v>
      </c>
      <c r="K646" s="27">
        <f>IFERROR(__xludf.DUMMYFUNCTION("""COMPUTED_VALUE"""),29.0)</f>
        <v>29</v>
      </c>
      <c r="L646" s="27" t="str">
        <f>IFERROR(__xludf.DUMMYFUNCTION("""COMPUTED_VALUE"""),"None")</f>
        <v>None</v>
      </c>
      <c r="M646" s="27" t="str">
        <f>IFERROR(__xludf.DUMMYFUNCTION("""COMPUTED_VALUE"""),"Y")</f>
        <v>Y</v>
      </c>
      <c r="N646" s="24"/>
      <c r="O646" s="24"/>
      <c r="P646" s="24" t="str">
        <f>IFERROR(__xludf.DUMMYFUNCTION("""COMPUTED_VALUE"""),"Officers resonded to a family disturbance and found the suspect to be armed with a hammer. The officers attempted to contain the situation by use of a soft impact weapon and a taser but neither had any effect on the suspect forcing the officer to shoot th"&amp;"e suspect as he moved toward the officers with the hammer.")</f>
        <v>Officers resonded to a family disturbance and found the suspect to be armed with a hammer. The officers attempted to contain the situation by use of a soft impact weapon and a taser but neither had any effect on the suspect forcing the officer to shoot the suspect as he moved toward the officers with the hammer.</v>
      </c>
      <c r="Q646" s="24"/>
      <c r="R646" s="24"/>
      <c r="S646" s="24"/>
      <c r="T646" s="24"/>
      <c r="U646" s="24"/>
      <c r="V646" s="24"/>
      <c r="W646" s="24"/>
      <c r="X646" s="24"/>
      <c r="Y646" s="24"/>
      <c r="Z646" s="24"/>
    </row>
    <row r="647">
      <c r="A647" s="29">
        <f>IFERROR(__xludf.DUMMYFUNCTION("""COMPUTED_VALUE"""),39075.0)</f>
        <v>39075</v>
      </c>
      <c r="B647" s="24">
        <f>IFERROR(__xludf.DUMMYFUNCTION("""COMPUTED_VALUE"""),1.97202506E8)</f>
        <v>197202506</v>
      </c>
      <c r="C647" s="24" t="str">
        <f>IFERROR(__xludf.DUMMYFUNCTION("""COMPUTED_VALUE"""),"10700 Rosehaven")</f>
        <v>10700 Rosehaven</v>
      </c>
      <c r="D647" s="26" t="str">
        <f>IFERROR(__xludf.DUMMYFUNCTION("""COMPUTED_VALUE"""),"M")</f>
        <v>M</v>
      </c>
      <c r="E647" s="26" t="str">
        <f>IFERROR(__xludf.DUMMYFUNCTION("""COMPUTED_VALUE"""),"B")</f>
        <v>B</v>
      </c>
      <c r="F647" s="26">
        <f>IFERROR(__xludf.DUMMYFUNCTION("""COMPUTED_VALUE"""),42.0)</f>
        <v>42</v>
      </c>
      <c r="G647" s="26" t="str">
        <f>IFERROR(__xludf.DUMMYFUNCTION("""COMPUTED_VALUE"""),"None")</f>
        <v>None</v>
      </c>
      <c r="H647" s="26" t="str">
        <f>IFERROR(__xludf.DUMMYFUNCTION("""COMPUTED_VALUE"""),"Vehicle")</f>
        <v>Vehicle</v>
      </c>
      <c r="I647" s="27" t="str">
        <f>IFERROR(__xludf.DUMMYFUNCTION("""COMPUTED_VALUE"""),"M")</f>
        <v>M</v>
      </c>
      <c r="J647" s="27" t="str">
        <f>IFERROR(__xludf.DUMMYFUNCTION("""COMPUTED_VALUE"""),"B")</f>
        <v>B</v>
      </c>
      <c r="K647" s="27">
        <f>IFERROR(__xludf.DUMMYFUNCTION("""COMPUTED_VALUE"""),38.0)</f>
        <v>38</v>
      </c>
      <c r="L647" s="27" t="str">
        <f>IFERROR(__xludf.DUMMYFUNCTION("""COMPUTED_VALUE"""),"None")</f>
        <v>None</v>
      </c>
      <c r="M647" s="27" t="str">
        <f>IFERROR(__xludf.DUMMYFUNCTION("""COMPUTED_VALUE"""),"Y")</f>
        <v>Y</v>
      </c>
      <c r="N647" s="24"/>
      <c r="O647" s="24">
        <f>IFERROR(__xludf.DUMMYFUNCTION("""COMPUTED_VALUE"""),1.0)</f>
        <v>1</v>
      </c>
      <c r="P647" s="28" t="str">
        <f>IFERROR(__xludf.DUMMYFUNCTION("""COMPUTED_VALUE"""),"The officer located a vehicle that had been reported as stolen and as he was approaching the vehicle, the suspect sat up. The suspect refused to get out of the vehicle and instead was attempting to flee the scene and drove at the officer to do so forcing "&amp;"the officer to shoot.")</f>
        <v>The officer located a vehicle that had been reported as stolen and as he was approaching the vehicle, the suspect sat up. The suspect refused to get out of the vehicle and instead was attempting to flee the scene and drove at the officer to do so forcing the officer to shoot.</v>
      </c>
      <c r="Q647" s="24"/>
      <c r="R647" s="24"/>
      <c r="S647" s="24"/>
      <c r="T647" s="24"/>
      <c r="U647" s="24"/>
      <c r="V647" s="24"/>
      <c r="W647" s="24"/>
      <c r="X647" s="24"/>
      <c r="Y647" s="24"/>
      <c r="Z647" s="24"/>
    </row>
    <row r="648" hidden="1">
      <c r="A648" s="29">
        <f>IFERROR(__xludf.DUMMYFUNCTION("""COMPUTED_VALUE"""),39066.0)</f>
        <v>39066</v>
      </c>
      <c r="B648" s="24">
        <f>IFERROR(__xludf.DUMMYFUNCTION("""COMPUTED_VALUE"""),9.2666106E7)</f>
        <v>92666106</v>
      </c>
      <c r="C648" s="24" t="str">
        <f>IFERROR(__xludf.DUMMYFUNCTION("""COMPUTED_VALUE"""),"7402 Calhoun")</f>
        <v>7402 Calhoun</v>
      </c>
      <c r="D648" s="26" t="str">
        <f>IFERROR(__xludf.DUMMYFUNCTION("""COMPUTED_VALUE"""),"M")</f>
        <v>M</v>
      </c>
      <c r="E648" s="26" t="str">
        <f>IFERROR(__xludf.DUMMYFUNCTION("""COMPUTED_VALUE"""),"B")</f>
        <v>B</v>
      </c>
      <c r="F648" s="26">
        <f>IFERROR(__xludf.DUMMYFUNCTION("""COMPUTED_VALUE"""),51.0)</f>
        <v>51</v>
      </c>
      <c r="G648" s="26" t="str">
        <f>IFERROR(__xludf.DUMMYFUNCTION("""COMPUTED_VALUE"""),"Killed")</f>
        <v>Killed</v>
      </c>
      <c r="H648" s="26" t="str">
        <f>IFERROR(__xludf.DUMMYFUNCTION("""COMPUTED_VALUE"""),"Knife")</f>
        <v>Knife</v>
      </c>
      <c r="I648" s="27" t="str">
        <f>IFERROR(__xludf.DUMMYFUNCTION("""COMPUTED_VALUE"""),"F")</f>
        <v>F</v>
      </c>
      <c r="J648" s="27" t="str">
        <f>IFERROR(__xludf.DUMMYFUNCTION("""COMPUTED_VALUE"""),"W")</f>
        <v>W</v>
      </c>
      <c r="K648" s="27">
        <f>IFERROR(__xludf.DUMMYFUNCTION("""COMPUTED_VALUE"""),39.0)</f>
        <v>39</v>
      </c>
      <c r="L648" s="27" t="str">
        <f>IFERROR(__xludf.DUMMYFUNCTION("""COMPUTED_VALUE"""),"None")</f>
        <v>None</v>
      </c>
      <c r="M648" s="27" t="str">
        <f>IFERROR(__xludf.DUMMYFUNCTION("""COMPUTED_VALUE"""),"Y")</f>
        <v>Y</v>
      </c>
      <c r="N648" s="24"/>
      <c r="O648" s="24">
        <f>IFERROR(__xludf.DUMMYFUNCTION("""COMPUTED_VALUE"""),1.0)</f>
        <v>1</v>
      </c>
      <c r="P648" s="24" t="str">
        <f>IFERROR(__xludf.DUMMYFUNCTION("""COMPUTED_VALUE"""),"The officers forced entry to the residence when they heard a female screaming for the suspect not to stab her. Once inside, the suspect turned his attention to the officers and charged at them with a knife forcing the officers to shoot.")</f>
        <v>The officers forced entry to the residence when they heard a female screaming for the suspect not to stab her. Once inside, the suspect turned his attention to the officers and charged at them with a knife forcing the officers to shoot.</v>
      </c>
      <c r="Q648" s="24"/>
      <c r="R648" s="24"/>
      <c r="S648" s="24"/>
      <c r="T648" s="24"/>
      <c r="U648" s="24"/>
      <c r="V648" s="24"/>
      <c r="W648" s="24"/>
      <c r="X648" s="24"/>
      <c r="Y648" s="24"/>
      <c r="Z648" s="24"/>
    </row>
    <row r="649" hidden="1">
      <c r="A649" s="29"/>
      <c r="B649" s="24"/>
      <c r="C649" s="24"/>
      <c r="D649" s="26"/>
      <c r="E649" s="26"/>
      <c r="F649" s="26"/>
      <c r="G649" s="26"/>
      <c r="H649" s="26"/>
      <c r="I649" s="27" t="str">
        <f>IFERROR(__xludf.DUMMYFUNCTION("""COMPUTED_VALUE"""),"M")</f>
        <v>M</v>
      </c>
      <c r="J649" s="27" t="str">
        <f>IFERROR(__xludf.DUMMYFUNCTION("""COMPUTED_VALUE"""),"W")</f>
        <v>W</v>
      </c>
      <c r="K649" s="27">
        <f>IFERROR(__xludf.DUMMYFUNCTION("""COMPUTED_VALUE"""),36.0)</f>
        <v>36</v>
      </c>
      <c r="L649" s="27" t="str">
        <f>IFERROR(__xludf.DUMMYFUNCTION("""COMPUTED_VALUE"""),"None")</f>
        <v>None</v>
      </c>
      <c r="M649" s="27" t="str">
        <f>IFERROR(__xludf.DUMMYFUNCTION("""COMPUTED_VALUE"""),"Y")</f>
        <v>Y</v>
      </c>
      <c r="N649" s="24"/>
      <c r="O649" s="24">
        <f>IFERROR(__xludf.DUMMYFUNCTION("""COMPUTED_VALUE"""),1.0)</f>
        <v>1</v>
      </c>
      <c r="P649" s="24"/>
      <c r="Q649" s="24"/>
      <c r="R649" s="24"/>
      <c r="S649" s="24"/>
      <c r="T649" s="24"/>
      <c r="U649" s="24"/>
      <c r="V649" s="24"/>
      <c r="W649" s="24"/>
      <c r="X649" s="24"/>
      <c r="Y649" s="24"/>
      <c r="Z649" s="24"/>
    </row>
    <row r="650" hidden="1">
      <c r="A650" s="29">
        <f>IFERROR(__xludf.DUMMYFUNCTION("""COMPUTED_VALUE"""),39014.0)</f>
        <v>39014</v>
      </c>
      <c r="B650" s="24">
        <f>IFERROR(__xludf.DUMMYFUNCTION("""COMPUTED_VALUE"""),1.64481806E8)</f>
        <v>164481806</v>
      </c>
      <c r="C650" s="24" t="str">
        <f>IFERROR(__xludf.DUMMYFUNCTION("""COMPUTED_VALUE"""),"8000 Cook Road")</f>
        <v>8000 Cook Road</v>
      </c>
      <c r="D650" s="26" t="str">
        <f>IFERROR(__xludf.DUMMYFUNCTION("""COMPUTED_VALUE"""),"Juvenile")</f>
        <v>Juvenile</v>
      </c>
      <c r="E650" s="26" t="str">
        <f>IFERROR(__xludf.DUMMYFUNCTION("""COMPUTED_VALUE"""),"Juvenile")</f>
        <v>Juvenile</v>
      </c>
      <c r="F650" s="26"/>
      <c r="G650" s="26" t="str">
        <f>IFERROR(__xludf.DUMMYFUNCTION("""COMPUTED_VALUE"""),"Wounded")</f>
        <v>Wounded</v>
      </c>
      <c r="H650" s="26" t="str">
        <f>IFERROR(__xludf.DUMMYFUNCTION("""COMPUTED_VALUE"""),"Physical Force")</f>
        <v>Physical Force</v>
      </c>
      <c r="I650" s="27" t="str">
        <f>IFERROR(__xludf.DUMMYFUNCTION("""COMPUTED_VALUE"""),"M")</f>
        <v>M</v>
      </c>
      <c r="J650" s="27" t="str">
        <f>IFERROR(__xludf.DUMMYFUNCTION("""COMPUTED_VALUE"""),"H")</f>
        <v>H</v>
      </c>
      <c r="K650" s="27">
        <f>IFERROR(__xludf.DUMMYFUNCTION("""COMPUTED_VALUE"""),44.0)</f>
        <v>44</v>
      </c>
      <c r="L650" s="27" t="str">
        <f>IFERROR(__xludf.DUMMYFUNCTION("""COMPUTED_VALUE"""),"Wounded")</f>
        <v>Wounded</v>
      </c>
      <c r="M650" s="27" t="str">
        <f>IFERROR(__xludf.DUMMYFUNCTION("""COMPUTED_VALUE"""),"Y")</f>
        <v>Y</v>
      </c>
      <c r="N650" s="24"/>
      <c r="O650" s="24">
        <f>IFERROR(__xludf.DUMMYFUNCTION("""COMPUTED_VALUE"""),1.0)</f>
        <v>1</v>
      </c>
      <c r="P650" s="28" t="str">
        <f>IFERROR(__xludf.DUMMYFUNCTION("""COMPUTED_VALUE"""),"The officer was conducting an undercover operation when a group of males attacked him. The officer was on the groung being beaten by the males when he was forced to shoot at them.")</f>
        <v>The officer was conducting an undercover operation when a group of males attacked him. The officer was on the groung being beaten by the males when he was forced to shoot at them.</v>
      </c>
      <c r="Q650" s="24"/>
      <c r="R650" s="24"/>
      <c r="S650" s="24"/>
      <c r="T650" s="24"/>
      <c r="U650" s="24"/>
      <c r="V650" s="24"/>
      <c r="W650" s="24"/>
      <c r="X650" s="24"/>
      <c r="Y650" s="24"/>
      <c r="Z650" s="24"/>
    </row>
    <row r="651" hidden="1">
      <c r="A651" s="29">
        <f>IFERROR(__xludf.DUMMYFUNCTION("""COMPUTED_VALUE"""),39013.0)</f>
        <v>39013</v>
      </c>
      <c r="B651" s="24">
        <f>IFERROR(__xludf.DUMMYFUNCTION("""COMPUTED_VALUE"""),1.63662206E8)</f>
        <v>163662206</v>
      </c>
      <c r="C651" s="24" t="str">
        <f>IFERROR(__xludf.DUMMYFUNCTION("""COMPUTED_VALUE"""),"4323 Osby")</f>
        <v>4323 Osby</v>
      </c>
      <c r="D651" s="26" t="str">
        <f>IFERROR(__xludf.DUMMYFUNCTION("""COMPUTED_VALUE"""),"M")</f>
        <v>M</v>
      </c>
      <c r="E651" s="26" t="str">
        <f>IFERROR(__xludf.DUMMYFUNCTION("""COMPUTED_VALUE"""),"B")</f>
        <v>B</v>
      </c>
      <c r="F651" s="26">
        <f>IFERROR(__xludf.DUMMYFUNCTION("""COMPUTED_VALUE"""),46.0)</f>
        <v>46</v>
      </c>
      <c r="G651" s="26" t="str">
        <f>IFERROR(__xludf.DUMMYFUNCTION("""COMPUTED_VALUE"""),"Killed")</f>
        <v>Killed</v>
      </c>
      <c r="H651" s="26" t="str">
        <f>IFERROR(__xludf.DUMMYFUNCTION("""COMPUTED_VALUE"""),"Knife")</f>
        <v>Knife</v>
      </c>
      <c r="I651" s="27" t="str">
        <f>IFERROR(__xludf.DUMMYFUNCTION("""COMPUTED_VALUE"""),"M")</f>
        <v>M</v>
      </c>
      <c r="J651" s="27" t="str">
        <f>IFERROR(__xludf.DUMMYFUNCTION("""COMPUTED_VALUE"""),"W")</f>
        <v>W</v>
      </c>
      <c r="K651" s="27">
        <f>IFERROR(__xludf.DUMMYFUNCTION("""COMPUTED_VALUE"""),39.0)</f>
        <v>39</v>
      </c>
      <c r="L651" s="27" t="str">
        <f>IFERROR(__xludf.DUMMYFUNCTION("""COMPUTED_VALUE"""),"None")</f>
        <v>None</v>
      </c>
      <c r="M651" s="27" t="str">
        <f>IFERROR(__xludf.DUMMYFUNCTION("""COMPUTED_VALUE"""),"N")</f>
        <v>N</v>
      </c>
      <c r="N651" s="24"/>
      <c r="O651" s="24">
        <f>IFERROR(__xludf.DUMMYFUNCTION("""COMPUTED_VALUE"""),1.0)</f>
        <v>1</v>
      </c>
      <c r="P651" s="24" t="str">
        <f>IFERROR(__xludf.DUMMYFUNCTION("""COMPUTED_VALUE"""),"The officer spotted the suspect who resembled the description of a home invasion suspect. As the officer approched in his vehicle, the suspect confronted the officer before running off. The officer chased the suspect and during the chase the suspect turne"&amp;"d to attack the officer with knives in both hands forcing the officer to shoot.")</f>
        <v>The officer spotted the suspect who resembled the description of a home invasion suspect. As the officer approched in his vehicle, the suspect confronted the officer before running off. The officer chased the suspect and during the chase the suspect turned to attack the officer with knives in both hands forcing the officer to shoot.</v>
      </c>
      <c r="Q651" s="24"/>
      <c r="R651" s="24"/>
      <c r="S651" s="24"/>
      <c r="T651" s="24"/>
      <c r="U651" s="24"/>
      <c r="V651" s="24"/>
      <c r="W651" s="24"/>
      <c r="X651" s="24"/>
      <c r="Y651" s="24"/>
      <c r="Z651" s="24"/>
    </row>
    <row r="652" hidden="1">
      <c r="A652" s="29">
        <f>IFERROR(__xludf.DUMMYFUNCTION("""COMPUTED_VALUE"""),39013.0)</f>
        <v>39013</v>
      </c>
      <c r="B652" s="24">
        <f>IFERROR(__xludf.DUMMYFUNCTION("""COMPUTED_VALUE"""),1.64009106E8)</f>
        <v>164009106</v>
      </c>
      <c r="C652" s="24" t="str">
        <f>IFERROR(__xludf.DUMMYFUNCTION("""COMPUTED_VALUE"""),"11430 East Freeway, Jacinto City, TX")</f>
        <v>11430 East Freeway, Jacinto City, TX</v>
      </c>
      <c r="D652" s="26" t="str">
        <f>IFERROR(__xludf.DUMMYFUNCTION("""COMPUTED_VALUE"""),"M")</f>
        <v>M</v>
      </c>
      <c r="E652" s="26" t="str">
        <f>IFERROR(__xludf.DUMMYFUNCTION("""COMPUTED_VALUE"""),"A")</f>
        <v>A</v>
      </c>
      <c r="F652" s="26">
        <f>IFERROR(__xludf.DUMMYFUNCTION("""COMPUTED_VALUE"""),27.0)</f>
        <v>27</v>
      </c>
      <c r="G652" s="26" t="str">
        <f>IFERROR(__xludf.DUMMYFUNCTION("""COMPUTED_VALUE"""),"Killed")</f>
        <v>Killed</v>
      </c>
      <c r="H652" s="26" t="str">
        <f>IFERROR(__xludf.DUMMYFUNCTION("""COMPUTED_VALUE"""),"Pellet Gun")</f>
        <v>Pellet Gun</v>
      </c>
      <c r="I652" s="27" t="str">
        <f>IFERROR(__xludf.DUMMYFUNCTION("""COMPUTED_VALUE"""),"M")</f>
        <v>M</v>
      </c>
      <c r="J652" s="27" t="str">
        <f>IFERROR(__xludf.DUMMYFUNCTION("""COMPUTED_VALUE"""),"W")</f>
        <v>W</v>
      </c>
      <c r="K652" s="27">
        <f>IFERROR(__xludf.DUMMYFUNCTION("""COMPUTED_VALUE"""),41.0)</f>
        <v>41</v>
      </c>
      <c r="L652" s="27" t="str">
        <f>IFERROR(__xludf.DUMMYFUNCTION("""COMPUTED_VALUE"""),"None")</f>
        <v>None</v>
      </c>
      <c r="M652" s="27" t="str">
        <f>IFERROR(__xludf.DUMMYFUNCTION("""COMPUTED_VALUE"""),"Y")</f>
        <v>Y</v>
      </c>
      <c r="N652" s="24"/>
      <c r="O652" s="24"/>
      <c r="P652" s="24" t="str">
        <f>IFERROR(__xludf.DUMMYFUNCTION("""COMPUTED_VALUE"""),"The armed suspect was barricaded in the business where he had just committed a murder. The officers arrived and were in position in front of the business when the suspect pointed his weapon at the officers forcing them to shoot.")</f>
        <v>The armed suspect was barricaded in the business where he had just committed a murder. The officers arrived and were in position in front of the business when the suspect pointed his weapon at the officers forcing them to shoot.</v>
      </c>
      <c r="Q652" s="24"/>
      <c r="R652" s="24"/>
      <c r="S652" s="24"/>
      <c r="T652" s="24"/>
      <c r="U652" s="24"/>
      <c r="V652" s="24"/>
      <c r="W652" s="24"/>
      <c r="X652" s="24"/>
      <c r="Y652" s="24"/>
      <c r="Z652" s="24"/>
    </row>
    <row r="653" hidden="1">
      <c r="A653" s="29"/>
      <c r="B653" s="24"/>
      <c r="C653" s="24"/>
      <c r="D653" s="26"/>
      <c r="E653" s="26"/>
      <c r="F653" s="26"/>
      <c r="G653" s="26"/>
      <c r="H653" s="26"/>
      <c r="I653" s="27" t="str">
        <f>IFERROR(__xludf.DUMMYFUNCTION("""COMPUTED_VALUE"""),"M")</f>
        <v>M</v>
      </c>
      <c r="J653" s="27" t="str">
        <f>IFERROR(__xludf.DUMMYFUNCTION("""COMPUTED_VALUE"""),"W")</f>
        <v>W</v>
      </c>
      <c r="K653" s="27">
        <f>IFERROR(__xludf.DUMMYFUNCTION("""COMPUTED_VALUE"""),50.0)</f>
        <v>50</v>
      </c>
      <c r="L653" s="27" t="str">
        <f>IFERROR(__xludf.DUMMYFUNCTION("""COMPUTED_VALUE"""),"None")</f>
        <v>None</v>
      </c>
      <c r="M653" s="27" t="str">
        <f>IFERROR(__xludf.DUMMYFUNCTION("""COMPUTED_VALUE"""),"Y")</f>
        <v>Y</v>
      </c>
      <c r="N653" s="24"/>
      <c r="O653" s="24">
        <f>IFERROR(__xludf.DUMMYFUNCTION("""COMPUTED_VALUE"""),1.0)</f>
        <v>1</v>
      </c>
      <c r="P653" s="24"/>
      <c r="Q653" s="24"/>
      <c r="R653" s="24"/>
      <c r="S653" s="24"/>
      <c r="T653" s="24"/>
      <c r="U653" s="24"/>
      <c r="V653" s="24"/>
      <c r="W653" s="24"/>
      <c r="X653" s="24"/>
      <c r="Y653" s="24"/>
      <c r="Z653" s="24"/>
    </row>
    <row r="654">
      <c r="A654" s="29">
        <f>IFERROR(__xludf.DUMMYFUNCTION("""COMPUTED_VALUE"""),39007.0)</f>
        <v>39007</v>
      </c>
      <c r="B654" s="24">
        <f>IFERROR(__xludf.DUMMYFUNCTION("""COMPUTED_VALUE"""),1.60660406E8)</f>
        <v>160660406</v>
      </c>
      <c r="C654" s="24" t="str">
        <f>IFERROR(__xludf.DUMMYFUNCTION("""COMPUTED_VALUE"""),"8515 Jensen")</f>
        <v>8515 Jensen</v>
      </c>
      <c r="D654" s="26" t="str">
        <f>IFERROR(__xludf.DUMMYFUNCTION("""COMPUTED_VALUE"""),"M")</f>
        <v>M</v>
      </c>
      <c r="E654" s="26" t="str">
        <f>IFERROR(__xludf.DUMMYFUNCTION("""COMPUTED_VALUE"""),"B")</f>
        <v>B</v>
      </c>
      <c r="F654" s="26"/>
      <c r="G654" s="26" t="str">
        <f>IFERROR(__xludf.DUMMYFUNCTION("""COMPUTED_VALUE"""),"None")</f>
        <v>None</v>
      </c>
      <c r="H654" s="26" t="str">
        <f>IFERROR(__xludf.DUMMYFUNCTION("""COMPUTED_VALUE"""),"Firearm")</f>
        <v>Firearm</v>
      </c>
      <c r="I654" s="27" t="str">
        <f>IFERROR(__xludf.DUMMYFUNCTION("""COMPUTED_VALUE"""),"M")</f>
        <v>M</v>
      </c>
      <c r="J654" s="27" t="str">
        <f>IFERROR(__xludf.DUMMYFUNCTION("""COMPUTED_VALUE"""),"W")</f>
        <v>W</v>
      </c>
      <c r="K654" s="27">
        <f>IFERROR(__xludf.DUMMYFUNCTION("""COMPUTED_VALUE"""),33.0)</f>
        <v>33</v>
      </c>
      <c r="L654" s="27" t="str">
        <f>IFERROR(__xludf.DUMMYFUNCTION("""COMPUTED_VALUE"""),"None")</f>
        <v>None</v>
      </c>
      <c r="M654" s="27" t="str">
        <f>IFERROR(__xludf.DUMMYFUNCTION("""COMPUTED_VALUE"""),"Y")</f>
        <v>Y</v>
      </c>
      <c r="N654" s="24"/>
      <c r="O654" s="24">
        <f>IFERROR(__xludf.DUMMYFUNCTION("""COMPUTED_VALUE"""),1.0)</f>
        <v>1</v>
      </c>
      <c r="P654" s="28" t="str">
        <f>IFERROR(__xludf.DUMMYFUNCTION("""COMPUTED_VALUE"""),"The officer went into the business that was reported to have been robbed when the armed suspect jumped out from the restroom. The suspect and the officers exchanged gunfire at this point.")</f>
        <v>The officer went into the business that was reported to have been robbed when the armed suspect jumped out from the restroom. The suspect and the officers exchanged gunfire at this point.</v>
      </c>
      <c r="Q654" s="24"/>
      <c r="R654" s="24"/>
      <c r="S654" s="24"/>
      <c r="T654" s="24"/>
      <c r="U654" s="24"/>
      <c r="V654" s="24"/>
      <c r="W654" s="24"/>
      <c r="X654" s="24"/>
      <c r="Y654" s="24"/>
      <c r="Z654" s="24"/>
    </row>
    <row r="655" hidden="1">
      <c r="A655" s="29"/>
      <c r="B655" s="24"/>
      <c r="C655" s="24"/>
      <c r="D655" s="26"/>
      <c r="E655" s="26"/>
      <c r="F655" s="26"/>
      <c r="G655" s="26"/>
      <c r="H655" s="26"/>
      <c r="I655" s="27" t="str">
        <f>IFERROR(__xludf.DUMMYFUNCTION("""COMPUTED_VALUE"""),"F")</f>
        <v>F</v>
      </c>
      <c r="J655" s="27" t="str">
        <f>IFERROR(__xludf.DUMMYFUNCTION("""COMPUTED_VALUE"""),"B")</f>
        <v>B</v>
      </c>
      <c r="K655" s="27">
        <f>IFERROR(__xludf.DUMMYFUNCTION("""COMPUTED_VALUE"""),23.0)</f>
        <v>23</v>
      </c>
      <c r="L655" s="27" t="str">
        <f>IFERROR(__xludf.DUMMYFUNCTION("""COMPUTED_VALUE"""),"None")</f>
        <v>None</v>
      </c>
      <c r="M655" s="27" t="str">
        <f>IFERROR(__xludf.DUMMYFUNCTION("""COMPUTED_VALUE"""),"Y")</f>
        <v>Y</v>
      </c>
      <c r="N655" s="24"/>
      <c r="O655" s="24">
        <f>IFERROR(__xludf.DUMMYFUNCTION("""COMPUTED_VALUE"""),1.0)</f>
        <v>1</v>
      </c>
      <c r="P655" s="24"/>
      <c r="Q655" s="24"/>
      <c r="R655" s="24"/>
      <c r="S655" s="24"/>
      <c r="T655" s="24"/>
      <c r="U655" s="24"/>
      <c r="V655" s="24"/>
      <c r="W655" s="24"/>
      <c r="X655" s="24"/>
      <c r="Y655" s="24"/>
      <c r="Z655" s="24"/>
    </row>
    <row r="656">
      <c r="A656" s="29">
        <f>IFERROR(__xludf.DUMMYFUNCTION("""COMPUTED_VALUE"""),38985.0)</f>
        <v>38985</v>
      </c>
      <c r="B656" s="24">
        <f>IFERROR(__xludf.DUMMYFUNCTION("""COMPUTED_VALUE"""),1.48156706E8)</f>
        <v>148156706</v>
      </c>
      <c r="C656" s="24" t="str">
        <f>IFERROR(__xludf.DUMMYFUNCTION("""COMPUTED_VALUE"""),"3300 Tidwell")</f>
        <v>3300 Tidwell</v>
      </c>
      <c r="D656" s="26" t="str">
        <f>IFERROR(__xludf.DUMMYFUNCTION("""COMPUTED_VALUE"""),"M")</f>
        <v>M</v>
      </c>
      <c r="E656" s="26" t="str">
        <f>IFERROR(__xludf.DUMMYFUNCTION("""COMPUTED_VALUE"""),"B")</f>
        <v>B</v>
      </c>
      <c r="F656" s="26">
        <f>IFERROR(__xludf.DUMMYFUNCTION("""COMPUTED_VALUE"""),28.0)</f>
        <v>28</v>
      </c>
      <c r="G656" s="26" t="str">
        <f>IFERROR(__xludf.DUMMYFUNCTION("""COMPUTED_VALUE"""),"None")</f>
        <v>None</v>
      </c>
      <c r="H656" s="26" t="str">
        <f>IFERROR(__xludf.DUMMYFUNCTION("""COMPUTED_VALUE"""),"Vehicle")</f>
        <v>Vehicle</v>
      </c>
      <c r="I656" s="27" t="str">
        <f>IFERROR(__xludf.DUMMYFUNCTION("""COMPUTED_VALUE"""),"M")</f>
        <v>M</v>
      </c>
      <c r="J656" s="27" t="str">
        <f>IFERROR(__xludf.DUMMYFUNCTION("""COMPUTED_VALUE"""),"H")</f>
        <v>H</v>
      </c>
      <c r="K656" s="27">
        <f>IFERROR(__xludf.DUMMYFUNCTION("""COMPUTED_VALUE"""),53.0)</f>
        <v>53</v>
      </c>
      <c r="L656" s="27" t="str">
        <f>IFERROR(__xludf.DUMMYFUNCTION("""COMPUTED_VALUE"""),"None")</f>
        <v>None</v>
      </c>
      <c r="M656" s="27" t="str">
        <f>IFERROR(__xludf.DUMMYFUNCTION("""COMPUTED_VALUE"""),"Y")</f>
        <v>Y</v>
      </c>
      <c r="N656" s="24"/>
      <c r="O656" s="24">
        <f>IFERROR(__xludf.DUMMYFUNCTION("""COMPUTED_VALUE"""),1.0)</f>
        <v>1</v>
      </c>
      <c r="P656" s="28" t="str">
        <f>IFERROR(__xludf.DUMMYFUNCTION("""COMPUTED_VALUE"""),"The suspect was pulled over on traffic and when the officer was going to detain him, the suspect began to fight with the officer before running off. THe officer chased the suspect who managed to get back to his vehicle and drove at the officer forcing the"&amp;" officer to shoot at the suspect.")</f>
        <v>The suspect was pulled over on traffic and when the officer was going to detain him, the suspect began to fight with the officer before running off. THe officer chased the suspect who managed to get back to his vehicle and drove at the officer forcing the officer to shoot at the suspect.</v>
      </c>
      <c r="Q656" s="24"/>
      <c r="R656" s="24"/>
      <c r="S656" s="24"/>
      <c r="T656" s="24"/>
      <c r="U656" s="24"/>
      <c r="V656" s="24"/>
      <c r="W656" s="24"/>
      <c r="X656" s="24"/>
      <c r="Y656" s="24"/>
      <c r="Z656" s="24"/>
    </row>
    <row r="657">
      <c r="A657" s="29">
        <f>IFERROR(__xludf.DUMMYFUNCTION("""COMPUTED_VALUE"""),38977.0)</f>
        <v>38977</v>
      </c>
      <c r="B657" s="24">
        <f>IFERROR(__xludf.DUMMYFUNCTION("""COMPUTED_VALUE"""),1.43962206E8)</f>
        <v>143962206</v>
      </c>
      <c r="C657" s="24" t="str">
        <f>IFERROR(__xludf.DUMMYFUNCTION("""COMPUTED_VALUE"""),"5600 Holly View")</f>
        <v>5600 Holly View</v>
      </c>
      <c r="D657" s="26" t="str">
        <f>IFERROR(__xludf.DUMMYFUNCTION("""COMPUTED_VALUE"""),"M")</f>
        <v>M</v>
      </c>
      <c r="E657" s="26" t="str">
        <f>IFERROR(__xludf.DUMMYFUNCTION("""COMPUTED_VALUE"""),"B")</f>
        <v>B</v>
      </c>
      <c r="F657" s="26">
        <f>IFERROR(__xludf.DUMMYFUNCTION("""COMPUTED_VALUE"""),28.0)</f>
        <v>28</v>
      </c>
      <c r="G657" s="26" t="str">
        <f>IFERROR(__xludf.DUMMYFUNCTION("""COMPUTED_VALUE"""),"None")</f>
        <v>None</v>
      </c>
      <c r="H657" s="26" t="str">
        <f>IFERROR(__xludf.DUMMYFUNCTION("""COMPUTED_VALUE"""),"Firearm")</f>
        <v>Firearm</v>
      </c>
      <c r="I657" s="27" t="str">
        <f>IFERROR(__xludf.DUMMYFUNCTION("""COMPUTED_VALUE"""),"M")</f>
        <v>M</v>
      </c>
      <c r="J657" s="27" t="str">
        <f>IFERROR(__xludf.DUMMYFUNCTION("""COMPUTED_VALUE"""),"B")</f>
        <v>B</v>
      </c>
      <c r="K657" s="27">
        <f>IFERROR(__xludf.DUMMYFUNCTION("""COMPUTED_VALUE"""),41.0)</f>
        <v>41</v>
      </c>
      <c r="L657" s="27" t="str">
        <f>IFERROR(__xludf.DUMMYFUNCTION("""COMPUTED_VALUE"""),"None")</f>
        <v>None</v>
      </c>
      <c r="M657" s="27" t="str">
        <f>IFERROR(__xludf.DUMMYFUNCTION("""COMPUTED_VALUE"""),"Y")</f>
        <v>Y</v>
      </c>
      <c r="N657" s="24"/>
      <c r="O657" s="24"/>
      <c r="P657" s="28" t="str">
        <f>IFERROR(__xludf.DUMMYFUNCTION("""COMPUTED_VALUE"""),"The officers forced entry into the residence to execute a narcotics search warrant. Once inside the suspect shot at the officers forcing the officers to return fire.")</f>
        <v>The officers forced entry into the residence to execute a narcotics search warrant. Once inside the suspect shot at the officers forcing the officers to return fire.</v>
      </c>
      <c r="Q657" s="24"/>
      <c r="R657" s="24"/>
      <c r="S657" s="24"/>
      <c r="T657" s="24"/>
      <c r="U657" s="24"/>
      <c r="V657" s="24"/>
      <c r="W657" s="24"/>
      <c r="X657" s="24"/>
      <c r="Y657" s="24"/>
      <c r="Z657" s="24"/>
    </row>
    <row r="658" hidden="1">
      <c r="A658" s="29"/>
      <c r="B658" s="24"/>
      <c r="C658" s="24"/>
      <c r="D658" s="26"/>
      <c r="E658" s="26"/>
      <c r="F658" s="26"/>
      <c r="G658" s="26"/>
      <c r="H658" s="26"/>
      <c r="I658" s="27" t="str">
        <f>IFERROR(__xludf.DUMMYFUNCTION("""COMPUTED_VALUE"""),"M")</f>
        <v>M</v>
      </c>
      <c r="J658" s="27" t="str">
        <f>IFERROR(__xludf.DUMMYFUNCTION("""COMPUTED_VALUE"""),"H")</f>
        <v>H</v>
      </c>
      <c r="K658" s="27">
        <f>IFERROR(__xludf.DUMMYFUNCTION("""COMPUTED_VALUE"""),47.0)</f>
        <v>47</v>
      </c>
      <c r="L658" s="27" t="str">
        <f>IFERROR(__xludf.DUMMYFUNCTION("""COMPUTED_VALUE"""),"None")</f>
        <v>None</v>
      </c>
      <c r="M658" s="27" t="str">
        <f>IFERROR(__xludf.DUMMYFUNCTION("""COMPUTED_VALUE"""),"Y")</f>
        <v>Y</v>
      </c>
      <c r="N658" s="24"/>
      <c r="O658" s="24"/>
      <c r="P658" s="24"/>
      <c r="Q658" s="24"/>
      <c r="R658" s="24"/>
      <c r="S658" s="24"/>
      <c r="T658" s="24"/>
      <c r="U658" s="24"/>
      <c r="V658" s="24"/>
      <c r="W658" s="24"/>
      <c r="X658" s="24"/>
      <c r="Y658" s="24"/>
      <c r="Z658" s="24"/>
    </row>
    <row r="659">
      <c r="A659" s="29">
        <f>IFERROR(__xludf.DUMMYFUNCTION("""COMPUTED_VALUE"""),38965.0)</f>
        <v>38965</v>
      </c>
      <c r="B659" s="24">
        <f>IFERROR(__xludf.DUMMYFUNCTION("""COMPUTED_VALUE"""),1.37251106E8)</f>
        <v>137251106</v>
      </c>
      <c r="C659" s="24" t="str">
        <f>IFERROR(__xludf.DUMMYFUNCTION("""COMPUTED_VALUE"""),"4100 Maury")</f>
        <v>4100 Maury</v>
      </c>
      <c r="D659" s="26" t="str">
        <f>IFERROR(__xludf.DUMMYFUNCTION("""COMPUTED_VALUE"""),"M")</f>
        <v>M</v>
      </c>
      <c r="E659" s="26" t="str">
        <f>IFERROR(__xludf.DUMMYFUNCTION("""COMPUTED_VALUE"""),"B")</f>
        <v>B</v>
      </c>
      <c r="F659" s="26">
        <f>IFERROR(__xludf.DUMMYFUNCTION("""COMPUTED_VALUE"""),27.0)</f>
        <v>27</v>
      </c>
      <c r="G659" s="26" t="str">
        <f>IFERROR(__xludf.DUMMYFUNCTION("""COMPUTED_VALUE"""),"Unknown")</f>
        <v>Unknown</v>
      </c>
      <c r="H659" s="26" t="str">
        <f>IFERROR(__xludf.DUMMYFUNCTION("""COMPUTED_VALUE"""),"Firearm")</f>
        <v>Firearm</v>
      </c>
      <c r="I659" s="27" t="str">
        <f>IFERROR(__xludf.DUMMYFUNCTION("""COMPUTED_VALUE"""),"M")</f>
        <v>M</v>
      </c>
      <c r="J659" s="27" t="str">
        <f>IFERROR(__xludf.DUMMYFUNCTION("""COMPUTED_VALUE"""),"W")</f>
        <v>W</v>
      </c>
      <c r="K659" s="27">
        <f>IFERROR(__xludf.DUMMYFUNCTION("""COMPUTED_VALUE"""),23.0)</f>
        <v>23</v>
      </c>
      <c r="L659" s="27" t="str">
        <f>IFERROR(__xludf.DUMMYFUNCTION("""COMPUTED_VALUE"""),"None")</f>
        <v>None</v>
      </c>
      <c r="M659" s="27" t="str">
        <f>IFERROR(__xludf.DUMMYFUNCTION("""COMPUTED_VALUE"""),"Y")</f>
        <v>Y</v>
      </c>
      <c r="N659" s="24"/>
      <c r="O659" s="24"/>
      <c r="P659" s="28" t="str">
        <f>IFERROR(__xludf.DUMMYFUNCTION("""COMPUTED_VALUE"""),"The suspect was stopped by the officer for a traffic violation. The suspect was getting out of the vehicle and as the officer went to tell him to stay in the car, the suspect started shooting at the officer forcing the officer to return fire.")</f>
        <v>The suspect was stopped by the officer for a traffic violation. The suspect was getting out of the vehicle and as the officer went to tell him to stay in the car, the suspect started shooting at the officer forcing the officer to return fire.</v>
      </c>
      <c r="Q659" s="24"/>
      <c r="R659" s="24"/>
      <c r="S659" s="24"/>
      <c r="T659" s="24"/>
      <c r="U659" s="24"/>
      <c r="V659" s="24"/>
      <c r="W659" s="24"/>
      <c r="X659" s="24"/>
      <c r="Y659" s="24"/>
      <c r="Z659" s="24"/>
    </row>
    <row r="660" hidden="1">
      <c r="A660" s="29">
        <f>IFERROR(__xludf.DUMMYFUNCTION("""COMPUTED_VALUE"""),38952.0)</f>
        <v>38952</v>
      </c>
      <c r="B660" s="24">
        <f>IFERROR(__xludf.DUMMYFUNCTION("""COMPUTED_VALUE"""),1.30868306E8)</f>
        <v>130868306</v>
      </c>
      <c r="C660" s="24" t="str">
        <f>IFERROR(__xludf.DUMMYFUNCTION("""COMPUTED_VALUE"""),"9540 Kempwood")</f>
        <v>9540 Kempwood</v>
      </c>
      <c r="D660" s="26" t="str">
        <f>IFERROR(__xludf.DUMMYFUNCTION("""COMPUTED_VALUE"""),"Juvenile")</f>
        <v>Juvenile</v>
      </c>
      <c r="E660" s="26" t="str">
        <f>IFERROR(__xludf.DUMMYFUNCTION("""COMPUTED_VALUE"""),"Juvenile")</f>
        <v>Juvenile</v>
      </c>
      <c r="F660" s="26"/>
      <c r="G660" s="26" t="str">
        <f>IFERROR(__xludf.DUMMYFUNCTION("""COMPUTED_VALUE"""),"Wounded")</f>
        <v>Wounded</v>
      </c>
      <c r="H660" s="26" t="str">
        <f>IFERROR(__xludf.DUMMYFUNCTION("""COMPUTED_VALUE"""),"Firearm")</f>
        <v>Firearm</v>
      </c>
      <c r="I660" s="27" t="str">
        <f>IFERROR(__xludf.DUMMYFUNCTION("""COMPUTED_VALUE"""),"M")</f>
        <v>M</v>
      </c>
      <c r="J660" s="27" t="str">
        <f>IFERROR(__xludf.DUMMYFUNCTION("""COMPUTED_VALUE"""),"W")</f>
        <v>W</v>
      </c>
      <c r="K660" s="27">
        <f>IFERROR(__xludf.DUMMYFUNCTION("""COMPUTED_VALUE"""),51.0)</f>
        <v>51</v>
      </c>
      <c r="L660" s="27" t="str">
        <f>IFERROR(__xludf.DUMMYFUNCTION("""COMPUTED_VALUE"""),"Wounded")</f>
        <v>Wounded</v>
      </c>
      <c r="M660" s="27" t="str">
        <f>IFERROR(__xludf.DUMMYFUNCTION("""COMPUTED_VALUE"""),"Y")</f>
        <v>Y</v>
      </c>
      <c r="N660" s="24"/>
      <c r="O660" s="24">
        <f>IFERROR(__xludf.DUMMYFUNCTION("""COMPUTED_VALUE"""),1.0)</f>
        <v>1</v>
      </c>
      <c r="P660" s="28" t="str">
        <f>IFERROR(__xludf.DUMMYFUNCTION("""COMPUTED_VALUE"""),"The officer was searching the area where a armed suspect was seen running. The officer found the suspect hiding in a bush and when the suspect came out of the bush he was pointing a weapon at the officer. An exchange of gunfire occurred and both the offic"&amp;"er and the suspect were shot.")</f>
        <v>The officer was searching the area where a armed suspect was seen running. The officer found the suspect hiding in a bush and when the suspect came out of the bush he was pointing a weapon at the officer. An exchange of gunfire occurred and both the officer and the suspect were shot.</v>
      </c>
      <c r="Q660" s="24"/>
      <c r="R660" s="24"/>
      <c r="S660" s="24"/>
      <c r="T660" s="24"/>
      <c r="U660" s="24"/>
      <c r="V660" s="24"/>
      <c r="W660" s="24"/>
      <c r="X660" s="24"/>
      <c r="Y660" s="24"/>
      <c r="Z660" s="24"/>
    </row>
    <row r="661" hidden="1">
      <c r="A661" s="29">
        <f>IFERROR(__xludf.DUMMYFUNCTION("""COMPUTED_VALUE"""),38937.0)</f>
        <v>38937</v>
      </c>
      <c r="B661" s="24">
        <f>IFERROR(__xludf.DUMMYFUNCTION("""COMPUTED_VALUE"""),1.22777506E8)</f>
        <v>122777506</v>
      </c>
      <c r="C661" s="24" t="str">
        <f>IFERROR(__xludf.DUMMYFUNCTION("""COMPUTED_VALUE"""),"100 Avondale")</f>
        <v>100 Avondale</v>
      </c>
      <c r="D661" s="26" t="str">
        <f>IFERROR(__xludf.DUMMYFUNCTION("""COMPUTED_VALUE"""),"Juvenile")</f>
        <v>Juvenile</v>
      </c>
      <c r="E661" s="26" t="str">
        <f>IFERROR(__xludf.DUMMYFUNCTION("""COMPUTED_VALUE"""),"Juvenile")</f>
        <v>Juvenile</v>
      </c>
      <c r="F661" s="26"/>
      <c r="G661" s="26" t="str">
        <f>IFERROR(__xludf.DUMMYFUNCTION("""COMPUTED_VALUE"""),"Wounded")</f>
        <v>Wounded</v>
      </c>
      <c r="H661" s="26" t="str">
        <f>IFERROR(__xludf.DUMMYFUNCTION("""COMPUTED_VALUE"""),"Firearm")</f>
        <v>Firearm</v>
      </c>
      <c r="I661" s="27" t="str">
        <f>IFERROR(__xludf.DUMMYFUNCTION("""COMPUTED_VALUE"""),"M")</f>
        <v>M</v>
      </c>
      <c r="J661" s="27" t="str">
        <f>IFERROR(__xludf.DUMMYFUNCTION("""COMPUTED_VALUE"""),"W")</f>
        <v>W</v>
      </c>
      <c r="K661" s="27">
        <f>IFERROR(__xludf.DUMMYFUNCTION("""COMPUTED_VALUE"""),43.0)</f>
        <v>43</v>
      </c>
      <c r="L661" s="27" t="str">
        <f>IFERROR(__xludf.DUMMYFUNCTION("""COMPUTED_VALUE"""),"None")</f>
        <v>None</v>
      </c>
      <c r="M661" s="27" t="str">
        <f>IFERROR(__xludf.DUMMYFUNCTION("""COMPUTED_VALUE"""),"Y")</f>
        <v>Y</v>
      </c>
      <c r="N661" s="24"/>
      <c r="O661" s="24"/>
      <c r="P661" s="28" t="str">
        <f>IFERROR(__xludf.DUMMYFUNCTION("""COMPUTED_VALUE"""),"The officer was in the process of detaining a vice suspect when a second suspect came running up while shooting at the officer. The officer returned fire which caused the suspect to run away. The officer chased the suspect during which time there was anot"&amp;"her exchange of gunfire prior to the suspect being caught.")</f>
        <v>The officer was in the process of detaining a vice suspect when a second suspect came running up while shooting at the officer. The officer returned fire which caused the suspect to run away. The officer chased the suspect during which time there was another exchange of gunfire prior to the suspect being caught.</v>
      </c>
      <c r="Q661" s="24"/>
      <c r="R661" s="24"/>
      <c r="S661" s="24"/>
      <c r="T661" s="24"/>
      <c r="U661" s="24"/>
      <c r="V661" s="24"/>
      <c r="W661" s="24"/>
      <c r="X661" s="24"/>
      <c r="Y661" s="24"/>
      <c r="Z661" s="24"/>
    </row>
    <row r="662" hidden="1">
      <c r="A662" s="29">
        <f>IFERROR(__xludf.DUMMYFUNCTION("""COMPUTED_VALUE"""),38933.0)</f>
        <v>38933</v>
      </c>
      <c r="B662" s="24">
        <f>IFERROR(__xludf.DUMMYFUNCTION("""COMPUTED_VALUE"""),1.20294106E8)</f>
        <v>120294106</v>
      </c>
      <c r="C662" s="24" t="str">
        <f>IFERROR(__xludf.DUMMYFUNCTION("""COMPUTED_VALUE"""),"2039 Santa Rosa")</f>
        <v>2039 Santa Rosa</v>
      </c>
      <c r="D662" s="26" t="str">
        <f>IFERROR(__xludf.DUMMYFUNCTION("""COMPUTED_VALUE"""),"M")</f>
        <v>M</v>
      </c>
      <c r="E662" s="26" t="str">
        <f>IFERROR(__xludf.DUMMYFUNCTION("""COMPUTED_VALUE"""),"H")</f>
        <v>H</v>
      </c>
      <c r="F662" s="26">
        <f>IFERROR(__xludf.DUMMYFUNCTION("""COMPUTED_VALUE"""),24.0)</f>
        <v>24</v>
      </c>
      <c r="G662" s="26" t="str">
        <f>IFERROR(__xludf.DUMMYFUNCTION("""COMPUTED_VALUE"""),"Wounded")</f>
        <v>Wounded</v>
      </c>
      <c r="H662" s="26" t="str">
        <f>IFERROR(__xludf.DUMMYFUNCTION("""COMPUTED_VALUE"""),"None")</f>
        <v>None</v>
      </c>
      <c r="I662" s="27" t="str">
        <f>IFERROR(__xludf.DUMMYFUNCTION("""COMPUTED_VALUE"""),"M")</f>
        <v>M</v>
      </c>
      <c r="J662" s="27" t="str">
        <f>IFERROR(__xludf.DUMMYFUNCTION("""COMPUTED_VALUE"""),"H")</f>
        <v>H</v>
      </c>
      <c r="K662" s="27">
        <f>IFERROR(__xludf.DUMMYFUNCTION("""COMPUTED_VALUE"""),43.0)</f>
        <v>43</v>
      </c>
      <c r="L662" s="27" t="str">
        <f>IFERROR(__xludf.DUMMYFUNCTION("""COMPUTED_VALUE"""),"None")</f>
        <v>None</v>
      </c>
      <c r="M662" s="27" t="str">
        <f>IFERROR(__xludf.DUMMYFUNCTION("""COMPUTED_VALUE"""),"Y")</f>
        <v>Y</v>
      </c>
      <c r="N662" s="24"/>
      <c r="O662" s="24">
        <f>IFERROR(__xludf.DUMMYFUNCTION("""COMPUTED_VALUE"""),1.0)</f>
        <v>1</v>
      </c>
      <c r="P662" s="28" t="str">
        <f>IFERROR(__xludf.DUMMYFUNCTION("""COMPUTED_VALUE"""),"The officer located a suspect who had just committed a robbery and started to chase him on foot. The officer lost sight of him and was retracing the path of the chase when he spotted a large trash can. He went to check the trash can but when he tried to l"&amp;"ift the lid it was slammed shut by the suspect who was hiding inside. The suspect refused to get out of the trash can so the officer went to open the lid again, this time the lid opened and when it did the suspect made a gesture as if he were going to sho"&amp;"ot the officer forcing the officer to shoot.")</f>
        <v>The officer located a suspect who had just committed a robbery and started to chase him on foot. The officer lost sight of him and was retracing the path of the chase when he spotted a large trash can. He went to check the trash can but when he tried to lift the lid it was slammed shut by the suspect who was hiding inside. The suspect refused to get out of the trash can so the officer went to open the lid again, this time the lid opened and when it did the suspect made a gesture as if he were going to shoot the officer forcing the officer to shoot.</v>
      </c>
      <c r="Q662" s="24"/>
      <c r="R662" s="24"/>
      <c r="S662" s="24"/>
      <c r="T662" s="24"/>
      <c r="U662" s="24"/>
      <c r="V662" s="24"/>
      <c r="W662" s="24"/>
      <c r="X662" s="24"/>
      <c r="Y662" s="24"/>
      <c r="Z662" s="24"/>
    </row>
    <row r="663">
      <c r="A663" s="29">
        <f>IFERROR(__xludf.DUMMYFUNCTION("""COMPUTED_VALUE"""),38931.0)</f>
        <v>38931</v>
      </c>
      <c r="B663" s="24">
        <f>IFERROR(__xludf.DUMMYFUNCTION("""COMPUTED_VALUE"""),1.19329906E8)</f>
        <v>119329906</v>
      </c>
      <c r="C663" s="24" t="str">
        <f>IFERROR(__xludf.DUMMYFUNCTION("""COMPUTED_VALUE"""),"4950 Burma")</f>
        <v>4950 Burma</v>
      </c>
      <c r="D663" s="26" t="str">
        <f>IFERROR(__xludf.DUMMYFUNCTION("""COMPUTED_VALUE"""),"M")</f>
        <v>M</v>
      </c>
      <c r="E663" s="26" t="str">
        <f>IFERROR(__xludf.DUMMYFUNCTION("""COMPUTED_VALUE"""),"B")</f>
        <v>B</v>
      </c>
      <c r="F663" s="26">
        <f>IFERROR(__xludf.DUMMYFUNCTION("""COMPUTED_VALUE"""),52.0)</f>
        <v>52</v>
      </c>
      <c r="G663" s="26" t="str">
        <f>IFERROR(__xludf.DUMMYFUNCTION("""COMPUTED_VALUE"""),"None")</f>
        <v>None</v>
      </c>
      <c r="H663" s="26" t="str">
        <f>IFERROR(__xludf.DUMMYFUNCTION("""COMPUTED_VALUE"""),"Firearm")</f>
        <v>Firearm</v>
      </c>
      <c r="I663" s="27" t="str">
        <f>IFERROR(__xludf.DUMMYFUNCTION("""COMPUTED_VALUE"""),"M")</f>
        <v>M</v>
      </c>
      <c r="J663" s="27" t="str">
        <f>IFERROR(__xludf.DUMMYFUNCTION("""COMPUTED_VALUE"""),"W")</f>
        <v>W</v>
      </c>
      <c r="K663" s="27">
        <f>IFERROR(__xludf.DUMMYFUNCTION("""COMPUTED_VALUE"""),36.0)</f>
        <v>36</v>
      </c>
      <c r="L663" s="27" t="str">
        <f>IFERROR(__xludf.DUMMYFUNCTION("""COMPUTED_VALUE"""),"None")</f>
        <v>None</v>
      </c>
      <c r="M663" s="27" t="str">
        <f>IFERROR(__xludf.DUMMYFUNCTION("""COMPUTED_VALUE"""),"Y")</f>
        <v>Y</v>
      </c>
      <c r="N663" s="24"/>
      <c r="O663" s="24"/>
      <c r="P663" s="28" t="str">
        <f>IFERROR(__xludf.DUMMYFUNCTION("""COMPUTED_VALUE"""),"Officers were conducting a search warrant in which they had to force entry into the residence. The lead officer was clearing the house when the suspect appeared and pointed a weapon at the officer forcing the officer to shoot.")</f>
        <v>Officers were conducting a search warrant in which they had to force entry into the residence. The lead officer was clearing the house when the suspect appeared and pointed a weapon at the officer forcing the officer to shoot.</v>
      </c>
      <c r="Q663" s="24"/>
      <c r="R663" s="24"/>
      <c r="S663" s="24"/>
      <c r="T663" s="24"/>
      <c r="U663" s="24"/>
      <c r="V663" s="24"/>
      <c r="W663" s="24"/>
      <c r="X663" s="24"/>
      <c r="Y663" s="24"/>
      <c r="Z663" s="24"/>
    </row>
    <row r="664">
      <c r="A664" s="29">
        <f>IFERROR(__xludf.DUMMYFUNCTION("""COMPUTED_VALUE"""),38929.0)</f>
        <v>38929</v>
      </c>
      <c r="B664" s="24">
        <f>IFERROR(__xludf.DUMMYFUNCTION("""COMPUTED_VALUE"""),1.18005606E8)</f>
        <v>118005606</v>
      </c>
      <c r="C664" s="24" t="str">
        <f>IFERROR(__xludf.DUMMYFUNCTION("""COMPUTED_VALUE"""),"3914 Leeland")</f>
        <v>3914 Leeland</v>
      </c>
      <c r="D664" s="26" t="str">
        <f>IFERROR(__xludf.DUMMYFUNCTION("""COMPUTED_VALUE"""),"M")</f>
        <v>M</v>
      </c>
      <c r="E664" s="26" t="str">
        <f>IFERROR(__xludf.DUMMYFUNCTION("""COMPUTED_VALUE"""),"B")</f>
        <v>B</v>
      </c>
      <c r="F664" s="26">
        <f>IFERROR(__xludf.DUMMYFUNCTION("""COMPUTED_VALUE"""),49.0)</f>
        <v>49</v>
      </c>
      <c r="G664" s="26" t="str">
        <f>IFERROR(__xludf.DUMMYFUNCTION("""COMPUTED_VALUE"""),"None")</f>
        <v>None</v>
      </c>
      <c r="H664" s="26" t="str">
        <f>IFERROR(__xludf.DUMMYFUNCTION("""COMPUTED_VALUE"""),"Firearm")</f>
        <v>Firearm</v>
      </c>
      <c r="I664" s="27" t="str">
        <f>IFERROR(__xludf.DUMMYFUNCTION("""COMPUTED_VALUE"""),"M")</f>
        <v>M</v>
      </c>
      <c r="J664" s="27" t="str">
        <f>IFERROR(__xludf.DUMMYFUNCTION("""COMPUTED_VALUE"""),"B")</f>
        <v>B</v>
      </c>
      <c r="K664" s="27">
        <f>IFERROR(__xludf.DUMMYFUNCTION("""COMPUTED_VALUE"""),37.0)</f>
        <v>37</v>
      </c>
      <c r="L664" s="27" t="str">
        <f>IFERROR(__xludf.DUMMYFUNCTION("""COMPUTED_VALUE"""),"None")</f>
        <v>None</v>
      </c>
      <c r="M664" s="27" t="str">
        <f>IFERROR(__xludf.DUMMYFUNCTION("""COMPUTED_VALUE"""),"N")</f>
        <v>N</v>
      </c>
      <c r="N664" s="24"/>
      <c r="O664" s="24">
        <f>IFERROR(__xludf.DUMMYFUNCTION("""COMPUTED_VALUE"""),1.0)</f>
        <v>1</v>
      </c>
      <c r="P664" s="28" t="str">
        <f>IFERROR(__xludf.DUMMYFUNCTION("""COMPUTED_VALUE"""),"The officer was informed of an aggravated robbery and went to look for the suspect. He found the suspect in a vehicle driving toward the parking lot exit. The officer attempted to get the suspect to stop but the suspect kept drivng at the officer. The sus"&amp;"pect was then seen reaching for something - believed to be a firearm - in the seat next to him as he was driving at the officer forcing the officer to shoot.")</f>
        <v>The officer was informed of an aggravated robbery and went to look for the suspect. He found the suspect in a vehicle driving toward the parking lot exit. The officer attempted to get the suspect to stop but the suspect kept drivng at the officer. The suspect was then seen reaching for something - believed to be a firearm - in the seat next to him as he was driving at the officer forcing the officer to shoot.</v>
      </c>
      <c r="Q664" s="24"/>
      <c r="R664" s="24"/>
      <c r="S664" s="24"/>
      <c r="T664" s="24"/>
      <c r="U664" s="24"/>
      <c r="V664" s="24"/>
      <c r="W664" s="24"/>
      <c r="X664" s="24"/>
      <c r="Y664" s="24"/>
      <c r="Z664" s="24"/>
    </row>
    <row r="665" hidden="1">
      <c r="A665" s="29">
        <f>IFERROR(__xludf.DUMMYFUNCTION("""COMPUTED_VALUE"""),38929.0)</f>
        <v>38929</v>
      </c>
      <c r="B665" s="24">
        <f>IFERROR(__xludf.DUMMYFUNCTION("""COMPUTED_VALUE"""),1.18327206E8)</f>
        <v>118327206</v>
      </c>
      <c r="C665" s="24" t="str">
        <f>IFERROR(__xludf.DUMMYFUNCTION("""COMPUTED_VALUE"""),"8800 Airport Blvd")</f>
        <v>8800 Airport Blvd</v>
      </c>
      <c r="D665" s="26" t="str">
        <f>IFERROR(__xludf.DUMMYFUNCTION("""COMPUTED_VALUE"""),"M")</f>
        <v>M</v>
      </c>
      <c r="E665" s="26" t="str">
        <f>IFERROR(__xludf.DUMMYFUNCTION("""COMPUTED_VALUE"""),"W")</f>
        <v>W</v>
      </c>
      <c r="F665" s="26">
        <f>IFERROR(__xludf.DUMMYFUNCTION("""COMPUTED_VALUE"""),37.0)</f>
        <v>37</v>
      </c>
      <c r="G665" s="26" t="str">
        <f>IFERROR(__xludf.DUMMYFUNCTION("""COMPUTED_VALUE"""),"Wounded")</f>
        <v>Wounded</v>
      </c>
      <c r="H665" s="26" t="str">
        <f>IFERROR(__xludf.DUMMYFUNCTION("""COMPUTED_VALUE"""),"Firearm")</f>
        <v>Firearm</v>
      </c>
      <c r="I665" s="27" t="str">
        <f>IFERROR(__xludf.DUMMYFUNCTION("""COMPUTED_VALUE"""),"M")</f>
        <v>M</v>
      </c>
      <c r="J665" s="27" t="str">
        <f>IFERROR(__xludf.DUMMYFUNCTION("""COMPUTED_VALUE"""),"W")</f>
        <v>W</v>
      </c>
      <c r="K665" s="27">
        <f>IFERROR(__xludf.DUMMYFUNCTION("""COMPUTED_VALUE"""),41.0)</f>
        <v>41</v>
      </c>
      <c r="L665" s="27" t="str">
        <f>IFERROR(__xludf.DUMMYFUNCTION("""COMPUTED_VALUE"""),"None")</f>
        <v>None</v>
      </c>
      <c r="M665" s="27" t="str">
        <f>IFERROR(__xludf.DUMMYFUNCTION("""COMPUTED_VALUE"""),"Y")</f>
        <v>Y</v>
      </c>
      <c r="N665" s="24"/>
      <c r="O665" s="24"/>
      <c r="P665" s="28" t="str">
        <f>IFERROR(__xludf.DUMMYFUNCTION("""COMPUTED_VALUE"""),"The officers responded to a call where the armed suspect had a hostage. The officers were able to get the the suspect to free the hostage but were unable to get the suspect to give up his weapons. The suspect then stepped out of his covered position and p"&amp;"ointed his weapon at the officers forcing them to shoot.")</f>
        <v>The officers responded to a call where the armed suspect had a hostage. The officers were able to get the the suspect to free the hostage but were unable to get the suspect to give up his weapons. The suspect then stepped out of his covered position and pointed his weapon at the officers forcing them to shoot.</v>
      </c>
      <c r="Q665" s="24"/>
      <c r="R665" s="24"/>
      <c r="S665" s="24"/>
      <c r="T665" s="24"/>
      <c r="U665" s="24"/>
      <c r="V665" s="24"/>
      <c r="W665" s="24"/>
      <c r="X665" s="24"/>
      <c r="Y665" s="24"/>
      <c r="Z665" s="24"/>
    </row>
    <row r="666" hidden="1">
      <c r="A666" s="29"/>
      <c r="B666" s="24"/>
      <c r="C666" s="24"/>
      <c r="D666" s="26"/>
      <c r="E666" s="26"/>
      <c r="F666" s="26"/>
      <c r="G666" s="26"/>
      <c r="H666" s="26"/>
      <c r="I666" s="27" t="str">
        <f>IFERROR(__xludf.DUMMYFUNCTION("""COMPUTED_VALUE"""),"M")</f>
        <v>M</v>
      </c>
      <c r="J666" s="27" t="str">
        <f>IFERROR(__xludf.DUMMYFUNCTION("""COMPUTED_VALUE"""),"H")</f>
        <v>H</v>
      </c>
      <c r="K666" s="27">
        <f>IFERROR(__xludf.DUMMYFUNCTION("""COMPUTED_VALUE"""),34.0)</f>
        <v>34</v>
      </c>
      <c r="L666" s="27" t="str">
        <f>IFERROR(__xludf.DUMMYFUNCTION("""COMPUTED_VALUE"""),"None")</f>
        <v>None</v>
      </c>
      <c r="M666" s="27" t="str">
        <f>IFERROR(__xludf.DUMMYFUNCTION("""COMPUTED_VALUE"""),"Y")</f>
        <v>Y</v>
      </c>
      <c r="N666" s="24"/>
      <c r="O666" s="24"/>
      <c r="P666" s="24"/>
      <c r="Q666" s="24"/>
      <c r="R666" s="24"/>
      <c r="S666" s="24"/>
      <c r="T666" s="24"/>
      <c r="U666" s="24"/>
      <c r="V666" s="24"/>
      <c r="W666" s="24"/>
      <c r="X666" s="24"/>
      <c r="Y666" s="24"/>
      <c r="Z666" s="24"/>
    </row>
    <row r="667" hidden="1">
      <c r="A667" s="29"/>
      <c r="B667" s="24"/>
      <c r="C667" s="24"/>
      <c r="D667" s="26"/>
      <c r="E667" s="26"/>
      <c r="F667" s="26"/>
      <c r="G667" s="26"/>
      <c r="H667" s="26"/>
      <c r="I667" s="27" t="str">
        <f>IFERROR(__xludf.DUMMYFUNCTION("""COMPUTED_VALUE"""),"M")</f>
        <v>M</v>
      </c>
      <c r="J667" s="27" t="str">
        <f>IFERROR(__xludf.DUMMYFUNCTION("""COMPUTED_VALUE"""),"W")</f>
        <v>W</v>
      </c>
      <c r="K667" s="27">
        <f>IFERROR(__xludf.DUMMYFUNCTION("""COMPUTED_VALUE"""),43.0)</f>
        <v>43</v>
      </c>
      <c r="L667" s="27" t="str">
        <f>IFERROR(__xludf.DUMMYFUNCTION("""COMPUTED_VALUE"""),"None")</f>
        <v>None</v>
      </c>
      <c r="M667" s="27" t="str">
        <f>IFERROR(__xludf.DUMMYFUNCTION("""COMPUTED_VALUE"""),"Y")</f>
        <v>Y</v>
      </c>
      <c r="N667" s="24"/>
      <c r="O667" s="24"/>
      <c r="P667" s="24"/>
      <c r="Q667" s="24"/>
      <c r="R667" s="24"/>
      <c r="S667" s="24"/>
      <c r="T667" s="24"/>
      <c r="U667" s="24"/>
      <c r="V667" s="24"/>
      <c r="W667" s="24"/>
      <c r="X667" s="24"/>
      <c r="Y667" s="24"/>
      <c r="Z667" s="24"/>
    </row>
    <row r="668">
      <c r="A668" s="29">
        <f>IFERROR(__xludf.DUMMYFUNCTION("""COMPUTED_VALUE"""),38925.0)</f>
        <v>38925</v>
      </c>
      <c r="B668" s="24">
        <f>IFERROR(__xludf.DUMMYFUNCTION("""COMPUTED_VALUE"""),1.15755806E8)</f>
        <v>115755806</v>
      </c>
      <c r="C668" s="24" t="str">
        <f>IFERROR(__xludf.DUMMYFUNCTION("""COMPUTED_VALUE"""),"8700 Sandra")</f>
        <v>8700 Sandra</v>
      </c>
      <c r="D668" s="26" t="str">
        <f>IFERROR(__xludf.DUMMYFUNCTION("""COMPUTED_VALUE"""),"M")</f>
        <v>M</v>
      </c>
      <c r="E668" s="26" t="str">
        <f>IFERROR(__xludf.DUMMYFUNCTION("""COMPUTED_VALUE"""),"B")</f>
        <v>B</v>
      </c>
      <c r="F668" s="26">
        <f>IFERROR(__xludf.DUMMYFUNCTION("""COMPUTED_VALUE"""),26.0)</f>
        <v>26</v>
      </c>
      <c r="G668" s="26" t="str">
        <f>IFERROR(__xludf.DUMMYFUNCTION("""COMPUTED_VALUE"""),"None")</f>
        <v>None</v>
      </c>
      <c r="H668" s="26" t="str">
        <f>IFERROR(__xludf.DUMMYFUNCTION("""COMPUTED_VALUE"""),"Firearm")</f>
        <v>Firearm</v>
      </c>
      <c r="I668" s="27" t="str">
        <f>IFERROR(__xludf.DUMMYFUNCTION("""COMPUTED_VALUE"""),"M")</f>
        <v>M</v>
      </c>
      <c r="J668" s="27" t="str">
        <f>IFERROR(__xludf.DUMMYFUNCTION("""COMPUTED_VALUE"""),"B")</f>
        <v>B</v>
      </c>
      <c r="K668" s="27">
        <f>IFERROR(__xludf.DUMMYFUNCTION("""COMPUTED_VALUE"""),43.0)</f>
        <v>43</v>
      </c>
      <c r="L668" s="27" t="str">
        <f>IFERROR(__xludf.DUMMYFUNCTION("""COMPUTED_VALUE"""),"Wounded")</f>
        <v>Wounded</v>
      </c>
      <c r="M668" s="27" t="str">
        <f>IFERROR(__xludf.DUMMYFUNCTION("""COMPUTED_VALUE"""),"Y")</f>
        <v>Y</v>
      </c>
      <c r="N668" s="24"/>
      <c r="O668" s="24">
        <f>IFERROR(__xludf.DUMMYFUNCTION("""COMPUTED_VALUE"""),1.0)</f>
        <v>1</v>
      </c>
      <c r="P668" s="28" t="str">
        <f>IFERROR(__xludf.DUMMYFUNCTION("""COMPUTED_VALUE"""),"The officer located the suspect and when he stopped to talk to him the suspect refused to move his hands away from his back. The officer could not see the suspects hands and he could not get out of his patrol car safely because the suspect was to close so"&amp;" he decided to pull his vehicle forward to create a safe distance. As he was pulling forward the suspect pulled out a firearm from behind his back. The officer took a covered poition and then the suspect pointed the firearm at the officer forcing the offi"&amp;"cer to shoot at the suspect.")</f>
        <v>The officer located the suspect and when he stopped to talk to him the suspect refused to move his hands away from his back. The officer could not see the suspects hands and he could not get out of his patrol car safely because the suspect was to close so he decided to pull his vehicle forward to create a safe distance. As he was pulling forward the suspect pulled out a firearm from behind his back. The officer took a covered poition and then the suspect pointed the firearm at the officer forcing the officer to shoot at the suspect.</v>
      </c>
      <c r="Q668" s="24"/>
      <c r="R668" s="24"/>
      <c r="S668" s="24"/>
      <c r="T668" s="24"/>
      <c r="U668" s="24"/>
      <c r="V668" s="24"/>
      <c r="W668" s="24"/>
      <c r="X668" s="24"/>
      <c r="Y668" s="24"/>
      <c r="Z668" s="24"/>
    </row>
    <row r="669" hidden="1">
      <c r="A669" s="29">
        <f>IFERROR(__xludf.DUMMYFUNCTION("""COMPUTED_VALUE"""),38911.0)</f>
        <v>38911</v>
      </c>
      <c r="B669" s="24">
        <f>IFERROR(__xludf.DUMMYFUNCTION("""COMPUTED_VALUE"""),1.07824206E8)</f>
        <v>107824206</v>
      </c>
      <c r="C669" s="24" t="str">
        <f>IFERROR(__xludf.DUMMYFUNCTION("""COMPUTED_VALUE"""),"9715 Kirkville")</f>
        <v>9715 Kirkville</v>
      </c>
      <c r="D669" s="26" t="str">
        <f>IFERROR(__xludf.DUMMYFUNCTION("""COMPUTED_VALUE"""),"M")</f>
        <v>M</v>
      </c>
      <c r="E669" s="26" t="str">
        <f>IFERROR(__xludf.DUMMYFUNCTION("""COMPUTED_VALUE"""),"H")</f>
        <v>H</v>
      </c>
      <c r="F669" s="26">
        <f>IFERROR(__xludf.DUMMYFUNCTION("""COMPUTED_VALUE"""),35.0)</f>
        <v>35</v>
      </c>
      <c r="G669" s="26" t="str">
        <f>IFERROR(__xludf.DUMMYFUNCTION("""COMPUTED_VALUE"""),"Killed")</f>
        <v>Killed</v>
      </c>
      <c r="H669" s="26" t="str">
        <f>IFERROR(__xludf.DUMMYFUNCTION("""COMPUTED_VALUE"""),"Firearm")</f>
        <v>Firearm</v>
      </c>
      <c r="I669" s="27" t="str">
        <f>IFERROR(__xludf.DUMMYFUNCTION("""COMPUTED_VALUE"""),"M")</f>
        <v>M</v>
      </c>
      <c r="J669" s="27" t="str">
        <f>IFERROR(__xludf.DUMMYFUNCTION("""COMPUTED_VALUE"""),"H")</f>
        <v>H</v>
      </c>
      <c r="K669" s="27">
        <f>IFERROR(__xludf.DUMMYFUNCTION("""COMPUTED_VALUE"""),39.0)</f>
        <v>39</v>
      </c>
      <c r="L669" s="27" t="str">
        <f>IFERROR(__xludf.DUMMYFUNCTION("""COMPUTED_VALUE"""),"None")</f>
        <v>None</v>
      </c>
      <c r="M669" s="27" t="str">
        <f>IFERROR(__xludf.DUMMYFUNCTION("""COMPUTED_VALUE"""),"Y")</f>
        <v>Y</v>
      </c>
      <c r="N669" s="24"/>
      <c r="O669" s="24">
        <f>IFERROR(__xludf.DUMMYFUNCTION("""COMPUTED_VALUE"""),1.0)</f>
        <v>1</v>
      </c>
      <c r="P669" s="24" t="str">
        <f>IFERROR(__xludf.DUMMYFUNCTION("""COMPUTED_VALUE"""),"The officer responded to a disturbance with weapons and when he went to the front door the suspect refused to open it. The suspects wife then tried to open the door but the suspect pushed her away from the door and then pulled out a weapon and pointed it "&amp;"at the officer forcing the officer to shoot.")</f>
        <v>The officer responded to a disturbance with weapons and when he went to the front door the suspect refused to open it. The suspects wife then tried to open the door but the suspect pushed her away from the door and then pulled out a weapon and pointed it at the officer forcing the officer to shoot.</v>
      </c>
      <c r="Q669" s="24"/>
      <c r="R669" s="24"/>
      <c r="S669" s="24"/>
      <c r="T669" s="24"/>
      <c r="U669" s="24"/>
      <c r="V669" s="24"/>
      <c r="W669" s="24"/>
      <c r="X669" s="24"/>
      <c r="Y669" s="24"/>
      <c r="Z669" s="24"/>
    </row>
    <row r="670" hidden="1">
      <c r="A670" s="29">
        <f>IFERROR(__xludf.DUMMYFUNCTION("""COMPUTED_VALUE"""),38903.0)</f>
        <v>38903</v>
      </c>
      <c r="B670" s="24">
        <f>IFERROR(__xludf.DUMMYFUNCTION("""COMPUTED_VALUE"""),1.03944906E8)</f>
        <v>103944906</v>
      </c>
      <c r="C670" s="24" t="str">
        <f>IFERROR(__xludf.DUMMYFUNCTION("""COMPUTED_VALUE"""),"2000 Baird")</f>
        <v>2000 Baird</v>
      </c>
      <c r="D670" s="26" t="str">
        <f>IFERROR(__xludf.DUMMYFUNCTION("""COMPUTED_VALUE"""),"M")</f>
        <v>M</v>
      </c>
      <c r="E670" s="26" t="str">
        <f>IFERROR(__xludf.DUMMYFUNCTION("""COMPUTED_VALUE"""),"W")</f>
        <v>W</v>
      </c>
      <c r="F670" s="26">
        <f>IFERROR(__xludf.DUMMYFUNCTION("""COMPUTED_VALUE"""),29.0)</f>
        <v>29</v>
      </c>
      <c r="G670" s="26" t="str">
        <f>IFERROR(__xludf.DUMMYFUNCTION("""COMPUTED_VALUE"""),"Wounded")</f>
        <v>Wounded</v>
      </c>
      <c r="H670" s="26" t="str">
        <f>IFERROR(__xludf.DUMMYFUNCTION("""COMPUTED_VALUE"""),"Tool")</f>
        <v>Tool</v>
      </c>
      <c r="I670" s="27" t="str">
        <f>IFERROR(__xludf.DUMMYFUNCTION("""COMPUTED_VALUE"""),"M")</f>
        <v>M</v>
      </c>
      <c r="J670" s="27" t="str">
        <f>IFERROR(__xludf.DUMMYFUNCTION("""COMPUTED_VALUE"""),"H")</f>
        <v>H</v>
      </c>
      <c r="K670" s="27">
        <f>IFERROR(__xludf.DUMMYFUNCTION("""COMPUTED_VALUE"""),30.0)</f>
        <v>30</v>
      </c>
      <c r="L670" s="27" t="str">
        <f>IFERROR(__xludf.DUMMYFUNCTION("""COMPUTED_VALUE"""),"None")</f>
        <v>None</v>
      </c>
      <c r="M670" s="27" t="str">
        <f>IFERROR(__xludf.DUMMYFUNCTION("""COMPUTED_VALUE"""),"N")</f>
        <v>N</v>
      </c>
      <c r="N670" s="24"/>
      <c r="O670" s="24">
        <f>IFERROR(__xludf.DUMMYFUNCTION("""COMPUTED_VALUE"""),1.0)</f>
        <v>1</v>
      </c>
      <c r="P670" s="28" t="str">
        <f>IFERROR(__xludf.DUMMYFUNCTION("""COMPUTED_VALUE"""),"The officer arrived at the residence to find the burglary suspect removing a toolbox from the garage. The officer attempted to detain the suspect but the suspect grabbed a tool from the toolbox and moved toward the officer. The two engaged in a physical c"&amp;"onfrontation during which the officer was forced to shoot the suspect.")</f>
        <v>The officer arrived at the residence to find the burglary suspect removing a toolbox from the garage. The officer attempted to detain the suspect but the suspect grabbed a tool from the toolbox and moved toward the officer. The two engaged in a physical confrontation during which the officer was forced to shoot the suspect.</v>
      </c>
      <c r="Q670" s="24"/>
      <c r="R670" s="24"/>
      <c r="S670" s="24"/>
      <c r="T670" s="24"/>
      <c r="U670" s="24"/>
      <c r="V670" s="24"/>
      <c r="W670" s="24"/>
      <c r="X670" s="24"/>
      <c r="Y670" s="24"/>
      <c r="Z670" s="24"/>
    </row>
    <row r="671" hidden="1">
      <c r="A671" s="29">
        <f>IFERROR(__xludf.DUMMYFUNCTION("""COMPUTED_VALUE"""),38887.0)</f>
        <v>38887</v>
      </c>
      <c r="B671" s="24">
        <f>IFERROR(__xludf.DUMMYFUNCTION("""COMPUTED_VALUE"""),9.5120206E7)</f>
        <v>95120206</v>
      </c>
      <c r="C671" s="24" t="str">
        <f>IFERROR(__xludf.DUMMYFUNCTION("""COMPUTED_VALUE"""),"2820 Hillcroft")</f>
        <v>2820 Hillcroft</v>
      </c>
      <c r="D671" s="26" t="str">
        <f>IFERROR(__xludf.DUMMYFUNCTION("""COMPUTED_VALUE"""),"F")</f>
        <v>F</v>
      </c>
      <c r="E671" s="26" t="str">
        <f>IFERROR(__xludf.DUMMYFUNCTION("""COMPUTED_VALUE"""),"B")</f>
        <v>B</v>
      </c>
      <c r="F671" s="26">
        <f>IFERROR(__xludf.DUMMYFUNCTION("""COMPUTED_VALUE"""),28.0)</f>
        <v>28</v>
      </c>
      <c r="G671" s="26" t="str">
        <f>IFERROR(__xludf.DUMMYFUNCTION("""COMPUTED_VALUE"""),"Killed")</f>
        <v>Killed</v>
      </c>
      <c r="H671" s="26" t="str">
        <f>IFERROR(__xludf.DUMMYFUNCTION("""COMPUTED_VALUE"""),"Toy Gun")</f>
        <v>Toy Gun</v>
      </c>
      <c r="I671" s="27" t="str">
        <f>IFERROR(__xludf.DUMMYFUNCTION("""COMPUTED_VALUE"""),"M")</f>
        <v>M</v>
      </c>
      <c r="J671" s="27" t="str">
        <f>IFERROR(__xludf.DUMMYFUNCTION("""COMPUTED_VALUE"""),"W")</f>
        <v>W</v>
      </c>
      <c r="K671" s="27">
        <f>IFERROR(__xludf.DUMMYFUNCTION("""COMPUTED_VALUE"""),55.0)</f>
        <v>55</v>
      </c>
      <c r="L671" s="27" t="str">
        <f>IFERROR(__xludf.DUMMYFUNCTION("""COMPUTED_VALUE"""),"None")</f>
        <v>None</v>
      </c>
      <c r="M671" s="27" t="str">
        <f>IFERROR(__xludf.DUMMYFUNCTION("""COMPUTED_VALUE"""),"Y")</f>
        <v>Y</v>
      </c>
      <c r="N671" s="24"/>
      <c r="O671" s="24">
        <f>IFERROR(__xludf.DUMMYFUNCTION("""COMPUTED_VALUE"""),1.0)</f>
        <v>1</v>
      </c>
      <c r="P671" s="24" t="str">
        <f>IFERROR(__xludf.DUMMYFUNCTION("""COMPUTED_VALUE"""),"The armed suspect had just committed a bank robbery and ran into a nearby business. The officers located the suspect but when they attempted to detain her the suspect pointed a weapon at them forcing the officers to shoot.")</f>
        <v>The armed suspect had just committed a bank robbery and ran into a nearby business. The officers located the suspect but when they attempted to detain her the suspect pointed a weapon at them forcing the officers to shoot.</v>
      </c>
      <c r="Q671" s="24"/>
      <c r="R671" s="24"/>
      <c r="S671" s="24"/>
      <c r="T671" s="24"/>
      <c r="U671" s="24"/>
      <c r="V671" s="24"/>
      <c r="W671" s="24"/>
      <c r="X671" s="24"/>
      <c r="Y671" s="24"/>
      <c r="Z671" s="24"/>
    </row>
    <row r="672" hidden="1">
      <c r="A672" s="29"/>
      <c r="B672" s="24"/>
      <c r="C672" s="24"/>
      <c r="D672" s="26"/>
      <c r="E672" s="26"/>
      <c r="F672" s="26"/>
      <c r="G672" s="26"/>
      <c r="H672" s="26"/>
      <c r="I672" s="27" t="str">
        <f>IFERROR(__xludf.DUMMYFUNCTION("""COMPUTED_VALUE"""),"M")</f>
        <v>M</v>
      </c>
      <c r="J672" s="27" t="str">
        <f>IFERROR(__xludf.DUMMYFUNCTION("""COMPUTED_VALUE"""),"B")</f>
        <v>B</v>
      </c>
      <c r="K672" s="27">
        <f>IFERROR(__xludf.DUMMYFUNCTION("""COMPUTED_VALUE"""),39.0)</f>
        <v>39</v>
      </c>
      <c r="L672" s="27" t="str">
        <f>IFERROR(__xludf.DUMMYFUNCTION("""COMPUTED_VALUE"""),"None")</f>
        <v>None</v>
      </c>
      <c r="M672" s="27" t="str">
        <f>IFERROR(__xludf.DUMMYFUNCTION("""COMPUTED_VALUE"""),"Y")</f>
        <v>Y</v>
      </c>
      <c r="N672" s="24"/>
      <c r="O672" s="24">
        <f>IFERROR(__xludf.DUMMYFUNCTION("""COMPUTED_VALUE"""),1.0)</f>
        <v>1</v>
      </c>
      <c r="P672" s="24"/>
      <c r="Q672" s="24"/>
      <c r="R672" s="24"/>
      <c r="S672" s="24"/>
      <c r="T672" s="24"/>
      <c r="U672" s="24"/>
      <c r="V672" s="24"/>
      <c r="W672" s="24"/>
      <c r="X672" s="24"/>
      <c r="Y672" s="24"/>
      <c r="Z672" s="24"/>
    </row>
    <row r="673" hidden="1">
      <c r="A673" s="29">
        <f>IFERROR(__xludf.DUMMYFUNCTION("""COMPUTED_VALUE"""),38884.0)</f>
        <v>38884</v>
      </c>
      <c r="B673" s="24">
        <f>IFERROR(__xludf.DUMMYFUNCTION("""COMPUTED_VALUE"""),9.3829706E7)</f>
        <v>93829706</v>
      </c>
      <c r="C673" s="24" t="str">
        <f>IFERROR(__xludf.DUMMYFUNCTION("""COMPUTED_VALUE"""),"5500 Antoine")</f>
        <v>5500 Antoine</v>
      </c>
      <c r="D673" s="26" t="str">
        <f>IFERROR(__xludf.DUMMYFUNCTION("""COMPUTED_VALUE"""),"M")</f>
        <v>M</v>
      </c>
      <c r="E673" s="26" t="str">
        <f>IFERROR(__xludf.DUMMYFUNCTION("""COMPUTED_VALUE"""),"H")</f>
        <v>H</v>
      </c>
      <c r="F673" s="26">
        <f>IFERROR(__xludf.DUMMYFUNCTION("""COMPUTED_VALUE"""),23.0)</f>
        <v>23</v>
      </c>
      <c r="G673" s="26" t="str">
        <f>IFERROR(__xludf.DUMMYFUNCTION("""COMPUTED_VALUE"""),"Wounded")</f>
        <v>Wounded</v>
      </c>
      <c r="H673" s="26" t="str">
        <f>IFERROR(__xludf.DUMMYFUNCTION("""COMPUTED_VALUE"""),"Firearm")</f>
        <v>Firearm</v>
      </c>
      <c r="I673" s="27" t="str">
        <f>IFERROR(__xludf.DUMMYFUNCTION("""COMPUTED_VALUE"""),"M")</f>
        <v>M</v>
      </c>
      <c r="J673" s="27" t="str">
        <f>IFERROR(__xludf.DUMMYFUNCTION("""COMPUTED_VALUE"""),"W")</f>
        <v>W</v>
      </c>
      <c r="K673" s="27">
        <f>IFERROR(__xludf.DUMMYFUNCTION("""COMPUTED_VALUE"""),46.0)</f>
        <v>46</v>
      </c>
      <c r="L673" s="27" t="str">
        <f>IFERROR(__xludf.DUMMYFUNCTION("""COMPUTED_VALUE"""),"None")</f>
        <v>None</v>
      </c>
      <c r="M673" s="27" t="str">
        <f>IFERROR(__xludf.DUMMYFUNCTION("""COMPUTED_VALUE"""),"Y")</f>
        <v>Y</v>
      </c>
      <c r="N673" s="24"/>
      <c r="O673" s="24">
        <f>IFERROR(__xludf.DUMMYFUNCTION("""COMPUTED_VALUE"""),1.0)</f>
        <v>1</v>
      </c>
      <c r="P673" s="28" t="str">
        <f>IFERROR(__xludf.DUMMYFUNCTION("""COMPUTED_VALUE"""),"The officer was directed to the location of an armed suspect and when the officer found the suspect he had the suspect get on the ground. The officer's attention was diverted at which time the suspect used the opportunity to draw a weapon and shoot at the"&amp;" officer forcing the officer to shoot back.")</f>
        <v>The officer was directed to the location of an armed suspect and when the officer found the suspect he had the suspect get on the ground. The officer's attention was diverted at which time the suspect used the opportunity to draw a weapon and shoot at the officer forcing the officer to shoot back.</v>
      </c>
      <c r="Q673" s="24"/>
      <c r="R673" s="24"/>
      <c r="S673" s="24"/>
      <c r="T673" s="24"/>
      <c r="U673" s="24"/>
      <c r="V673" s="24"/>
      <c r="W673" s="24"/>
      <c r="X673" s="24"/>
      <c r="Y673" s="24"/>
      <c r="Z673" s="24"/>
    </row>
    <row r="674">
      <c r="A674" s="29">
        <f>IFERROR(__xludf.DUMMYFUNCTION("""COMPUTED_VALUE"""),38876.0)</f>
        <v>38876</v>
      </c>
      <c r="B674" s="24">
        <f>IFERROR(__xludf.DUMMYFUNCTION("""COMPUTED_VALUE"""),8.8933206E7)</f>
        <v>88933206</v>
      </c>
      <c r="C674" s="24" t="str">
        <f>IFERROR(__xludf.DUMMYFUNCTION("""COMPUTED_VALUE"""),"11200 Fuqua Street")</f>
        <v>11200 Fuqua Street</v>
      </c>
      <c r="D674" s="26" t="str">
        <f>IFERROR(__xludf.DUMMYFUNCTION("""COMPUTED_VALUE"""),"M")</f>
        <v>M</v>
      </c>
      <c r="E674" s="26" t="str">
        <f>IFERROR(__xludf.DUMMYFUNCTION("""COMPUTED_VALUE"""),"B")</f>
        <v>B</v>
      </c>
      <c r="F674" s="26">
        <f>IFERROR(__xludf.DUMMYFUNCTION("""COMPUTED_VALUE"""),28.0)</f>
        <v>28</v>
      </c>
      <c r="G674" s="26" t="str">
        <f>IFERROR(__xludf.DUMMYFUNCTION("""COMPUTED_VALUE"""),"None")</f>
        <v>None</v>
      </c>
      <c r="H674" s="26" t="str">
        <f>IFERROR(__xludf.DUMMYFUNCTION("""COMPUTED_VALUE"""),"Firearm")</f>
        <v>Firearm</v>
      </c>
      <c r="I674" s="27" t="str">
        <f>IFERROR(__xludf.DUMMYFUNCTION("""COMPUTED_VALUE"""),"M")</f>
        <v>M</v>
      </c>
      <c r="J674" s="27" t="str">
        <f>IFERROR(__xludf.DUMMYFUNCTION("""COMPUTED_VALUE"""),"W")</f>
        <v>W</v>
      </c>
      <c r="K674" s="27">
        <f>IFERROR(__xludf.DUMMYFUNCTION("""COMPUTED_VALUE"""),46.0)</f>
        <v>46</v>
      </c>
      <c r="L674" s="27" t="str">
        <f>IFERROR(__xludf.DUMMYFUNCTION("""COMPUTED_VALUE"""),"None")</f>
        <v>None</v>
      </c>
      <c r="M674" s="27" t="str">
        <f>IFERROR(__xludf.DUMMYFUNCTION("""COMPUTED_VALUE"""),"Y")</f>
        <v>Y</v>
      </c>
      <c r="N674" s="24"/>
      <c r="O674" s="24">
        <f>IFERROR(__xludf.DUMMYFUNCTION("""COMPUTED_VALUE"""),1.0)</f>
        <v>1</v>
      </c>
      <c r="P674" s="28" t="str">
        <f>IFERROR(__xludf.DUMMYFUNCTION("""COMPUTED_VALUE"""),"The officer had a vehicle detained when the passenger in the car pulled out a firearm forcing the officer to shoot.")</f>
        <v>The officer had a vehicle detained when the passenger in the car pulled out a firearm forcing the officer to shoot.</v>
      </c>
      <c r="Q674" s="24"/>
      <c r="R674" s="24"/>
      <c r="S674" s="24"/>
      <c r="T674" s="24"/>
      <c r="U674" s="24"/>
      <c r="V674" s="24"/>
      <c r="W674" s="24"/>
      <c r="X674" s="24"/>
      <c r="Y674" s="24"/>
      <c r="Z674" s="24"/>
    </row>
    <row r="675" hidden="1">
      <c r="A675" s="29">
        <f>IFERROR(__xludf.DUMMYFUNCTION("""COMPUTED_VALUE"""),38869.0)</f>
        <v>38869</v>
      </c>
      <c r="B675" s="24">
        <f>IFERROR(__xludf.DUMMYFUNCTION("""COMPUTED_VALUE"""),8.5131306E7)</f>
        <v>85131306</v>
      </c>
      <c r="C675" s="24" t="str">
        <f>IFERROR(__xludf.DUMMYFUNCTION("""COMPUTED_VALUE"""),"2500 Woodland Park Dr")</f>
        <v>2500 Woodland Park Dr</v>
      </c>
      <c r="D675" s="26" t="str">
        <f>IFERROR(__xludf.DUMMYFUNCTION("""COMPUTED_VALUE"""),"M")</f>
        <v>M</v>
      </c>
      <c r="E675" s="26" t="str">
        <f>IFERROR(__xludf.DUMMYFUNCTION("""COMPUTED_VALUE"""),"W")</f>
        <v>W</v>
      </c>
      <c r="F675" s="26">
        <f>IFERROR(__xludf.DUMMYFUNCTION("""COMPUTED_VALUE"""),46.0)</f>
        <v>46</v>
      </c>
      <c r="G675" s="26" t="str">
        <f>IFERROR(__xludf.DUMMYFUNCTION("""COMPUTED_VALUE"""),"Wounded")</f>
        <v>Wounded</v>
      </c>
      <c r="H675" s="26" t="str">
        <f>IFERROR(__xludf.DUMMYFUNCTION("""COMPUTED_VALUE"""),"Firearm")</f>
        <v>Firearm</v>
      </c>
      <c r="I675" s="27" t="str">
        <f>IFERROR(__xludf.DUMMYFUNCTION("""COMPUTED_VALUE"""),"M")</f>
        <v>M</v>
      </c>
      <c r="J675" s="27" t="str">
        <f>IFERROR(__xludf.DUMMYFUNCTION("""COMPUTED_VALUE"""),"W")</f>
        <v>W</v>
      </c>
      <c r="K675" s="27">
        <f>IFERROR(__xludf.DUMMYFUNCTION("""COMPUTED_VALUE"""),48.0)</f>
        <v>48</v>
      </c>
      <c r="L675" s="27" t="str">
        <f>IFERROR(__xludf.DUMMYFUNCTION("""COMPUTED_VALUE"""),"None")</f>
        <v>None</v>
      </c>
      <c r="M675" s="27" t="str">
        <f>IFERROR(__xludf.DUMMYFUNCTION("""COMPUTED_VALUE"""),"Y")</f>
        <v>Y</v>
      </c>
      <c r="N675" s="24"/>
      <c r="O675" s="24">
        <f>IFERROR(__xludf.DUMMYFUNCTION("""COMPUTED_VALUE"""),1.0)</f>
        <v>1</v>
      </c>
      <c r="P675" s="28" t="str">
        <f>IFERROR(__xludf.DUMMYFUNCTION("""COMPUTED_VALUE"""),"The officer located the suspect who was armed with firearm. The officer told the suspect to put the weapon on the ground but instead, the suspect pointed the weapon at the officer forcing the officer to shoot.")</f>
        <v>The officer located the suspect who was armed with firearm. The officer told the suspect to put the weapon on the ground but instead, the suspect pointed the weapon at the officer forcing the officer to shoot.</v>
      </c>
      <c r="Q675" s="24"/>
      <c r="R675" s="24"/>
      <c r="S675" s="24"/>
      <c r="T675" s="24"/>
      <c r="U675" s="24"/>
      <c r="V675" s="24"/>
      <c r="W675" s="24"/>
      <c r="X675" s="24"/>
      <c r="Y675" s="24"/>
      <c r="Z675" s="24"/>
    </row>
    <row r="676">
      <c r="A676" s="29">
        <f>IFERROR(__xludf.DUMMYFUNCTION("""COMPUTED_VALUE"""),38868.0)</f>
        <v>38868</v>
      </c>
      <c r="B676" s="24">
        <f>IFERROR(__xludf.DUMMYFUNCTION("""COMPUTED_VALUE"""),8.4848906E7)</f>
        <v>84848906</v>
      </c>
      <c r="C676" s="24" t="str">
        <f>IFERROR(__xludf.DUMMYFUNCTION("""COMPUTED_VALUE"""),"10615 Beechnut")</f>
        <v>10615 Beechnut</v>
      </c>
      <c r="D676" s="26" t="str">
        <f>IFERROR(__xludf.DUMMYFUNCTION("""COMPUTED_VALUE"""),"M")</f>
        <v>M</v>
      </c>
      <c r="E676" s="26" t="str">
        <f>IFERROR(__xludf.DUMMYFUNCTION("""COMPUTED_VALUE"""),"B")</f>
        <v>B</v>
      </c>
      <c r="F676" s="26">
        <f>IFERROR(__xludf.DUMMYFUNCTION("""COMPUTED_VALUE"""),21.0)</f>
        <v>21</v>
      </c>
      <c r="G676" s="26" t="str">
        <f>IFERROR(__xludf.DUMMYFUNCTION("""COMPUTED_VALUE"""),"None")</f>
        <v>None</v>
      </c>
      <c r="H676" s="26" t="str">
        <f>IFERROR(__xludf.DUMMYFUNCTION("""COMPUTED_VALUE"""),"Firearm")</f>
        <v>Firearm</v>
      </c>
      <c r="I676" s="27" t="str">
        <f>IFERROR(__xludf.DUMMYFUNCTION("""COMPUTED_VALUE"""),"M")</f>
        <v>M</v>
      </c>
      <c r="J676" s="27" t="str">
        <f>IFERROR(__xludf.DUMMYFUNCTION("""COMPUTED_VALUE"""),"B")</f>
        <v>B</v>
      </c>
      <c r="K676" s="27">
        <f>IFERROR(__xludf.DUMMYFUNCTION("""COMPUTED_VALUE"""),39.0)</f>
        <v>39</v>
      </c>
      <c r="L676" s="27" t="str">
        <f>IFERROR(__xludf.DUMMYFUNCTION("""COMPUTED_VALUE"""),"None")</f>
        <v>None</v>
      </c>
      <c r="M676" s="27" t="str">
        <f>IFERROR(__xludf.DUMMYFUNCTION("""COMPUTED_VALUE"""),"Y")</f>
        <v>Y</v>
      </c>
      <c r="N676" s="24"/>
      <c r="O676" s="24">
        <f>IFERROR(__xludf.DUMMYFUNCTION("""COMPUTED_VALUE"""),1.0)</f>
        <v>1</v>
      </c>
      <c r="P676" s="28" t="str">
        <f>IFERROR(__xludf.DUMMYFUNCTION("""COMPUTED_VALUE"""),"The officer was approaching an apartment that was reportedly being broken into when a suspect xame out of the apartment. The officer was able to get this suspect under control but before he could handcuff him, a second suspect came out and started to shoo"&amp;"t at the officer. The officer took cover at which the first suspect pulled out a weapon and began shooting at the officer forcing the officer to return fire.")</f>
        <v>The officer was approaching an apartment that was reportedly being broken into when a suspect xame out of the apartment. The officer was able to get this suspect under control but before he could handcuff him, a second suspect came out and started to shoot at the officer. The officer took cover at which the first suspect pulled out a weapon and began shooting at the officer forcing the officer to return fire.</v>
      </c>
      <c r="Q676" s="24"/>
      <c r="R676" s="24"/>
      <c r="S676" s="24"/>
      <c r="T676" s="24"/>
      <c r="U676" s="24"/>
      <c r="V676" s="24"/>
      <c r="W676" s="24"/>
      <c r="X676" s="24"/>
      <c r="Y676" s="24"/>
      <c r="Z676" s="24"/>
    </row>
    <row r="677">
      <c r="A677" s="29"/>
      <c r="B677" s="24"/>
      <c r="C677" s="24"/>
      <c r="D677" s="26" t="str">
        <f>IFERROR(__xludf.DUMMYFUNCTION("""COMPUTED_VALUE"""),"M")</f>
        <v>M</v>
      </c>
      <c r="E677" s="26" t="str">
        <f>IFERROR(__xludf.DUMMYFUNCTION("""COMPUTED_VALUE"""),"B")</f>
        <v>B</v>
      </c>
      <c r="F677" s="26">
        <f>IFERROR(__xludf.DUMMYFUNCTION("""COMPUTED_VALUE"""),20.0)</f>
        <v>20</v>
      </c>
      <c r="G677" s="26" t="str">
        <f>IFERROR(__xludf.DUMMYFUNCTION("""COMPUTED_VALUE"""),"None")</f>
        <v>None</v>
      </c>
      <c r="H677" s="26" t="str">
        <f>IFERROR(__xludf.DUMMYFUNCTION("""COMPUTED_VALUE"""),"Firearm")</f>
        <v>Firearm</v>
      </c>
      <c r="I677" s="27"/>
      <c r="J677" s="27"/>
      <c r="K677" s="27"/>
      <c r="L677" s="27"/>
      <c r="M677" s="27"/>
      <c r="N677" s="24"/>
      <c r="O677" s="24"/>
      <c r="P677" s="28"/>
      <c r="Q677" s="24"/>
      <c r="R677" s="24"/>
      <c r="S677" s="24"/>
      <c r="T677" s="24"/>
      <c r="U677" s="24"/>
      <c r="V677" s="24"/>
      <c r="W677" s="24"/>
      <c r="X677" s="24"/>
      <c r="Y677" s="24"/>
      <c r="Z677" s="24"/>
    </row>
    <row r="678" hidden="1">
      <c r="A678" s="29">
        <f>IFERROR(__xludf.DUMMYFUNCTION("""COMPUTED_VALUE"""),38856.0)</f>
        <v>38856</v>
      </c>
      <c r="B678" s="24">
        <f>IFERROR(__xludf.DUMMYFUNCTION("""COMPUTED_VALUE"""),7.8020306E7)</f>
        <v>78020306</v>
      </c>
      <c r="C678" s="24" t="str">
        <f>IFERROR(__xludf.DUMMYFUNCTION("""COMPUTED_VALUE"""),"12915 East Freeway")</f>
        <v>12915 East Freeway</v>
      </c>
      <c r="D678" s="26" t="str">
        <f>IFERROR(__xludf.DUMMYFUNCTION("""COMPUTED_VALUE"""),"M")</f>
        <v>M</v>
      </c>
      <c r="E678" s="26" t="str">
        <f>IFERROR(__xludf.DUMMYFUNCTION("""COMPUTED_VALUE"""),"B")</f>
        <v>B</v>
      </c>
      <c r="F678" s="26">
        <f>IFERROR(__xludf.DUMMYFUNCTION("""COMPUTED_VALUE"""),20.0)</f>
        <v>20</v>
      </c>
      <c r="G678" s="26" t="str">
        <f>IFERROR(__xludf.DUMMYFUNCTION("""COMPUTED_VALUE"""),"Killed")</f>
        <v>Killed</v>
      </c>
      <c r="H678" s="26" t="str">
        <f>IFERROR(__xludf.DUMMYFUNCTION("""COMPUTED_VALUE"""),"Firearm")</f>
        <v>Firearm</v>
      </c>
      <c r="I678" s="27" t="str">
        <f>IFERROR(__xludf.DUMMYFUNCTION("""COMPUTED_VALUE"""),"M")</f>
        <v>M</v>
      </c>
      <c r="J678" s="27" t="str">
        <f>IFERROR(__xludf.DUMMYFUNCTION("""COMPUTED_VALUE"""),"W")</f>
        <v>W</v>
      </c>
      <c r="K678" s="27">
        <f>IFERROR(__xludf.DUMMYFUNCTION("""COMPUTED_VALUE"""),44.0)</f>
        <v>44</v>
      </c>
      <c r="L678" s="27" t="str">
        <f>IFERROR(__xludf.DUMMYFUNCTION("""COMPUTED_VALUE"""),"None")</f>
        <v>None</v>
      </c>
      <c r="M678" s="27" t="str">
        <f>IFERROR(__xludf.DUMMYFUNCTION("""COMPUTED_VALUE"""),"Y")</f>
        <v>Y</v>
      </c>
      <c r="N678" s="24"/>
      <c r="O678" s="24">
        <f>IFERROR(__xludf.DUMMYFUNCTION("""COMPUTED_VALUE"""),1.0)</f>
        <v>1</v>
      </c>
      <c r="P678" s="24" t="str">
        <f>IFERROR(__xludf.DUMMYFUNCTION("""COMPUTED_VALUE"""),"The officer was set up outside a location that was being robbed when one of the suspects ran from the store. The officer tried to get the suspect to surrender but the suspect began to run and started shooting at the officer as he ran forcing the officer t"&amp;"o return fire.")</f>
        <v>The officer was set up outside a location that was being robbed when one of the suspects ran from the store. The officer tried to get the suspect to surrender but the suspect began to run and started shooting at the officer as he ran forcing the officer to return fire.</v>
      </c>
      <c r="Q678" s="24"/>
      <c r="R678" s="24"/>
      <c r="S678" s="24"/>
      <c r="T678" s="24"/>
      <c r="U678" s="24"/>
      <c r="V678" s="24"/>
      <c r="W678" s="24"/>
      <c r="X678" s="24"/>
      <c r="Y678" s="24"/>
      <c r="Z678" s="24"/>
    </row>
    <row r="679" hidden="1">
      <c r="A679" s="29">
        <f>IFERROR(__xludf.DUMMYFUNCTION("""COMPUTED_VALUE"""),38841.0)</f>
        <v>38841</v>
      </c>
      <c r="B679" s="24">
        <f>IFERROR(__xludf.DUMMYFUNCTION("""COMPUTED_VALUE"""),6.9428906E7)</f>
        <v>69428906</v>
      </c>
      <c r="C679" s="24" t="str">
        <f>IFERROR(__xludf.DUMMYFUNCTION("""COMPUTED_VALUE"""),"1300 Dart Street")</f>
        <v>1300 Dart Street</v>
      </c>
      <c r="D679" s="26" t="str">
        <f>IFERROR(__xludf.DUMMYFUNCTION("""COMPUTED_VALUE"""),"M")</f>
        <v>M</v>
      </c>
      <c r="E679" s="26" t="str">
        <f>IFERROR(__xludf.DUMMYFUNCTION("""COMPUTED_VALUE"""),"B")</f>
        <v>B</v>
      </c>
      <c r="F679" s="26">
        <f>IFERROR(__xludf.DUMMYFUNCTION("""COMPUTED_VALUE"""),54.0)</f>
        <v>54</v>
      </c>
      <c r="G679" s="26" t="str">
        <f>IFERROR(__xludf.DUMMYFUNCTION("""COMPUTED_VALUE"""),"Wounded")</f>
        <v>Wounded</v>
      </c>
      <c r="H679" s="26" t="str">
        <f>IFERROR(__xludf.DUMMYFUNCTION("""COMPUTED_VALUE"""),"Pipe")</f>
        <v>Pipe</v>
      </c>
      <c r="I679" s="27" t="str">
        <f>IFERROR(__xludf.DUMMYFUNCTION("""COMPUTED_VALUE"""),"M")</f>
        <v>M</v>
      </c>
      <c r="J679" s="27" t="str">
        <f>IFERROR(__xludf.DUMMYFUNCTION("""COMPUTED_VALUE"""),"W")</f>
        <v>W</v>
      </c>
      <c r="K679" s="27">
        <f>IFERROR(__xludf.DUMMYFUNCTION("""COMPUTED_VALUE"""),52.0)</f>
        <v>52</v>
      </c>
      <c r="L679" s="27" t="str">
        <f>IFERROR(__xludf.DUMMYFUNCTION("""COMPUTED_VALUE"""),"None")</f>
        <v>None</v>
      </c>
      <c r="M679" s="27" t="str">
        <f>IFERROR(__xludf.DUMMYFUNCTION("""COMPUTED_VALUE"""),"Y")</f>
        <v>Y</v>
      </c>
      <c r="N679" s="24"/>
      <c r="O679" s="24">
        <f>IFERROR(__xludf.DUMMYFUNCTION("""COMPUTED_VALUE"""),1.0)</f>
        <v>1</v>
      </c>
      <c r="P679" s="28" t="str">
        <f>IFERROR(__xludf.DUMMYFUNCTION("""COMPUTED_VALUE"""),"The suspect was seen breaing into a container. THe officer approached the suspect to arrest him and when he did the suspect charged at him with a pipe forcing the officer to shoot him.")</f>
        <v>The suspect was seen breaing into a container. THe officer approached the suspect to arrest him and when he did the suspect charged at him with a pipe forcing the officer to shoot him.</v>
      </c>
      <c r="Q679" s="24"/>
      <c r="R679" s="24"/>
      <c r="S679" s="24"/>
      <c r="T679" s="24"/>
      <c r="U679" s="24"/>
      <c r="V679" s="24"/>
      <c r="W679" s="24"/>
      <c r="X679" s="24"/>
      <c r="Y679" s="24"/>
      <c r="Z679" s="24"/>
    </row>
    <row r="680" hidden="1">
      <c r="A680" s="29">
        <f>IFERROR(__xludf.DUMMYFUNCTION("""COMPUTED_VALUE"""),38829.0)</f>
        <v>38829</v>
      </c>
      <c r="B680" s="24">
        <f>IFERROR(__xludf.DUMMYFUNCTION("""COMPUTED_VALUE"""),6.2840506E7)</f>
        <v>62840506</v>
      </c>
      <c r="C680" s="24" t="str">
        <f>IFERROR(__xludf.DUMMYFUNCTION("""COMPUTED_VALUE"""),"4305 Haywood")</f>
        <v>4305 Haywood</v>
      </c>
      <c r="D680" s="26" t="str">
        <f>IFERROR(__xludf.DUMMYFUNCTION("""COMPUTED_VALUE"""),"M")</f>
        <v>M</v>
      </c>
      <c r="E680" s="26" t="str">
        <f>IFERROR(__xludf.DUMMYFUNCTION("""COMPUTED_VALUE"""),"H")</f>
        <v>H</v>
      </c>
      <c r="F680" s="26">
        <f>IFERROR(__xludf.DUMMYFUNCTION("""COMPUTED_VALUE"""),39.0)</f>
        <v>39</v>
      </c>
      <c r="G680" s="26" t="str">
        <f>IFERROR(__xludf.DUMMYFUNCTION("""COMPUTED_VALUE"""),"Wounded")</f>
        <v>Wounded</v>
      </c>
      <c r="H680" s="26" t="str">
        <f>IFERROR(__xludf.DUMMYFUNCTION("""COMPUTED_VALUE"""),"Firearm")</f>
        <v>Firearm</v>
      </c>
      <c r="I680" s="27" t="str">
        <f>IFERROR(__xludf.DUMMYFUNCTION("""COMPUTED_VALUE"""),"M")</f>
        <v>M</v>
      </c>
      <c r="J680" s="27" t="str">
        <f>IFERROR(__xludf.DUMMYFUNCTION("""COMPUTED_VALUE"""),"H")</f>
        <v>H</v>
      </c>
      <c r="K680" s="27">
        <f>IFERROR(__xludf.DUMMYFUNCTION("""COMPUTED_VALUE"""),57.0)</f>
        <v>57</v>
      </c>
      <c r="L680" s="27" t="str">
        <f>IFERROR(__xludf.DUMMYFUNCTION("""COMPUTED_VALUE"""),"Wounded")</f>
        <v>Wounded</v>
      </c>
      <c r="M680" s="27" t="str">
        <f>IFERROR(__xludf.DUMMYFUNCTION("""COMPUTED_VALUE"""),"Y")</f>
        <v>Y</v>
      </c>
      <c r="N680" s="24"/>
      <c r="O680" s="24"/>
      <c r="P680" s="28" t="str">
        <f>IFERROR(__xludf.DUMMYFUNCTION("""COMPUTED_VALUE"""),"The suspect was involved in disturbance with a weapon and was hiding when the officers were searching the house for him. The officers came across a closed door and when they forced the door open, the suspect began shooting at them forcing the officers to "&amp;"return fire.")</f>
        <v>The suspect was involved in disturbance with a weapon and was hiding when the officers were searching the house for him. The officers came across a closed door and when they forced the door open, the suspect began shooting at them forcing the officers to return fire.</v>
      </c>
      <c r="Q680" s="24"/>
      <c r="R680" s="24"/>
      <c r="S680" s="24"/>
      <c r="T680" s="24"/>
      <c r="U680" s="24"/>
      <c r="V680" s="24"/>
      <c r="W680" s="24"/>
      <c r="X680" s="24"/>
      <c r="Y680" s="24"/>
      <c r="Z680" s="24"/>
    </row>
    <row r="681" hidden="1">
      <c r="A681" s="29"/>
      <c r="B681" s="24"/>
      <c r="C681" s="24"/>
      <c r="D681" s="26"/>
      <c r="E681" s="26"/>
      <c r="F681" s="26"/>
      <c r="G681" s="26"/>
      <c r="H681" s="26"/>
      <c r="I681" s="27" t="str">
        <f>IFERROR(__xludf.DUMMYFUNCTION("""COMPUTED_VALUE"""),"M")</f>
        <v>M</v>
      </c>
      <c r="J681" s="27" t="str">
        <f>IFERROR(__xludf.DUMMYFUNCTION("""COMPUTED_VALUE"""),"W")</f>
        <v>W</v>
      </c>
      <c r="K681" s="27">
        <f>IFERROR(__xludf.DUMMYFUNCTION("""COMPUTED_VALUE"""),50.0)</f>
        <v>50</v>
      </c>
      <c r="L681" s="27" t="str">
        <f>IFERROR(__xludf.DUMMYFUNCTION("""COMPUTED_VALUE"""),"None")</f>
        <v>None</v>
      </c>
      <c r="M681" s="27" t="str">
        <f>IFERROR(__xludf.DUMMYFUNCTION("""COMPUTED_VALUE"""),"Y")</f>
        <v>Y</v>
      </c>
      <c r="N681" s="24"/>
      <c r="O681" s="24">
        <f>IFERROR(__xludf.DUMMYFUNCTION("""COMPUTED_VALUE"""),1.0)</f>
        <v>1</v>
      </c>
      <c r="P681" s="24"/>
      <c r="Q681" s="24"/>
      <c r="R681" s="24"/>
      <c r="S681" s="24"/>
      <c r="T681" s="24"/>
      <c r="U681" s="24"/>
      <c r="V681" s="24"/>
      <c r="W681" s="24"/>
      <c r="X681" s="24"/>
      <c r="Y681" s="24"/>
      <c r="Z681" s="24"/>
    </row>
    <row r="682" hidden="1">
      <c r="A682" s="29"/>
      <c r="B682" s="24"/>
      <c r="C682" s="24"/>
      <c r="D682" s="26"/>
      <c r="E682" s="26"/>
      <c r="F682" s="26"/>
      <c r="G682" s="26"/>
      <c r="H682" s="26"/>
      <c r="I682" s="27" t="str">
        <f>IFERROR(__xludf.DUMMYFUNCTION("""COMPUTED_VALUE"""),"M")</f>
        <v>M</v>
      </c>
      <c r="J682" s="27" t="str">
        <f>IFERROR(__xludf.DUMMYFUNCTION("""COMPUTED_VALUE"""),"W")</f>
        <v>W</v>
      </c>
      <c r="K682" s="27">
        <f>IFERROR(__xludf.DUMMYFUNCTION("""COMPUTED_VALUE"""),38.0)</f>
        <v>38</v>
      </c>
      <c r="L682" s="27" t="str">
        <f>IFERROR(__xludf.DUMMYFUNCTION("""COMPUTED_VALUE"""),"None")</f>
        <v>None</v>
      </c>
      <c r="M682" s="27" t="str">
        <f>IFERROR(__xludf.DUMMYFUNCTION("""COMPUTED_VALUE"""),"Y")</f>
        <v>Y</v>
      </c>
      <c r="N682" s="24"/>
      <c r="O682" s="24">
        <f>IFERROR(__xludf.DUMMYFUNCTION("""COMPUTED_VALUE"""),1.0)</f>
        <v>1</v>
      </c>
      <c r="P682" s="24"/>
      <c r="Q682" s="24"/>
      <c r="R682" s="24"/>
      <c r="S682" s="24"/>
      <c r="T682" s="24"/>
      <c r="U682" s="24"/>
      <c r="V682" s="24"/>
      <c r="W682" s="24"/>
      <c r="X682" s="24"/>
      <c r="Y682" s="24"/>
      <c r="Z682" s="24"/>
    </row>
    <row r="683" hidden="1">
      <c r="A683" s="29">
        <f>IFERROR(__xludf.DUMMYFUNCTION("""COMPUTED_VALUE"""),38812.0)</f>
        <v>38812</v>
      </c>
      <c r="B683" s="24">
        <f>IFERROR(__xludf.DUMMYFUNCTION("""COMPUTED_VALUE"""),5.3261906E7)</f>
        <v>53261906</v>
      </c>
      <c r="C683" s="24" t="str">
        <f>IFERROR(__xludf.DUMMYFUNCTION("""COMPUTED_VALUE"""),"4625 Laura Koppe")</f>
        <v>4625 Laura Koppe</v>
      </c>
      <c r="D683" s="26" t="str">
        <f>IFERROR(__xludf.DUMMYFUNCTION("""COMPUTED_VALUE"""),"M")</f>
        <v>M</v>
      </c>
      <c r="E683" s="26" t="str">
        <f>IFERROR(__xludf.DUMMYFUNCTION("""COMPUTED_VALUE"""),"B")</f>
        <v>B</v>
      </c>
      <c r="F683" s="26">
        <f>IFERROR(__xludf.DUMMYFUNCTION("""COMPUTED_VALUE"""),18.0)</f>
        <v>18</v>
      </c>
      <c r="G683" s="26" t="str">
        <f>IFERROR(__xludf.DUMMYFUNCTION("""COMPUTED_VALUE"""),"Wounded")</f>
        <v>Wounded</v>
      </c>
      <c r="H683" s="26" t="str">
        <f>IFERROR(__xludf.DUMMYFUNCTION("""COMPUTED_VALUE"""),"Toy Gun")</f>
        <v>Toy Gun</v>
      </c>
      <c r="I683" s="27" t="str">
        <f>IFERROR(__xludf.DUMMYFUNCTION("""COMPUTED_VALUE"""),"M")</f>
        <v>M</v>
      </c>
      <c r="J683" s="27" t="str">
        <f>IFERROR(__xludf.DUMMYFUNCTION("""COMPUTED_VALUE"""),"H")</f>
        <v>H</v>
      </c>
      <c r="K683" s="27">
        <f>IFERROR(__xludf.DUMMYFUNCTION("""COMPUTED_VALUE"""),38.0)</f>
        <v>38</v>
      </c>
      <c r="L683" s="27" t="str">
        <f>IFERROR(__xludf.DUMMYFUNCTION("""COMPUTED_VALUE"""),"None")</f>
        <v>None</v>
      </c>
      <c r="M683" s="27" t="str">
        <f>IFERROR(__xludf.DUMMYFUNCTION("""COMPUTED_VALUE"""),"Y")</f>
        <v>Y</v>
      </c>
      <c r="N683" s="24"/>
      <c r="O683" s="24">
        <f>IFERROR(__xludf.DUMMYFUNCTION("""COMPUTED_VALUE"""),1.0)</f>
        <v>1</v>
      </c>
      <c r="P683" s="28" t="str">
        <f>IFERROR(__xludf.DUMMYFUNCTION("""COMPUTED_VALUE"""),"The officer located the suspect who had been involved in an armed robbery. AS the officer was attempting to detain the suspect, the suspect reached to his waistband area forcing the officer to shoot.")</f>
        <v>The officer located the suspect who had been involved in an armed robbery. AS the officer was attempting to detain the suspect, the suspect reached to his waistband area forcing the officer to shoot.</v>
      </c>
      <c r="Q683" s="24"/>
      <c r="R683" s="24"/>
      <c r="S683" s="24"/>
      <c r="T683" s="24"/>
      <c r="U683" s="24"/>
      <c r="V683" s="24"/>
      <c r="W683" s="24"/>
      <c r="X683" s="24"/>
      <c r="Y683" s="24"/>
      <c r="Z683" s="24"/>
    </row>
    <row r="684">
      <c r="A684" s="29">
        <f>IFERROR(__xludf.DUMMYFUNCTION("""COMPUTED_VALUE"""),38809.0)</f>
        <v>38809</v>
      </c>
      <c r="B684" s="24">
        <f>IFERROR(__xludf.DUMMYFUNCTION("""COMPUTED_VALUE"""),5.1744806E7)</f>
        <v>51744806</v>
      </c>
      <c r="C684" s="24" t="str">
        <f>IFERROR(__xludf.DUMMYFUNCTION("""COMPUTED_VALUE"""),"5700 Cherbourgh")</f>
        <v>5700 Cherbourgh</v>
      </c>
      <c r="D684" s="26" t="str">
        <f>IFERROR(__xludf.DUMMYFUNCTION("""COMPUTED_VALUE"""),"M")</f>
        <v>M</v>
      </c>
      <c r="E684" s="26" t="str">
        <f>IFERROR(__xludf.DUMMYFUNCTION("""COMPUTED_VALUE"""),"B")</f>
        <v>B</v>
      </c>
      <c r="F684" s="26">
        <f>IFERROR(__xludf.DUMMYFUNCTION("""COMPUTED_VALUE"""),26.0)</f>
        <v>26</v>
      </c>
      <c r="G684" s="26" t="str">
        <f>IFERROR(__xludf.DUMMYFUNCTION("""COMPUTED_VALUE"""),"None")</f>
        <v>None</v>
      </c>
      <c r="H684" s="26" t="str">
        <f>IFERROR(__xludf.DUMMYFUNCTION("""COMPUTED_VALUE"""),"None")</f>
        <v>None</v>
      </c>
      <c r="I684" s="27" t="str">
        <f>IFERROR(__xludf.DUMMYFUNCTION("""COMPUTED_VALUE"""),"M")</f>
        <v>M</v>
      </c>
      <c r="J684" s="27" t="str">
        <f>IFERROR(__xludf.DUMMYFUNCTION("""COMPUTED_VALUE"""),"W")</f>
        <v>W</v>
      </c>
      <c r="K684" s="27">
        <f>IFERROR(__xludf.DUMMYFUNCTION("""COMPUTED_VALUE"""),33.0)</f>
        <v>33</v>
      </c>
      <c r="L684" s="27" t="str">
        <f>IFERROR(__xludf.DUMMYFUNCTION("""COMPUTED_VALUE"""),"None")</f>
        <v>None</v>
      </c>
      <c r="M684" s="27" t="str">
        <f>IFERROR(__xludf.DUMMYFUNCTION("""COMPUTED_VALUE"""),"Y")</f>
        <v>Y</v>
      </c>
      <c r="N684" s="24"/>
      <c r="O684" s="24">
        <f>IFERROR(__xludf.DUMMYFUNCTION("""COMPUTED_VALUE"""),1.0)</f>
        <v>1</v>
      </c>
      <c r="P684" s="28" t="str">
        <f>IFERROR(__xludf.DUMMYFUNCTION("""COMPUTED_VALUE"""),"The officer was attempting to gain control of the suspect who was reported to have been involved in a disturbance with a weapon. The suspect was refusing verbal commnds to exit his vehicle when the suspect suddenly opened the door. The officer believed th"&amp;"e suspect was exiting to engage the officers so he shot at the suspect.")</f>
        <v>The officer was attempting to gain control of the suspect who was reported to have been involved in a disturbance with a weapon. The suspect was refusing verbal commnds to exit his vehicle when the suspect suddenly opened the door. The officer believed the suspect was exiting to engage the officers so he shot at the suspect.</v>
      </c>
      <c r="Q684" s="24"/>
      <c r="R684" s="24"/>
      <c r="S684" s="24"/>
      <c r="T684" s="24"/>
      <c r="U684" s="24"/>
      <c r="V684" s="24"/>
      <c r="W684" s="24"/>
      <c r="X684" s="24"/>
      <c r="Y684" s="24"/>
      <c r="Z684" s="24"/>
    </row>
    <row r="685" hidden="1">
      <c r="A685" s="29">
        <f>IFERROR(__xludf.DUMMYFUNCTION("""COMPUTED_VALUE"""),38791.0)</f>
        <v>38791</v>
      </c>
      <c r="B685" s="24">
        <f>IFERROR(__xludf.DUMMYFUNCTION("""COMPUTED_VALUE"""),4.2016506E7)</f>
        <v>42016506</v>
      </c>
      <c r="C685" s="24" t="str">
        <f>IFERROR(__xludf.DUMMYFUNCTION("""COMPUTED_VALUE"""),"9501 Jensen")</f>
        <v>9501 Jensen</v>
      </c>
      <c r="D685" s="26" t="str">
        <f>IFERROR(__xludf.DUMMYFUNCTION("""COMPUTED_VALUE"""),"M")</f>
        <v>M</v>
      </c>
      <c r="E685" s="26" t="str">
        <f>IFERROR(__xludf.DUMMYFUNCTION("""COMPUTED_VALUE"""),"W")</f>
        <v>W</v>
      </c>
      <c r="F685" s="26">
        <f>IFERROR(__xludf.DUMMYFUNCTION("""COMPUTED_VALUE"""),36.0)</f>
        <v>36</v>
      </c>
      <c r="G685" s="26" t="str">
        <f>IFERROR(__xludf.DUMMYFUNCTION("""COMPUTED_VALUE"""),"Wounded")</f>
        <v>Wounded</v>
      </c>
      <c r="H685" s="26" t="str">
        <f>IFERROR(__xludf.DUMMYFUNCTION("""COMPUTED_VALUE"""),"None")</f>
        <v>None</v>
      </c>
      <c r="I685" s="27" t="str">
        <f>IFERROR(__xludf.DUMMYFUNCTION("""COMPUTED_VALUE"""),"M")</f>
        <v>M</v>
      </c>
      <c r="J685" s="27" t="str">
        <f>IFERROR(__xludf.DUMMYFUNCTION("""COMPUTED_VALUE"""),"W")</f>
        <v>W</v>
      </c>
      <c r="K685" s="27">
        <f>IFERROR(__xludf.DUMMYFUNCTION("""COMPUTED_VALUE"""),29.0)</f>
        <v>29</v>
      </c>
      <c r="L685" s="27" t="str">
        <f>IFERROR(__xludf.DUMMYFUNCTION("""COMPUTED_VALUE"""),"None")</f>
        <v>None</v>
      </c>
      <c r="M685" s="27" t="str">
        <f>IFERROR(__xludf.DUMMYFUNCTION("""COMPUTED_VALUE"""),"Y")</f>
        <v>Y</v>
      </c>
      <c r="N685" s="24"/>
      <c r="O685" s="24">
        <f>IFERROR(__xludf.DUMMYFUNCTION("""COMPUTED_VALUE"""),1.0)</f>
        <v>1</v>
      </c>
      <c r="P685" s="28" t="str">
        <f>IFERROR(__xludf.DUMMYFUNCTION("""COMPUTED_VALUE"""),"The officer found a stolen vehicle and when he confronted the suspect who was near the vehicle, the suspect ran from the officer. The suspect then jumped into the stolen vehicle and was reaching to the floorboard area casuing the officer to beleive that t"&amp;"he suspect was reaching for a weapon. This action caused the officer to shoot the suspect.")</f>
        <v>The officer found a stolen vehicle and when he confronted the suspect who was near the vehicle, the suspect ran from the officer. The suspect then jumped into the stolen vehicle and was reaching to the floorboard area casuing the officer to beleive that the suspect was reaching for a weapon. This action caused the officer to shoot the suspect.</v>
      </c>
      <c r="Q685" s="24"/>
      <c r="R685" s="24"/>
      <c r="S685" s="24"/>
      <c r="T685" s="24"/>
      <c r="U685" s="24"/>
      <c r="V685" s="24"/>
      <c r="W685" s="24"/>
      <c r="X685" s="24"/>
      <c r="Y685" s="24"/>
      <c r="Z685" s="24"/>
    </row>
    <row r="686" hidden="1">
      <c r="A686" s="29">
        <f>IFERROR(__xludf.DUMMYFUNCTION("""COMPUTED_VALUE"""),38787.0)</f>
        <v>38787</v>
      </c>
      <c r="B686" s="24">
        <f>IFERROR(__xludf.DUMMYFUNCTION("""COMPUTED_VALUE"""),3.9877906E7)</f>
        <v>39877906</v>
      </c>
      <c r="C686" s="24" t="str">
        <f>IFERROR(__xludf.DUMMYFUNCTION("""COMPUTED_VALUE"""),"210 Avondale")</f>
        <v>210 Avondale</v>
      </c>
      <c r="D686" s="26" t="str">
        <f>IFERROR(__xludf.DUMMYFUNCTION("""COMPUTED_VALUE"""),"M")</f>
        <v>M</v>
      </c>
      <c r="E686" s="26" t="str">
        <f>IFERROR(__xludf.DUMMYFUNCTION("""COMPUTED_VALUE"""),"W")</f>
        <v>W</v>
      </c>
      <c r="F686" s="26">
        <f>IFERROR(__xludf.DUMMYFUNCTION("""COMPUTED_VALUE"""),28.0)</f>
        <v>28</v>
      </c>
      <c r="G686" s="26" t="str">
        <f>IFERROR(__xludf.DUMMYFUNCTION("""COMPUTED_VALUE"""),"Wounded")</f>
        <v>Wounded</v>
      </c>
      <c r="H686" s="26" t="str">
        <f>IFERROR(__xludf.DUMMYFUNCTION("""COMPUTED_VALUE"""),"Toy Pistol")</f>
        <v>Toy Pistol</v>
      </c>
      <c r="I686" s="27" t="str">
        <f>IFERROR(__xludf.DUMMYFUNCTION("""COMPUTED_VALUE"""),"M")</f>
        <v>M</v>
      </c>
      <c r="J686" s="27" t="str">
        <f>IFERROR(__xludf.DUMMYFUNCTION("""COMPUTED_VALUE"""),"B")</f>
        <v>B</v>
      </c>
      <c r="K686" s="27">
        <f>IFERROR(__xludf.DUMMYFUNCTION("""COMPUTED_VALUE"""),47.0)</f>
        <v>47</v>
      </c>
      <c r="L686" s="27" t="str">
        <f>IFERROR(__xludf.DUMMYFUNCTION("""COMPUTED_VALUE"""),"None")</f>
        <v>None</v>
      </c>
      <c r="M686" s="27" t="str">
        <f>IFERROR(__xludf.DUMMYFUNCTION("""COMPUTED_VALUE"""),"Y")</f>
        <v>Y</v>
      </c>
      <c r="N686" s="24"/>
      <c r="O686" s="24"/>
      <c r="P686" s="28" t="str">
        <f>IFERROR(__xludf.DUMMYFUNCTION("""COMPUTED_VALUE"""),"The officer was conducting a narcotics sting operation when the suspect approached the officer. The suspect then rasied his shirt and reached for a weapon forcing the officer to shoot.")</f>
        <v>The officer was conducting a narcotics sting operation when the suspect approached the officer. The suspect then rasied his shirt and reached for a weapon forcing the officer to shoot.</v>
      </c>
      <c r="Q686" s="24"/>
      <c r="R686" s="24"/>
      <c r="S686" s="24"/>
      <c r="T686" s="24"/>
      <c r="U686" s="24"/>
      <c r="V686" s="24"/>
      <c r="W686" s="24"/>
      <c r="X686" s="24"/>
      <c r="Y686" s="24"/>
      <c r="Z686" s="24"/>
    </row>
    <row r="687" hidden="1">
      <c r="A687" s="29">
        <f>IFERROR(__xludf.DUMMYFUNCTION("""COMPUTED_VALUE"""),38771.0)</f>
        <v>38771</v>
      </c>
      <c r="B687" s="24">
        <f>IFERROR(__xludf.DUMMYFUNCTION("""COMPUTED_VALUE"""),3.0371506E7)</f>
        <v>30371506</v>
      </c>
      <c r="C687" s="24" t="str">
        <f>IFERROR(__xludf.DUMMYFUNCTION("""COMPUTED_VALUE"""),"6867 Gulf Freeway")</f>
        <v>6867 Gulf Freeway</v>
      </c>
      <c r="D687" s="26" t="str">
        <f>IFERROR(__xludf.DUMMYFUNCTION("""COMPUTED_VALUE"""),"M")</f>
        <v>M</v>
      </c>
      <c r="E687" s="26" t="str">
        <f>IFERROR(__xludf.DUMMYFUNCTION("""COMPUTED_VALUE"""),"H")</f>
        <v>H</v>
      </c>
      <c r="F687" s="26">
        <f>IFERROR(__xludf.DUMMYFUNCTION("""COMPUTED_VALUE"""),27.0)</f>
        <v>27</v>
      </c>
      <c r="G687" s="26" t="str">
        <f>IFERROR(__xludf.DUMMYFUNCTION("""COMPUTED_VALUE"""),"Wounded")</f>
        <v>Wounded</v>
      </c>
      <c r="H687" s="26" t="str">
        <f>IFERROR(__xludf.DUMMYFUNCTION("""COMPUTED_VALUE"""),"Vehicle")</f>
        <v>Vehicle</v>
      </c>
      <c r="I687" s="27" t="str">
        <f>IFERROR(__xludf.DUMMYFUNCTION("""COMPUTED_VALUE"""),"M")</f>
        <v>M</v>
      </c>
      <c r="J687" s="27" t="str">
        <f>IFERROR(__xludf.DUMMYFUNCTION("""COMPUTED_VALUE"""),"P")</f>
        <v>P</v>
      </c>
      <c r="K687" s="27">
        <f>IFERROR(__xludf.DUMMYFUNCTION("""COMPUTED_VALUE"""),34.0)</f>
        <v>34</v>
      </c>
      <c r="L687" s="27" t="str">
        <f>IFERROR(__xludf.DUMMYFUNCTION("""COMPUTED_VALUE"""),"None")</f>
        <v>None</v>
      </c>
      <c r="M687" s="27" t="str">
        <f>IFERROR(__xludf.DUMMYFUNCTION("""COMPUTED_VALUE"""),"Y")</f>
        <v>Y</v>
      </c>
      <c r="N687" s="24"/>
      <c r="O687" s="24"/>
      <c r="P687" s="28" t="str">
        <f>IFERROR(__xludf.DUMMYFUNCTION("""COMPUTED_VALUE"""),"The officers were attempting to arrest a suspect who was breaking into vehicles but the suspect was in his vehicle and was driving at the officers forcing the officers to have to shoot.")</f>
        <v>The officers were attempting to arrest a suspect who was breaking into vehicles but the suspect was in his vehicle and was driving at the officers forcing the officers to have to shoot.</v>
      </c>
      <c r="Q687" s="24"/>
      <c r="R687" s="24"/>
      <c r="S687" s="24"/>
      <c r="T687" s="24"/>
      <c r="U687" s="24"/>
      <c r="V687" s="24"/>
      <c r="W687" s="24"/>
      <c r="X687" s="24"/>
      <c r="Y687" s="24"/>
      <c r="Z687" s="24"/>
    </row>
    <row r="688" hidden="1">
      <c r="A688" s="29"/>
      <c r="B688" s="24"/>
      <c r="C688" s="24"/>
      <c r="D688" s="26"/>
      <c r="E688" s="26"/>
      <c r="F688" s="26"/>
      <c r="G688" s="26"/>
      <c r="H688" s="26"/>
      <c r="I688" s="27" t="str">
        <f>IFERROR(__xludf.DUMMYFUNCTION("""COMPUTED_VALUE"""),"M")</f>
        <v>M</v>
      </c>
      <c r="J688" s="27" t="str">
        <f>IFERROR(__xludf.DUMMYFUNCTION("""COMPUTED_VALUE"""),"H")</f>
        <v>H</v>
      </c>
      <c r="K688" s="27">
        <f>IFERROR(__xludf.DUMMYFUNCTION("""COMPUTED_VALUE"""),40.0)</f>
        <v>40</v>
      </c>
      <c r="L688" s="27" t="str">
        <f>IFERROR(__xludf.DUMMYFUNCTION("""COMPUTED_VALUE"""),"None")</f>
        <v>None</v>
      </c>
      <c r="M688" s="27" t="str">
        <f>IFERROR(__xludf.DUMMYFUNCTION("""COMPUTED_VALUE"""),"Y")</f>
        <v>Y</v>
      </c>
      <c r="N688" s="24"/>
      <c r="O688" s="24"/>
      <c r="P688" s="24"/>
      <c r="Q688" s="24"/>
      <c r="R688" s="24"/>
      <c r="S688" s="24"/>
      <c r="T688" s="24"/>
      <c r="U688" s="24"/>
      <c r="V688" s="24"/>
      <c r="W688" s="24"/>
      <c r="X688" s="24"/>
      <c r="Y688" s="24"/>
      <c r="Z688" s="24"/>
    </row>
    <row r="689" hidden="1">
      <c r="A689" s="29">
        <f>IFERROR(__xludf.DUMMYFUNCTION("""COMPUTED_VALUE"""),38756.0)</f>
        <v>38756</v>
      </c>
      <c r="B689" s="24">
        <f>IFERROR(__xludf.DUMMYFUNCTION("""COMPUTED_VALUE"""),2.1933806E7)</f>
        <v>21933806</v>
      </c>
      <c r="C689" s="24" t="str">
        <f>IFERROR(__xludf.DUMMYFUNCTION("""COMPUTED_VALUE"""),"2200 Binley")</f>
        <v>2200 Binley</v>
      </c>
      <c r="D689" s="26" t="str">
        <f>IFERROR(__xludf.DUMMYFUNCTION("""COMPUTED_VALUE"""),"Juvenile")</f>
        <v>Juvenile</v>
      </c>
      <c r="E689" s="26" t="str">
        <f>IFERROR(__xludf.DUMMYFUNCTION("""COMPUTED_VALUE"""),"Juvenile")</f>
        <v>Juvenile</v>
      </c>
      <c r="F689" s="26"/>
      <c r="G689" s="26" t="str">
        <f>IFERROR(__xludf.DUMMYFUNCTION("""COMPUTED_VALUE"""),"Wounded")</f>
        <v>Wounded</v>
      </c>
      <c r="H689" s="26" t="str">
        <f>IFERROR(__xludf.DUMMYFUNCTION("""COMPUTED_VALUE"""),"Knife")</f>
        <v>Knife</v>
      </c>
      <c r="I689" s="27" t="str">
        <f>IFERROR(__xludf.DUMMYFUNCTION("""COMPUTED_VALUE"""),"M")</f>
        <v>M</v>
      </c>
      <c r="J689" s="27" t="str">
        <f>IFERROR(__xludf.DUMMYFUNCTION("""COMPUTED_VALUE"""),"B")</f>
        <v>B</v>
      </c>
      <c r="K689" s="27">
        <f>IFERROR(__xludf.DUMMYFUNCTION("""COMPUTED_VALUE"""),37.0)</f>
        <v>37</v>
      </c>
      <c r="L689" s="27" t="str">
        <f>IFERROR(__xludf.DUMMYFUNCTION("""COMPUTED_VALUE"""),"None")</f>
        <v>None</v>
      </c>
      <c r="M689" s="27" t="str">
        <f>IFERROR(__xludf.DUMMYFUNCTION("""COMPUTED_VALUE"""),"Y")</f>
        <v>Y</v>
      </c>
      <c r="N689" s="24"/>
      <c r="O689" s="24">
        <f>IFERROR(__xludf.DUMMYFUNCTION("""COMPUTED_VALUE"""),1.0)</f>
        <v>1</v>
      </c>
      <c r="P689" s="28" t="str">
        <f>IFERROR(__xludf.DUMMYFUNCTION("""COMPUTED_VALUE"""),"The officers were called to a scene where the suspect was threatening to kill herself with a knife. As the officers approached her the complainant turned the knife on them forcing the officers to try to use the taser to stop the aggression. The taser fail"&amp;"ed to stop the suspect who continued to move toward the officer forcing the officer to shoot.")</f>
        <v>The officers were called to a scene where the suspect was threatening to kill herself with a knife. As the officers approached her the complainant turned the knife on them forcing the officers to try to use the taser to stop the aggression. The taser failed to stop the suspect who continued to move toward the officer forcing the officer to shoot.</v>
      </c>
      <c r="Q689" s="24"/>
      <c r="R689" s="24"/>
      <c r="S689" s="24"/>
      <c r="T689" s="24"/>
      <c r="U689" s="24"/>
      <c r="V689" s="24"/>
      <c r="W689" s="24"/>
      <c r="X689" s="24"/>
      <c r="Y689" s="24"/>
      <c r="Z689" s="24"/>
    </row>
    <row r="690" hidden="1">
      <c r="A690" s="29">
        <f>IFERROR(__xludf.DUMMYFUNCTION("""COMPUTED_VALUE"""),38750.0)</f>
        <v>38750</v>
      </c>
      <c r="B690" s="24">
        <f>IFERROR(__xludf.DUMMYFUNCTION("""COMPUTED_VALUE"""),1.8268706E7)</f>
        <v>18268706</v>
      </c>
      <c r="C690" s="24" t="str">
        <f>IFERROR(__xludf.DUMMYFUNCTION("""COMPUTED_VALUE"""),"4500 North Freeway")</f>
        <v>4500 North Freeway</v>
      </c>
      <c r="D690" s="26" t="str">
        <f>IFERROR(__xludf.DUMMYFUNCTION("""COMPUTED_VALUE"""),"M")</f>
        <v>M</v>
      </c>
      <c r="E690" s="26" t="str">
        <f>IFERROR(__xludf.DUMMYFUNCTION("""COMPUTED_VALUE"""),"B")</f>
        <v>B</v>
      </c>
      <c r="F690" s="26">
        <f>IFERROR(__xludf.DUMMYFUNCTION("""COMPUTED_VALUE"""),28.0)</f>
        <v>28</v>
      </c>
      <c r="G690" s="26" t="str">
        <f>IFERROR(__xludf.DUMMYFUNCTION("""COMPUTED_VALUE"""),"Killed")</f>
        <v>Killed</v>
      </c>
      <c r="H690" s="26" t="str">
        <f>IFERROR(__xludf.DUMMYFUNCTION("""COMPUTED_VALUE"""),"Firearm")</f>
        <v>Firearm</v>
      </c>
      <c r="I690" s="27" t="str">
        <f>IFERROR(__xludf.DUMMYFUNCTION("""COMPUTED_VALUE"""),"M")</f>
        <v>M</v>
      </c>
      <c r="J690" s="27" t="str">
        <f>IFERROR(__xludf.DUMMYFUNCTION("""COMPUTED_VALUE"""),"W")</f>
        <v>W</v>
      </c>
      <c r="K690" s="27">
        <f>IFERROR(__xludf.DUMMYFUNCTION("""COMPUTED_VALUE"""),35.0)</f>
        <v>35</v>
      </c>
      <c r="L690" s="27" t="str">
        <f>IFERROR(__xludf.DUMMYFUNCTION("""COMPUTED_VALUE"""),"None")</f>
        <v>None</v>
      </c>
      <c r="M690" s="27" t="str">
        <f>IFERROR(__xludf.DUMMYFUNCTION("""COMPUTED_VALUE"""),"Y")</f>
        <v>Y</v>
      </c>
      <c r="N690" s="24"/>
      <c r="O690" s="24">
        <f>IFERROR(__xludf.DUMMYFUNCTION("""COMPUTED_VALUE"""),1.0)</f>
        <v>1</v>
      </c>
      <c r="P690" s="24" t="str">
        <f>IFERROR(__xludf.DUMMYFUNCTION("""COMPUTED_VALUE"""),"The suspect was in his vehicle along with two persons whom he had abductde at gunpoint. When the officers located him, he refused to stop his vehicle and began to shoot at other vehicles that would not move out of his way. The suspect lost control of the "&amp;"vehicle and when it was stopped the suspect pointred his weapon at the officers forcing them to shoot him.")</f>
        <v>The suspect was in his vehicle along with two persons whom he had abductde at gunpoint. When the officers located him, he refused to stop his vehicle and began to shoot at other vehicles that would not move out of his way. The suspect lost control of the vehicle and when it was stopped the suspect pointred his weapon at the officers forcing them to shoot him.</v>
      </c>
      <c r="Q690" s="24"/>
      <c r="R690" s="24"/>
      <c r="S690" s="24"/>
      <c r="T690" s="24"/>
      <c r="U690" s="24"/>
      <c r="V690" s="24"/>
      <c r="W690" s="24"/>
      <c r="X690" s="24"/>
      <c r="Y690" s="24"/>
      <c r="Z690" s="24"/>
    </row>
    <row r="691" hidden="1">
      <c r="A691" s="29">
        <f>IFERROR(__xludf.DUMMYFUNCTION("""COMPUTED_VALUE"""),38741.0)</f>
        <v>38741</v>
      </c>
      <c r="B691" s="24">
        <f>IFERROR(__xludf.DUMMYFUNCTION("""COMPUTED_VALUE"""),1.3033806E7)</f>
        <v>13033806</v>
      </c>
      <c r="C691" s="24" t="str">
        <f>IFERROR(__xludf.DUMMYFUNCTION("""COMPUTED_VALUE"""),"605 Frisco")</f>
        <v>605 Frisco</v>
      </c>
      <c r="D691" s="26" t="str">
        <f>IFERROR(__xludf.DUMMYFUNCTION("""COMPUTED_VALUE"""),"M")</f>
        <v>M</v>
      </c>
      <c r="E691" s="26" t="str">
        <f>IFERROR(__xludf.DUMMYFUNCTION("""COMPUTED_VALUE"""),"H")</f>
        <v>H</v>
      </c>
      <c r="F691" s="26">
        <f>IFERROR(__xludf.DUMMYFUNCTION("""COMPUTED_VALUE"""),36.0)</f>
        <v>36</v>
      </c>
      <c r="G691" s="26" t="str">
        <f>IFERROR(__xludf.DUMMYFUNCTION("""COMPUTED_VALUE"""),"Killed")</f>
        <v>Killed</v>
      </c>
      <c r="H691" s="26" t="str">
        <f>IFERROR(__xludf.DUMMYFUNCTION("""COMPUTED_VALUE"""),"Firearm")</f>
        <v>Firearm</v>
      </c>
      <c r="I691" s="27" t="str">
        <f>IFERROR(__xludf.DUMMYFUNCTION("""COMPUTED_VALUE"""),"M")</f>
        <v>M</v>
      </c>
      <c r="J691" s="27" t="str">
        <f>IFERROR(__xludf.DUMMYFUNCTION("""COMPUTED_VALUE"""),"W")</f>
        <v>W</v>
      </c>
      <c r="K691" s="27">
        <f>IFERROR(__xludf.DUMMYFUNCTION("""COMPUTED_VALUE"""),45.0)</f>
        <v>45</v>
      </c>
      <c r="L691" s="27" t="str">
        <f>IFERROR(__xludf.DUMMYFUNCTION("""COMPUTED_VALUE"""),"None")</f>
        <v>None</v>
      </c>
      <c r="M691" s="27" t="str">
        <f>IFERROR(__xludf.DUMMYFUNCTION("""COMPUTED_VALUE"""),"Y")</f>
        <v>Y</v>
      </c>
      <c r="N691" s="24"/>
      <c r="O691" s="24"/>
      <c r="P691" s="24" t="str">
        <f>IFERROR(__xludf.DUMMYFUNCTION("""COMPUTED_VALUE"""),"The armed suspect was wanted for an aggravated assault but he fled when officers attempted to arrest him. The suspect was found in the back yard of a residence but when he was told to drop his weapon he shot at the officers forcing the officers to return "&amp;"fire.")</f>
        <v>The armed suspect was wanted for an aggravated assault but he fled when officers attempted to arrest him. The suspect was found in the back yard of a residence but when he was told to drop his weapon he shot at the officers forcing the officers to return fire.</v>
      </c>
      <c r="Q691" s="24"/>
      <c r="R691" s="24"/>
      <c r="S691" s="24"/>
      <c r="T691" s="24"/>
      <c r="U691" s="24"/>
      <c r="V691" s="24"/>
      <c r="W691" s="24"/>
      <c r="X691" s="24"/>
      <c r="Y691" s="24"/>
      <c r="Z691" s="24"/>
    </row>
    <row r="692" hidden="1">
      <c r="A692" s="29"/>
      <c r="B692" s="24"/>
      <c r="C692" s="24"/>
      <c r="D692" s="26"/>
      <c r="E692" s="26"/>
      <c r="F692" s="26"/>
      <c r="G692" s="26"/>
      <c r="H692" s="26"/>
      <c r="I692" s="27" t="str">
        <f>IFERROR(__xludf.DUMMYFUNCTION("""COMPUTED_VALUE"""),"F")</f>
        <v>F</v>
      </c>
      <c r="J692" s="27" t="str">
        <f>IFERROR(__xludf.DUMMYFUNCTION("""COMPUTED_VALUE"""),"W")</f>
        <v>W</v>
      </c>
      <c r="K692" s="27">
        <f>IFERROR(__xludf.DUMMYFUNCTION("""COMPUTED_VALUE"""),33.0)</f>
        <v>33</v>
      </c>
      <c r="L692" s="27" t="str">
        <f>IFERROR(__xludf.DUMMYFUNCTION("""COMPUTED_VALUE"""),"None")</f>
        <v>None</v>
      </c>
      <c r="M692" s="27" t="str">
        <f>IFERROR(__xludf.DUMMYFUNCTION("""COMPUTED_VALUE"""),"Y")</f>
        <v>Y</v>
      </c>
      <c r="N692" s="24"/>
      <c r="O692" s="24"/>
      <c r="P692" s="24"/>
      <c r="Q692" s="24"/>
      <c r="R692" s="24"/>
      <c r="S692" s="24"/>
      <c r="T692" s="24"/>
      <c r="U692" s="24"/>
      <c r="V692" s="24"/>
      <c r="W692" s="24"/>
      <c r="X692" s="24"/>
      <c r="Y692" s="24"/>
      <c r="Z692" s="24"/>
    </row>
    <row r="693">
      <c r="A693" s="29">
        <f>IFERROR(__xludf.DUMMYFUNCTION("""COMPUTED_VALUE"""),38721.0)</f>
        <v>38721</v>
      </c>
      <c r="B693" s="24">
        <f>IFERROR(__xludf.DUMMYFUNCTION("""COMPUTED_VALUE"""),2004806.0)</f>
        <v>2004806</v>
      </c>
      <c r="C693" s="24" t="str">
        <f>IFERROR(__xludf.DUMMYFUNCTION("""COMPUTED_VALUE"""),"12221 Fleming")</f>
        <v>12221 Fleming</v>
      </c>
      <c r="D693" s="26" t="str">
        <f>IFERROR(__xludf.DUMMYFUNCTION("""COMPUTED_VALUE"""),"M")</f>
        <v>M</v>
      </c>
      <c r="E693" s="26" t="str">
        <f>IFERROR(__xludf.DUMMYFUNCTION("""COMPUTED_VALUE"""),"H")</f>
        <v>H</v>
      </c>
      <c r="F693" s="26"/>
      <c r="G693" s="26" t="str">
        <f>IFERROR(__xludf.DUMMYFUNCTION("""COMPUTED_VALUE"""),"Unknown")</f>
        <v>Unknown</v>
      </c>
      <c r="H693" s="26" t="str">
        <f>IFERROR(__xludf.DUMMYFUNCTION("""COMPUTED_VALUE"""),"Firearm")</f>
        <v>Firearm</v>
      </c>
      <c r="I693" s="27" t="str">
        <f>IFERROR(__xludf.DUMMYFUNCTION("""COMPUTED_VALUE"""),"M")</f>
        <v>M</v>
      </c>
      <c r="J693" s="27" t="str">
        <f>IFERROR(__xludf.DUMMYFUNCTION("""COMPUTED_VALUE"""),"W")</f>
        <v>W</v>
      </c>
      <c r="K693" s="27">
        <f>IFERROR(__xludf.DUMMYFUNCTION("""COMPUTED_VALUE"""),53.0)</f>
        <v>53</v>
      </c>
      <c r="L693" s="27" t="str">
        <f>IFERROR(__xludf.DUMMYFUNCTION("""COMPUTED_VALUE"""),"None")</f>
        <v>None</v>
      </c>
      <c r="M693" s="27" t="str">
        <f>IFERROR(__xludf.DUMMYFUNCTION("""COMPUTED_VALUE"""),"N")</f>
        <v>N</v>
      </c>
      <c r="N693" s="24"/>
      <c r="O693" s="24">
        <f>IFERROR(__xludf.DUMMYFUNCTION("""COMPUTED_VALUE"""),1.0)</f>
        <v>1</v>
      </c>
      <c r="P693" s="28" t="str">
        <f>IFERROR(__xludf.DUMMYFUNCTION("""COMPUTED_VALUE"""),"The officer attempted to detain a suspect who was believed to have been involved in an aggravated robbery. When the officer approcahed the suspect, the suspect pulled out a weapon and attempted to shoot the officer focing the officer to shoot.")</f>
        <v>The officer attempted to detain a suspect who was believed to have been involved in an aggravated robbery. When the officer approcahed the suspect, the suspect pulled out a weapon and attempted to shoot the officer focing the officer to shoot.</v>
      </c>
      <c r="Q693" s="24"/>
      <c r="R693" s="24"/>
      <c r="S693" s="24"/>
      <c r="T693" s="24"/>
      <c r="U693" s="24"/>
      <c r="V693" s="24"/>
      <c r="W693" s="24"/>
      <c r="X693" s="24"/>
      <c r="Y693" s="24"/>
      <c r="Z693" s="24"/>
    </row>
    <row r="694" hidden="1">
      <c r="A694" s="29">
        <f>IFERROR(__xludf.DUMMYFUNCTION("""COMPUTED_VALUE"""),38710.0)</f>
        <v>38710</v>
      </c>
      <c r="B694" s="24">
        <f>IFERROR(__xludf.DUMMYFUNCTION("""COMPUTED_VALUE"""),1.93131105E8)</f>
        <v>193131105</v>
      </c>
      <c r="C694" s="24" t="str">
        <f>IFERROR(__xludf.DUMMYFUNCTION("""COMPUTED_VALUE"""),"4807 Heritage Plains Friendswood TX")</f>
        <v>4807 Heritage Plains Friendswood TX</v>
      </c>
      <c r="D694" s="26" t="str">
        <f>IFERROR(__xludf.DUMMYFUNCTION("""COMPUTED_VALUE"""),"M")</f>
        <v>M</v>
      </c>
      <c r="E694" s="26" t="str">
        <f>IFERROR(__xludf.DUMMYFUNCTION("""COMPUTED_VALUE"""),"B")</f>
        <v>B</v>
      </c>
      <c r="F694" s="26">
        <f>IFERROR(__xludf.DUMMYFUNCTION("""COMPUTED_VALUE"""),22.0)</f>
        <v>22</v>
      </c>
      <c r="G694" s="26" t="str">
        <f>IFERROR(__xludf.DUMMYFUNCTION("""COMPUTED_VALUE"""),"Killed")</f>
        <v>Killed</v>
      </c>
      <c r="H694" s="26" t="str">
        <f>IFERROR(__xludf.DUMMYFUNCTION("""COMPUTED_VALUE"""),"Firearm")</f>
        <v>Firearm</v>
      </c>
      <c r="I694" s="27" t="str">
        <f>IFERROR(__xludf.DUMMYFUNCTION("""COMPUTED_VALUE"""),"M")</f>
        <v>M</v>
      </c>
      <c r="J694" s="27" t="str">
        <f>IFERROR(__xludf.DUMMYFUNCTION("""COMPUTED_VALUE"""),"H")</f>
        <v>H</v>
      </c>
      <c r="K694" s="27">
        <f>IFERROR(__xludf.DUMMYFUNCTION("""COMPUTED_VALUE"""),32.0)</f>
        <v>32</v>
      </c>
      <c r="L694" s="27" t="str">
        <f>IFERROR(__xludf.DUMMYFUNCTION("""COMPUTED_VALUE"""),"None")</f>
        <v>None</v>
      </c>
      <c r="M694" s="27" t="str">
        <f>IFERROR(__xludf.DUMMYFUNCTION("""COMPUTED_VALUE"""),"Y")</f>
        <v>Y</v>
      </c>
      <c r="N694" s="24"/>
      <c r="O694" s="24"/>
      <c r="P694" s="24" t="str">
        <f>IFERROR(__xludf.DUMMYFUNCTION("""COMPUTED_VALUE"""),"The officers were set up at a location where an aggravated assault suspect had barricaded himself in. The officers were able to get the suspect to leave the position but the suspet was armed. The officers were forced to shot at the suspect when the suspec"&amp;"t took a shot at the officers.")</f>
        <v>The officers were set up at a location where an aggravated assault suspect had barricaded himself in. The officers were able to get the suspect to leave the position but the suspet was armed. The officers were forced to shot at the suspect when the suspect took a shot at the officers.</v>
      </c>
      <c r="Q694" s="24"/>
      <c r="R694" s="24"/>
      <c r="S694" s="24"/>
      <c r="T694" s="24"/>
      <c r="U694" s="24"/>
      <c r="V694" s="24"/>
      <c r="W694" s="24"/>
      <c r="X694" s="24"/>
      <c r="Y694" s="24"/>
      <c r="Z694" s="24"/>
    </row>
    <row r="695" hidden="1">
      <c r="A695" s="29"/>
      <c r="B695" s="24"/>
      <c r="C695" s="24"/>
      <c r="D695" s="26"/>
      <c r="E695" s="26"/>
      <c r="F695" s="26"/>
      <c r="G695" s="26"/>
      <c r="H695" s="26"/>
      <c r="I695" s="27" t="str">
        <f>IFERROR(__xludf.DUMMYFUNCTION("""COMPUTED_VALUE"""),"M")</f>
        <v>M</v>
      </c>
      <c r="J695" s="27" t="str">
        <f>IFERROR(__xludf.DUMMYFUNCTION("""COMPUTED_VALUE"""),"H")</f>
        <v>H</v>
      </c>
      <c r="K695" s="27">
        <f>IFERROR(__xludf.DUMMYFUNCTION("""COMPUTED_VALUE"""),33.0)</f>
        <v>33</v>
      </c>
      <c r="L695" s="27" t="str">
        <f>IFERROR(__xludf.DUMMYFUNCTION("""COMPUTED_VALUE"""),"None")</f>
        <v>None</v>
      </c>
      <c r="M695" s="27" t="str">
        <f>IFERROR(__xludf.DUMMYFUNCTION("""COMPUTED_VALUE"""),"Y")</f>
        <v>Y</v>
      </c>
      <c r="N695" s="24"/>
      <c r="O695" s="24"/>
      <c r="P695" s="24"/>
      <c r="Q695" s="24"/>
      <c r="R695" s="24"/>
      <c r="S695" s="24"/>
      <c r="T695" s="24"/>
      <c r="U695" s="24"/>
      <c r="V695" s="24"/>
      <c r="W695" s="24"/>
      <c r="X695" s="24"/>
      <c r="Y695" s="24"/>
      <c r="Z695" s="24"/>
    </row>
    <row r="696" hidden="1">
      <c r="A696" s="29">
        <f>IFERROR(__xludf.DUMMYFUNCTION("""COMPUTED_VALUE"""),38710.0)</f>
        <v>38710</v>
      </c>
      <c r="B696" s="24">
        <f>IFERROR(__xludf.DUMMYFUNCTION("""COMPUTED_VALUE"""),1.93231905E8)</f>
        <v>193231905</v>
      </c>
      <c r="C696" s="24" t="str">
        <f>IFERROR(__xludf.DUMMYFUNCTION("""COMPUTED_VALUE"""),"9305 Rosehaven")</f>
        <v>9305 Rosehaven</v>
      </c>
      <c r="D696" s="26" t="str">
        <f>IFERROR(__xludf.DUMMYFUNCTION("""COMPUTED_VALUE"""),"M")</f>
        <v>M</v>
      </c>
      <c r="E696" s="26" t="str">
        <f>IFERROR(__xludf.DUMMYFUNCTION("""COMPUTED_VALUE"""),"B")</f>
        <v>B</v>
      </c>
      <c r="F696" s="26">
        <f>IFERROR(__xludf.DUMMYFUNCTION("""COMPUTED_VALUE"""),40.0)</f>
        <v>40</v>
      </c>
      <c r="G696" s="26" t="str">
        <f>IFERROR(__xludf.DUMMYFUNCTION("""COMPUTED_VALUE"""),"Wounded")</f>
        <v>Wounded</v>
      </c>
      <c r="H696" s="26" t="str">
        <f>IFERROR(__xludf.DUMMYFUNCTION("""COMPUTED_VALUE"""),"Firearm")</f>
        <v>Firearm</v>
      </c>
      <c r="I696" s="27" t="str">
        <f>IFERROR(__xludf.DUMMYFUNCTION("""COMPUTED_VALUE"""),"M")</f>
        <v>M</v>
      </c>
      <c r="J696" s="27" t="str">
        <f>IFERROR(__xludf.DUMMYFUNCTION("""COMPUTED_VALUE"""),"H")</f>
        <v>H</v>
      </c>
      <c r="K696" s="27">
        <f>IFERROR(__xludf.DUMMYFUNCTION("""COMPUTED_VALUE"""),41.0)</f>
        <v>41</v>
      </c>
      <c r="L696" s="27" t="str">
        <f>IFERROR(__xludf.DUMMYFUNCTION("""COMPUTED_VALUE"""),"None")</f>
        <v>None</v>
      </c>
      <c r="M696" s="27" t="str">
        <f>IFERROR(__xludf.DUMMYFUNCTION("""COMPUTED_VALUE"""),"Y")</f>
        <v>Y</v>
      </c>
      <c r="N696" s="24"/>
      <c r="O696" s="24"/>
      <c r="P696" s="28" t="str">
        <f>IFERROR(__xludf.DUMMYFUNCTION("""COMPUTED_VALUE"""),"The officers arrived at the scene of a disturbance to find the suspect beating on his girlfriend. As the officers approcahed to detain the suspect, the suspect pulled out a weapon and shot the person he was beating causing the officers to shoot at the sus"&amp;"pect.")</f>
        <v>The officers arrived at the scene of a disturbance to find the suspect beating on his girlfriend. As the officers approcahed to detain the suspect, the suspect pulled out a weapon and shot the person he was beating causing the officers to shoot at the suspect.</v>
      </c>
      <c r="Q696" s="24"/>
      <c r="R696" s="24"/>
      <c r="S696" s="24"/>
      <c r="T696" s="24"/>
      <c r="U696" s="24"/>
      <c r="V696" s="24"/>
      <c r="W696" s="24"/>
      <c r="X696" s="24"/>
      <c r="Y696" s="24"/>
      <c r="Z696" s="24"/>
    </row>
    <row r="697" hidden="1">
      <c r="A697" s="29"/>
      <c r="B697" s="24"/>
      <c r="C697" s="24"/>
      <c r="D697" s="26"/>
      <c r="E697" s="26"/>
      <c r="F697" s="26"/>
      <c r="G697" s="26"/>
      <c r="H697" s="26"/>
      <c r="I697" s="27" t="str">
        <f>IFERROR(__xludf.DUMMYFUNCTION("""COMPUTED_VALUE"""),"M")</f>
        <v>M</v>
      </c>
      <c r="J697" s="27" t="str">
        <f>IFERROR(__xludf.DUMMYFUNCTION("""COMPUTED_VALUE"""),"H")</f>
        <v>H</v>
      </c>
      <c r="K697" s="27">
        <f>IFERROR(__xludf.DUMMYFUNCTION("""COMPUTED_VALUE"""),34.0)</f>
        <v>34</v>
      </c>
      <c r="L697" s="27" t="str">
        <f>IFERROR(__xludf.DUMMYFUNCTION("""COMPUTED_VALUE"""),"None")</f>
        <v>None</v>
      </c>
      <c r="M697" s="27" t="str">
        <f>IFERROR(__xludf.DUMMYFUNCTION("""COMPUTED_VALUE"""),"Y")</f>
        <v>Y</v>
      </c>
      <c r="N697" s="24"/>
      <c r="O697" s="24"/>
      <c r="P697" s="24"/>
      <c r="Q697" s="24"/>
      <c r="R697" s="24"/>
      <c r="S697" s="24"/>
      <c r="T697" s="24"/>
      <c r="U697" s="24"/>
      <c r="V697" s="24"/>
      <c r="W697" s="24"/>
      <c r="X697" s="24"/>
      <c r="Y697" s="24"/>
      <c r="Z697" s="24"/>
    </row>
    <row r="698" hidden="1">
      <c r="A698" s="29">
        <f>IFERROR(__xludf.DUMMYFUNCTION("""COMPUTED_VALUE"""),38701.0)</f>
        <v>38701</v>
      </c>
      <c r="B698" s="24">
        <f>IFERROR(__xludf.DUMMYFUNCTION("""COMPUTED_VALUE"""),1.88502605E8)</f>
        <v>188502605</v>
      </c>
      <c r="C698" s="24" t="str">
        <f>IFERROR(__xludf.DUMMYFUNCTION("""COMPUTED_VALUE"""),"2300 Mason")</f>
        <v>2300 Mason</v>
      </c>
      <c r="D698" s="26" t="str">
        <f>IFERROR(__xludf.DUMMYFUNCTION("""COMPUTED_VALUE"""),"M")</f>
        <v>M</v>
      </c>
      <c r="E698" s="26" t="str">
        <f>IFERROR(__xludf.DUMMYFUNCTION("""COMPUTED_VALUE"""),"H")</f>
        <v>H</v>
      </c>
      <c r="F698" s="26">
        <f>IFERROR(__xludf.DUMMYFUNCTION("""COMPUTED_VALUE"""),19.0)</f>
        <v>19</v>
      </c>
      <c r="G698" s="26" t="str">
        <f>IFERROR(__xludf.DUMMYFUNCTION("""COMPUTED_VALUE"""),"Wounded")</f>
        <v>Wounded</v>
      </c>
      <c r="H698" s="26" t="str">
        <f>IFERROR(__xludf.DUMMYFUNCTION("""COMPUTED_VALUE"""),"Firearm")</f>
        <v>Firearm</v>
      </c>
      <c r="I698" s="27" t="str">
        <f>IFERROR(__xludf.DUMMYFUNCTION("""COMPUTED_VALUE"""),"M")</f>
        <v>M</v>
      </c>
      <c r="J698" s="27" t="str">
        <f>IFERROR(__xludf.DUMMYFUNCTION("""COMPUTED_VALUE"""),"W")</f>
        <v>W</v>
      </c>
      <c r="K698" s="27">
        <f>IFERROR(__xludf.DUMMYFUNCTION("""COMPUTED_VALUE"""),46.0)</f>
        <v>46</v>
      </c>
      <c r="L698" s="27" t="str">
        <f>IFERROR(__xludf.DUMMYFUNCTION("""COMPUTED_VALUE"""),"Wounded")</f>
        <v>Wounded</v>
      </c>
      <c r="M698" s="27" t="str">
        <f>IFERROR(__xludf.DUMMYFUNCTION("""COMPUTED_VALUE"""),"Y")</f>
        <v>Y</v>
      </c>
      <c r="N698" s="24"/>
      <c r="O698" s="24"/>
      <c r="P698" s="28" t="str">
        <f>IFERROR(__xludf.DUMMYFUNCTION("""COMPUTED_VALUE"""),"The officer was operating a narcotics sting when the suspect decided to rob him. THe suspect discovered the officers identification and then began shooting at the officer causing the officer to return fire. The other officers who were involved in the oper"&amp;"ation responded and excahnged gunfire with the other suspects.")</f>
        <v>The officer was operating a narcotics sting when the suspect decided to rob him. THe suspect discovered the officers identification and then began shooting at the officer causing the officer to return fire. The other officers who were involved in the operation responded and excahnged gunfire with the other suspects.</v>
      </c>
      <c r="Q698" s="24"/>
      <c r="R698" s="24"/>
      <c r="S698" s="24"/>
      <c r="T698" s="24"/>
      <c r="U698" s="24"/>
      <c r="V698" s="24"/>
      <c r="W698" s="24"/>
      <c r="X698" s="24"/>
      <c r="Y698" s="24"/>
      <c r="Z698" s="24"/>
    </row>
    <row r="699" hidden="1">
      <c r="A699" s="29"/>
      <c r="B699" s="24"/>
      <c r="C699" s="24"/>
      <c r="D699" s="26" t="str">
        <f>IFERROR(__xludf.DUMMYFUNCTION("""COMPUTED_VALUE"""),"M")</f>
        <v>M</v>
      </c>
      <c r="E699" s="26" t="str">
        <f>IFERROR(__xludf.DUMMYFUNCTION("""COMPUTED_VALUE"""),"H")</f>
        <v>H</v>
      </c>
      <c r="F699" s="26">
        <f>IFERROR(__xludf.DUMMYFUNCTION("""COMPUTED_VALUE"""),22.0)</f>
        <v>22</v>
      </c>
      <c r="G699" s="26" t="str">
        <f>IFERROR(__xludf.DUMMYFUNCTION("""COMPUTED_VALUE"""),"Wounded")</f>
        <v>Wounded</v>
      </c>
      <c r="H699" s="26" t="str">
        <f>IFERROR(__xludf.DUMMYFUNCTION("""COMPUTED_VALUE"""),"Firearm")</f>
        <v>Firearm</v>
      </c>
      <c r="I699" s="27" t="str">
        <f>IFERROR(__xludf.DUMMYFUNCTION("""COMPUTED_VALUE"""),"M")</f>
        <v>M</v>
      </c>
      <c r="J699" s="27" t="str">
        <f>IFERROR(__xludf.DUMMYFUNCTION("""COMPUTED_VALUE"""),"W")</f>
        <v>W</v>
      </c>
      <c r="K699" s="27">
        <f>IFERROR(__xludf.DUMMYFUNCTION("""COMPUTED_VALUE"""),37.0)</f>
        <v>37</v>
      </c>
      <c r="L699" s="27" t="str">
        <f>IFERROR(__xludf.DUMMYFUNCTION("""COMPUTED_VALUE"""),"None")</f>
        <v>None</v>
      </c>
      <c r="M699" s="27" t="str">
        <f>IFERROR(__xludf.DUMMYFUNCTION("""COMPUTED_VALUE"""),"Y")</f>
        <v>Y</v>
      </c>
      <c r="N699" s="24"/>
      <c r="O699" s="24"/>
      <c r="P699" s="28"/>
      <c r="Q699" s="24"/>
      <c r="R699" s="24"/>
      <c r="S699" s="24"/>
      <c r="T699" s="24"/>
      <c r="U699" s="24"/>
      <c r="V699" s="24"/>
      <c r="W699" s="24"/>
      <c r="X699" s="24"/>
      <c r="Y699" s="24"/>
      <c r="Z699" s="24"/>
    </row>
    <row r="700">
      <c r="A700" s="29"/>
      <c r="B700" s="24"/>
      <c r="C700" s="24"/>
      <c r="D700" s="26" t="str">
        <f>IFERROR(__xludf.DUMMYFUNCTION("""COMPUTED_VALUE"""),"Juvenile")</f>
        <v>Juvenile</v>
      </c>
      <c r="E700" s="26" t="str">
        <f>IFERROR(__xludf.DUMMYFUNCTION("""COMPUTED_VALUE"""),"Juvenile")</f>
        <v>Juvenile</v>
      </c>
      <c r="F700" s="26"/>
      <c r="G700" s="26" t="str">
        <f>IFERROR(__xludf.DUMMYFUNCTION("""COMPUTED_VALUE"""),"None")</f>
        <v>None</v>
      </c>
      <c r="H700" s="26" t="str">
        <f>IFERROR(__xludf.DUMMYFUNCTION("""COMPUTED_VALUE"""),"Firearm")</f>
        <v>Firearm</v>
      </c>
      <c r="I700" s="27" t="str">
        <f>IFERROR(__xludf.DUMMYFUNCTION("""COMPUTED_VALUE"""),"M")</f>
        <v>M</v>
      </c>
      <c r="J700" s="27" t="str">
        <f>IFERROR(__xludf.DUMMYFUNCTION("""COMPUTED_VALUE"""),"H")</f>
        <v>H</v>
      </c>
      <c r="K700" s="27">
        <f>IFERROR(__xludf.DUMMYFUNCTION("""COMPUTED_VALUE"""),34.0)</f>
        <v>34</v>
      </c>
      <c r="L700" s="27" t="str">
        <f>IFERROR(__xludf.DUMMYFUNCTION("""COMPUTED_VALUE"""),"None")</f>
        <v>None</v>
      </c>
      <c r="M700" s="27" t="str">
        <f>IFERROR(__xludf.DUMMYFUNCTION("""COMPUTED_VALUE"""),"Y")</f>
        <v>Y</v>
      </c>
      <c r="N700" s="24"/>
      <c r="O700" s="24"/>
      <c r="P700" s="28"/>
      <c r="Q700" s="24"/>
      <c r="R700" s="24"/>
      <c r="S700" s="24"/>
      <c r="T700" s="24"/>
      <c r="U700" s="24"/>
      <c r="V700" s="24"/>
      <c r="W700" s="24"/>
      <c r="X700" s="24"/>
      <c r="Y700" s="24"/>
      <c r="Z700" s="24"/>
    </row>
    <row r="701" hidden="1">
      <c r="A701" s="29"/>
      <c r="B701" s="24"/>
      <c r="C701" s="24"/>
      <c r="D701" s="26" t="str">
        <f>IFERROR(__xludf.DUMMYFUNCTION("""COMPUTED_VALUE"""),"M")</f>
        <v>M</v>
      </c>
      <c r="E701" s="26" t="str">
        <f>IFERROR(__xludf.DUMMYFUNCTION("""COMPUTED_VALUE"""),"H")</f>
        <v>H</v>
      </c>
      <c r="F701" s="26">
        <f>IFERROR(__xludf.DUMMYFUNCTION("""COMPUTED_VALUE"""),24.0)</f>
        <v>24</v>
      </c>
      <c r="G701" s="26" t="str">
        <f>IFERROR(__xludf.DUMMYFUNCTION("""COMPUTED_VALUE"""),"Killed")</f>
        <v>Killed</v>
      </c>
      <c r="H701" s="26" t="str">
        <f>IFERROR(__xludf.DUMMYFUNCTION("""COMPUTED_VALUE"""),"Firearm")</f>
        <v>Firearm</v>
      </c>
      <c r="I701" s="27" t="str">
        <f>IFERROR(__xludf.DUMMYFUNCTION("""COMPUTED_VALUE"""),"M")</f>
        <v>M</v>
      </c>
      <c r="J701" s="27" t="str">
        <f>IFERROR(__xludf.DUMMYFUNCTION("""COMPUTED_VALUE"""),"W")</f>
        <v>W</v>
      </c>
      <c r="K701" s="27">
        <f>IFERROR(__xludf.DUMMYFUNCTION("""COMPUTED_VALUE"""),38.0)</f>
        <v>38</v>
      </c>
      <c r="L701" s="27" t="str">
        <f>IFERROR(__xludf.DUMMYFUNCTION("""COMPUTED_VALUE"""),"None")</f>
        <v>None</v>
      </c>
      <c r="M701" s="27" t="str">
        <f>IFERROR(__xludf.DUMMYFUNCTION("""COMPUTED_VALUE"""),"Y")</f>
        <v>Y</v>
      </c>
      <c r="N701" s="24"/>
      <c r="O701" s="24"/>
      <c r="P701" s="24"/>
      <c r="Q701" s="24"/>
      <c r="R701" s="24"/>
      <c r="S701" s="24"/>
      <c r="T701" s="24"/>
      <c r="U701" s="24"/>
      <c r="V701" s="24"/>
      <c r="W701" s="24"/>
      <c r="X701" s="24"/>
      <c r="Y701" s="24"/>
      <c r="Z701" s="24"/>
    </row>
    <row r="702" hidden="1">
      <c r="A702" s="29">
        <f>IFERROR(__xludf.DUMMYFUNCTION("""COMPUTED_VALUE"""),38691.0)</f>
        <v>38691</v>
      </c>
      <c r="B702" s="24">
        <f>IFERROR(__xludf.DUMMYFUNCTION("""COMPUTED_VALUE"""),1.83852305E8)</f>
        <v>183852305</v>
      </c>
      <c r="C702" s="24" t="str">
        <f>IFERROR(__xludf.DUMMYFUNCTION("""COMPUTED_VALUE"""),"6500 Dunlap")</f>
        <v>6500 Dunlap</v>
      </c>
      <c r="D702" s="26" t="str">
        <f>IFERROR(__xludf.DUMMYFUNCTION("""COMPUTED_VALUE"""),"M")</f>
        <v>M</v>
      </c>
      <c r="E702" s="26" t="str">
        <f>IFERROR(__xludf.DUMMYFUNCTION("""COMPUTED_VALUE"""),"B")</f>
        <v>B</v>
      </c>
      <c r="F702" s="26">
        <f>IFERROR(__xludf.DUMMYFUNCTION("""COMPUTED_VALUE"""),22.0)</f>
        <v>22</v>
      </c>
      <c r="G702" s="26" t="str">
        <f>IFERROR(__xludf.DUMMYFUNCTION("""COMPUTED_VALUE"""),"Wounded")</f>
        <v>Wounded</v>
      </c>
      <c r="H702" s="26" t="str">
        <f>IFERROR(__xludf.DUMMYFUNCTION("""COMPUTED_VALUE"""),"Firearm")</f>
        <v>Firearm</v>
      </c>
      <c r="I702" s="27" t="str">
        <f>IFERROR(__xludf.DUMMYFUNCTION("""COMPUTED_VALUE"""),"M")</f>
        <v>M</v>
      </c>
      <c r="J702" s="27" t="str">
        <f>IFERROR(__xludf.DUMMYFUNCTION("""COMPUTED_VALUE"""),"H")</f>
        <v>H</v>
      </c>
      <c r="K702" s="27">
        <f>IFERROR(__xludf.DUMMYFUNCTION("""COMPUTED_VALUE"""),37.0)</f>
        <v>37</v>
      </c>
      <c r="L702" s="27" t="str">
        <f>IFERROR(__xludf.DUMMYFUNCTION("""COMPUTED_VALUE"""),"None")</f>
        <v>None</v>
      </c>
      <c r="M702" s="27" t="str">
        <f>IFERROR(__xludf.DUMMYFUNCTION("""COMPUTED_VALUE"""),"Y")</f>
        <v>Y</v>
      </c>
      <c r="N702" s="24"/>
      <c r="O702" s="24"/>
      <c r="P702" s="28" t="str">
        <f>IFERROR(__xludf.DUMMYFUNCTION("""COMPUTED_VALUE"""),"The suspecy vehicle was pulled over on traffic after recieving a stolen hit on the license plate number. As the officers were attempting to detain the suspects the passenger in the vehicle gout out with a pistol in his hand and pointed it at a officer for"&amp;"cing the officer to shoot.")</f>
        <v>The suspecy vehicle was pulled over on traffic after recieving a stolen hit on the license plate number. As the officers were attempting to detain the suspects the passenger in the vehicle gout out with a pistol in his hand and pointed it at a officer forcing the officer to shoot.</v>
      </c>
      <c r="Q702" s="24"/>
      <c r="R702" s="24"/>
      <c r="S702" s="24"/>
      <c r="T702" s="24"/>
      <c r="U702" s="24"/>
      <c r="V702" s="24"/>
      <c r="W702" s="24"/>
      <c r="X702" s="24"/>
      <c r="Y702" s="24"/>
      <c r="Z702" s="24"/>
    </row>
    <row r="703">
      <c r="A703" s="29">
        <f>IFERROR(__xludf.DUMMYFUNCTION("""COMPUTED_VALUE"""),38684.0)</f>
        <v>38684</v>
      </c>
      <c r="B703" s="24">
        <f>IFERROR(__xludf.DUMMYFUNCTION("""COMPUTED_VALUE"""),1.79844005E8)</f>
        <v>179844005</v>
      </c>
      <c r="C703" s="24" t="str">
        <f>IFERROR(__xludf.DUMMYFUNCTION("""COMPUTED_VALUE"""),"1816 West Little York")</f>
        <v>1816 West Little York</v>
      </c>
      <c r="D703" s="26" t="str">
        <f>IFERROR(__xludf.DUMMYFUNCTION("""COMPUTED_VALUE"""),"Juvenile")</f>
        <v>Juvenile</v>
      </c>
      <c r="E703" s="26" t="str">
        <f>IFERROR(__xludf.DUMMYFUNCTION("""COMPUTED_VALUE"""),"Juvenile")</f>
        <v>Juvenile</v>
      </c>
      <c r="F703" s="26"/>
      <c r="G703" s="26" t="str">
        <f>IFERROR(__xludf.DUMMYFUNCTION("""COMPUTED_VALUE"""),"None")</f>
        <v>None</v>
      </c>
      <c r="H703" s="26" t="str">
        <f>IFERROR(__xludf.DUMMYFUNCTION("""COMPUTED_VALUE"""),"Firearm")</f>
        <v>Firearm</v>
      </c>
      <c r="I703" s="27" t="str">
        <f>IFERROR(__xludf.DUMMYFUNCTION("""COMPUTED_VALUE"""),"F")</f>
        <v>F</v>
      </c>
      <c r="J703" s="27" t="str">
        <f>IFERROR(__xludf.DUMMYFUNCTION("""COMPUTED_VALUE"""),"W")</f>
        <v>W</v>
      </c>
      <c r="K703" s="27">
        <f>IFERROR(__xludf.DUMMYFUNCTION("""COMPUTED_VALUE"""),43.0)</f>
        <v>43</v>
      </c>
      <c r="L703" s="27" t="str">
        <f>IFERROR(__xludf.DUMMYFUNCTION("""COMPUTED_VALUE"""),"None")</f>
        <v>None</v>
      </c>
      <c r="M703" s="27" t="str">
        <f>IFERROR(__xludf.DUMMYFUNCTION("""COMPUTED_VALUE"""),"Y")</f>
        <v>Y</v>
      </c>
      <c r="N703" s="24"/>
      <c r="O703" s="24">
        <f>IFERROR(__xludf.DUMMYFUNCTION("""COMPUTED_VALUE"""),1.0)</f>
        <v>1</v>
      </c>
      <c r="P703" s="28" t="str">
        <f>IFERROR(__xludf.DUMMYFUNCTION("""COMPUTED_VALUE"""),"The suspect was parked in the driveway of an abandoned house so a call for a suspicious vehicle was called into the police. The officer arrived and approached the vehicel at which time the suspect was found to be sleeping. The officer woke the suspect who"&amp;" then refused to open the door. the suspect then pulled out a weapon and pointed it at the officer forcing the officer to shoot.")</f>
        <v>The suspect was parked in the driveway of an abandoned house so a call for a suspicious vehicle was called into the police. The officer arrived and approached the vehicel at which time the suspect was found to be sleeping. The officer woke the suspect who then refused to open the door. the suspect then pulled out a weapon and pointed it at the officer forcing the officer to shoot.</v>
      </c>
      <c r="Q703" s="24"/>
      <c r="R703" s="24"/>
      <c r="S703" s="24"/>
      <c r="T703" s="24"/>
      <c r="U703" s="24"/>
      <c r="V703" s="24"/>
      <c r="W703" s="24"/>
      <c r="X703" s="24"/>
      <c r="Y703" s="24"/>
      <c r="Z703" s="24"/>
    </row>
    <row r="704" hidden="1">
      <c r="A704" s="29">
        <f>IFERROR(__xludf.DUMMYFUNCTION("""COMPUTED_VALUE"""),38663.0)</f>
        <v>38663</v>
      </c>
      <c r="B704" s="24">
        <f>IFERROR(__xludf.DUMMYFUNCTION("""COMPUTED_VALUE"""),1.69240405E8)</f>
        <v>169240405</v>
      </c>
      <c r="C704" s="24" t="str">
        <f>IFERROR(__xludf.DUMMYFUNCTION("""COMPUTED_VALUE"""),"3209 North Shepherd")</f>
        <v>3209 North Shepherd</v>
      </c>
      <c r="D704" s="26" t="str">
        <f>IFERROR(__xludf.DUMMYFUNCTION("""COMPUTED_VALUE"""),"F")</f>
        <v>F</v>
      </c>
      <c r="E704" s="26" t="str">
        <f>IFERROR(__xludf.DUMMYFUNCTION("""COMPUTED_VALUE"""),"W")</f>
        <v>W</v>
      </c>
      <c r="F704" s="26">
        <f>IFERROR(__xludf.DUMMYFUNCTION("""COMPUTED_VALUE"""),48.0)</f>
        <v>48</v>
      </c>
      <c r="G704" s="26" t="str">
        <f>IFERROR(__xludf.DUMMYFUNCTION("""COMPUTED_VALUE"""),"Killed")</f>
        <v>Killed</v>
      </c>
      <c r="H704" s="26" t="str">
        <f>IFERROR(__xludf.DUMMYFUNCTION("""COMPUTED_VALUE"""),"Firearm")</f>
        <v>Firearm</v>
      </c>
      <c r="I704" s="27" t="str">
        <f>IFERROR(__xludf.DUMMYFUNCTION("""COMPUTED_VALUE"""),"M")</f>
        <v>M</v>
      </c>
      <c r="J704" s="27" t="str">
        <f>IFERROR(__xludf.DUMMYFUNCTION("""COMPUTED_VALUE"""),"W")</f>
        <v>W</v>
      </c>
      <c r="K704" s="27">
        <f>IFERROR(__xludf.DUMMYFUNCTION("""COMPUTED_VALUE"""),37.0)</f>
        <v>37</v>
      </c>
      <c r="L704" s="27" t="str">
        <f>IFERROR(__xludf.DUMMYFUNCTION("""COMPUTED_VALUE"""),"None")</f>
        <v>None</v>
      </c>
      <c r="M704" s="27" t="str">
        <f>IFERROR(__xludf.DUMMYFUNCTION("""COMPUTED_VALUE"""),"Y")</f>
        <v>Y</v>
      </c>
      <c r="N704" s="24"/>
      <c r="O704" s="24">
        <f>IFERROR(__xludf.DUMMYFUNCTION("""COMPUTED_VALUE"""),1.0)</f>
        <v>1</v>
      </c>
      <c r="P704" s="24" t="str">
        <f>IFERROR(__xludf.DUMMYFUNCTION("""COMPUTED_VALUE"""),"The officers stopped a vehicle in which the passenger was with an armed suspect and as the officers were getting into position to approach the suspect vehicle they could see the ocupants fighting. A pistol was then thrown out of the vehicle at which time "&amp;"the suspect got out and ran to the pistol while the passenger was attempting to keep the pistol away but the suspect was able to grab it forcing the officers to shoot.")</f>
        <v>The officers stopped a vehicle in which the passenger was with an armed suspect and as the officers were getting into position to approach the suspect vehicle they could see the ocupants fighting. A pistol was then thrown out of the vehicle at which time the suspect got out and ran to the pistol while the passenger was attempting to keep the pistol away but the suspect was able to grab it forcing the officers to shoot.</v>
      </c>
      <c r="Q704" s="24"/>
      <c r="R704" s="24"/>
      <c r="S704" s="24"/>
      <c r="T704" s="24"/>
      <c r="U704" s="24"/>
      <c r="V704" s="24"/>
      <c r="W704" s="24"/>
      <c r="X704" s="24"/>
      <c r="Y704" s="24"/>
      <c r="Z704" s="24"/>
    </row>
    <row r="705" hidden="1">
      <c r="A705" s="29">
        <f>IFERROR(__xludf.DUMMYFUNCTION("""COMPUTED_VALUE"""),38663.0)</f>
        <v>38663</v>
      </c>
      <c r="B705" s="24">
        <f>IFERROR(__xludf.DUMMYFUNCTION("""COMPUTED_VALUE"""),1.69240405E8)</f>
        <v>169240405</v>
      </c>
      <c r="C705" s="24" t="str">
        <f>IFERROR(__xludf.DUMMYFUNCTION("""COMPUTED_VALUE"""),"3209 North Shepherd")</f>
        <v>3209 North Shepherd</v>
      </c>
      <c r="D705" s="26" t="str">
        <f>IFERROR(__xludf.DUMMYFUNCTION("""COMPUTED_VALUE"""),"F")</f>
        <v>F</v>
      </c>
      <c r="E705" s="26" t="str">
        <f>IFERROR(__xludf.DUMMYFUNCTION("""COMPUTED_VALUE"""),"W")</f>
        <v>W</v>
      </c>
      <c r="F705" s="26">
        <f>IFERROR(__xludf.DUMMYFUNCTION("""COMPUTED_VALUE"""),48.0)</f>
        <v>48</v>
      </c>
      <c r="G705" s="26" t="str">
        <f>IFERROR(__xludf.DUMMYFUNCTION("""COMPUTED_VALUE"""),"Killed")</f>
        <v>Killed</v>
      </c>
      <c r="H705" s="26" t="str">
        <f>IFERROR(__xludf.DUMMYFUNCTION("""COMPUTED_VALUE"""),"Firearm")</f>
        <v>Firearm</v>
      </c>
      <c r="I705" s="27" t="str">
        <f>IFERROR(__xludf.DUMMYFUNCTION("""COMPUTED_VALUE"""),"M")</f>
        <v>M</v>
      </c>
      <c r="J705" s="27" t="str">
        <f>IFERROR(__xludf.DUMMYFUNCTION("""COMPUTED_VALUE"""),"W")</f>
        <v>W</v>
      </c>
      <c r="K705" s="27">
        <f>IFERROR(__xludf.DUMMYFUNCTION("""COMPUTED_VALUE"""),45.0)</f>
        <v>45</v>
      </c>
      <c r="L705" s="27" t="str">
        <f>IFERROR(__xludf.DUMMYFUNCTION("""COMPUTED_VALUE"""),"None")</f>
        <v>None</v>
      </c>
      <c r="M705" s="27" t="str">
        <f>IFERROR(__xludf.DUMMYFUNCTION("""COMPUTED_VALUE"""),"Y")</f>
        <v>Y</v>
      </c>
      <c r="N705" s="24"/>
      <c r="O705" s="24">
        <f>IFERROR(__xludf.DUMMYFUNCTION("""COMPUTED_VALUE"""),1.0)</f>
        <v>1</v>
      </c>
      <c r="P705" s="24" t="str">
        <f>IFERROR(__xludf.DUMMYFUNCTION("""COMPUTED_VALUE"""),"The officers stopped a vehicle in which the passenger was with an armed suspect and as the officers were getting into position to approach the suspect vehicle they could see the ocupants fighting. A pistol was then thrown out of the vehicle at which time "&amp;"the suspect got out and ran to the pistol while the passenger was attempting to keep the pistol away but the suspect was able to grab it forcing the officers to shoot.")</f>
        <v>The officers stopped a vehicle in which the passenger was with an armed suspect and as the officers were getting into position to approach the suspect vehicle they could see the ocupants fighting. A pistol was then thrown out of the vehicle at which time the suspect got out and ran to the pistol while the passenger was attempting to keep the pistol away but the suspect was able to grab it forcing the officers to shoot.</v>
      </c>
      <c r="Q705" s="24"/>
      <c r="R705" s="24"/>
      <c r="S705" s="24"/>
      <c r="T705" s="24"/>
      <c r="U705" s="24"/>
      <c r="V705" s="24"/>
      <c r="W705" s="24"/>
      <c r="X705" s="24"/>
      <c r="Y705" s="24"/>
      <c r="Z705" s="24"/>
    </row>
    <row r="706" hidden="1">
      <c r="A706" s="29">
        <f>IFERROR(__xludf.DUMMYFUNCTION("""COMPUTED_VALUE"""),38663.0)</f>
        <v>38663</v>
      </c>
      <c r="B706" s="24">
        <f>IFERROR(__xludf.DUMMYFUNCTION("""COMPUTED_VALUE"""),1.69240405E8)</f>
        <v>169240405</v>
      </c>
      <c r="C706" s="24" t="str">
        <f>IFERROR(__xludf.DUMMYFUNCTION("""COMPUTED_VALUE"""),"3209 North Shepherd")</f>
        <v>3209 North Shepherd</v>
      </c>
      <c r="D706" s="26" t="str">
        <f>IFERROR(__xludf.DUMMYFUNCTION("""COMPUTED_VALUE"""),"F")</f>
        <v>F</v>
      </c>
      <c r="E706" s="26" t="str">
        <f>IFERROR(__xludf.DUMMYFUNCTION("""COMPUTED_VALUE"""),"W")</f>
        <v>W</v>
      </c>
      <c r="F706" s="26">
        <f>IFERROR(__xludf.DUMMYFUNCTION("""COMPUTED_VALUE"""),48.0)</f>
        <v>48</v>
      </c>
      <c r="G706" s="26" t="str">
        <f>IFERROR(__xludf.DUMMYFUNCTION("""COMPUTED_VALUE"""),"Killed")</f>
        <v>Killed</v>
      </c>
      <c r="H706" s="26" t="str">
        <f>IFERROR(__xludf.DUMMYFUNCTION("""COMPUTED_VALUE"""),"Firearm")</f>
        <v>Firearm</v>
      </c>
      <c r="I706" s="27" t="str">
        <f>IFERROR(__xludf.DUMMYFUNCTION("""COMPUTED_VALUE"""),"M")</f>
        <v>M</v>
      </c>
      <c r="J706" s="27" t="str">
        <f>IFERROR(__xludf.DUMMYFUNCTION("""COMPUTED_VALUE"""),"W")</f>
        <v>W</v>
      </c>
      <c r="K706" s="27">
        <f>IFERROR(__xludf.DUMMYFUNCTION("""COMPUTED_VALUE"""),28.0)</f>
        <v>28</v>
      </c>
      <c r="L706" s="27" t="str">
        <f>IFERROR(__xludf.DUMMYFUNCTION("""COMPUTED_VALUE"""),"None")</f>
        <v>None</v>
      </c>
      <c r="M706" s="27" t="str">
        <f>IFERROR(__xludf.DUMMYFUNCTION("""COMPUTED_VALUE"""),"Y")</f>
        <v>Y</v>
      </c>
      <c r="N706" s="24"/>
      <c r="O706" s="24">
        <f>IFERROR(__xludf.DUMMYFUNCTION("""COMPUTED_VALUE"""),1.0)</f>
        <v>1</v>
      </c>
      <c r="P706" s="24" t="str">
        <f>IFERROR(__xludf.DUMMYFUNCTION("""COMPUTED_VALUE"""),"The officers stopped a vehicle in which the passenger was with an armed suspect and as the officers were getting into position to approach the suspect vehicle they could see the ocupants fighting. A pistol was then thrown out of the vehicle at which time "&amp;"the suspect got out and ran to the pistol while the passenger was attempting to keep the pistol away but the suspect was able to grab it forcing the officers to shoot.")</f>
        <v>The officers stopped a vehicle in which the passenger was with an armed suspect and as the officers were getting into position to approach the suspect vehicle they could see the ocupants fighting. A pistol was then thrown out of the vehicle at which time the suspect got out and ran to the pistol while the passenger was attempting to keep the pistol away but the suspect was able to grab it forcing the officers to shoot.</v>
      </c>
      <c r="Q706" s="24"/>
      <c r="R706" s="24"/>
      <c r="S706" s="24"/>
      <c r="T706" s="24"/>
      <c r="U706" s="24"/>
      <c r="V706" s="24"/>
      <c r="W706" s="24"/>
      <c r="X706" s="24"/>
      <c r="Y706" s="24"/>
      <c r="Z706" s="24"/>
    </row>
    <row r="707">
      <c r="A707" s="29">
        <f>IFERROR(__xludf.DUMMYFUNCTION("""COMPUTED_VALUE"""),38651.0)</f>
        <v>38651</v>
      </c>
      <c r="B707" s="24">
        <f>IFERROR(__xludf.DUMMYFUNCTION("""COMPUTED_VALUE"""),1.63031105E8)</f>
        <v>163031105</v>
      </c>
      <c r="C707" s="24" t="str">
        <f>IFERROR(__xludf.DUMMYFUNCTION("""COMPUTED_VALUE"""),"6800 Petrie")</f>
        <v>6800 Petrie</v>
      </c>
      <c r="D707" s="26" t="str">
        <f>IFERROR(__xludf.DUMMYFUNCTION("""COMPUTED_VALUE"""),"M")</f>
        <v>M</v>
      </c>
      <c r="E707" s="26" t="str">
        <f>IFERROR(__xludf.DUMMYFUNCTION("""COMPUTED_VALUE"""),"H")</f>
        <v>H</v>
      </c>
      <c r="F707" s="26"/>
      <c r="G707" s="26" t="str">
        <f>IFERROR(__xludf.DUMMYFUNCTION("""COMPUTED_VALUE"""),"None")</f>
        <v>None</v>
      </c>
      <c r="H707" s="26" t="str">
        <f>IFERROR(__xludf.DUMMYFUNCTION("""COMPUTED_VALUE"""),"Firearm")</f>
        <v>Firearm</v>
      </c>
      <c r="I707" s="27" t="str">
        <f>IFERROR(__xludf.DUMMYFUNCTION("""COMPUTED_VALUE"""),"M")</f>
        <v>M</v>
      </c>
      <c r="J707" s="27" t="str">
        <f>IFERROR(__xludf.DUMMYFUNCTION("""COMPUTED_VALUE"""),"H")</f>
        <v>H</v>
      </c>
      <c r="K707" s="27">
        <f>IFERROR(__xludf.DUMMYFUNCTION("""COMPUTED_VALUE"""),34.0)</f>
        <v>34</v>
      </c>
      <c r="L707" s="27" t="str">
        <f>IFERROR(__xludf.DUMMYFUNCTION("""COMPUTED_VALUE"""),"None")</f>
        <v>None</v>
      </c>
      <c r="M707" s="27" t="str">
        <f>IFERROR(__xludf.DUMMYFUNCTION("""COMPUTED_VALUE"""),"N")</f>
        <v>N</v>
      </c>
      <c r="N707" s="24"/>
      <c r="O707" s="24">
        <f>IFERROR(__xludf.DUMMYFUNCTION("""COMPUTED_VALUE"""),1.0)</f>
        <v>1</v>
      </c>
      <c r="P707" s="28" t="str">
        <f>IFERROR(__xludf.DUMMYFUNCTION("""COMPUTED_VALUE"""),"The officer saw a group of robbery suspects fleeing from the location of the robbery. The suspects got into a vehicle and fled the scene with the officer following. The suspects turned into a dead end street which gave the officer a chance to box the susp"&amp;"ects in but the suspects turned around and drove at the officer. The officer saw the front passenger with a weapon pointing at him so he shot at the vehicle prior to it ramming the officers vehicle to get away.")</f>
        <v>The officer saw a group of robbery suspects fleeing from the location of the robbery. The suspects got into a vehicle and fled the scene with the officer following. The suspects turned into a dead end street which gave the officer a chance to box the suspects in but the suspects turned around and drove at the officer. The officer saw the front passenger with a weapon pointing at him so he shot at the vehicle prior to it ramming the officers vehicle to get away.</v>
      </c>
      <c r="Q707" s="24"/>
      <c r="R707" s="24"/>
      <c r="S707" s="24"/>
      <c r="T707" s="24"/>
      <c r="U707" s="24"/>
      <c r="V707" s="24"/>
      <c r="W707" s="24"/>
      <c r="X707" s="24"/>
      <c r="Y707" s="24"/>
      <c r="Z707" s="24"/>
    </row>
    <row r="708" hidden="1">
      <c r="A708" s="29">
        <f>IFERROR(__xludf.DUMMYFUNCTION("""COMPUTED_VALUE"""),38604.0)</f>
        <v>38604</v>
      </c>
      <c r="B708" s="24">
        <f>IFERROR(__xludf.DUMMYFUNCTION("""COMPUTED_VALUE"""),1.38241605E8)</f>
        <v>138241605</v>
      </c>
      <c r="C708" s="24" t="str">
        <f>IFERROR(__xludf.DUMMYFUNCTION("""COMPUTED_VALUE"""),"5600 Sheraton Oaks")</f>
        <v>5600 Sheraton Oaks</v>
      </c>
      <c r="D708" s="26" t="str">
        <f>IFERROR(__xludf.DUMMYFUNCTION("""COMPUTED_VALUE"""),"M")</f>
        <v>M</v>
      </c>
      <c r="E708" s="26" t="str">
        <f>IFERROR(__xludf.DUMMYFUNCTION("""COMPUTED_VALUE"""),"H")</f>
        <v>H</v>
      </c>
      <c r="F708" s="26">
        <f>IFERROR(__xludf.DUMMYFUNCTION("""COMPUTED_VALUE"""),32.0)</f>
        <v>32</v>
      </c>
      <c r="G708" s="26" t="str">
        <f>IFERROR(__xludf.DUMMYFUNCTION("""COMPUTED_VALUE"""),"Killed")</f>
        <v>Killed</v>
      </c>
      <c r="H708" s="26" t="str">
        <f>IFERROR(__xludf.DUMMYFUNCTION("""COMPUTED_VALUE"""),"Physical Force")</f>
        <v>Physical Force</v>
      </c>
      <c r="I708" s="27" t="str">
        <f>IFERROR(__xludf.DUMMYFUNCTION("""COMPUTED_VALUE"""),"M")</f>
        <v>M</v>
      </c>
      <c r="J708" s="27" t="str">
        <f>IFERROR(__xludf.DUMMYFUNCTION("""COMPUTED_VALUE"""),"W")</f>
        <v>W</v>
      </c>
      <c r="K708" s="27">
        <f>IFERROR(__xludf.DUMMYFUNCTION("""COMPUTED_VALUE"""),28.0)</f>
        <v>28</v>
      </c>
      <c r="L708" s="27" t="str">
        <f>IFERROR(__xludf.DUMMYFUNCTION("""COMPUTED_VALUE"""),"Wounded")</f>
        <v>Wounded</v>
      </c>
      <c r="M708" s="27" t="str">
        <f>IFERROR(__xludf.DUMMYFUNCTION("""COMPUTED_VALUE"""),"Y")</f>
        <v>Y</v>
      </c>
      <c r="N708" s="24"/>
      <c r="O708" s="24">
        <f>IFERROR(__xludf.DUMMYFUNCTION("""COMPUTED_VALUE"""),1.0)</f>
        <v>1</v>
      </c>
      <c r="P708" s="24" t="str">
        <f>IFERROR(__xludf.DUMMYFUNCTION("""COMPUTED_VALUE"""),"The officer located a suspect who was reported to have tried to abduct a group of young girls. The officer pulled the suspect's vehicle over and was handcuffing the suspect when the suspect fought back. The suspect managed to get the officer on the ground"&amp;" and began hitting the officer with the handcuffs and then started choking the officer. The suspect then went for the officers firearm allowing the officer to manuver to a position that allowed him to get to his firearm and shoot the suspect.")</f>
        <v>The officer located a suspect who was reported to have tried to abduct a group of young girls. The officer pulled the suspect's vehicle over and was handcuffing the suspect when the suspect fought back. The suspect managed to get the officer on the ground and began hitting the officer with the handcuffs and then started choking the officer. The suspect then went for the officers firearm allowing the officer to manuver to a position that allowed him to get to his firearm and shoot the suspect.</v>
      </c>
      <c r="Q708" s="24"/>
      <c r="R708" s="24"/>
      <c r="S708" s="24"/>
      <c r="T708" s="24"/>
      <c r="U708" s="24"/>
      <c r="V708" s="24"/>
      <c r="W708" s="24"/>
      <c r="X708" s="24"/>
      <c r="Y708" s="24"/>
      <c r="Z708" s="24"/>
    </row>
    <row r="709">
      <c r="A709" s="29">
        <f>IFERROR(__xludf.DUMMYFUNCTION("""COMPUTED_VALUE"""),38601.0)</f>
        <v>38601</v>
      </c>
      <c r="B709" s="24">
        <f>IFERROR(__xludf.DUMMYFUNCTION("""COMPUTED_VALUE"""),1.52782805E8)</f>
        <v>152782805</v>
      </c>
      <c r="C709" s="24" t="str">
        <f>IFERROR(__xludf.DUMMYFUNCTION("""COMPUTED_VALUE"""),"7400 South Hall St")</f>
        <v>7400 South Hall St</v>
      </c>
      <c r="D709" s="26" t="str">
        <f>IFERROR(__xludf.DUMMYFUNCTION("""COMPUTED_VALUE"""),"M")</f>
        <v>M</v>
      </c>
      <c r="E709" s="26" t="str">
        <f>IFERROR(__xludf.DUMMYFUNCTION("""COMPUTED_VALUE"""),"B")</f>
        <v>B</v>
      </c>
      <c r="F709" s="26">
        <f>IFERROR(__xludf.DUMMYFUNCTION("""COMPUTED_VALUE"""),23.0)</f>
        <v>23</v>
      </c>
      <c r="G709" s="26" t="str">
        <f>IFERROR(__xludf.DUMMYFUNCTION("""COMPUTED_VALUE"""),"None")</f>
        <v>None</v>
      </c>
      <c r="H709" s="26" t="str">
        <f>IFERROR(__xludf.DUMMYFUNCTION("""COMPUTED_VALUE"""),"Vehicle")</f>
        <v>Vehicle</v>
      </c>
      <c r="I709" s="27" t="str">
        <f>IFERROR(__xludf.DUMMYFUNCTION("""COMPUTED_VALUE"""),"M")</f>
        <v>M</v>
      </c>
      <c r="J709" s="27" t="str">
        <f>IFERROR(__xludf.DUMMYFUNCTION("""COMPUTED_VALUE"""),"W")</f>
        <v>W</v>
      </c>
      <c r="K709" s="27">
        <f>IFERROR(__xludf.DUMMYFUNCTION("""COMPUTED_VALUE"""),36.0)</f>
        <v>36</v>
      </c>
      <c r="L709" s="27" t="str">
        <f>IFERROR(__xludf.DUMMYFUNCTION("""COMPUTED_VALUE"""),"None")</f>
        <v>None</v>
      </c>
      <c r="M709" s="27" t="str">
        <f>IFERROR(__xludf.DUMMYFUNCTION("""COMPUTED_VALUE"""),"Y")</f>
        <v>Y</v>
      </c>
      <c r="N709" s="24"/>
      <c r="O709" s="24">
        <f>IFERROR(__xludf.DUMMYFUNCTION("""COMPUTED_VALUE"""),1.0)</f>
        <v>1</v>
      </c>
      <c r="P709" s="28" t="str">
        <f>IFERROR(__xludf.DUMMYFUNCTION("""COMPUTED_VALUE"""),"The officer saw what was believed to be a narcotics transaction taking place so he pulledhis patrol car in behind the suspects vehicle. The officer got out of the vehicle and as he was approaching the vehicle the suspect drove right at the officer forcing"&amp;" the officer to shoot.")</f>
        <v>The officer saw what was believed to be a narcotics transaction taking place so he pulledhis patrol car in behind the suspects vehicle. The officer got out of the vehicle and as he was approaching the vehicle the suspect drove right at the officer forcing the officer to shoot.</v>
      </c>
      <c r="Q709" s="24"/>
      <c r="R709" s="24"/>
      <c r="S709" s="24"/>
      <c r="T709" s="24"/>
      <c r="U709" s="24"/>
      <c r="V709" s="24"/>
      <c r="W709" s="24"/>
      <c r="X709" s="24"/>
      <c r="Y709" s="24"/>
      <c r="Z709" s="24"/>
    </row>
    <row r="710">
      <c r="A710" s="29">
        <f>IFERROR(__xludf.DUMMYFUNCTION("""COMPUTED_VALUE"""),38580.0)</f>
        <v>38580</v>
      </c>
      <c r="B710" s="24">
        <f>IFERROR(__xludf.DUMMYFUNCTION("""COMPUTED_VALUE"""),1.25292305E8)</f>
        <v>125292305</v>
      </c>
      <c r="C710" s="24" t="str">
        <f>IFERROR(__xludf.DUMMYFUNCTION("""COMPUTED_VALUE"""),"3302 Creston Dr")</f>
        <v>3302 Creston Dr</v>
      </c>
      <c r="D710" s="26" t="str">
        <f>IFERROR(__xludf.DUMMYFUNCTION("""COMPUTED_VALUE"""),"M")</f>
        <v>M</v>
      </c>
      <c r="E710" s="26" t="str">
        <f>IFERROR(__xludf.DUMMYFUNCTION("""COMPUTED_VALUE"""),"B")</f>
        <v>B</v>
      </c>
      <c r="F710" s="26">
        <f>IFERROR(__xludf.DUMMYFUNCTION("""COMPUTED_VALUE"""),19.0)</f>
        <v>19</v>
      </c>
      <c r="G710" s="26" t="str">
        <f>IFERROR(__xludf.DUMMYFUNCTION("""COMPUTED_VALUE"""),"None")</f>
        <v>None</v>
      </c>
      <c r="H710" s="26" t="str">
        <f>IFERROR(__xludf.DUMMYFUNCTION("""COMPUTED_VALUE"""),"Physical Force")</f>
        <v>Physical Force</v>
      </c>
      <c r="I710" s="27" t="str">
        <f>IFERROR(__xludf.DUMMYFUNCTION("""COMPUTED_VALUE"""),"M")</f>
        <v>M</v>
      </c>
      <c r="J710" s="27" t="str">
        <f>IFERROR(__xludf.DUMMYFUNCTION("""COMPUTED_VALUE"""),"W")</f>
        <v>W</v>
      </c>
      <c r="K710" s="27">
        <f>IFERROR(__xludf.DUMMYFUNCTION("""COMPUTED_VALUE"""),28.0)</f>
        <v>28</v>
      </c>
      <c r="L710" s="27" t="str">
        <f>IFERROR(__xludf.DUMMYFUNCTION("""COMPUTED_VALUE"""),"None")</f>
        <v>None</v>
      </c>
      <c r="M710" s="27" t="str">
        <f>IFERROR(__xludf.DUMMYFUNCTION("""COMPUTED_VALUE"""),"Y")</f>
        <v>Y</v>
      </c>
      <c r="N710" s="24"/>
      <c r="O710" s="24">
        <f>IFERROR(__xludf.DUMMYFUNCTION("""COMPUTED_VALUE"""),1.0)</f>
        <v>1</v>
      </c>
      <c r="P710" s="28" t="str">
        <f>IFERROR(__xludf.DUMMYFUNCTION("""COMPUTED_VALUE"""),"The officer located a suspect who had robbed and sexually assaulted a person but when the officer attempted to arrest the suspect, the suspect attacked the officer. During the physical altercation the suspect punched and choked the officer and then attemp"&amp;"ted to get the officers pistol which forced the officer to shoot.")</f>
        <v>The officer located a suspect who had robbed and sexually assaulted a person but when the officer attempted to arrest the suspect, the suspect attacked the officer. During the physical altercation the suspect punched and choked the officer and then attempted to get the officers pistol which forced the officer to shoot.</v>
      </c>
      <c r="Q710" s="24"/>
      <c r="R710" s="24"/>
      <c r="S710" s="24"/>
      <c r="T710" s="24"/>
      <c r="U710" s="24"/>
      <c r="V710" s="24"/>
      <c r="W710" s="24"/>
      <c r="X710" s="24"/>
      <c r="Y710" s="24"/>
      <c r="Z710" s="24"/>
    </row>
    <row r="711" hidden="1">
      <c r="A711" s="29">
        <f>IFERROR(__xludf.DUMMYFUNCTION("""COMPUTED_VALUE"""),38574.0)</f>
        <v>38574</v>
      </c>
      <c r="B711" s="24">
        <f>IFERROR(__xludf.DUMMYFUNCTION("""COMPUTED_VALUE"""),1.22380905E8)</f>
        <v>122380905</v>
      </c>
      <c r="C711" s="24" t="str">
        <f>IFERROR(__xludf.DUMMYFUNCTION("""COMPUTED_VALUE"""),"3700 Mainer")</f>
        <v>3700 Mainer</v>
      </c>
      <c r="D711" s="26" t="str">
        <f>IFERROR(__xludf.DUMMYFUNCTION("""COMPUTED_VALUE"""),"M")</f>
        <v>M</v>
      </c>
      <c r="E711" s="26" t="str">
        <f>IFERROR(__xludf.DUMMYFUNCTION("""COMPUTED_VALUE"""),"B")</f>
        <v>B</v>
      </c>
      <c r="F711" s="26">
        <f>IFERROR(__xludf.DUMMYFUNCTION("""COMPUTED_VALUE"""),52.0)</f>
        <v>52</v>
      </c>
      <c r="G711" s="26" t="str">
        <f>IFERROR(__xludf.DUMMYFUNCTION("""COMPUTED_VALUE"""),"S")</f>
        <v>S</v>
      </c>
      <c r="H711" s="26" t="str">
        <f>IFERROR(__xludf.DUMMYFUNCTION("""COMPUTED_VALUE"""),"Firearm")</f>
        <v>Firearm</v>
      </c>
      <c r="I711" s="27" t="str">
        <f>IFERROR(__xludf.DUMMYFUNCTION("""COMPUTED_VALUE"""),"M")</f>
        <v>M</v>
      </c>
      <c r="J711" s="27" t="str">
        <f>IFERROR(__xludf.DUMMYFUNCTION("""COMPUTED_VALUE"""),"W")</f>
        <v>W</v>
      </c>
      <c r="K711" s="27">
        <f>IFERROR(__xludf.DUMMYFUNCTION("""COMPUTED_VALUE"""),28.0)</f>
        <v>28</v>
      </c>
      <c r="L711" s="27" t="str">
        <f>IFERROR(__xludf.DUMMYFUNCTION("""COMPUTED_VALUE"""),"None")</f>
        <v>None</v>
      </c>
      <c r="M711" s="27" t="str">
        <f>IFERROR(__xludf.DUMMYFUNCTION("""COMPUTED_VALUE"""),"Y")</f>
        <v>Y</v>
      </c>
      <c r="N711" s="24"/>
      <c r="O711" s="24">
        <f>IFERROR(__xludf.DUMMYFUNCTION("""COMPUTED_VALUE"""),1.0)</f>
        <v>1</v>
      </c>
      <c r="P711" s="24" t="str">
        <f>IFERROR(__xludf.DUMMYFUNCTION("""COMPUTED_VALUE"""),"The officer pulled the suspect over and as he was approaching the vehicle, the suspect began shooting at him forcing the officer return fire. The exchange of gunfire occurred multiple times but was stopped when the suspect took his own life.")</f>
        <v>The officer pulled the suspect over and as he was approaching the vehicle, the suspect began shooting at him forcing the officer return fire. The exchange of gunfire occurred multiple times but was stopped when the suspect took his own life.</v>
      </c>
      <c r="Q711" s="24"/>
      <c r="R711" s="24"/>
      <c r="S711" s="24"/>
      <c r="T711" s="24"/>
      <c r="U711" s="24"/>
      <c r="V711" s="24"/>
      <c r="W711" s="24"/>
      <c r="X711" s="24"/>
      <c r="Y711" s="24"/>
      <c r="Z711" s="24"/>
    </row>
    <row r="712">
      <c r="A712" s="29">
        <f>IFERROR(__xludf.DUMMYFUNCTION("""COMPUTED_VALUE"""),38570.0)</f>
        <v>38570</v>
      </c>
      <c r="B712" s="24">
        <f>IFERROR(__xludf.DUMMYFUNCTION("""COMPUTED_VALUE"""),1.20398305E8)</f>
        <v>120398305</v>
      </c>
      <c r="C712" s="24" t="str">
        <f>IFERROR(__xludf.DUMMYFUNCTION("""COMPUTED_VALUE"""),"2700 South Kirkwood")</f>
        <v>2700 South Kirkwood</v>
      </c>
      <c r="D712" s="26" t="str">
        <f>IFERROR(__xludf.DUMMYFUNCTION("""COMPUTED_VALUE"""),"M")</f>
        <v>M</v>
      </c>
      <c r="E712" s="26" t="str">
        <f>IFERROR(__xludf.DUMMYFUNCTION("""COMPUTED_VALUE"""),"B")</f>
        <v>B</v>
      </c>
      <c r="F712" s="26"/>
      <c r="G712" s="26" t="str">
        <f>IFERROR(__xludf.DUMMYFUNCTION("""COMPUTED_VALUE"""),"None")</f>
        <v>None</v>
      </c>
      <c r="H712" s="26" t="str">
        <f>IFERROR(__xludf.DUMMYFUNCTION("""COMPUTED_VALUE"""),"Vehicle")</f>
        <v>Vehicle</v>
      </c>
      <c r="I712" s="27" t="str">
        <f>IFERROR(__xludf.DUMMYFUNCTION("""COMPUTED_VALUE"""),"F")</f>
        <v>F</v>
      </c>
      <c r="J712" s="27" t="str">
        <f>IFERROR(__xludf.DUMMYFUNCTION("""COMPUTED_VALUE"""),"B")</f>
        <v>B</v>
      </c>
      <c r="K712" s="27">
        <f>IFERROR(__xludf.DUMMYFUNCTION("""COMPUTED_VALUE"""),34.0)</f>
        <v>34</v>
      </c>
      <c r="L712" s="27" t="str">
        <f>IFERROR(__xludf.DUMMYFUNCTION("""COMPUTED_VALUE"""),"None")</f>
        <v>None</v>
      </c>
      <c r="M712" s="27" t="str">
        <f>IFERROR(__xludf.DUMMYFUNCTION("""COMPUTED_VALUE"""),"N")</f>
        <v>N</v>
      </c>
      <c r="N712" s="24"/>
      <c r="O712" s="24">
        <f>IFERROR(__xludf.DUMMYFUNCTION("""COMPUTED_VALUE"""),1.0)</f>
        <v>1</v>
      </c>
      <c r="P712" s="28" t="str">
        <f>IFERROR(__xludf.DUMMYFUNCTION("""COMPUTED_VALUE"""),"The officer was attempting to detain a theft suspect when the suspect broke free from the officer and jumped into a vehicle. The suspect was fleeing from the scene and was driving right at a person forcing the officer to shoot at the suspect.")</f>
        <v>The officer was attempting to detain a theft suspect when the suspect broke free from the officer and jumped into a vehicle. The suspect was fleeing from the scene and was driving right at a person forcing the officer to shoot at the suspect.</v>
      </c>
      <c r="Q712" s="24"/>
      <c r="R712" s="24"/>
      <c r="S712" s="24"/>
      <c r="T712" s="24"/>
      <c r="U712" s="24"/>
      <c r="V712" s="24"/>
      <c r="W712" s="24"/>
      <c r="X712" s="24"/>
      <c r="Y712" s="24"/>
      <c r="Z712" s="24"/>
    </row>
    <row r="713" hidden="1">
      <c r="A713" s="29">
        <f>IFERROR(__xludf.DUMMYFUNCTION("""COMPUTED_VALUE"""),38558.0)</f>
        <v>38558</v>
      </c>
      <c r="B713" s="24">
        <f>IFERROR(__xludf.DUMMYFUNCTION("""COMPUTED_VALUE"""),1.13549405E8)</f>
        <v>113549405</v>
      </c>
      <c r="C713" s="24" t="str">
        <f>IFERROR(__xludf.DUMMYFUNCTION("""COMPUTED_VALUE"""),"644 Barringer Ln")</f>
        <v>644 Barringer Ln</v>
      </c>
      <c r="D713" s="26" t="str">
        <f>IFERROR(__xludf.DUMMYFUNCTION("""COMPUTED_VALUE"""),"F")</f>
        <v>F</v>
      </c>
      <c r="E713" s="26" t="str">
        <f>IFERROR(__xludf.DUMMYFUNCTION("""COMPUTED_VALUE"""),"W")</f>
        <v>W</v>
      </c>
      <c r="F713" s="26">
        <f>IFERROR(__xludf.DUMMYFUNCTION("""COMPUTED_VALUE"""),19.0)</f>
        <v>19</v>
      </c>
      <c r="G713" s="26" t="str">
        <f>IFERROR(__xludf.DUMMYFUNCTION("""COMPUTED_VALUE"""),"Killed")</f>
        <v>Killed</v>
      </c>
      <c r="H713" s="26" t="str">
        <f>IFERROR(__xludf.DUMMYFUNCTION("""COMPUTED_VALUE"""),"Firearm")</f>
        <v>Firearm</v>
      </c>
      <c r="I713" s="27" t="str">
        <f>IFERROR(__xludf.DUMMYFUNCTION("""COMPUTED_VALUE"""),"M")</f>
        <v>M</v>
      </c>
      <c r="J713" s="27" t="str">
        <f>IFERROR(__xludf.DUMMYFUNCTION("""COMPUTED_VALUE"""),"W")</f>
        <v>W</v>
      </c>
      <c r="K713" s="27">
        <f>IFERROR(__xludf.DUMMYFUNCTION("""COMPUTED_VALUE"""),49.0)</f>
        <v>49</v>
      </c>
      <c r="L713" s="27" t="str">
        <f>IFERROR(__xludf.DUMMYFUNCTION("""COMPUTED_VALUE"""),"None")</f>
        <v>None</v>
      </c>
      <c r="M713" s="27" t="str">
        <f>IFERROR(__xludf.DUMMYFUNCTION("""COMPUTED_VALUE"""),"Y")</f>
        <v>Y</v>
      </c>
      <c r="N713" s="24"/>
      <c r="O713" s="24">
        <f>IFERROR(__xludf.DUMMYFUNCTION("""COMPUTED_VALUE"""),1.0)</f>
        <v>1</v>
      </c>
      <c r="P713" s="24" t="str">
        <f>IFERROR(__xludf.DUMMYFUNCTION("""COMPUTED_VALUE"""),"The officers were chasing the armed robbery suspect on foot when they managed to catch up to her. The suspect refused to drop her weapon and instead chose to point the weapon at the officers forcing them to shoot.")</f>
        <v>The officers were chasing the armed robbery suspect on foot when they managed to catch up to her. The suspect refused to drop her weapon and instead chose to point the weapon at the officers forcing them to shoot.</v>
      </c>
      <c r="Q713" s="24"/>
      <c r="R713" s="24"/>
      <c r="S713" s="24"/>
      <c r="T713" s="24"/>
      <c r="U713" s="24"/>
      <c r="V713" s="24"/>
      <c r="W713" s="24"/>
      <c r="X713" s="24"/>
      <c r="Y713" s="24"/>
      <c r="Z713" s="24"/>
    </row>
    <row r="714">
      <c r="A714" s="29">
        <f>IFERROR(__xludf.DUMMYFUNCTION("""COMPUTED_VALUE"""),38555.0)</f>
        <v>38555</v>
      </c>
      <c r="B714" s="24">
        <f>IFERROR(__xludf.DUMMYFUNCTION("""COMPUTED_VALUE"""),1.12382105E8)</f>
        <v>112382105</v>
      </c>
      <c r="C714" s="24" t="str">
        <f>IFERROR(__xludf.DUMMYFUNCTION("""COMPUTED_VALUE"""),"12510 South Green")</f>
        <v>12510 South Green</v>
      </c>
      <c r="D714" s="26" t="str">
        <f>IFERROR(__xludf.DUMMYFUNCTION("""COMPUTED_VALUE"""),"M")</f>
        <v>M</v>
      </c>
      <c r="E714" s="26" t="str">
        <f>IFERROR(__xludf.DUMMYFUNCTION("""COMPUTED_VALUE"""),"B")</f>
        <v>B</v>
      </c>
      <c r="F714" s="26">
        <f>IFERROR(__xludf.DUMMYFUNCTION("""COMPUTED_VALUE"""),36.0)</f>
        <v>36</v>
      </c>
      <c r="G714" s="26" t="str">
        <f>IFERROR(__xludf.DUMMYFUNCTION("""COMPUTED_VALUE"""),"None")</f>
        <v>None</v>
      </c>
      <c r="H714" s="26" t="str">
        <f>IFERROR(__xludf.DUMMYFUNCTION("""COMPUTED_VALUE"""),"None")</f>
        <v>None</v>
      </c>
      <c r="I714" s="27" t="str">
        <f>IFERROR(__xludf.DUMMYFUNCTION("""COMPUTED_VALUE"""),"M")</f>
        <v>M</v>
      </c>
      <c r="J714" s="27" t="str">
        <f>IFERROR(__xludf.DUMMYFUNCTION("""COMPUTED_VALUE"""),"W")</f>
        <v>W</v>
      </c>
      <c r="K714" s="27">
        <f>IFERROR(__xludf.DUMMYFUNCTION("""COMPUTED_VALUE"""),36.0)</f>
        <v>36</v>
      </c>
      <c r="L714" s="27" t="str">
        <f>IFERROR(__xludf.DUMMYFUNCTION("""COMPUTED_VALUE"""),"None")</f>
        <v>None</v>
      </c>
      <c r="M714" s="27" t="str">
        <f>IFERROR(__xludf.DUMMYFUNCTION("""COMPUTED_VALUE"""),"Y")</f>
        <v>Y</v>
      </c>
      <c r="N714" s="24"/>
      <c r="O714" s="24">
        <f>IFERROR(__xludf.DUMMYFUNCTION("""COMPUTED_VALUE"""),1.0)</f>
        <v>1</v>
      </c>
      <c r="P714" s="28" t="str">
        <f>IFERROR(__xludf.DUMMYFUNCTION("""COMPUTED_VALUE"""),"The officer was conducting a narcotics operation when the suspect punched the officer. the two were then engaged in a physical confrontation until the suspect managed to knock the officer to the ground. The officer then saw the suspect act as if he was re"&amp;"aching for a weapon forcing the officer to shoot at the suspect.")</f>
        <v>The officer was conducting a narcotics operation when the suspect punched the officer. the two were then engaged in a physical confrontation until the suspect managed to knock the officer to the ground. The officer then saw the suspect act as if he was reaching for a weapon forcing the officer to shoot at the suspect.</v>
      </c>
      <c r="Q714" s="24"/>
      <c r="R714" s="24"/>
      <c r="S714" s="24"/>
      <c r="T714" s="24"/>
      <c r="U714" s="24"/>
      <c r="V714" s="24"/>
      <c r="W714" s="24"/>
      <c r="X714" s="24"/>
      <c r="Y714" s="24"/>
      <c r="Z714" s="24"/>
    </row>
    <row r="715" hidden="1">
      <c r="A715" s="29">
        <f>IFERROR(__xludf.DUMMYFUNCTION("""COMPUTED_VALUE"""),38553.0)</f>
        <v>38553</v>
      </c>
      <c r="B715" s="24">
        <f>IFERROR(__xludf.DUMMYFUNCTION("""COMPUTED_VALUE"""),1.10924105E8)</f>
        <v>110924105</v>
      </c>
      <c r="C715" s="24" t="str">
        <f>IFERROR(__xludf.DUMMYFUNCTION("""COMPUTED_VALUE"""),"9421 Richmond")</f>
        <v>9421 Richmond</v>
      </c>
      <c r="D715" s="26" t="str">
        <f>IFERROR(__xludf.DUMMYFUNCTION("""COMPUTED_VALUE"""),"M")</f>
        <v>M</v>
      </c>
      <c r="E715" s="26" t="str">
        <f>IFERROR(__xludf.DUMMYFUNCTION("""COMPUTED_VALUE"""),"W")</f>
        <v>W</v>
      </c>
      <c r="F715" s="26">
        <f>IFERROR(__xludf.DUMMYFUNCTION("""COMPUTED_VALUE"""),41.0)</f>
        <v>41</v>
      </c>
      <c r="G715" s="26" t="str">
        <f>IFERROR(__xludf.DUMMYFUNCTION("""COMPUTED_VALUE"""),"Killed")</f>
        <v>Killed</v>
      </c>
      <c r="H715" s="26" t="str">
        <f>IFERROR(__xludf.DUMMYFUNCTION("""COMPUTED_VALUE"""),"Firearm")</f>
        <v>Firearm</v>
      </c>
      <c r="I715" s="27" t="str">
        <f>IFERROR(__xludf.DUMMYFUNCTION("""COMPUTED_VALUE"""),"M")</f>
        <v>M</v>
      </c>
      <c r="J715" s="27" t="str">
        <f>IFERROR(__xludf.DUMMYFUNCTION("""COMPUTED_VALUE"""),"W")</f>
        <v>W</v>
      </c>
      <c r="K715" s="27">
        <f>IFERROR(__xludf.DUMMYFUNCTION("""COMPUTED_VALUE"""),56.0)</f>
        <v>56</v>
      </c>
      <c r="L715" s="27" t="str">
        <f>IFERROR(__xludf.DUMMYFUNCTION("""COMPUTED_VALUE"""),"None")</f>
        <v>None</v>
      </c>
      <c r="M715" s="27" t="str">
        <f>IFERROR(__xludf.DUMMYFUNCTION("""COMPUTED_VALUE"""),"Y")</f>
        <v>Y</v>
      </c>
      <c r="N715" s="24"/>
      <c r="O715" s="24">
        <f>IFERROR(__xludf.DUMMYFUNCTION("""COMPUTED_VALUE"""),1.0)</f>
        <v>1</v>
      </c>
      <c r="P715" s="24" t="str">
        <f>IFERROR(__xludf.DUMMYFUNCTION("""COMPUTED_VALUE"""),"The officers located the armed suspect who was waving his pistol in the air. The suspect refused to drop his weapon and instead pointed it at the officers forcing them to shoot.")</f>
        <v>The officers located the armed suspect who was waving his pistol in the air. The suspect refused to drop his weapon and instead pointed it at the officers forcing them to shoot.</v>
      </c>
      <c r="Q715" s="24"/>
      <c r="R715" s="24"/>
      <c r="S715" s="24"/>
      <c r="T715" s="24"/>
      <c r="U715" s="24"/>
      <c r="V715" s="24"/>
      <c r="W715" s="24"/>
      <c r="X715" s="24"/>
      <c r="Y715" s="24"/>
      <c r="Z715" s="24"/>
    </row>
    <row r="716" hidden="1">
      <c r="A716" s="29"/>
      <c r="B716" s="24"/>
      <c r="C716" s="24"/>
      <c r="D716" s="26"/>
      <c r="E716" s="26"/>
      <c r="F716" s="26"/>
      <c r="G716" s="26"/>
      <c r="H716" s="26"/>
      <c r="I716" s="27" t="str">
        <f>IFERROR(__xludf.DUMMYFUNCTION("""COMPUTED_VALUE"""),"M")</f>
        <v>M</v>
      </c>
      <c r="J716" s="27" t="str">
        <f>IFERROR(__xludf.DUMMYFUNCTION("""COMPUTED_VALUE"""),"W")</f>
        <v>W</v>
      </c>
      <c r="K716" s="27">
        <f>IFERROR(__xludf.DUMMYFUNCTION("""COMPUTED_VALUE"""),37.0)</f>
        <v>37</v>
      </c>
      <c r="L716" s="27" t="str">
        <f>IFERROR(__xludf.DUMMYFUNCTION("""COMPUTED_VALUE"""),"None")</f>
        <v>None</v>
      </c>
      <c r="M716" s="27" t="str">
        <f>IFERROR(__xludf.DUMMYFUNCTION("""COMPUTED_VALUE"""),"Y")</f>
        <v>Y</v>
      </c>
      <c r="N716" s="24"/>
      <c r="O716" s="24">
        <f>IFERROR(__xludf.DUMMYFUNCTION("""COMPUTED_VALUE"""),1.0)</f>
        <v>1</v>
      </c>
      <c r="P716" s="24"/>
      <c r="Q716" s="24"/>
      <c r="R716" s="24"/>
      <c r="S716" s="24"/>
      <c r="T716" s="24"/>
      <c r="U716" s="24"/>
      <c r="V716" s="24"/>
      <c r="W716" s="24"/>
      <c r="X716" s="24"/>
      <c r="Y716" s="24"/>
      <c r="Z716" s="24"/>
    </row>
    <row r="717" hidden="1">
      <c r="A717" s="29">
        <f>IFERROR(__xludf.DUMMYFUNCTION("""COMPUTED_VALUE"""),38552.0)</f>
        <v>38552</v>
      </c>
      <c r="B717" s="24">
        <f>IFERROR(__xludf.DUMMYFUNCTION("""COMPUTED_VALUE"""),1.10403105E8)</f>
        <v>110403105</v>
      </c>
      <c r="C717" s="24" t="str">
        <f>IFERROR(__xludf.DUMMYFUNCTION("""COMPUTED_VALUE"""),"Protected By Law")</f>
        <v>Protected By Law</v>
      </c>
      <c r="D717" s="26" t="str">
        <f>IFERROR(__xludf.DUMMYFUNCTION("""COMPUTED_VALUE"""),"M")</f>
        <v>M</v>
      </c>
      <c r="E717" s="26" t="str">
        <f>IFERROR(__xludf.DUMMYFUNCTION("""COMPUTED_VALUE"""),"H")</f>
        <v>H</v>
      </c>
      <c r="F717" s="26"/>
      <c r="G717" s="26" t="str">
        <f>IFERROR(__xludf.DUMMYFUNCTION("""COMPUTED_VALUE"""),"Wounded")</f>
        <v>Wounded</v>
      </c>
      <c r="H717" s="26" t="str">
        <f>IFERROR(__xludf.DUMMYFUNCTION("""COMPUTED_VALUE"""),"Firearm")</f>
        <v>Firearm</v>
      </c>
      <c r="I717" s="27" t="str">
        <f>IFERROR(__xludf.DUMMYFUNCTION("""COMPUTED_VALUE"""),"M")</f>
        <v>M</v>
      </c>
      <c r="J717" s="27" t="str">
        <f>IFERROR(__xludf.DUMMYFUNCTION("""COMPUTED_VALUE"""),"H")</f>
        <v>H</v>
      </c>
      <c r="K717" s="27">
        <f>IFERROR(__xludf.DUMMYFUNCTION("""COMPUTED_VALUE"""),34.0)</f>
        <v>34</v>
      </c>
      <c r="L717" s="27" t="str">
        <f>IFERROR(__xludf.DUMMYFUNCTION("""COMPUTED_VALUE"""),"None")</f>
        <v>None</v>
      </c>
      <c r="M717" s="27" t="str">
        <f>IFERROR(__xludf.DUMMYFUNCTION("""COMPUTED_VALUE"""),"N")</f>
        <v>N</v>
      </c>
      <c r="N717" s="24"/>
      <c r="O717" s="24">
        <f>IFERROR(__xludf.DUMMYFUNCTION("""COMPUTED_VALUE"""),1.0)</f>
        <v>1</v>
      </c>
      <c r="P717" s="28" t="str">
        <f>IFERROR(__xludf.DUMMYFUNCTION("""COMPUTED_VALUE"""),"The officer saw the suspects breaking into a motor vehicle and attempted to detain them as they were getting into a vehicle to flee. The suspect saw the officer and pulled out a weapon forcing the officer to shoot. The van left the scene but was recovered"&amp;" a short distance away with evidence that shows that the suspect was injurde by the officers gunshots.")</f>
        <v>The officer saw the suspects breaking into a motor vehicle and attempted to detain them as they were getting into a vehicle to flee. The suspect saw the officer and pulled out a weapon forcing the officer to shoot. The van left the scene but was recovered a short distance away with evidence that shows that the suspect was injurde by the officers gunshots.</v>
      </c>
      <c r="Q717" s="24"/>
      <c r="R717" s="24"/>
      <c r="S717" s="24"/>
      <c r="T717" s="24"/>
      <c r="U717" s="24"/>
      <c r="V717" s="24"/>
      <c r="W717" s="24"/>
      <c r="X717" s="24"/>
      <c r="Y717" s="24"/>
      <c r="Z717" s="24"/>
    </row>
    <row r="718">
      <c r="A718" s="29">
        <f>IFERROR(__xludf.DUMMYFUNCTION("""COMPUTED_VALUE"""),38550.0)</f>
        <v>38550</v>
      </c>
      <c r="B718" s="24">
        <f>IFERROR(__xludf.DUMMYFUNCTION("""COMPUTED_VALUE"""),1.09574205E8)</f>
        <v>109574205</v>
      </c>
      <c r="C718" s="24" t="str">
        <f>IFERROR(__xludf.DUMMYFUNCTION("""COMPUTED_VALUE"""),"Protected By Law")</f>
        <v>Protected By Law</v>
      </c>
      <c r="D718" s="26" t="str">
        <f>IFERROR(__xludf.DUMMYFUNCTION("""COMPUTED_VALUE"""),"Juvenile")</f>
        <v>Juvenile</v>
      </c>
      <c r="E718" s="26" t="str">
        <f>IFERROR(__xludf.DUMMYFUNCTION("""COMPUTED_VALUE"""),"Juvenile")</f>
        <v>Juvenile</v>
      </c>
      <c r="F718" s="26"/>
      <c r="G718" s="26" t="str">
        <f>IFERROR(__xludf.DUMMYFUNCTION("""COMPUTED_VALUE"""),"None")</f>
        <v>None</v>
      </c>
      <c r="H718" s="26" t="str">
        <f>IFERROR(__xludf.DUMMYFUNCTION("""COMPUTED_VALUE"""),"None")</f>
        <v>None</v>
      </c>
      <c r="I718" s="27" t="str">
        <f>IFERROR(__xludf.DUMMYFUNCTION("""COMPUTED_VALUE"""),"M")</f>
        <v>M</v>
      </c>
      <c r="J718" s="27" t="str">
        <f>IFERROR(__xludf.DUMMYFUNCTION("""COMPUTED_VALUE"""),"H")</f>
        <v>H</v>
      </c>
      <c r="K718" s="27">
        <f>IFERROR(__xludf.DUMMYFUNCTION("""COMPUTED_VALUE"""),33.0)</f>
        <v>33</v>
      </c>
      <c r="L718" s="27" t="str">
        <f>IFERROR(__xludf.DUMMYFUNCTION("""COMPUTED_VALUE"""),"None")</f>
        <v>None</v>
      </c>
      <c r="M718" s="27" t="str">
        <f>IFERROR(__xludf.DUMMYFUNCTION("""COMPUTED_VALUE"""),"Y")</f>
        <v>Y</v>
      </c>
      <c r="N718" s="24"/>
      <c r="O718" s="24">
        <f>IFERROR(__xludf.DUMMYFUNCTION("""COMPUTED_VALUE"""),1.0)</f>
        <v>1</v>
      </c>
      <c r="P718" s="28" t="str">
        <f>IFERROR(__xludf.DUMMYFUNCTION("""COMPUTED_VALUE"""),"The officer engaged the suspect who was climbing into the backyard of a residence. The suspect then acted as if he was reaching for a weapon forcing the officer to shoot.")</f>
        <v>The officer engaged the suspect who was climbing into the backyard of a residence. The suspect then acted as if he was reaching for a weapon forcing the officer to shoot.</v>
      </c>
      <c r="Q718" s="24"/>
      <c r="R718" s="24"/>
      <c r="S718" s="24"/>
      <c r="T718" s="24"/>
      <c r="U718" s="24"/>
      <c r="V718" s="24"/>
      <c r="W718" s="24"/>
      <c r="X718" s="24"/>
      <c r="Y718" s="24"/>
      <c r="Z718" s="24"/>
    </row>
    <row r="719">
      <c r="A719" s="29">
        <f>IFERROR(__xludf.DUMMYFUNCTION("""COMPUTED_VALUE"""),38546.0)</f>
        <v>38546</v>
      </c>
      <c r="B719" s="24">
        <f>IFERROR(__xludf.DUMMYFUNCTION("""COMPUTED_VALUE"""),1.07632105E8)</f>
        <v>107632105</v>
      </c>
      <c r="C719" s="24" t="str">
        <f>IFERROR(__xludf.DUMMYFUNCTION("""COMPUTED_VALUE"""),"11300 Sandhurst Dr")</f>
        <v>11300 Sandhurst Dr</v>
      </c>
      <c r="D719" s="26" t="str">
        <f>IFERROR(__xludf.DUMMYFUNCTION("""COMPUTED_VALUE"""),"M")</f>
        <v>M</v>
      </c>
      <c r="E719" s="26" t="str">
        <f>IFERROR(__xludf.DUMMYFUNCTION("""COMPUTED_VALUE"""),"B")</f>
        <v>B</v>
      </c>
      <c r="F719" s="26"/>
      <c r="G719" s="26" t="str">
        <f>IFERROR(__xludf.DUMMYFUNCTION("""COMPUTED_VALUE"""),"None")</f>
        <v>None</v>
      </c>
      <c r="H719" s="26" t="str">
        <f>IFERROR(__xludf.DUMMYFUNCTION("""COMPUTED_VALUE"""),"Firearm")</f>
        <v>Firearm</v>
      </c>
      <c r="I719" s="27" t="str">
        <f>IFERROR(__xludf.DUMMYFUNCTION("""COMPUTED_VALUE"""),"M")</f>
        <v>M</v>
      </c>
      <c r="J719" s="27" t="str">
        <f>IFERROR(__xludf.DUMMYFUNCTION("""COMPUTED_VALUE"""),"W")</f>
        <v>W</v>
      </c>
      <c r="K719" s="27">
        <f>IFERROR(__xludf.DUMMYFUNCTION("""COMPUTED_VALUE"""),40.0)</f>
        <v>40</v>
      </c>
      <c r="L719" s="27" t="str">
        <f>IFERROR(__xludf.DUMMYFUNCTION("""COMPUTED_VALUE"""),"None")</f>
        <v>None</v>
      </c>
      <c r="M719" s="27" t="str">
        <f>IFERROR(__xludf.DUMMYFUNCTION("""COMPUTED_VALUE"""),"Y")</f>
        <v>Y</v>
      </c>
      <c r="N719" s="24"/>
      <c r="O719" s="24">
        <f>IFERROR(__xludf.DUMMYFUNCTION("""COMPUTED_VALUE"""),1.0)</f>
        <v>1</v>
      </c>
      <c r="P719" s="28" t="str">
        <f>IFERROR(__xludf.DUMMYFUNCTION("""COMPUTED_VALUE"""),"The officer stopped a vehicle on traffic and as he was getting out of his patrol car, the suspect ran from the vehicle. The officer saw that he was armed and then saw the suspect point the weapon at him forcing him to shoot.")</f>
        <v>The officer stopped a vehicle on traffic and as he was getting out of his patrol car, the suspect ran from the vehicle. The officer saw that he was armed and then saw the suspect point the weapon at him forcing him to shoot.</v>
      </c>
      <c r="Q719" s="24"/>
      <c r="R719" s="24"/>
      <c r="S719" s="24"/>
      <c r="T719" s="24"/>
      <c r="U719" s="24"/>
      <c r="V719" s="24"/>
      <c r="W719" s="24"/>
      <c r="X719" s="24"/>
      <c r="Y719" s="24"/>
      <c r="Z719" s="24"/>
    </row>
    <row r="720" hidden="1">
      <c r="A720" s="29">
        <f>IFERROR(__xludf.DUMMYFUNCTION("""COMPUTED_VALUE"""),38539.0)</f>
        <v>38539</v>
      </c>
      <c r="B720" s="24">
        <f>IFERROR(__xludf.DUMMYFUNCTION("""COMPUTED_VALUE"""),1.03365905E8)</f>
        <v>103365905</v>
      </c>
      <c r="C720" s="24" t="str">
        <f>IFERROR(__xludf.DUMMYFUNCTION("""COMPUTED_VALUE"""),"9305 Ronda Lane")</f>
        <v>9305 Ronda Lane</v>
      </c>
      <c r="D720" s="26" t="str">
        <f>IFERROR(__xludf.DUMMYFUNCTION("""COMPUTED_VALUE"""),"M")</f>
        <v>M</v>
      </c>
      <c r="E720" s="26" t="str">
        <f>IFERROR(__xludf.DUMMYFUNCTION("""COMPUTED_VALUE"""),"B")</f>
        <v>B</v>
      </c>
      <c r="F720" s="26">
        <f>IFERROR(__xludf.DUMMYFUNCTION("""COMPUTED_VALUE"""),32.0)</f>
        <v>32</v>
      </c>
      <c r="G720" s="26" t="str">
        <f>IFERROR(__xludf.DUMMYFUNCTION("""COMPUTED_VALUE"""),"Wounded")</f>
        <v>Wounded</v>
      </c>
      <c r="H720" s="26" t="str">
        <f>IFERROR(__xludf.DUMMYFUNCTION("""COMPUTED_VALUE"""),"Firearm")</f>
        <v>Firearm</v>
      </c>
      <c r="I720" s="27" t="str">
        <f>IFERROR(__xludf.DUMMYFUNCTION("""COMPUTED_VALUE"""),"M")</f>
        <v>M</v>
      </c>
      <c r="J720" s="27" t="str">
        <f>IFERROR(__xludf.DUMMYFUNCTION("""COMPUTED_VALUE"""),"B")</f>
        <v>B</v>
      </c>
      <c r="K720" s="27">
        <f>IFERROR(__xludf.DUMMYFUNCTION("""COMPUTED_VALUE"""),34.0)</f>
        <v>34</v>
      </c>
      <c r="L720" s="27" t="str">
        <f>IFERROR(__xludf.DUMMYFUNCTION("""COMPUTED_VALUE"""),"None")</f>
        <v>None</v>
      </c>
      <c r="M720" s="27" t="str">
        <f>IFERROR(__xludf.DUMMYFUNCTION("""COMPUTED_VALUE"""),"Y")</f>
        <v>Y</v>
      </c>
      <c r="N720" s="24"/>
      <c r="O720" s="24">
        <f>IFERROR(__xludf.DUMMYFUNCTION("""COMPUTED_VALUE"""),1.0)</f>
        <v>1</v>
      </c>
      <c r="P720" s="28" t="str">
        <f>IFERROR(__xludf.DUMMYFUNCTION("""COMPUTED_VALUE"""),"The officers responded to a home invasion and as they entered the front of the residence they saw that there were two armed suspects and one of the suspects shot at them. The suspects then attempted to flee by going out the back door but they were confron"&amp;"ted by officers who were set up outside. The suspects were told to drop their weapons but chose to enagge the officers forcing the officers to shoot.")</f>
        <v>The officers responded to a home invasion and as they entered the front of the residence they saw that there were two armed suspects and one of the suspects shot at them. The suspects then attempted to flee by going out the back door but they were confronted by officers who were set up outside. The suspects were told to drop their weapons but chose to enagge the officers forcing the officers to shoot.</v>
      </c>
      <c r="Q720" s="24"/>
      <c r="R720" s="24"/>
      <c r="S720" s="24"/>
      <c r="T720" s="24"/>
      <c r="U720" s="24"/>
      <c r="V720" s="24"/>
      <c r="W720" s="24"/>
      <c r="X720" s="24"/>
      <c r="Y720" s="24"/>
      <c r="Z720" s="24"/>
    </row>
    <row r="721" hidden="1">
      <c r="A721" s="29"/>
      <c r="B721" s="24"/>
      <c r="C721" s="24"/>
      <c r="D721" s="26"/>
      <c r="E721" s="26"/>
      <c r="F721" s="26"/>
      <c r="G721" s="26" t="str">
        <f>IFERROR(__xludf.DUMMYFUNCTION("""COMPUTED_VALUE"""),"Wounded")</f>
        <v>Wounded</v>
      </c>
      <c r="H721" s="26" t="str">
        <f>IFERROR(__xludf.DUMMYFUNCTION("""COMPUTED_VALUE"""),"Firearm")</f>
        <v>Firearm</v>
      </c>
      <c r="I721" s="27" t="str">
        <f>IFERROR(__xludf.DUMMYFUNCTION("""COMPUTED_VALUE"""),"M")</f>
        <v>M</v>
      </c>
      <c r="J721" s="27" t="str">
        <f>IFERROR(__xludf.DUMMYFUNCTION("""COMPUTED_VALUE"""),"B")</f>
        <v>B</v>
      </c>
      <c r="K721" s="27">
        <f>IFERROR(__xludf.DUMMYFUNCTION("""COMPUTED_VALUE"""),33.0)</f>
        <v>33</v>
      </c>
      <c r="L721" s="27" t="str">
        <f>IFERROR(__xludf.DUMMYFUNCTION("""COMPUTED_VALUE"""),"None")</f>
        <v>None</v>
      </c>
      <c r="M721" s="27" t="str">
        <f>IFERROR(__xludf.DUMMYFUNCTION("""COMPUTED_VALUE"""),"Y")</f>
        <v>Y</v>
      </c>
      <c r="N721" s="24"/>
      <c r="O721" s="24"/>
      <c r="P721" s="28"/>
      <c r="Q721" s="24"/>
      <c r="R721" s="24"/>
      <c r="S721" s="24"/>
      <c r="T721" s="24"/>
      <c r="U721" s="24"/>
      <c r="V721" s="24"/>
      <c r="W721" s="24"/>
      <c r="X721" s="24"/>
      <c r="Y721" s="24"/>
      <c r="Z721" s="24"/>
    </row>
    <row r="722" hidden="1">
      <c r="A722" s="29"/>
      <c r="B722" s="24"/>
      <c r="C722" s="24"/>
      <c r="D722" s="26" t="str">
        <f>IFERROR(__xludf.DUMMYFUNCTION("""COMPUTED_VALUE"""),"M")</f>
        <v>M</v>
      </c>
      <c r="E722" s="26" t="str">
        <f>IFERROR(__xludf.DUMMYFUNCTION("""COMPUTED_VALUE"""),"B")</f>
        <v>B</v>
      </c>
      <c r="F722" s="26">
        <f>IFERROR(__xludf.DUMMYFUNCTION("""COMPUTED_VALUE"""),31.0)</f>
        <v>31</v>
      </c>
      <c r="G722" s="26" t="str">
        <f>IFERROR(__xludf.DUMMYFUNCTION("""COMPUTED_VALUE"""),"Wounded")</f>
        <v>Wounded</v>
      </c>
      <c r="H722" s="26" t="str">
        <f>IFERROR(__xludf.DUMMYFUNCTION("""COMPUTED_VALUE"""),"Firearm")</f>
        <v>Firearm</v>
      </c>
      <c r="I722" s="27" t="str">
        <f>IFERROR(__xludf.DUMMYFUNCTION("""COMPUTED_VALUE"""),"M")</f>
        <v>M</v>
      </c>
      <c r="J722" s="27" t="str">
        <f>IFERROR(__xludf.DUMMYFUNCTION("""COMPUTED_VALUE"""),"B")</f>
        <v>B</v>
      </c>
      <c r="K722" s="27">
        <f>IFERROR(__xludf.DUMMYFUNCTION("""COMPUTED_VALUE"""),33.0)</f>
        <v>33</v>
      </c>
      <c r="L722" s="27" t="str">
        <f>IFERROR(__xludf.DUMMYFUNCTION("""COMPUTED_VALUE"""),"None")</f>
        <v>None</v>
      </c>
      <c r="M722" s="27" t="str">
        <f>IFERROR(__xludf.DUMMYFUNCTION("""COMPUTED_VALUE"""),"Y")</f>
        <v>Y</v>
      </c>
      <c r="N722" s="24"/>
      <c r="O722" s="24"/>
      <c r="P722" s="28"/>
      <c r="Q722" s="24"/>
      <c r="R722" s="24"/>
      <c r="S722" s="24"/>
      <c r="T722" s="24"/>
      <c r="U722" s="24"/>
      <c r="V722" s="24"/>
      <c r="W722" s="24"/>
      <c r="X722" s="24"/>
      <c r="Y722" s="24"/>
      <c r="Z722" s="24"/>
    </row>
    <row r="723" hidden="1">
      <c r="A723" s="29">
        <f>IFERROR(__xludf.DUMMYFUNCTION("""COMPUTED_VALUE"""),38534.0)</f>
        <v>38534</v>
      </c>
      <c r="B723" s="24">
        <f>IFERROR(__xludf.DUMMYFUNCTION("""COMPUTED_VALUE"""),1.00573705E8)</f>
        <v>100573705</v>
      </c>
      <c r="C723" s="24" t="str">
        <f>IFERROR(__xludf.DUMMYFUNCTION("""COMPUTED_VALUE"""),"10200 Forum Park West Dr")</f>
        <v>10200 Forum Park West Dr</v>
      </c>
      <c r="D723" s="26" t="str">
        <f>IFERROR(__xludf.DUMMYFUNCTION("""COMPUTED_VALUE"""),"M")</f>
        <v>M</v>
      </c>
      <c r="E723" s="26" t="str">
        <f>IFERROR(__xludf.DUMMYFUNCTION("""COMPUTED_VALUE"""),"W")</f>
        <v>W</v>
      </c>
      <c r="F723" s="26">
        <f>IFERROR(__xludf.DUMMYFUNCTION("""COMPUTED_VALUE"""),29.0)</f>
        <v>29</v>
      </c>
      <c r="G723" s="26" t="str">
        <f>IFERROR(__xludf.DUMMYFUNCTION("""COMPUTED_VALUE"""),"Killed")</f>
        <v>Killed</v>
      </c>
      <c r="H723" s="26" t="str">
        <f>IFERROR(__xludf.DUMMYFUNCTION("""COMPUTED_VALUE"""),"Firearm")</f>
        <v>Firearm</v>
      </c>
      <c r="I723" s="27" t="str">
        <f>IFERROR(__xludf.DUMMYFUNCTION("""COMPUTED_VALUE"""),"M")</f>
        <v>M</v>
      </c>
      <c r="J723" s="27" t="str">
        <f>IFERROR(__xludf.DUMMYFUNCTION("""COMPUTED_VALUE"""),"W")</f>
        <v>W</v>
      </c>
      <c r="K723" s="27">
        <f>IFERROR(__xludf.DUMMYFUNCTION("""COMPUTED_VALUE"""),27.0)</f>
        <v>27</v>
      </c>
      <c r="L723" s="27" t="str">
        <f>IFERROR(__xludf.DUMMYFUNCTION("""COMPUTED_VALUE"""),"None")</f>
        <v>None</v>
      </c>
      <c r="M723" s="27" t="str">
        <f>IFERROR(__xludf.DUMMYFUNCTION("""COMPUTED_VALUE"""),"Y")</f>
        <v>Y</v>
      </c>
      <c r="N723" s="24"/>
      <c r="O723" s="24"/>
      <c r="P723" s="24" t="str">
        <f>IFERROR(__xludf.DUMMYFUNCTION("""COMPUTED_VALUE"""),"The officers attempted to pull over a stolen vehicle but the driver refused to stop and led the police on a vehicle pursuit until crashing into a light pole. As the officers were approaching the stolen vehicle, the suspect produced a weapon. The officers "&amp;"were forced to fire at the the suspect when he refused to drop the weapon.")</f>
        <v>The officers attempted to pull over a stolen vehicle but the driver refused to stop and led the police on a vehicle pursuit until crashing into a light pole. As the officers were approaching the stolen vehicle, the suspect produced a weapon. The officers were forced to fire at the the suspect when he refused to drop the weapon.</v>
      </c>
      <c r="Q723" s="24"/>
      <c r="R723" s="24"/>
      <c r="S723" s="24"/>
      <c r="T723" s="24"/>
      <c r="U723" s="24"/>
      <c r="V723" s="24"/>
      <c r="W723" s="24"/>
      <c r="X723" s="24"/>
      <c r="Y723" s="24"/>
      <c r="Z723" s="24"/>
    </row>
    <row r="724" hidden="1">
      <c r="A724" s="29"/>
      <c r="B724" s="24"/>
      <c r="C724" s="24"/>
      <c r="D724" s="26"/>
      <c r="E724" s="26"/>
      <c r="F724" s="26"/>
      <c r="G724" s="26"/>
      <c r="H724" s="26"/>
      <c r="I724" s="27" t="str">
        <f>IFERROR(__xludf.DUMMYFUNCTION("""COMPUTED_VALUE"""),"M")</f>
        <v>M</v>
      </c>
      <c r="J724" s="27" t="str">
        <f>IFERROR(__xludf.DUMMYFUNCTION("""COMPUTED_VALUE"""),"W")</f>
        <v>W</v>
      </c>
      <c r="K724" s="27">
        <f>IFERROR(__xludf.DUMMYFUNCTION("""COMPUTED_VALUE"""),26.0)</f>
        <v>26</v>
      </c>
      <c r="L724" s="27" t="str">
        <f>IFERROR(__xludf.DUMMYFUNCTION("""COMPUTED_VALUE"""),"None")</f>
        <v>None</v>
      </c>
      <c r="M724" s="27" t="str">
        <f>IFERROR(__xludf.DUMMYFUNCTION("""COMPUTED_VALUE"""),"Y")</f>
        <v>Y</v>
      </c>
      <c r="N724" s="24"/>
      <c r="O724" s="24">
        <f>IFERROR(__xludf.DUMMYFUNCTION("""COMPUTED_VALUE"""),1.0)</f>
        <v>1</v>
      </c>
      <c r="P724" s="24"/>
      <c r="Q724" s="24"/>
      <c r="R724" s="24"/>
      <c r="S724" s="24"/>
      <c r="T724" s="24"/>
      <c r="U724" s="24"/>
      <c r="V724" s="24"/>
      <c r="W724" s="24"/>
      <c r="X724" s="24"/>
      <c r="Y724" s="24"/>
      <c r="Z724" s="24"/>
    </row>
    <row r="725" hidden="1">
      <c r="A725" s="29">
        <f>IFERROR(__xludf.DUMMYFUNCTION("""COMPUTED_VALUE"""),38522.0)</f>
        <v>38522</v>
      </c>
      <c r="B725" s="24">
        <f>IFERROR(__xludf.DUMMYFUNCTION("""COMPUTED_VALUE"""),9.4050605E7)</f>
        <v>94050605</v>
      </c>
      <c r="C725" s="24" t="str">
        <f>IFERROR(__xludf.DUMMYFUNCTION("""COMPUTED_VALUE"""),"10830 Bellaire")</f>
        <v>10830 Bellaire</v>
      </c>
      <c r="D725" s="26" t="str">
        <f>IFERROR(__xludf.DUMMYFUNCTION("""COMPUTED_VALUE"""),"M")</f>
        <v>M</v>
      </c>
      <c r="E725" s="26" t="str">
        <f>IFERROR(__xludf.DUMMYFUNCTION("""COMPUTED_VALUE"""),"A")</f>
        <v>A</v>
      </c>
      <c r="F725" s="26">
        <f>IFERROR(__xludf.DUMMYFUNCTION("""COMPUTED_VALUE"""),31.0)</f>
        <v>31</v>
      </c>
      <c r="G725" s="26" t="str">
        <f>IFERROR(__xludf.DUMMYFUNCTION("""COMPUTED_VALUE"""),"Wounded")</f>
        <v>Wounded</v>
      </c>
      <c r="H725" s="26" t="str">
        <f>IFERROR(__xludf.DUMMYFUNCTION("""COMPUTED_VALUE"""),"Firearm")</f>
        <v>Firearm</v>
      </c>
      <c r="I725" s="27" t="str">
        <f>IFERROR(__xludf.DUMMYFUNCTION("""COMPUTED_VALUE"""),"M")</f>
        <v>M</v>
      </c>
      <c r="J725" s="27" t="str">
        <f>IFERROR(__xludf.DUMMYFUNCTION("""COMPUTED_VALUE"""),"W")</f>
        <v>W</v>
      </c>
      <c r="K725" s="27">
        <f>IFERROR(__xludf.DUMMYFUNCTION("""COMPUTED_VALUE"""),36.0)</f>
        <v>36</v>
      </c>
      <c r="L725" s="27" t="str">
        <f>IFERROR(__xludf.DUMMYFUNCTION("""COMPUTED_VALUE"""),"None")</f>
        <v>None</v>
      </c>
      <c r="M725" s="27" t="str">
        <f>IFERROR(__xludf.DUMMYFUNCTION("""COMPUTED_VALUE"""),"N")</f>
        <v>N</v>
      </c>
      <c r="N725" s="24"/>
      <c r="O725" s="24">
        <f>IFERROR(__xludf.DUMMYFUNCTION("""COMPUTED_VALUE"""),1.0)</f>
        <v>1</v>
      </c>
      <c r="P725" s="28" t="str">
        <f>IFERROR(__xludf.DUMMYFUNCTION("""COMPUTED_VALUE"""),"The officer was in the location when the suspect came in pointed a weapon a group of persons and attempted to shoot them. The suspects gun jammed giving the officer the opportunity to shot teh suspect when the suspect made a second attempt to shoot at the"&amp;" group and then at the officer.")</f>
        <v>The officer was in the location when the suspect came in pointed a weapon a group of persons and attempted to shoot them. The suspects gun jammed giving the officer the opportunity to shot teh suspect when the suspect made a second attempt to shoot at the group and then at the officer.</v>
      </c>
      <c r="Q725" s="24"/>
      <c r="R725" s="24"/>
      <c r="S725" s="24"/>
      <c r="T725" s="24"/>
      <c r="U725" s="24"/>
      <c r="V725" s="24"/>
      <c r="W725" s="24"/>
      <c r="X725" s="24"/>
      <c r="Y725" s="24"/>
      <c r="Z725" s="24"/>
    </row>
    <row r="726" hidden="1">
      <c r="A726" s="29">
        <f>IFERROR(__xludf.DUMMYFUNCTION("""COMPUTED_VALUE"""),38512.0)</f>
        <v>38512</v>
      </c>
      <c r="B726" s="24">
        <f>IFERROR(__xludf.DUMMYFUNCTION("""COMPUTED_VALUE"""),8.8385705E7)</f>
        <v>88385705</v>
      </c>
      <c r="C726" s="24" t="str">
        <f>IFERROR(__xludf.DUMMYFUNCTION("""COMPUTED_VALUE"""),"11000 Westheimer")</f>
        <v>11000 Westheimer</v>
      </c>
      <c r="D726" s="26" t="str">
        <f>IFERROR(__xludf.DUMMYFUNCTION("""COMPUTED_VALUE"""),"M")</f>
        <v>M</v>
      </c>
      <c r="E726" s="26" t="str">
        <f>IFERROR(__xludf.DUMMYFUNCTION("""COMPUTED_VALUE"""),"B")</f>
        <v>B</v>
      </c>
      <c r="F726" s="26">
        <f>IFERROR(__xludf.DUMMYFUNCTION("""COMPUTED_VALUE"""),26.0)</f>
        <v>26</v>
      </c>
      <c r="G726" s="26" t="str">
        <f>IFERROR(__xludf.DUMMYFUNCTION("""COMPUTED_VALUE"""),"Wounded")</f>
        <v>Wounded</v>
      </c>
      <c r="H726" s="26" t="str">
        <f>IFERROR(__xludf.DUMMYFUNCTION("""COMPUTED_VALUE"""),"None")</f>
        <v>None</v>
      </c>
      <c r="I726" s="27" t="str">
        <f>IFERROR(__xludf.DUMMYFUNCTION("""COMPUTED_VALUE"""),"M")</f>
        <v>M</v>
      </c>
      <c r="J726" s="27" t="str">
        <f>IFERROR(__xludf.DUMMYFUNCTION("""COMPUTED_VALUE"""),"B")</f>
        <v>B</v>
      </c>
      <c r="K726" s="27">
        <f>IFERROR(__xludf.DUMMYFUNCTION("""COMPUTED_VALUE"""),48.0)</f>
        <v>48</v>
      </c>
      <c r="L726" s="27" t="str">
        <f>IFERROR(__xludf.DUMMYFUNCTION("""COMPUTED_VALUE"""),"None")</f>
        <v>None</v>
      </c>
      <c r="M726" s="27" t="str">
        <f>IFERROR(__xludf.DUMMYFUNCTION("""COMPUTED_VALUE"""),"Y")</f>
        <v>Y</v>
      </c>
      <c r="N726" s="24"/>
      <c r="O726" s="24">
        <f>IFERROR(__xludf.DUMMYFUNCTION("""COMPUTED_VALUE"""),1.0)</f>
        <v>1</v>
      </c>
      <c r="P726" s="28" t="str">
        <f>IFERROR(__xludf.DUMMYFUNCTION("""COMPUTED_VALUE"""),"The suspect led the officer on a brief vehicle chase when the officer attempted to stop him on traffic. Once stopped, the suspect refused to stay in the car and as he got out of the vehicle he reached under the seat and as he turned toward the officer the"&amp;" officer shot believing that the suspect had grabbed a weapon.")</f>
        <v>The suspect led the officer on a brief vehicle chase when the officer attempted to stop him on traffic. Once stopped, the suspect refused to stay in the car and as he got out of the vehicle he reached under the seat and as he turned toward the officer the officer shot believing that the suspect had grabbed a weapon.</v>
      </c>
      <c r="Q726" s="24"/>
      <c r="R726" s="24"/>
      <c r="S726" s="24"/>
      <c r="T726" s="24"/>
      <c r="U726" s="24"/>
      <c r="V726" s="24"/>
      <c r="W726" s="24"/>
      <c r="X726" s="24"/>
      <c r="Y726" s="24"/>
      <c r="Z726" s="24"/>
    </row>
    <row r="727">
      <c r="A727" s="29">
        <f>IFERROR(__xludf.DUMMYFUNCTION("""COMPUTED_VALUE"""),38506.0)</f>
        <v>38506</v>
      </c>
      <c r="B727" s="24">
        <f>IFERROR(__xludf.DUMMYFUNCTION("""COMPUTED_VALUE"""),8.5495805E7)</f>
        <v>85495805</v>
      </c>
      <c r="C727" s="24" t="str">
        <f>IFERROR(__xludf.DUMMYFUNCTION("""COMPUTED_VALUE"""),"4900 Saxon")</f>
        <v>4900 Saxon</v>
      </c>
      <c r="D727" s="26" t="str">
        <f>IFERROR(__xludf.DUMMYFUNCTION("""COMPUTED_VALUE"""),"Juvenile")</f>
        <v>Juvenile</v>
      </c>
      <c r="E727" s="26" t="str">
        <f>IFERROR(__xludf.DUMMYFUNCTION("""COMPUTED_VALUE"""),"Juvenile")</f>
        <v>Juvenile</v>
      </c>
      <c r="F727" s="26"/>
      <c r="G727" s="26" t="str">
        <f>IFERROR(__xludf.DUMMYFUNCTION("""COMPUTED_VALUE"""),"None")</f>
        <v>None</v>
      </c>
      <c r="H727" s="26" t="str">
        <f>IFERROR(__xludf.DUMMYFUNCTION("""COMPUTED_VALUE"""),"Vehicle")</f>
        <v>Vehicle</v>
      </c>
      <c r="I727" s="27" t="str">
        <f>IFERROR(__xludf.DUMMYFUNCTION("""COMPUTED_VALUE"""),"M")</f>
        <v>M</v>
      </c>
      <c r="J727" s="27" t="str">
        <f>IFERROR(__xludf.DUMMYFUNCTION("""COMPUTED_VALUE"""),"W")</f>
        <v>W</v>
      </c>
      <c r="K727" s="27">
        <f>IFERROR(__xludf.DUMMYFUNCTION("""COMPUTED_VALUE"""),36.0)</f>
        <v>36</v>
      </c>
      <c r="L727" s="27" t="str">
        <f>IFERROR(__xludf.DUMMYFUNCTION("""COMPUTED_VALUE"""),"Wounded")</f>
        <v>Wounded</v>
      </c>
      <c r="M727" s="27" t="str">
        <f>IFERROR(__xludf.DUMMYFUNCTION("""COMPUTED_VALUE"""),"Y")</f>
        <v>Y</v>
      </c>
      <c r="N727" s="24"/>
      <c r="O727" s="24">
        <f>IFERROR(__xludf.DUMMYFUNCTION("""COMPUTED_VALUE"""),1.0)</f>
        <v>1</v>
      </c>
      <c r="P727" s="28" t="str">
        <f>IFERROR(__xludf.DUMMYFUNCTION("""COMPUTED_VALUE"""),"The officer located a vehicle that was being stripped of its tires by a group of males. When the officer pulled up most of the group ran off but the suspect jumped into a vehicle and drove at the officer managing to pin the officer against his patrol car."&amp;" The suspect then backed up and appeared as if he was going to hit the officer agian so the officer shot at the suspect.")</f>
        <v>The officer located a vehicle that was being stripped of its tires by a group of males. When the officer pulled up most of the group ran off but the suspect jumped into a vehicle and drove at the officer managing to pin the officer against his patrol car. The suspect then backed up and appeared as if he was going to hit the officer agian so the officer shot at the suspect.</v>
      </c>
      <c r="Q727" s="24"/>
      <c r="R727" s="24"/>
      <c r="S727" s="24"/>
      <c r="T727" s="24"/>
      <c r="U727" s="24"/>
      <c r="V727" s="24"/>
      <c r="W727" s="24"/>
      <c r="X727" s="24"/>
      <c r="Y727" s="24"/>
      <c r="Z727" s="24"/>
    </row>
    <row r="728" hidden="1">
      <c r="A728" s="29">
        <f>IFERROR(__xludf.DUMMYFUNCTION("""COMPUTED_VALUE"""),38498.0)</f>
        <v>38498</v>
      </c>
      <c r="B728" s="24">
        <f>IFERROR(__xludf.DUMMYFUNCTION("""COMPUTED_VALUE"""),8.0613005E7)</f>
        <v>80613005</v>
      </c>
      <c r="C728" s="24" t="str">
        <f>IFERROR(__xludf.DUMMYFUNCTION("""COMPUTED_VALUE"""),"10202 CLub Creek")</f>
        <v>10202 CLub Creek</v>
      </c>
      <c r="D728" s="26" t="str">
        <f>IFERROR(__xludf.DUMMYFUNCTION("""COMPUTED_VALUE"""),"M")</f>
        <v>M</v>
      </c>
      <c r="E728" s="26" t="str">
        <f>IFERROR(__xludf.DUMMYFUNCTION("""COMPUTED_VALUE"""),"B")</f>
        <v>B</v>
      </c>
      <c r="F728" s="26">
        <f>IFERROR(__xludf.DUMMYFUNCTION("""COMPUTED_VALUE"""),22.0)</f>
        <v>22</v>
      </c>
      <c r="G728" s="26" t="str">
        <f>IFERROR(__xludf.DUMMYFUNCTION("""COMPUTED_VALUE"""),"Killed")</f>
        <v>Killed</v>
      </c>
      <c r="H728" s="26" t="str">
        <f>IFERROR(__xludf.DUMMYFUNCTION("""COMPUTED_VALUE"""),"Stick - Said Gun")</f>
        <v>Stick - Said Gun</v>
      </c>
      <c r="I728" s="27" t="str">
        <f>IFERROR(__xludf.DUMMYFUNCTION("""COMPUTED_VALUE"""),"M")</f>
        <v>M</v>
      </c>
      <c r="J728" s="27" t="str">
        <f>IFERROR(__xludf.DUMMYFUNCTION("""COMPUTED_VALUE"""),"W")</f>
        <v>W</v>
      </c>
      <c r="K728" s="27">
        <f>IFERROR(__xludf.DUMMYFUNCTION("""COMPUTED_VALUE"""),38.0)</f>
        <v>38</v>
      </c>
      <c r="L728" s="27" t="str">
        <f>IFERROR(__xludf.DUMMYFUNCTION("""COMPUTED_VALUE"""),"None")</f>
        <v>None</v>
      </c>
      <c r="M728" s="27" t="str">
        <f>IFERROR(__xludf.DUMMYFUNCTION("""COMPUTED_VALUE"""),"Y")</f>
        <v>Y</v>
      </c>
      <c r="N728" s="24"/>
      <c r="O728" s="24"/>
      <c r="P728" s="24" t="str">
        <f>IFERROR(__xludf.DUMMYFUNCTION("""COMPUTED_VALUE"""),"The officer was engaged in a narcotics operation when the suspect told the officer he was armed and that he was going to kill him if he did not give him the money. The officer complied but when the suspect pointed the object at the officer again, he shot "&amp;"at the suspect fearing that the suspect was going to kill him.")</f>
        <v>The officer was engaged in a narcotics operation when the suspect told the officer he was armed and that he was going to kill him if he did not give him the money. The officer complied but when the suspect pointed the object at the officer again, he shot at the suspect fearing that the suspect was going to kill him.</v>
      </c>
      <c r="Q728" s="24"/>
      <c r="R728" s="24"/>
      <c r="S728" s="24"/>
      <c r="T728" s="24"/>
      <c r="U728" s="24"/>
      <c r="V728" s="24"/>
      <c r="W728" s="24"/>
      <c r="X728" s="24"/>
      <c r="Y728" s="24"/>
      <c r="Z728" s="24"/>
    </row>
    <row r="729">
      <c r="A729" s="29">
        <f>IFERROR(__xludf.DUMMYFUNCTION("""COMPUTED_VALUE"""),38474.0)</f>
        <v>38474</v>
      </c>
      <c r="B729" s="24">
        <f>IFERROR(__xludf.DUMMYFUNCTION("""COMPUTED_VALUE"""),6.6529405E7)</f>
        <v>66529405</v>
      </c>
      <c r="C729" s="24" t="str">
        <f>IFERROR(__xludf.DUMMYFUNCTION("""COMPUTED_VALUE"""),"588 Parkfront")</f>
        <v>588 Parkfront</v>
      </c>
      <c r="D729" s="26" t="str">
        <f>IFERROR(__xludf.DUMMYFUNCTION("""COMPUTED_VALUE"""),"M")</f>
        <v>M</v>
      </c>
      <c r="E729" s="26" t="str">
        <f>IFERROR(__xludf.DUMMYFUNCTION("""COMPUTED_VALUE"""),"H")</f>
        <v>H</v>
      </c>
      <c r="F729" s="26">
        <f>IFERROR(__xludf.DUMMYFUNCTION("""COMPUTED_VALUE"""),25.0)</f>
        <v>25</v>
      </c>
      <c r="G729" s="26" t="str">
        <f>IFERROR(__xludf.DUMMYFUNCTION("""COMPUTED_VALUE"""),"None")</f>
        <v>None</v>
      </c>
      <c r="H729" s="26" t="str">
        <f>IFERROR(__xludf.DUMMYFUNCTION("""COMPUTED_VALUE"""),"Vehicle")</f>
        <v>Vehicle</v>
      </c>
      <c r="I729" s="27" t="str">
        <f>IFERROR(__xludf.DUMMYFUNCTION("""COMPUTED_VALUE"""),"M")</f>
        <v>M</v>
      </c>
      <c r="J729" s="27" t="str">
        <f>IFERROR(__xludf.DUMMYFUNCTION("""COMPUTED_VALUE"""),"H")</f>
        <v>H</v>
      </c>
      <c r="K729" s="27">
        <f>IFERROR(__xludf.DUMMYFUNCTION("""COMPUTED_VALUE"""),29.0)</f>
        <v>29</v>
      </c>
      <c r="L729" s="27" t="str">
        <f>IFERROR(__xludf.DUMMYFUNCTION("""COMPUTED_VALUE"""),"Wounded")</f>
        <v>Wounded</v>
      </c>
      <c r="M729" s="27" t="str">
        <f>IFERROR(__xludf.DUMMYFUNCTION("""COMPUTED_VALUE"""),"Y")</f>
        <v>Y</v>
      </c>
      <c r="N729" s="24"/>
      <c r="O729" s="24">
        <f>IFERROR(__xludf.DUMMYFUNCTION("""COMPUTED_VALUE"""),1.0)</f>
        <v>1</v>
      </c>
      <c r="P729" s="28" t="str">
        <f>IFERROR(__xludf.DUMMYFUNCTION("""COMPUTED_VALUE"""),"The officers responded to the sound of breaking glass and saw the suspect attempting to flee in a vehicle. The first officer had run from a position that put him at the front of the car at which the suspect drove at the officer - hitting him with the vehi"&amp;"cle as the officer was forced to shoot at the suspect. The second officer was running at the rear of the car when he saw the officer get hit forcing him to shoot at the suspect as well.")</f>
        <v>The officers responded to the sound of breaking glass and saw the suspect attempting to flee in a vehicle. The first officer had run from a position that put him at the front of the car at which the suspect drove at the officer - hitting him with the vehicle as the officer was forced to shoot at the suspect. The second officer was running at the rear of the car when he saw the officer get hit forcing him to shoot at the suspect as well.</v>
      </c>
      <c r="Q729" s="24"/>
      <c r="R729" s="24"/>
      <c r="S729" s="24"/>
      <c r="T729" s="24"/>
      <c r="U729" s="24"/>
      <c r="V729" s="24"/>
      <c r="W729" s="24"/>
      <c r="X729" s="24"/>
      <c r="Y729" s="24"/>
      <c r="Z729" s="24"/>
    </row>
    <row r="730" hidden="1">
      <c r="A730" s="29"/>
      <c r="B730" s="24"/>
      <c r="C730" s="24"/>
      <c r="D730" s="26"/>
      <c r="E730" s="26"/>
      <c r="F730" s="26"/>
      <c r="G730" s="26"/>
      <c r="H730" s="26"/>
      <c r="I730" s="27" t="str">
        <f>IFERROR(__xludf.DUMMYFUNCTION("""COMPUTED_VALUE"""),"M")</f>
        <v>M</v>
      </c>
      <c r="J730" s="27" t="str">
        <f>IFERROR(__xludf.DUMMYFUNCTION("""COMPUTED_VALUE"""),"H")</f>
        <v>H</v>
      </c>
      <c r="K730" s="27">
        <f>IFERROR(__xludf.DUMMYFUNCTION("""COMPUTED_VALUE"""),28.0)</f>
        <v>28</v>
      </c>
      <c r="L730" s="27" t="str">
        <f>IFERROR(__xludf.DUMMYFUNCTION("""COMPUTED_VALUE"""),"None")</f>
        <v>None</v>
      </c>
      <c r="M730" s="27" t="str">
        <f>IFERROR(__xludf.DUMMYFUNCTION("""COMPUTED_VALUE"""),"Y")</f>
        <v>Y</v>
      </c>
      <c r="N730" s="24"/>
      <c r="O730" s="24">
        <f>IFERROR(__xludf.DUMMYFUNCTION("""COMPUTED_VALUE"""),1.0)</f>
        <v>1</v>
      </c>
      <c r="P730" s="24"/>
      <c r="Q730" s="24"/>
      <c r="R730" s="24"/>
      <c r="S730" s="24"/>
      <c r="T730" s="24"/>
      <c r="U730" s="24"/>
      <c r="V730" s="24"/>
      <c r="W730" s="24"/>
      <c r="X730" s="24"/>
      <c r="Y730" s="24"/>
      <c r="Z730" s="24"/>
    </row>
    <row r="731">
      <c r="A731" s="29">
        <f>IFERROR(__xludf.DUMMYFUNCTION("""COMPUTED_VALUE"""),38467.0)</f>
        <v>38467</v>
      </c>
      <c r="B731" s="24">
        <f>IFERROR(__xludf.DUMMYFUNCTION("""COMPUTED_VALUE"""),6.3489305E7)</f>
        <v>63489305</v>
      </c>
      <c r="C731" s="24" t="str">
        <f>IFERROR(__xludf.DUMMYFUNCTION("""COMPUTED_VALUE"""),"4935 W. Orem")</f>
        <v>4935 W. Orem</v>
      </c>
      <c r="D731" s="26" t="str">
        <f>IFERROR(__xludf.DUMMYFUNCTION("""COMPUTED_VALUE"""),"M")</f>
        <v>M</v>
      </c>
      <c r="E731" s="26" t="str">
        <f>IFERROR(__xludf.DUMMYFUNCTION("""COMPUTED_VALUE"""),"B")</f>
        <v>B</v>
      </c>
      <c r="F731" s="26">
        <f>IFERROR(__xludf.DUMMYFUNCTION("""COMPUTED_VALUE"""),18.0)</f>
        <v>18</v>
      </c>
      <c r="G731" s="26" t="str">
        <f>IFERROR(__xludf.DUMMYFUNCTION("""COMPUTED_VALUE"""),"None")</f>
        <v>None</v>
      </c>
      <c r="H731" s="26" t="str">
        <f>IFERROR(__xludf.DUMMYFUNCTION("""COMPUTED_VALUE"""),"Vehicle")</f>
        <v>Vehicle</v>
      </c>
      <c r="I731" s="27" t="str">
        <f>IFERROR(__xludf.DUMMYFUNCTION("""COMPUTED_VALUE"""),"M")</f>
        <v>M</v>
      </c>
      <c r="J731" s="27" t="str">
        <f>IFERROR(__xludf.DUMMYFUNCTION("""COMPUTED_VALUE"""),"B")</f>
        <v>B</v>
      </c>
      <c r="K731" s="27">
        <f>IFERROR(__xludf.DUMMYFUNCTION("""COMPUTED_VALUE"""),37.0)</f>
        <v>37</v>
      </c>
      <c r="L731" s="27" t="str">
        <f>IFERROR(__xludf.DUMMYFUNCTION("""COMPUTED_VALUE"""),"None")</f>
        <v>None</v>
      </c>
      <c r="M731" s="27" t="str">
        <f>IFERROR(__xludf.DUMMYFUNCTION("""COMPUTED_VALUE"""),"Y")</f>
        <v>Y</v>
      </c>
      <c r="N731" s="24"/>
      <c r="O731" s="24"/>
      <c r="P731" s="28" t="str">
        <f>IFERROR(__xludf.DUMMYFUNCTION("""COMPUTED_VALUE"""),"The officers were called to the location becase of an armed person acting strange. When the officers arrived at the location the suspect drove off in a stolen car andled the police ona brief chase before being cornered in a garage. The suspect then attemp"&amp;"ted to get out of the garage by ramming the patrol car and then driving at the officer forcing the officer to shoot.")</f>
        <v>The officers were called to the location becase of an armed person acting strange. When the officers arrived at the location the suspect drove off in a stolen car andled the police ona brief chase before being cornered in a garage. The suspect then attempted to get out of the garage by ramming the patrol car and then driving at the officer forcing the officer to shoot.</v>
      </c>
      <c r="Q731" s="24"/>
      <c r="R731" s="24"/>
      <c r="S731" s="24"/>
      <c r="T731" s="24"/>
      <c r="U731" s="24"/>
      <c r="V731" s="24"/>
      <c r="W731" s="24"/>
      <c r="X731" s="24"/>
      <c r="Y731" s="24"/>
      <c r="Z731" s="24"/>
    </row>
    <row r="732">
      <c r="A732" s="29">
        <f>IFERROR(__xludf.DUMMYFUNCTION("""COMPUTED_VALUE"""),38450.0)</f>
        <v>38450</v>
      </c>
      <c r="B732" s="24">
        <f>IFERROR(__xludf.DUMMYFUNCTION("""COMPUTED_VALUE"""),5.3339905E7)</f>
        <v>53339905</v>
      </c>
      <c r="C732" s="24" t="str">
        <f>IFERROR(__xludf.DUMMYFUNCTION("""COMPUTED_VALUE"""),"8400 S. Gessner")</f>
        <v>8400 S. Gessner</v>
      </c>
      <c r="D732" s="26" t="str">
        <f>IFERROR(__xludf.DUMMYFUNCTION("""COMPUTED_VALUE"""),"M")</f>
        <v>M</v>
      </c>
      <c r="E732" s="26" t="str">
        <f>IFERROR(__xludf.DUMMYFUNCTION("""COMPUTED_VALUE"""),"H")</f>
        <v>H</v>
      </c>
      <c r="F732" s="26"/>
      <c r="G732" s="26" t="str">
        <f>IFERROR(__xludf.DUMMYFUNCTION("""COMPUTED_VALUE"""),"None")</f>
        <v>None</v>
      </c>
      <c r="H732" s="26" t="str">
        <f>IFERROR(__xludf.DUMMYFUNCTION("""COMPUTED_VALUE"""),"Firearm")</f>
        <v>Firearm</v>
      </c>
      <c r="I732" s="27" t="str">
        <f>IFERROR(__xludf.DUMMYFUNCTION("""COMPUTED_VALUE"""),"M")</f>
        <v>M</v>
      </c>
      <c r="J732" s="27" t="str">
        <f>IFERROR(__xludf.DUMMYFUNCTION("""COMPUTED_VALUE"""),"H")</f>
        <v>H</v>
      </c>
      <c r="K732" s="27">
        <f>IFERROR(__xludf.DUMMYFUNCTION("""COMPUTED_VALUE"""),39.0)</f>
        <v>39</v>
      </c>
      <c r="L732" s="27" t="str">
        <f>IFERROR(__xludf.DUMMYFUNCTION("""COMPUTED_VALUE"""),"None")</f>
        <v>None</v>
      </c>
      <c r="M732" s="27" t="str">
        <f>IFERROR(__xludf.DUMMYFUNCTION("""COMPUTED_VALUE"""),"N")</f>
        <v>N</v>
      </c>
      <c r="N732" s="24"/>
      <c r="O732" s="24"/>
      <c r="P732" s="28" t="str">
        <f>IFERROR(__xludf.DUMMYFUNCTION("""COMPUTED_VALUE"""),"The officer heard nearby gunshots and went to investigate. When he got to the area he saw the suspeect running and shooting at a group of people who were running from him. The suspect then saw the officer and shot at him forcing the officer to return fire"&amp;".")</f>
        <v>The officer heard nearby gunshots and went to investigate. When he got to the area he saw the suspeect running and shooting at a group of people who were running from him. The suspect then saw the officer and shot at him forcing the officer to return fire.</v>
      </c>
      <c r="Q732" s="24"/>
      <c r="R732" s="24"/>
      <c r="S732" s="24"/>
      <c r="T732" s="24"/>
      <c r="U732" s="24"/>
      <c r="V732" s="24"/>
      <c r="W732" s="24"/>
      <c r="X732" s="24"/>
      <c r="Y732" s="24"/>
      <c r="Z732" s="24"/>
    </row>
    <row r="733">
      <c r="A733" s="29">
        <f>IFERROR(__xludf.DUMMYFUNCTION("""COMPUTED_VALUE"""),38447.0)</f>
        <v>38447</v>
      </c>
      <c r="B733" s="24">
        <f>IFERROR(__xludf.DUMMYFUNCTION("""COMPUTED_VALUE"""),5.2104805E7)</f>
        <v>52104805</v>
      </c>
      <c r="C733" s="24" t="str">
        <f>IFERROR(__xludf.DUMMYFUNCTION("""COMPUTED_VALUE"""),"3100 Rogerdale Rd")</f>
        <v>3100 Rogerdale Rd</v>
      </c>
      <c r="D733" s="26" t="str">
        <f>IFERROR(__xludf.DUMMYFUNCTION("""COMPUTED_VALUE"""),"M")</f>
        <v>M</v>
      </c>
      <c r="E733" s="26" t="str">
        <f>IFERROR(__xludf.DUMMYFUNCTION("""COMPUTED_VALUE"""),"B")</f>
        <v>B</v>
      </c>
      <c r="F733" s="26">
        <f>IFERROR(__xludf.DUMMYFUNCTION("""COMPUTED_VALUE"""),26.0)</f>
        <v>26</v>
      </c>
      <c r="G733" s="26" t="str">
        <f>IFERROR(__xludf.DUMMYFUNCTION("""COMPUTED_VALUE"""),"None")</f>
        <v>None</v>
      </c>
      <c r="H733" s="26" t="str">
        <f>IFERROR(__xludf.DUMMYFUNCTION("""COMPUTED_VALUE"""),"None")</f>
        <v>None</v>
      </c>
      <c r="I733" s="27" t="str">
        <f>IFERROR(__xludf.DUMMYFUNCTION("""COMPUTED_VALUE"""),"M")</f>
        <v>M</v>
      </c>
      <c r="J733" s="27" t="str">
        <f>IFERROR(__xludf.DUMMYFUNCTION("""COMPUTED_VALUE"""),"W")</f>
        <v>W</v>
      </c>
      <c r="K733" s="27">
        <f>IFERROR(__xludf.DUMMYFUNCTION("""COMPUTED_VALUE"""),27.0)</f>
        <v>27</v>
      </c>
      <c r="L733" s="27" t="str">
        <f>IFERROR(__xludf.DUMMYFUNCTION("""COMPUTED_VALUE"""),"None")</f>
        <v>None</v>
      </c>
      <c r="M733" s="27" t="str">
        <f>IFERROR(__xludf.DUMMYFUNCTION("""COMPUTED_VALUE"""),"N")</f>
        <v>N</v>
      </c>
      <c r="N733" s="24"/>
      <c r="O733" s="24">
        <f>IFERROR(__xludf.DUMMYFUNCTION("""COMPUTED_VALUE"""),1.0)</f>
        <v>1</v>
      </c>
      <c r="P733" s="28" t="str">
        <f>IFERROR(__xludf.DUMMYFUNCTION("""COMPUTED_VALUE"""),"The officer was informed of a robbery and gave chase to one of the suspects. The suspect was running from the officer when it appeared that he reached for something at his waistband and started turning toward the officer forcing the officer shoot at the s"&amp;"uspect.")</f>
        <v>The officer was informed of a robbery and gave chase to one of the suspects. The suspect was running from the officer when it appeared that he reached for something at his waistband and started turning toward the officer forcing the officer shoot at the suspect.</v>
      </c>
      <c r="Q733" s="24"/>
      <c r="R733" s="24"/>
      <c r="S733" s="24"/>
      <c r="T733" s="24"/>
      <c r="U733" s="24"/>
      <c r="V733" s="24"/>
      <c r="W733" s="24"/>
      <c r="X733" s="24"/>
      <c r="Y733" s="24"/>
      <c r="Z733" s="24"/>
    </row>
    <row r="734">
      <c r="A734" s="29">
        <f>IFERROR(__xludf.DUMMYFUNCTION("""COMPUTED_VALUE"""),38441.0)</f>
        <v>38441</v>
      </c>
      <c r="B734" s="24">
        <f>IFERROR(__xludf.DUMMYFUNCTION("""COMPUTED_VALUE"""),4.8422305E7)</f>
        <v>48422305</v>
      </c>
      <c r="C734" s="24" t="str">
        <f>IFERROR(__xludf.DUMMYFUNCTION("""COMPUTED_VALUE"""),"12500 Westheimer")</f>
        <v>12500 Westheimer</v>
      </c>
      <c r="D734" s="26" t="str">
        <f>IFERROR(__xludf.DUMMYFUNCTION("""COMPUTED_VALUE"""),"M")</f>
        <v>M</v>
      </c>
      <c r="E734" s="26" t="str">
        <f>IFERROR(__xludf.DUMMYFUNCTION("""COMPUTED_VALUE"""),"B")</f>
        <v>B</v>
      </c>
      <c r="F734" s="26">
        <f>IFERROR(__xludf.DUMMYFUNCTION("""COMPUTED_VALUE"""),31.0)</f>
        <v>31</v>
      </c>
      <c r="G734" s="26" t="str">
        <f>IFERROR(__xludf.DUMMYFUNCTION("""COMPUTED_VALUE"""),"None")</f>
        <v>None</v>
      </c>
      <c r="H734" s="26" t="str">
        <f>IFERROR(__xludf.DUMMYFUNCTION("""COMPUTED_VALUE"""),"None")</f>
        <v>None</v>
      </c>
      <c r="I734" s="27" t="str">
        <f>IFERROR(__xludf.DUMMYFUNCTION("""COMPUTED_VALUE"""),"M")</f>
        <v>M</v>
      </c>
      <c r="J734" s="27" t="str">
        <f>IFERROR(__xludf.DUMMYFUNCTION("""COMPUTED_VALUE"""),"B")</f>
        <v>B</v>
      </c>
      <c r="K734" s="27">
        <f>IFERROR(__xludf.DUMMYFUNCTION("""COMPUTED_VALUE"""),36.0)</f>
        <v>36</v>
      </c>
      <c r="L734" s="27" t="str">
        <f>IFERROR(__xludf.DUMMYFUNCTION("""COMPUTED_VALUE"""),"None")</f>
        <v>None</v>
      </c>
      <c r="M734" s="27" t="str">
        <f>IFERROR(__xludf.DUMMYFUNCTION("""COMPUTED_VALUE"""),"Y")</f>
        <v>Y</v>
      </c>
      <c r="N734" s="24"/>
      <c r="O734" s="24">
        <f>IFERROR(__xludf.DUMMYFUNCTION("""COMPUTED_VALUE"""),1.0)</f>
        <v>1</v>
      </c>
      <c r="P734" s="28" t="str">
        <f>IFERROR(__xludf.DUMMYFUNCTION("""COMPUTED_VALUE"""),"The officer was inside a store when he saw a robbery taking place. He went out to engage the suspect who was running toward a vehicle. The suspect then turned toward the officer as he was reaching to his waitband forcing the officer to shoot.")</f>
        <v>The officer was inside a store when he saw a robbery taking place. He went out to engage the suspect who was running toward a vehicle. The suspect then turned toward the officer as he was reaching to his waitband forcing the officer to shoot.</v>
      </c>
      <c r="Q734" s="24"/>
      <c r="R734" s="24"/>
      <c r="S734" s="24"/>
      <c r="T734" s="24"/>
      <c r="U734" s="24"/>
      <c r="V734" s="24"/>
      <c r="W734" s="24"/>
      <c r="X734" s="24"/>
      <c r="Y734" s="24"/>
      <c r="Z734" s="24"/>
    </row>
    <row r="735">
      <c r="A735" s="29">
        <f>IFERROR(__xludf.DUMMYFUNCTION("""COMPUTED_VALUE"""),38427.0)</f>
        <v>38427</v>
      </c>
      <c r="B735" s="24">
        <f>IFERROR(__xludf.DUMMYFUNCTION("""COMPUTED_VALUE"""),4.0489405E7)</f>
        <v>40489405</v>
      </c>
      <c r="C735" s="24" t="str">
        <f>IFERROR(__xludf.DUMMYFUNCTION("""COMPUTED_VALUE"""),"4619 West 34th St")</f>
        <v>4619 West 34th St</v>
      </c>
      <c r="D735" s="26" t="str">
        <f>IFERROR(__xludf.DUMMYFUNCTION("""COMPUTED_VALUE"""),"M")</f>
        <v>M</v>
      </c>
      <c r="E735" s="26" t="str">
        <f>IFERROR(__xludf.DUMMYFUNCTION("""COMPUTED_VALUE"""),"B")</f>
        <v>B</v>
      </c>
      <c r="F735" s="26">
        <f>IFERROR(__xludf.DUMMYFUNCTION("""COMPUTED_VALUE"""),39.0)</f>
        <v>39</v>
      </c>
      <c r="G735" s="26" t="str">
        <f>IFERROR(__xludf.DUMMYFUNCTION("""COMPUTED_VALUE"""),"None")</f>
        <v>None</v>
      </c>
      <c r="H735" s="26" t="str">
        <f>IFERROR(__xludf.DUMMYFUNCTION("""COMPUTED_VALUE"""),"None")</f>
        <v>None</v>
      </c>
      <c r="I735" s="27" t="str">
        <f>IFERROR(__xludf.DUMMYFUNCTION("""COMPUTED_VALUE"""),"F")</f>
        <v>F</v>
      </c>
      <c r="J735" s="27" t="str">
        <f>IFERROR(__xludf.DUMMYFUNCTION("""COMPUTED_VALUE"""),"H")</f>
        <v>H</v>
      </c>
      <c r="K735" s="27">
        <f>IFERROR(__xludf.DUMMYFUNCTION("""COMPUTED_VALUE"""),28.0)</f>
        <v>28</v>
      </c>
      <c r="L735" s="27" t="str">
        <f>IFERROR(__xludf.DUMMYFUNCTION("""COMPUTED_VALUE"""),"None")</f>
        <v>None</v>
      </c>
      <c r="M735" s="27" t="str">
        <f>IFERROR(__xludf.DUMMYFUNCTION("""COMPUTED_VALUE"""),"Y")</f>
        <v>Y</v>
      </c>
      <c r="N735" s="24"/>
      <c r="O735" s="24">
        <f>IFERROR(__xludf.DUMMYFUNCTION("""COMPUTED_VALUE"""),1.0)</f>
        <v>1</v>
      </c>
      <c r="P735" s="28" t="str">
        <f>IFERROR(__xludf.DUMMYFUNCTION("""COMPUTED_VALUE"""),"The officer pulled over a vehicle that was reported stolen and had the suspect lie on the ground intending to wait for backup before handling him. The suspect then got up from the ground and charged at the officer while reaching into his waitband forcing "&amp;"the officer to shoot.")</f>
        <v>The officer pulled over a vehicle that was reported stolen and had the suspect lie on the ground intending to wait for backup before handling him. The suspect then got up from the ground and charged at the officer while reaching into his waitband forcing the officer to shoot.</v>
      </c>
      <c r="Q735" s="24"/>
      <c r="R735" s="24"/>
      <c r="S735" s="24"/>
      <c r="T735" s="24"/>
      <c r="U735" s="24"/>
      <c r="V735" s="24"/>
      <c r="W735" s="24"/>
      <c r="X735" s="24"/>
      <c r="Y735" s="24"/>
      <c r="Z735" s="24"/>
    </row>
    <row r="736">
      <c r="A736" s="29">
        <f>IFERROR(__xludf.DUMMYFUNCTION("""COMPUTED_VALUE"""),38424.0)</f>
        <v>38424</v>
      </c>
      <c r="B736" s="24">
        <f>IFERROR(__xludf.DUMMYFUNCTION("""COMPUTED_VALUE"""),3.8929805E7)</f>
        <v>38929805</v>
      </c>
      <c r="C736" s="24" t="str">
        <f>IFERROR(__xludf.DUMMYFUNCTION("""COMPUTED_VALUE"""),"2100 Nina Lee")</f>
        <v>2100 Nina Lee</v>
      </c>
      <c r="D736" s="26" t="str">
        <f>IFERROR(__xludf.DUMMYFUNCTION("""COMPUTED_VALUE"""),"M")</f>
        <v>M</v>
      </c>
      <c r="E736" s="26" t="str">
        <f>IFERROR(__xludf.DUMMYFUNCTION("""COMPUTED_VALUE"""),"H")</f>
        <v>H</v>
      </c>
      <c r="F736" s="26">
        <f>IFERROR(__xludf.DUMMYFUNCTION("""COMPUTED_VALUE"""),18.0)</f>
        <v>18</v>
      </c>
      <c r="G736" s="26" t="str">
        <f>IFERROR(__xludf.DUMMYFUNCTION("""COMPUTED_VALUE"""),"None")</f>
        <v>None</v>
      </c>
      <c r="H736" s="26" t="str">
        <f>IFERROR(__xludf.DUMMYFUNCTION("""COMPUTED_VALUE"""),"Vehicle")</f>
        <v>Vehicle</v>
      </c>
      <c r="I736" s="27" t="str">
        <f>IFERROR(__xludf.DUMMYFUNCTION("""COMPUTED_VALUE"""),"M")</f>
        <v>M</v>
      </c>
      <c r="J736" s="27" t="str">
        <f>IFERROR(__xludf.DUMMYFUNCTION("""COMPUTED_VALUE"""),"W")</f>
        <v>W</v>
      </c>
      <c r="K736" s="27">
        <f>IFERROR(__xludf.DUMMYFUNCTION("""COMPUTED_VALUE"""),36.0)</f>
        <v>36</v>
      </c>
      <c r="L736" s="27" t="str">
        <f>IFERROR(__xludf.DUMMYFUNCTION("""COMPUTED_VALUE"""),"None")</f>
        <v>None</v>
      </c>
      <c r="M736" s="27" t="str">
        <f>IFERROR(__xludf.DUMMYFUNCTION("""COMPUTED_VALUE"""),"Y")</f>
        <v>Y</v>
      </c>
      <c r="N736" s="24"/>
      <c r="O736" s="24">
        <f>IFERROR(__xludf.DUMMYFUNCTION("""COMPUTED_VALUE"""),1.0)</f>
        <v>1</v>
      </c>
      <c r="P736" s="28" t="str">
        <f>IFERROR(__xludf.DUMMYFUNCTION("""COMPUTED_VALUE"""),"The officer spotted a vehicle that was reported to have been stolen at gunpoint and also saw that the vehicle was being followed by another vehicle. The officer began to follow the vehicles at which time they split up so the officer went with the stolen v"&amp;"ehicle and stopped it when back up units arrived. The officers were arresting the driver when the other vehicle reappeared and drove at the officers foricng the officer to shoot.")</f>
        <v>The officer spotted a vehicle that was reported to have been stolen at gunpoint and also saw that the vehicle was being followed by another vehicle. The officer began to follow the vehicles at which time they split up so the officer went with the stolen vehicle and stopped it when back up units arrived. The officers were arresting the driver when the other vehicle reappeared and drove at the officers foricng the officer to shoot.</v>
      </c>
      <c r="Q736" s="24"/>
      <c r="R736" s="24"/>
      <c r="S736" s="24"/>
      <c r="T736" s="24"/>
      <c r="U736" s="24"/>
      <c r="V736" s="24"/>
      <c r="W736" s="24"/>
      <c r="X736" s="24"/>
      <c r="Y736" s="24"/>
      <c r="Z736" s="24"/>
    </row>
    <row r="737" hidden="1">
      <c r="A737" s="29">
        <f>IFERROR(__xludf.DUMMYFUNCTION("""COMPUTED_VALUE"""),38418.0)</f>
        <v>38418</v>
      </c>
      <c r="B737" s="24">
        <f>IFERROR(__xludf.DUMMYFUNCTION("""COMPUTED_VALUE"""),3.5678805E7)</f>
        <v>35678805</v>
      </c>
      <c r="C737" s="24" t="str">
        <f>IFERROR(__xludf.DUMMYFUNCTION("""COMPUTED_VALUE"""),"9621 Radio St.")</f>
        <v>9621 Radio St.</v>
      </c>
      <c r="D737" s="26" t="str">
        <f>IFERROR(__xludf.DUMMYFUNCTION("""COMPUTED_VALUE"""),"M")</f>
        <v>M</v>
      </c>
      <c r="E737" s="26" t="str">
        <f>IFERROR(__xludf.DUMMYFUNCTION("""COMPUTED_VALUE"""),"B")</f>
        <v>B</v>
      </c>
      <c r="F737" s="26">
        <f>IFERROR(__xludf.DUMMYFUNCTION("""COMPUTED_VALUE"""),21.0)</f>
        <v>21</v>
      </c>
      <c r="G737" s="26" t="str">
        <f>IFERROR(__xludf.DUMMYFUNCTION("""COMPUTED_VALUE"""),"Killed")</f>
        <v>Killed</v>
      </c>
      <c r="H737" s="26" t="str">
        <f>IFERROR(__xludf.DUMMYFUNCTION("""COMPUTED_VALUE"""),"Firearm")</f>
        <v>Firearm</v>
      </c>
      <c r="I737" s="27" t="str">
        <f>IFERROR(__xludf.DUMMYFUNCTION("""COMPUTED_VALUE"""),"M")</f>
        <v>M</v>
      </c>
      <c r="J737" s="27" t="str">
        <f>IFERROR(__xludf.DUMMYFUNCTION("""COMPUTED_VALUE"""),"W")</f>
        <v>W</v>
      </c>
      <c r="K737" s="27">
        <f>IFERROR(__xludf.DUMMYFUNCTION("""COMPUTED_VALUE"""),45.0)</f>
        <v>45</v>
      </c>
      <c r="L737" s="27" t="str">
        <f>IFERROR(__xludf.DUMMYFUNCTION("""COMPUTED_VALUE"""),"None")</f>
        <v>None</v>
      </c>
      <c r="M737" s="27" t="str">
        <f>IFERROR(__xludf.DUMMYFUNCTION("""COMPUTED_VALUE"""),"Y")</f>
        <v>Y</v>
      </c>
      <c r="N737" s="24"/>
      <c r="O737" s="24">
        <f>IFERROR(__xludf.DUMMYFUNCTION("""COMPUTED_VALUE"""),1.0)</f>
        <v>1</v>
      </c>
      <c r="P737" s="24" t="str">
        <f>IFERROR(__xludf.DUMMYFUNCTION("""COMPUTED_VALUE"""),"The suspect was seen leaving an apartment that he had just broken into and was confronted by multiple employees who worked at the complex. The suspect then pulled out a weapon and shot at these persons because they were attempting to detain him until the "&amp;"police arrived. After that, the suspect engaged in multiple crimes as he attempted to get access to a vehicle to flee the scene - in some cases other persons were shot. The responding officer found the suspect as he was attempting to rob a person of their"&amp;" vehicle. The suspect then held the person at gunpoint forcing the officer to shoot.")</f>
        <v>The suspect was seen leaving an apartment that he had just broken into and was confronted by multiple employees who worked at the complex. The suspect then pulled out a weapon and shot at these persons because they were attempting to detain him until the police arrived. After that, the suspect engaged in multiple crimes as he attempted to get access to a vehicle to flee the scene - in some cases other persons were shot. The responding officer found the suspect as he was attempting to rob a person of their vehicle. The suspect then held the person at gunpoint forcing the officer to shoot.</v>
      </c>
      <c r="Q737" s="24"/>
      <c r="R737" s="24"/>
      <c r="S737" s="24"/>
      <c r="T737" s="24"/>
      <c r="U737" s="24"/>
      <c r="V737" s="24"/>
      <c r="W737" s="24"/>
      <c r="X737" s="24"/>
      <c r="Y737" s="24"/>
      <c r="Z737" s="24"/>
    </row>
    <row r="738">
      <c r="A738" s="29">
        <f>IFERROR(__xludf.DUMMYFUNCTION("""COMPUTED_VALUE"""),38412.0)</f>
        <v>38412</v>
      </c>
      <c r="B738" s="24">
        <f>IFERROR(__xludf.DUMMYFUNCTION("""COMPUTED_VALUE"""),3.2456405E7)</f>
        <v>32456405</v>
      </c>
      <c r="C738" s="24" t="str">
        <f>IFERROR(__xludf.DUMMYFUNCTION("""COMPUTED_VALUE"""),"7710 Claiborne")</f>
        <v>7710 Claiborne</v>
      </c>
      <c r="D738" s="26" t="str">
        <f>IFERROR(__xludf.DUMMYFUNCTION("""COMPUTED_VALUE"""),"M")</f>
        <v>M</v>
      </c>
      <c r="E738" s="26" t="str">
        <f>IFERROR(__xludf.DUMMYFUNCTION("""COMPUTED_VALUE"""),"B")</f>
        <v>B</v>
      </c>
      <c r="F738" s="26">
        <f>IFERROR(__xludf.DUMMYFUNCTION("""COMPUTED_VALUE"""),22.0)</f>
        <v>22</v>
      </c>
      <c r="G738" s="26" t="str">
        <f>IFERROR(__xludf.DUMMYFUNCTION("""COMPUTED_VALUE"""),"None")</f>
        <v>None</v>
      </c>
      <c r="H738" s="26" t="str">
        <f>IFERROR(__xludf.DUMMYFUNCTION("""COMPUTED_VALUE"""),"Firearm")</f>
        <v>Firearm</v>
      </c>
      <c r="I738" s="27" t="str">
        <f>IFERROR(__xludf.DUMMYFUNCTION("""COMPUTED_VALUE"""),"M")</f>
        <v>M</v>
      </c>
      <c r="J738" s="27" t="str">
        <f>IFERROR(__xludf.DUMMYFUNCTION("""COMPUTED_VALUE"""),"W")</f>
        <v>W</v>
      </c>
      <c r="K738" s="27">
        <f>IFERROR(__xludf.DUMMYFUNCTION("""COMPUTED_VALUE"""),30.0)</f>
        <v>30</v>
      </c>
      <c r="L738" s="27" t="str">
        <f>IFERROR(__xludf.DUMMYFUNCTION("""COMPUTED_VALUE"""),"None")</f>
        <v>None</v>
      </c>
      <c r="M738" s="27" t="str">
        <f>IFERROR(__xludf.DUMMYFUNCTION("""COMPUTED_VALUE"""),"Y")</f>
        <v>Y</v>
      </c>
      <c r="N738" s="24"/>
      <c r="O738" s="24">
        <f>IFERROR(__xludf.DUMMYFUNCTION("""COMPUTED_VALUE"""),1.0)</f>
        <v>1</v>
      </c>
      <c r="P738" s="28" t="str">
        <f>IFERROR(__xludf.DUMMYFUNCTION("""COMPUTED_VALUE"""),"The officer saw a narcotics transaction take place and as he approcahed the persons involved the suspect ran off. The officer chased the suspect and at one point he saw that the suspect dropped a pistol as he was jumping over a fence. The officer chose to"&amp;" leave the pistol in place intending to return for it after apprehending the suspect but the suspect made his way back to the pistol. The suspect grabbed the pistol and was turning toward the officer forcing the officer to shoot.")</f>
        <v>The officer saw a narcotics transaction take place and as he approcahed the persons involved the suspect ran off. The officer chased the suspect and at one point he saw that the suspect dropped a pistol as he was jumping over a fence. The officer chose to leave the pistol in place intending to return for it after apprehending the suspect but the suspect made his way back to the pistol. The suspect grabbed the pistol and was turning toward the officer forcing the officer to shoot.</v>
      </c>
      <c r="Q738" s="24"/>
      <c r="R738" s="24"/>
      <c r="S738" s="24"/>
      <c r="T738" s="24"/>
      <c r="U738" s="24"/>
      <c r="V738" s="24"/>
      <c r="W738" s="24"/>
      <c r="X738" s="24"/>
      <c r="Y738" s="24"/>
      <c r="Z738" s="24"/>
    </row>
    <row r="739">
      <c r="A739" s="29">
        <f>IFERROR(__xludf.DUMMYFUNCTION("""COMPUTED_VALUE"""),38409.0)</f>
        <v>38409</v>
      </c>
      <c r="B739" s="24">
        <f>IFERROR(__xludf.DUMMYFUNCTION("""COMPUTED_VALUE"""),3.0500705E7)</f>
        <v>30500705</v>
      </c>
      <c r="C739" s="24" t="str">
        <f>IFERROR(__xludf.DUMMYFUNCTION("""COMPUTED_VALUE"""),"1915 Mangum")</f>
        <v>1915 Mangum</v>
      </c>
      <c r="D739" s="26" t="str">
        <f>IFERROR(__xludf.DUMMYFUNCTION("""COMPUTED_VALUE"""),"M")</f>
        <v>M</v>
      </c>
      <c r="E739" s="26" t="str">
        <f>IFERROR(__xludf.DUMMYFUNCTION("""COMPUTED_VALUE"""),"W")</f>
        <v>W</v>
      </c>
      <c r="F739" s="26">
        <f>IFERROR(__xludf.DUMMYFUNCTION("""COMPUTED_VALUE"""),29.0)</f>
        <v>29</v>
      </c>
      <c r="G739" s="26" t="str">
        <f>IFERROR(__xludf.DUMMYFUNCTION("""COMPUTED_VALUE"""),"None")</f>
        <v>None</v>
      </c>
      <c r="H739" s="26" t="str">
        <f>IFERROR(__xludf.DUMMYFUNCTION("""COMPUTED_VALUE"""),"Firearm")</f>
        <v>Firearm</v>
      </c>
      <c r="I739" s="27" t="str">
        <f>IFERROR(__xludf.DUMMYFUNCTION("""COMPUTED_VALUE"""),"M")</f>
        <v>M</v>
      </c>
      <c r="J739" s="27" t="str">
        <f>IFERROR(__xludf.DUMMYFUNCTION("""COMPUTED_VALUE"""),"H")</f>
        <v>H</v>
      </c>
      <c r="K739" s="27">
        <f>IFERROR(__xludf.DUMMYFUNCTION("""COMPUTED_VALUE"""),43.0)</f>
        <v>43</v>
      </c>
      <c r="L739" s="27" t="str">
        <f>IFERROR(__xludf.DUMMYFUNCTION("""COMPUTED_VALUE"""),"None")</f>
        <v>None</v>
      </c>
      <c r="M739" s="27" t="str">
        <f>IFERROR(__xludf.DUMMYFUNCTION("""COMPUTED_VALUE"""),"N")</f>
        <v>N</v>
      </c>
      <c r="N739" s="24"/>
      <c r="O739" s="24"/>
      <c r="P739" s="28" t="str">
        <f>IFERROR(__xludf.DUMMYFUNCTION("""COMPUTED_VALUE"""),"The officers were made aware of a disturbance and as they approached the area they saw the suspet pointing a pistol at a group of people. The officers confronted the suspect at which time the suspect ran. The officers were chasing the suspect when the sus"&amp;"pect fell to the ground and as he got up, he pointed his weapon at the officers forcing them to shoot.")</f>
        <v>The officers were made aware of a disturbance and as they approached the area they saw the suspet pointing a pistol at a group of people. The officers confronted the suspect at which time the suspect ran. The officers were chasing the suspect when the suspect fell to the ground and as he got up, he pointed his weapon at the officers forcing them to shoot.</v>
      </c>
      <c r="Q739" s="24"/>
      <c r="R739" s="24"/>
      <c r="S739" s="24"/>
      <c r="T739" s="24"/>
      <c r="U739" s="24"/>
      <c r="V739" s="24"/>
      <c r="W739" s="24"/>
      <c r="X739" s="24"/>
      <c r="Y739" s="24"/>
      <c r="Z739" s="24"/>
    </row>
    <row r="740" hidden="1">
      <c r="A740" s="29"/>
      <c r="B740" s="24"/>
      <c r="C740" s="24"/>
      <c r="D740" s="26"/>
      <c r="E740" s="26"/>
      <c r="F740" s="26"/>
      <c r="G740" s="26"/>
      <c r="H740" s="26"/>
      <c r="I740" s="27" t="str">
        <f>IFERROR(__xludf.DUMMYFUNCTION("""COMPUTED_VALUE"""),"M")</f>
        <v>M</v>
      </c>
      <c r="J740" s="27" t="str">
        <f>IFERROR(__xludf.DUMMYFUNCTION("""COMPUTED_VALUE"""),"H")</f>
        <v>H</v>
      </c>
      <c r="K740" s="27">
        <f>IFERROR(__xludf.DUMMYFUNCTION("""COMPUTED_VALUE"""),35.0)</f>
        <v>35</v>
      </c>
      <c r="L740" s="27" t="str">
        <f>IFERROR(__xludf.DUMMYFUNCTION("""COMPUTED_VALUE"""),"None")</f>
        <v>None</v>
      </c>
      <c r="M740" s="27" t="str">
        <f>IFERROR(__xludf.DUMMYFUNCTION("""COMPUTED_VALUE"""),"N")</f>
        <v>N</v>
      </c>
      <c r="N740" s="24"/>
      <c r="O740" s="24"/>
      <c r="P740" s="24"/>
      <c r="Q740" s="24"/>
      <c r="R740" s="24"/>
      <c r="S740" s="24"/>
      <c r="T740" s="24"/>
      <c r="U740" s="24"/>
      <c r="V740" s="24"/>
      <c r="W740" s="24"/>
      <c r="X740" s="24"/>
      <c r="Y740" s="24"/>
      <c r="Z740" s="24"/>
    </row>
    <row r="741" hidden="1">
      <c r="A741" s="29">
        <f>IFERROR(__xludf.DUMMYFUNCTION("""COMPUTED_VALUE"""),38406.0)</f>
        <v>38406</v>
      </c>
      <c r="B741" s="24">
        <f>IFERROR(__xludf.DUMMYFUNCTION("""COMPUTED_VALUE"""),2.8841605E7)</f>
        <v>28841605</v>
      </c>
      <c r="C741" s="24" t="str">
        <f>IFERROR(__xludf.DUMMYFUNCTION("""COMPUTED_VALUE"""),"9700 Leawood Blvd")</f>
        <v>9700 Leawood Blvd</v>
      </c>
      <c r="D741" s="26" t="str">
        <f>IFERROR(__xludf.DUMMYFUNCTION("""COMPUTED_VALUE"""),"M")</f>
        <v>M</v>
      </c>
      <c r="E741" s="26" t="str">
        <f>IFERROR(__xludf.DUMMYFUNCTION("""COMPUTED_VALUE"""),"B")</f>
        <v>B</v>
      </c>
      <c r="F741" s="26">
        <f>IFERROR(__xludf.DUMMYFUNCTION("""COMPUTED_VALUE"""),26.0)</f>
        <v>26</v>
      </c>
      <c r="G741" s="26" t="str">
        <f>IFERROR(__xludf.DUMMYFUNCTION("""COMPUTED_VALUE"""),"Killed")</f>
        <v>Killed</v>
      </c>
      <c r="H741" s="26" t="str">
        <f>IFERROR(__xludf.DUMMYFUNCTION("""COMPUTED_VALUE"""),"Firearm")</f>
        <v>Firearm</v>
      </c>
      <c r="I741" s="27" t="str">
        <f>IFERROR(__xludf.DUMMYFUNCTION("""COMPUTED_VALUE"""),"M")</f>
        <v>M</v>
      </c>
      <c r="J741" s="27" t="str">
        <f>IFERROR(__xludf.DUMMYFUNCTION("""COMPUTED_VALUE"""),"H")</f>
        <v>H</v>
      </c>
      <c r="K741" s="27">
        <f>IFERROR(__xludf.DUMMYFUNCTION("""COMPUTED_VALUE"""),30.0)</f>
        <v>30</v>
      </c>
      <c r="L741" s="27" t="str">
        <f>IFERROR(__xludf.DUMMYFUNCTION("""COMPUTED_VALUE"""),"None")</f>
        <v>None</v>
      </c>
      <c r="M741" s="27" t="str">
        <f>IFERROR(__xludf.DUMMYFUNCTION("""COMPUTED_VALUE"""),"Y")</f>
        <v>Y</v>
      </c>
      <c r="N741" s="24"/>
      <c r="O741" s="24">
        <f>IFERROR(__xludf.DUMMYFUNCTION("""COMPUTED_VALUE"""),1.0)</f>
        <v>1</v>
      </c>
      <c r="P741" s="24" t="str">
        <f>IFERROR(__xludf.DUMMYFUNCTION("""COMPUTED_VALUE"""),"The officer was leaving a call scene when he heard multiple gunshots from a nearby location he walked to the street to investigate and saw a truck pull in front of a car and stop. The suspect then got out of the car and began to shoot at the driver in the"&amp;" car forcing the officer to shoot at the suspect.")</f>
        <v>The officer was leaving a call scene when he heard multiple gunshots from a nearby location he walked to the street to investigate and saw a truck pull in front of a car and stop. The suspect then got out of the car and began to shoot at the driver in the car forcing the officer to shoot at the suspect.</v>
      </c>
      <c r="Q741" s="24"/>
      <c r="R741" s="24"/>
      <c r="S741" s="24"/>
      <c r="T741" s="24"/>
      <c r="U741" s="24"/>
      <c r="V741" s="24"/>
      <c r="W741" s="24"/>
      <c r="X741" s="24"/>
      <c r="Y741" s="24"/>
      <c r="Z741" s="24"/>
    </row>
    <row r="742">
      <c r="A742" s="29">
        <f>IFERROR(__xludf.DUMMYFUNCTION("""COMPUTED_VALUE"""),38397.0)</f>
        <v>38397</v>
      </c>
      <c r="B742" s="24">
        <f>IFERROR(__xludf.DUMMYFUNCTION("""COMPUTED_VALUE"""),2.4094505E7)</f>
        <v>24094505</v>
      </c>
      <c r="C742" s="24" t="str">
        <f>IFERROR(__xludf.DUMMYFUNCTION("""COMPUTED_VALUE"""),"10700 Fondren")</f>
        <v>10700 Fondren</v>
      </c>
      <c r="D742" s="26" t="str">
        <f>IFERROR(__xludf.DUMMYFUNCTION("""COMPUTED_VALUE"""),"M")</f>
        <v>M</v>
      </c>
      <c r="E742" s="26" t="str">
        <f>IFERROR(__xludf.DUMMYFUNCTION("""COMPUTED_VALUE"""),"B")</f>
        <v>B</v>
      </c>
      <c r="F742" s="26">
        <f>IFERROR(__xludf.DUMMYFUNCTION("""COMPUTED_VALUE"""),18.0)</f>
        <v>18</v>
      </c>
      <c r="G742" s="26" t="str">
        <f>IFERROR(__xludf.DUMMYFUNCTION("""COMPUTED_VALUE"""),"None")</f>
        <v>None</v>
      </c>
      <c r="H742" s="26" t="str">
        <f>IFERROR(__xludf.DUMMYFUNCTION("""COMPUTED_VALUE"""),"Firearm")</f>
        <v>Firearm</v>
      </c>
      <c r="I742" s="27" t="str">
        <f>IFERROR(__xludf.DUMMYFUNCTION("""COMPUTED_VALUE"""),"M")</f>
        <v>M</v>
      </c>
      <c r="J742" s="27" t="str">
        <f>IFERROR(__xludf.DUMMYFUNCTION("""COMPUTED_VALUE"""),"W")</f>
        <v>W</v>
      </c>
      <c r="K742" s="27">
        <f>IFERROR(__xludf.DUMMYFUNCTION("""COMPUTED_VALUE"""),37.0)</f>
        <v>37</v>
      </c>
      <c r="L742" s="27" t="str">
        <f>IFERROR(__xludf.DUMMYFUNCTION("""COMPUTED_VALUE"""),"None")</f>
        <v>None</v>
      </c>
      <c r="M742" s="27" t="str">
        <f>IFERROR(__xludf.DUMMYFUNCTION("""COMPUTED_VALUE"""),"Y")</f>
        <v>Y</v>
      </c>
      <c r="N742" s="24"/>
      <c r="O742" s="24"/>
      <c r="P742" s="28" t="str">
        <f>IFERROR(__xludf.DUMMYFUNCTION("""COMPUTED_VALUE"""),"The officers were attempting to detain a suspicious person who was in violation of a trespass order when the suspect ran. One of the officers chased the suspect on foot and was behind him when the suspect pulled out a weapon from his pocket and pointed it"&amp;" at the officer forcing the officer to shoot.")</f>
        <v>The officers were attempting to detain a suspicious person who was in violation of a trespass order when the suspect ran. One of the officers chased the suspect on foot and was behind him when the suspect pulled out a weapon from his pocket and pointed it at the officer forcing the officer to shoot.</v>
      </c>
      <c r="Q742" s="24"/>
      <c r="R742" s="24"/>
      <c r="S742" s="24"/>
      <c r="T742" s="24"/>
      <c r="U742" s="24"/>
      <c r="V742" s="24"/>
      <c r="W742" s="24"/>
      <c r="X742" s="24"/>
      <c r="Y742" s="24"/>
      <c r="Z742" s="24"/>
    </row>
    <row r="743">
      <c r="A743" s="29">
        <f>IFERROR(__xludf.DUMMYFUNCTION("""COMPUTED_VALUE"""),38393.0)</f>
        <v>38393</v>
      </c>
      <c r="B743" s="24">
        <f>IFERROR(__xludf.DUMMYFUNCTION("""COMPUTED_VALUE"""),2.1966005E7)</f>
        <v>21966005</v>
      </c>
      <c r="C743" s="24" t="str">
        <f>IFERROR(__xludf.DUMMYFUNCTION("""COMPUTED_VALUE"""),"7900 Garland Dr")</f>
        <v>7900 Garland Dr</v>
      </c>
      <c r="D743" s="26" t="str">
        <f>IFERROR(__xludf.DUMMYFUNCTION("""COMPUTED_VALUE"""),"M")</f>
        <v>M</v>
      </c>
      <c r="E743" s="26" t="str">
        <f>IFERROR(__xludf.DUMMYFUNCTION("""COMPUTED_VALUE"""),"A")</f>
        <v>A</v>
      </c>
      <c r="F743" s="26">
        <f>IFERROR(__xludf.DUMMYFUNCTION("""COMPUTED_VALUE"""),26.0)</f>
        <v>26</v>
      </c>
      <c r="G743" s="26" t="str">
        <f>IFERROR(__xludf.DUMMYFUNCTION("""COMPUTED_VALUE"""),"None")</f>
        <v>None</v>
      </c>
      <c r="H743" s="26" t="str">
        <f>IFERROR(__xludf.DUMMYFUNCTION("""COMPUTED_VALUE"""),"Vehicle")</f>
        <v>Vehicle</v>
      </c>
      <c r="I743" s="27" t="str">
        <f>IFERROR(__xludf.DUMMYFUNCTION("""COMPUTED_VALUE"""),"M")</f>
        <v>M</v>
      </c>
      <c r="J743" s="27" t="str">
        <f>IFERROR(__xludf.DUMMYFUNCTION("""COMPUTED_VALUE"""),"H")</f>
        <v>H</v>
      </c>
      <c r="K743" s="27">
        <f>IFERROR(__xludf.DUMMYFUNCTION("""COMPUTED_VALUE"""),32.0)</f>
        <v>32</v>
      </c>
      <c r="L743" s="27" t="str">
        <f>IFERROR(__xludf.DUMMYFUNCTION("""COMPUTED_VALUE"""),"None")</f>
        <v>None</v>
      </c>
      <c r="M743" s="27" t="str">
        <f>IFERROR(__xludf.DUMMYFUNCTION("""COMPUTED_VALUE"""),"Y")</f>
        <v>Y</v>
      </c>
      <c r="N743" s="24"/>
      <c r="O743" s="24">
        <f>IFERROR(__xludf.DUMMYFUNCTION("""COMPUTED_VALUE"""),1.0)</f>
        <v>1</v>
      </c>
      <c r="P743" s="28" t="str">
        <f>IFERROR(__xludf.DUMMYFUNCTION("""COMPUTED_VALUE"""),"The suspect was had solicited sex from an undercover officer and when the patrol unit pulled up to arrest him, the suspect drove off with the officer partially inside the vehicle forcing the arriving officer to shoot at the suspect before the undercover o"&amp;"fficer got dragged under the tires.")</f>
        <v>The suspect was had solicited sex from an undercover officer and when the patrol unit pulled up to arrest him, the suspect drove off with the officer partially inside the vehicle forcing the arriving officer to shoot at the suspect before the undercover officer got dragged under the tires.</v>
      </c>
      <c r="Q743" s="24"/>
      <c r="R743" s="24"/>
      <c r="S743" s="24"/>
      <c r="T743" s="24"/>
      <c r="U743" s="24"/>
      <c r="V743" s="24"/>
      <c r="W743" s="24"/>
      <c r="X743" s="24"/>
      <c r="Y743" s="24"/>
      <c r="Z743" s="24"/>
    </row>
    <row r="744" hidden="1">
      <c r="A744" s="29">
        <f>IFERROR(__xludf.DUMMYFUNCTION("""COMPUTED_VALUE"""),38355.0)</f>
        <v>38355</v>
      </c>
      <c r="B744" s="24">
        <f>IFERROR(__xludf.DUMMYFUNCTION("""COMPUTED_VALUE"""),1517405.0)</f>
        <v>1517405</v>
      </c>
      <c r="C744" s="24" t="str">
        <f>IFERROR(__xludf.DUMMYFUNCTION("""COMPUTED_VALUE"""),"3333 Telephone Road")</f>
        <v>3333 Telephone Road</v>
      </c>
      <c r="D744" s="26" t="str">
        <f>IFERROR(__xludf.DUMMYFUNCTION("""COMPUTED_VALUE"""),"M")</f>
        <v>M</v>
      </c>
      <c r="E744" s="26" t="str">
        <f>IFERROR(__xludf.DUMMYFUNCTION("""COMPUTED_VALUE"""),"H")</f>
        <v>H</v>
      </c>
      <c r="F744" s="26">
        <f>IFERROR(__xludf.DUMMYFUNCTION("""COMPUTED_VALUE"""),26.0)</f>
        <v>26</v>
      </c>
      <c r="G744" s="26" t="str">
        <f>IFERROR(__xludf.DUMMYFUNCTION("""COMPUTED_VALUE"""),"Killed")</f>
        <v>Killed</v>
      </c>
      <c r="H744" s="26" t="str">
        <f>IFERROR(__xludf.DUMMYFUNCTION("""COMPUTED_VALUE"""),"Firearm")</f>
        <v>Firearm</v>
      </c>
      <c r="I744" s="27" t="str">
        <f>IFERROR(__xludf.DUMMYFUNCTION("""COMPUTED_VALUE"""),"M")</f>
        <v>M</v>
      </c>
      <c r="J744" s="27" t="str">
        <f>IFERROR(__xludf.DUMMYFUNCTION("""COMPUTED_VALUE"""),"H")</f>
        <v>H</v>
      </c>
      <c r="K744" s="27">
        <f>IFERROR(__xludf.DUMMYFUNCTION("""COMPUTED_VALUE"""),28.0)</f>
        <v>28</v>
      </c>
      <c r="L744" s="27" t="str">
        <f>IFERROR(__xludf.DUMMYFUNCTION("""COMPUTED_VALUE"""),"None")</f>
        <v>None</v>
      </c>
      <c r="M744" s="27" t="str">
        <f>IFERROR(__xludf.DUMMYFUNCTION("""COMPUTED_VALUE"""),"Y")</f>
        <v>Y</v>
      </c>
      <c r="N744" s="24"/>
      <c r="O744" s="24"/>
      <c r="P744" s="24" t="str">
        <f>IFERROR(__xludf.DUMMYFUNCTION("""COMPUTED_VALUE"""),"The suspect was stopped on traffic and as the officers approached the vehicle, he got out with a shotgun and pointed it at the officers forcing them to fire.")</f>
        <v>The suspect was stopped on traffic and as the officers approached the vehicle, he got out with a shotgun and pointed it at the officers forcing them to fire.</v>
      </c>
      <c r="Q744" s="24"/>
      <c r="R744" s="24"/>
      <c r="S744" s="24"/>
      <c r="T744" s="24"/>
      <c r="U744" s="24"/>
      <c r="V744" s="24"/>
      <c r="W744" s="24"/>
      <c r="X744" s="24"/>
      <c r="Y744" s="24"/>
      <c r="Z744" s="24"/>
    </row>
    <row r="745" hidden="1">
      <c r="A745" s="29"/>
      <c r="B745" s="24"/>
      <c r="C745" s="24"/>
      <c r="D745" s="26"/>
      <c r="E745" s="26"/>
      <c r="F745" s="26"/>
      <c r="G745" s="26"/>
      <c r="H745" s="26"/>
      <c r="I745" s="27" t="str">
        <f>IFERROR(__xludf.DUMMYFUNCTION("""COMPUTED_VALUE"""),"M")</f>
        <v>M</v>
      </c>
      <c r="J745" s="27" t="str">
        <f>IFERROR(__xludf.DUMMYFUNCTION("""COMPUTED_VALUE"""),"W")</f>
        <v>W</v>
      </c>
      <c r="K745" s="27">
        <f>IFERROR(__xludf.DUMMYFUNCTION("""COMPUTED_VALUE"""),29.0)</f>
        <v>29</v>
      </c>
      <c r="L745" s="27" t="str">
        <f>IFERROR(__xludf.DUMMYFUNCTION("""COMPUTED_VALUE"""),"None")</f>
        <v>None</v>
      </c>
      <c r="M745" s="27" t="str">
        <f>IFERROR(__xludf.DUMMYFUNCTION("""COMPUTED_VALUE"""),"Y")</f>
        <v>Y</v>
      </c>
      <c r="N745" s="24"/>
      <c r="O745" s="24"/>
      <c r="P745" s="24"/>
      <c r="Q745" s="24"/>
      <c r="R745" s="24"/>
      <c r="S745" s="24"/>
      <c r="T745" s="24"/>
      <c r="U745" s="24"/>
      <c r="V745" s="24"/>
      <c r="W745" s="24"/>
      <c r="X745" s="24"/>
      <c r="Y745" s="24"/>
      <c r="Z745" s="24"/>
    </row>
    <row r="746" hidden="1">
      <c r="A746" s="29">
        <f>IFERROR(__xludf.DUMMYFUNCTION("""COMPUTED_VALUE"""),38354.0)</f>
        <v>38354</v>
      </c>
      <c r="B746" s="24">
        <f>IFERROR(__xludf.DUMMYFUNCTION("""COMPUTED_VALUE"""),1027805.0)</f>
        <v>1027805</v>
      </c>
      <c r="C746" s="24" t="str">
        <f>IFERROR(__xludf.DUMMYFUNCTION("""COMPUTED_VALUE"""),"Hwy 6 / Brazoria County Rd 824")</f>
        <v>Hwy 6 / Brazoria County Rd 824</v>
      </c>
      <c r="D746" s="26" t="str">
        <f>IFERROR(__xludf.DUMMYFUNCTION("""COMPUTED_VALUE"""),"M")</f>
        <v>M</v>
      </c>
      <c r="E746" s="26" t="str">
        <f>IFERROR(__xludf.DUMMYFUNCTION("""COMPUTED_VALUE"""),"H")</f>
        <v>H</v>
      </c>
      <c r="F746" s="26">
        <f>IFERROR(__xludf.DUMMYFUNCTION("""COMPUTED_VALUE"""),35.0)</f>
        <v>35</v>
      </c>
      <c r="G746" s="26" t="str">
        <f>IFERROR(__xludf.DUMMYFUNCTION("""COMPUTED_VALUE"""),"Wounded")</f>
        <v>Wounded</v>
      </c>
      <c r="H746" s="26" t="str">
        <f>IFERROR(__xludf.DUMMYFUNCTION("""COMPUTED_VALUE"""),"Vehicle")</f>
        <v>Vehicle</v>
      </c>
      <c r="I746" s="27" t="str">
        <f>IFERROR(__xludf.DUMMYFUNCTION("""COMPUTED_VALUE"""),"M")</f>
        <v>M</v>
      </c>
      <c r="J746" s="27" t="str">
        <f>IFERROR(__xludf.DUMMYFUNCTION("""COMPUTED_VALUE"""),"P")</f>
        <v>P</v>
      </c>
      <c r="K746" s="27">
        <f>IFERROR(__xludf.DUMMYFUNCTION("""COMPUTED_VALUE"""),39.0)</f>
        <v>39</v>
      </c>
      <c r="L746" s="27" t="str">
        <f>IFERROR(__xludf.DUMMYFUNCTION("""COMPUTED_VALUE"""),"None")</f>
        <v>None</v>
      </c>
      <c r="M746" s="27" t="str">
        <f>IFERROR(__xludf.DUMMYFUNCTION("""COMPUTED_VALUE"""),"Y")</f>
        <v>Y</v>
      </c>
      <c r="N746" s="24"/>
      <c r="O746" s="24">
        <f>IFERROR(__xludf.DUMMYFUNCTION("""COMPUTED_VALUE"""),1.0)</f>
        <v>1</v>
      </c>
      <c r="P746" s="28" t="str">
        <f>IFERROR(__xludf.DUMMYFUNCTION("""COMPUTED_VALUE"""),"The officer was victim to a road rage incident when the driver of the suspect vehicle drove at the officer forcing the officer to shoot.")</f>
        <v>The officer was victim to a road rage incident when the driver of the suspect vehicle drove at the officer forcing the officer to shoot.</v>
      </c>
      <c r="Q746" s="24"/>
      <c r="R746" s="24"/>
      <c r="S746" s="24"/>
      <c r="T746" s="24"/>
      <c r="U746" s="24"/>
      <c r="V746" s="24"/>
      <c r="W746" s="24"/>
      <c r="X746" s="24"/>
      <c r="Y746" s="24"/>
      <c r="Z746" s="24"/>
    </row>
    <row r="747" hidden="1">
      <c r="D747" s="26"/>
      <c r="E747" s="26"/>
      <c r="F747" s="26"/>
      <c r="G747" s="26"/>
      <c r="H747" s="26"/>
      <c r="I747" s="27"/>
      <c r="J747" s="27"/>
      <c r="K747" s="27"/>
      <c r="L747" s="27"/>
      <c r="M747" s="27"/>
    </row>
    <row r="748" hidden="1">
      <c r="D748" s="26"/>
      <c r="E748" s="26"/>
      <c r="F748" s="26"/>
      <c r="G748" s="26"/>
      <c r="H748" s="26"/>
      <c r="I748" s="27"/>
      <c r="J748" s="27"/>
      <c r="K748" s="27"/>
      <c r="L748" s="27"/>
      <c r="M748" s="27"/>
    </row>
    <row r="749" hidden="1">
      <c r="D749" s="26"/>
      <c r="E749" s="26"/>
      <c r="F749" s="26"/>
      <c r="G749" s="26"/>
      <c r="H749" s="26"/>
      <c r="I749" s="27"/>
      <c r="J749" s="27"/>
      <c r="K749" s="27"/>
      <c r="L749" s="27"/>
      <c r="M749" s="27"/>
    </row>
    <row r="750" hidden="1">
      <c r="D750" s="26"/>
      <c r="E750" s="26"/>
      <c r="F750" s="26"/>
      <c r="G750" s="26"/>
      <c r="H750" s="26"/>
      <c r="I750" s="27"/>
      <c r="J750" s="27"/>
      <c r="K750" s="27"/>
      <c r="L750" s="27"/>
      <c r="M750" s="27"/>
    </row>
    <row r="751" hidden="1">
      <c r="D751" s="26"/>
      <c r="E751" s="26"/>
      <c r="F751" s="26"/>
      <c r="G751" s="26"/>
      <c r="H751" s="26"/>
      <c r="I751" s="27"/>
      <c r="J751" s="27"/>
      <c r="K751" s="27"/>
      <c r="L751" s="27"/>
      <c r="M751" s="27"/>
    </row>
    <row r="752" hidden="1">
      <c r="D752" s="26"/>
      <c r="E752" s="26"/>
      <c r="F752" s="26"/>
      <c r="G752" s="26"/>
      <c r="H752" s="26"/>
      <c r="I752" s="27"/>
      <c r="J752" s="27"/>
      <c r="K752" s="27"/>
      <c r="L752" s="27"/>
      <c r="M752" s="27"/>
    </row>
    <row r="753" hidden="1">
      <c r="D753" s="26"/>
      <c r="E753" s="26"/>
      <c r="F753" s="26"/>
      <c r="G753" s="26"/>
      <c r="H753" s="26"/>
      <c r="I753" s="27"/>
      <c r="J753" s="27"/>
      <c r="K753" s="27"/>
      <c r="L753" s="27"/>
      <c r="M753" s="27"/>
    </row>
    <row r="754" hidden="1">
      <c r="D754" s="26"/>
      <c r="E754" s="26"/>
      <c r="F754" s="26"/>
      <c r="G754" s="26"/>
      <c r="H754" s="26"/>
      <c r="I754" s="27"/>
      <c r="J754" s="27"/>
      <c r="K754" s="27"/>
      <c r="L754" s="27"/>
      <c r="M754" s="27"/>
    </row>
    <row r="755" hidden="1">
      <c r="D755" s="26"/>
      <c r="E755" s="26"/>
      <c r="F755" s="26"/>
      <c r="G755" s="26"/>
      <c r="H755" s="26"/>
      <c r="I755" s="27"/>
      <c r="J755" s="27"/>
      <c r="K755" s="27"/>
      <c r="L755" s="27"/>
      <c r="M755" s="27"/>
    </row>
    <row r="756" hidden="1">
      <c r="D756" s="26"/>
      <c r="E756" s="26"/>
      <c r="F756" s="26"/>
      <c r="G756" s="26"/>
      <c r="H756" s="26"/>
      <c r="I756" s="27"/>
      <c r="J756" s="27"/>
      <c r="K756" s="27"/>
      <c r="L756" s="27"/>
      <c r="M756" s="27"/>
    </row>
    <row r="757" hidden="1">
      <c r="D757" s="26"/>
      <c r="E757" s="26"/>
      <c r="F757" s="26"/>
      <c r="G757" s="26"/>
      <c r="H757" s="26"/>
      <c r="I757" s="27"/>
      <c r="J757" s="27"/>
      <c r="K757" s="27"/>
      <c r="L757" s="27"/>
      <c r="M757" s="27"/>
    </row>
    <row r="758" hidden="1">
      <c r="D758" s="26"/>
      <c r="E758" s="26"/>
      <c r="F758" s="26"/>
      <c r="G758" s="26"/>
      <c r="H758" s="26"/>
      <c r="I758" s="27"/>
      <c r="J758" s="27"/>
      <c r="K758" s="27"/>
      <c r="L758" s="27"/>
      <c r="M758" s="27"/>
    </row>
    <row r="759" hidden="1">
      <c r="D759" s="26"/>
      <c r="E759" s="26"/>
      <c r="F759" s="26"/>
      <c r="G759" s="26"/>
      <c r="H759" s="26"/>
      <c r="I759" s="27"/>
      <c r="J759" s="27"/>
      <c r="K759" s="27"/>
      <c r="L759" s="27"/>
      <c r="M759" s="27"/>
    </row>
    <row r="760" hidden="1">
      <c r="D760" s="26"/>
      <c r="E760" s="26"/>
      <c r="F760" s="26"/>
      <c r="G760" s="26"/>
      <c r="H760" s="26"/>
      <c r="I760" s="27"/>
      <c r="J760" s="27"/>
      <c r="K760" s="27"/>
      <c r="L760" s="27"/>
      <c r="M760" s="27"/>
    </row>
    <row r="761" hidden="1">
      <c r="D761" s="26"/>
      <c r="E761" s="26"/>
      <c r="F761" s="26"/>
      <c r="G761" s="26"/>
      <c r="H761" s="26"/>
      <c r="I761" s="27"/>
      <c r="J761" s="27"/>
      <c r="K761" s="27"/>
      <c r="L761" s="27"/>
      <c r="M761" s="27"/>
    </row>
    <row r="762" hidden="1">
      <c r="D762" s="26"/>
      <c r="E762" s="26"/>
      <c r="F762" s="26"/>
      <c r="G762" s="26"/>
      <c r="H762" s="26"/>
      <c r="I762" s="27"/>
      <c r="J762" s="27"/>
      <c r="K762" s="27"/>
      <c r="L762" s="27"/>
      <c r="M762" s="27"/>
    </row>
    <row r="763" hidden="1">
      <c r="D763" s="26"/>
      <c r="E763" s="26"/>
      <c r="F763" s="26"/>
      <c r="G763" s="26"/>
      <c r="H763" s="26"/>
      <c r="I763" s="27"/>
      <c r="J763" s="27"/>
      <c r="K763" s="27"/>
      <c r="L763" s="27"/>
      <c r="M763" s="27"/>
    </row>
    <row r="764" hidden="1">
      <c r="D764" s="26"/>
      <c r="E764" s="26"/>
      <c r="F764" s="26"/>
      <c r="G764" s="26"/>
      <c r="H764" s="26"/>
      <c r="I764" s="27"/>
      <c r="J764" s="27"/>
      <c r="K764" s="27"/>
      <c r="L764" s="27"/>
      <c r="M764" s="27"/>
    </row>
    <row r="765" hidden="1">
      <c r="D765" s="26"/>
      <c r="E765" s="26"/>
      <c r="F765" s="26"/>
      <c r="G765" s="26"/>
      <c r="H765" s="26"/>
      <c r="I765" s="27"/>
      <c r="J765" s="27"/>
      <c r="K765" s="27"/>
      <c r="L765" s="27"/>
      <c r="M765" s="27"/>
    </row>
    <row r="766" hidden="1">
      <c r="D766" s="26"/>
      <c r="E766" s="26"/>
      <c r="F766" s="26"/>
      <c r="G766" s="26"/>
      <c r="H766" s="26"/>
      <c r="I766" s="27"/>
      <c r="J766" s="27"/>
      <c r="K766" s="27"/>
      <c r="L766" s="27"/>
      <c r="M766" s="27"/>
    </row>
    <row r="767" hidden="1">
      <c r="D767" s="26"/>
      <c r="E767" s="26"/>
      <c r="F767" s="26"/>
      <c r="G767" s="26"/>
      <c r="H767" s="26"/>
      <c r="I767" s="27"/>
      <c r="J767" s="27"/>
      <c r="K767" s="27"/>
      <c r="L767" s="27"/>
      <c r="M767" s="27"/>
    </row>
    <row r="768" hidden="1">
      <c r="D768" s="26"/>
      <c r="E768" s="26"/>
      <c r="F768" s="26"/>
      <c r="G768" s="26"/>
      <c r="H768" s="26"/>
      <c r="I768" s="27"/>
      <c r="J768" s="27"/>
      <c r="K768" s="27"/>
      <c r="L768" s="27"/>
      <c r="M768" s="27"/>
    </row>
    <row r="769" hidden="1">
      <c r="D769" s="26"/>
      <c r="E769" s="26"/>
      <c r="F769" s="26"/>
      <c r="G769" s="26"/>
      <c r="H769" s="26"/>
      <c r="I769" s="27"/>
      <c r="J769" s="27"/>
      <c r="K769" s="27"/>
      <c r="L769" s="27"/>
      <c r="M769" s="27"/>
    </row>
    <row r="770" hidden="1">
      <c r="D770" s="26"/>
      <c r="E770" s="26"/>
      <c r="F770" s="26"/>
      <c r="G770" s="26"/>
      <c r="H770" s="26"/>
      <c r="I770" s="27"/>
      <c r="J770" s="27"/>
      <c r="K770" s="27"/>
      <c r="L770" s="27"/>
      <c r="M770" s="27"/>
    </row>
    <row r="771" hidden="1">
      <c r="D771" s="26"/>
      <c r="E771" s="26"/>
      <c r="F771" s="26"/>
      <c r="G771" s="26"/>
      <c r="H771" s="26"/>
      <c r="I771" s="27"/>
      <c r="J771" s="27"/>
      <c r="K771" s="27"/>
      <c r="L771" s="27"/>
      <c r="M771" s="27"/>
    </row>
    <row r="772" hidden="1">
      <c r="D772" s="26"/>
      <c r="E772" s="26"/>
      <c r="F772" s="26"/>
      <c r="G772" s="26"/>
      <c r="H772" s="26"/>
      <c r="I772" s="27"/>
      <c r="J772" s="27"/>
      <c r="K772" s="27"/>
      <c r="L772" s="27"/>
      <c r="M772" s="27"/>
    </row>
    <row r="773" hidden="1">
      <c r="D773" s="26"/>
      <c r="E773" s="26"/>
      <c r="F773" s="26"/>
      <c r="G773" s="26"/>
      <c r="H773" s="26"/>
      <c r="I773" s="27"/>
      <c r="J773" s="27"/>
      <c r="K773" s="27"/>
      <c r="L773" s="27"/>
      <c r="M773" s="27"/>
    </row>
    <row r="774" hidden="1">
      <c r="D774" s="26"/>
      <c r="E774" s="26"/>
      <c r="F774" s="26"/>
      <c r="G774" s="26"/>
      <c r="H774" s="26"/>
      <c r="I774" s="27"/>
      <c r="J774" s="27"/>
      <c r="K774" s="27"/>
      <c r="L774" s="27"/>
      <c r="M774" s="27"/>
    </row>
    <row r="775" hidden="1">
      <c r="D775" s="26"/>
      <c r="E775" s="26"/>
      <c r="F775" s="26"/>
      <c r="G775" s="26"/>
      <c r="H775" s="26"/>
      <c r="I775" s="27"/>
      <c r="J775" s="27"/>
      <c r="K775" s="27"/>
      <c r="L775" s="27"/>
      <c r="M775" s="27"/>
    </row>
    <row r="776" hidden="1">
      <c r="D776" s="26"/>
      <c r="E776" s="26"/>
      <c r="F776" s="26"/>
      <c r="G776" s="26"/>
      <c r="H776" s="26"/>
      <c r="I776" s="27"/>
      <c r="J776" s="27"/>
      <c r="K776" s="27"/>
      <c r="L776" s="27"/>
      <c r="M776" s="27"/>
    </row>
    <row r="777" hidden="1">
      <c r="D777" s="26"/>
      <c r="E777" s="26"/>
      <c r="F777" s="26"/>
      <c r="G777" s="26"/>
      <c r="H777" s="26"/>
      <c r="I777" s="27"/>
      <c r="J777" s="27"/>
      <c r="K777" s="27"/>
      <c r="L777" s="27"/>
      <c r="M777" s="27"/>
    </row>
    <row r="778" hidden="1">
      <c r="D778" s="26"/>
      <c r="E778" s="26"/>
      <c r="F778" s="26"/>
      <c r="G778" s="26"/>
      <c r="H778" s="26"/>
      <c r="I778" s="27"/>
      <c r="J778" s="27"/>
      <c r="K778" s="27"/>
      <c r="L778" s="27"/>
      <c r="M778" s="27"/>
    </row>
    <row r="779" hidden="1">
      <c r="D779" s="26"/>
      <c r="E779" s="26"/>
      <c r="F779" s="26"/>
      <c r="G779" s="26"/>
      <c r="H779" s="26"/>
      <c r="I779" s="27"/>
      <c r="J779" s="27"/>
      <c r="K779" s="27"/>
      <c r="L779" s="27"/>
      <c r="M779" s="27"/>
    </row>
    <row r="780" hidden="1">
      <c r="D780" s="26"/>
      <c r="E780" s="26"/>
      <c r="F780" s="26"/>
      <c r="G780" s="26"/>
      <c r="H780" s="26"/>
      <c r="I780" s="27"/>
      <c r="J780" s="27"/>
      <c r="K780" s="27"/>
      <c r="L780" s="27"/>
      <c r="M780" s="27"/>
    </row>
    <row r="781" hidden="1">
      <c r="D781" s="26"/>
      <c r="E781" s="26"/>
      <c r="F781" s="26"/>
      <c r="G781" s="26"/>
      <c r="H781" s="26"/>
      <c r="I781" s="27"/>
      <c r="J781" s="27"/>
      <c r="K781" s="27"/>
      <c r="L781" s="27"/>
      <c r="M781" s="27"/>
    </row>
    <row r="782" hidden="1">
      <c r="D782" s="26"/>
      <c r="E782" s="26"/>
      <c r="F782" s="26"/>
      <c r="G782" s="26"/>
      <c r="H782" s="26"/>
      <c r="I782" s="27"/>
      <c r="J782" s="27"/>
      <c r="K782" s="27"/>
      <c r="L782" s="27"/>
      <c r="M782" s="27"/>
    </row>
    <row r="783" hidden="1">
      <c r="D783" s="26"/>
      <c r="E783" s="26"/>
      <c r="F783" s="26"/>
      <c r="G783" s="26"/>
      <c r="H783" s="26"/>
      <c r="I783" s="27"/>
      <c r="J783" s="27"/>
      <c r="K783" s="27"/>
      <c r="L783" s="27"/>
      <c r="M783" s="27"/>
    </row>
    <row r="784" hidden="1">
      <c r="D784" s="26"/>
      <c r="E784" s="26"/>
      <c r="F784" s="26"/>
      <c r="G784" s="26"/>
      <c r="H784" s="26"/>
      <c r="I784" s="27"/>
      <c r="J784" s="27"/>
      <c r="K784" s="27"/>
      <c r="L784" s="27"/>
      <c r="M784" s="27"/>
    </row>
    <row r="785" hidden="1">
      <c r="D785" s="26"/>
      <c r="E785" s="26"/>
      <c r="F785" s="26"/>
      <c r="G785" s="26"/>
      <c r="H785" s="26"/>
      <c r="I785" s="27"/>
      <c r="J785" s="27"/>
      <c r="K785" s="27"/>
      <c r="L785" s="27"/>
      <c r="M785" s="27"/>
    </row>
    <row r="786" hidden="1">
      <c r="D786" s="26"/>
      <c r="E786" s="26"/>
      <c r="F786" s="26"/>
      <c r="G786" s="26"/>
      <c r="H786" s="26"/>
      <c r="I786" s="27"/>
      <c r="J786" s="27"/>
      <c r="K786" s="27"/>
      <c r="L786" s="27"/>
      <c r="M786" s="27"/>
    </row>
    <row r="787" hidden="1">
      <c r="D787" s="26"/>
      <c r="E787" s="26"/>
      <c r="F787" s="26"/>
      <c r="G787" s="26"/>
      <c r="H787" s="26"/>
      <c r="I787" s="27"/>
      <c r="J787" s="27"/>
      <c r="K787" s="27"/>
      <c r="L787" s="27"/>
      <c r="M787" s="27"/>
    </row>
    <row r="788" hidden="1">
      <c r="D788" s="26"/>
      <c r="E788" s="26"/>
      <c r="F788" s="26"/>
      <c r="G788" s="26"/>
      <c r="H788" s="26"/>
      <c r="I788" s="27"/>
      <c r="J788" s="27"/>
      <c r="K788" s="27"/>
      <c r="L788" s="27"/>
      <c r="M788" s="27"/>
    </row>
    <row r="789" hidden="1">
      <c r="D789" s="26"/>
      <c r="E789" s="26"/>
      <c r="F789" s="26"/>
      <c r="G789" s="26"/>
      <c r="H789" s="26"/>
      <c r="I789" s="27"/>
      <c r="J789" s="27"/>
      <c r="K789" s="27"/>
      <c r="L789" s="27"/>
      <c r="M789" s="27"/>
    </row>
    <row r="790" hidden="1">
      <c r="D790" s="26"/>
      <c r="E790" s="26"/>
      <c r="F790" s="26"/>
      <c r="G790" s="26"/>
      <c r="H790" s="26"/>
      <c r="I790" s="27"/>
      <c r="J790" s="27"/>
      <c r="K790" s="27"/>
      <c r="L790" s="27"/>
      <c r="M790" s="27"/>
    </row>
    <row r="791" hidden="1">
      <c r="D791" s="26"/>
      <c r="E791" s="26"/>
      <c r="F791" s="26"/>
      <c r="G791" s="26"/>
      <c r="H791" s="26"/>
      <c r="I791" s="27"/>
      <c r="J791" s="27"/>
      <c r="K791" s="27"/>
      <c r="L791" s="27"/>
      <c r="M791" s="27"/>
    </row>
    <row r="792" hidden="1">
      <c r="D792" s="26"/>
      <c r="E792" s="26"/>
      <c r="F792" s="26"/>
      <c r="G792" s="26"/>
      <c r="H792" s="26"/>
      <c r="I792" s="27"/>
      <c r="J792" s="27"/>
      <c r="K792" s="27"/>
      <c r="L792" s="27"/>
      <c r="M792" s="27"/>
    </row>
    <row r="793" hidden="1">
      <c r="D793" s="26"/>
      <c r="E793" s="26"/>
      <c r="F793" s="26"/>
      <c r="G793" s="26"/>
      <c r="H793" s="26"/>
      <c r="I793" s="27"/>
      <c r="J793" s="27"/>
      <c r="K793" s="27"/>
      <c r="L793" s="27"/>
      <c r="M793" s="27"/>
    </row>
    <row r="794" hidden="1">
      <c r="D794" s="26"/>
      <c r="E794" s="26"/>
      <c r="F794" s="26"/>
      <c r="G794" s="26"/>
      <c r="H794" s="26"/>
      <c r="I794" s="27"/>
      <c r="J794" s="27"/>
      <c r="K794" s="27"/>
      <c r="L794" s="27"/>
      <c r="M794" s="27"/>
    </row>
    <row r="795" hidden="1">
      <c r="D795" s="26"/>
      <c r="E795" s="26"/>
      <c r="F795" s="26"/>
      <c r="G795" s="26"/>
      <c r="H795" s="26"/>
      <c r="I795" s="27"/>
      <c r="J795" s="27"/>
      <c r="K795" s="27"/>
      <c r="L795" s="27"/>
      <c r="M795" s="27"/>
    </row>
    <row r="796" hidden="1">
      <c r="D796" s="26"/>
      <c r="E796" s="26"/>
      <c r="F796" s="26"/>
      <c r="G796" s="26"/>
      <c r="H796" s="26"/>
      <c r="I796" s="27"/>
      <c r="J796" s="27"/>
      <c r="K796" s="27"/>
      <c r="L796" s="27"/>
      <c r="M796" s="27"/>
    </row>
    <row r="797" hidden="1">
      <c r="D797" s="26"/>
      <c r="E797" s="26"/>
      <c r="F797" s="26"/>
      <c r="G797" s="26"/>
      <c r="H797" s="26"/>
      <c r="I797" s="27"/>
      <c r="J797" s="27"/>
      <c r="K797" s="27"/>
      <c r="L797" s="27"/>
      <c r="M797" s="27"/>
    </row>
    <row r="798" hidden="1">
      <c r="D798" s="26"/>
      <c r="E798" s="26"/>
      <c r="F798" s="26"/>
      <c r="G798" s="26"/>
      <c r="H798" s="26"/>
      <c r="I798" s="27"/>
      <c r="J798" s="27"/>
      <c r="K798" s="27"/>
      <c r="L798" s="27"/>
      <c r="M798" s="27"/>
    </row>
    <row r="799" hidden="1">
      <c r="D799" s="26"/>
      <c r="E799" s="26"/>
      <c r="F799" s="26"/>
      <c r="G799" s="26"/>
      <c r="H799" s="26"/>
      <c r="I799" s="27"/>
      <c r="J799" s="27"/>
      <c r="K799" s="27"/>
      <c r="L799" s="27"/>
      <c r="M799" s="27"/>
    </row>
    <row r="800" hidden="1">
      <c r="D800" s="26"/>
      <c r="E800" s="26"/>
      <c r="F800" s="26"/>
      <c r="G800" s="26"/>
      <c r="H800" s="26"/>
      <c r="I800" s="27"/>
      <c r="J800" s="27"/>
      <c r="K800" s="27"/>
      <c r="L800" s="27"/>
      <c r="M800" s="27"/>
    </row>
    <row r="801" hidden="1">
      <c r="D801" s="26"/>
      <c r="E801" s="26"/>
      <c r="F801" s="26"/>
      <c r="G801" s="26"/>
      <c r="H801" s="26"/>
      <c r="I801" s="27"/>
      <c r="J801" s="27"/>
      <c r="K801" s="27"/>
      <c r="L801" s="27"/>
      <c r="M801" s="27"/>
    </row>
    <row r="802" hidden="1">
      <c r="D802" s="26"/>
      <c r="E802" s="26"/>
      <c r="F802" s="26"/>
      <c r="G802" s="26"/>
      <c r="H802" s="26"/>
      <c r="I802" s="27"/>
      <c r="J802" s="27"/>
      <c r="K802" s="27"/>
      <c r="L802" s="27"/>
      <c r="M802" s="27"/>
    </row>
    <row r="803" hidden="1">
      <c r="D803" s="26"/>
      <c r="E803" s="26"/>
      <c r="F803" s="26"/>
      <c r="G803" s="26"/>
      <c r="H803" s="26"/>
      <c r="I803" s="27"/>
      <c r="J803" s="27"/>
      <c r="K803" s="27"/>
      <c r="L803" s="27"/>
      <c r="M803" s="27"/>
    </row>
    <row r="804" hidden="1">
      <c r="D804" s="26"/>
      <c r="E804" s="26"/>
      <c r="F804" s="26"/>
      <c r="G804" s="26"/>
      <c r="H804" s="26"/>
      <c r="I804" s="27"/>
      <c r="J804" s="27"/>
      <c r="K804" s="27"/>
      <c r="L804" s="27"/>
      <c r="M804" s="27"/>
    </row>
    <row r="805" hidden="1">
      <c r="D805" s="26"/>
      <c r="E805" s="26"/>
      <c r="F805" s="26"/>
      <c r="G805" s="26"/>
      <c r="H805" s="26"/>
      <c r="I805" s="27"/>
      <c r="J805" s="27"/>
      <c r="K805" s="27"/>
      <c r="L805" s="27"/>
      <c r="M805" s="27"/>
    </row>
    <row r="806" hidden="1">
      <c r="D806" s="26"/>
      <c r="E806" s="26"/>
      <c r="F806" s="26"/>
      <c r="G806" s="26"/>
      <c r="H806" s="26"/>
      <c r="I806" s="27"/>
      <c r="J806" s="27"/>
      <c r="K806" s="27"/>
      <c r="L806" s="27"/>
      <c r="M806" s="27"/>
    </row>
    <row r="807" hidden="1">
      <c r="D807" s="26"/>
      <c r="E807" s="26"/>
      <c r="F807" s="26"/>
      <c r="G807" s="26"/>
      <c r="H807" s="26"/>
      <c r="I807" s="27"/>
      <c r="J807" s="27"/>
      <c r="K807" s="27"/>
      <c r="L807" s="27"/>
      <c r="M807" s="27"/>
    </row>
    <row r="808" hidden="1">
      <c r="D808" s="26"/>
      <c r="E808" s="26"/>
      <c r="F808" s="26"/>
      <c r="G808" s="26"/>
      <c r="H808" s="26"/>
      <c r="I808" s="27"/>
      <c r="J808" s="27"/>
      <c r="K808" s="27"/>
      <c r="L808" s="27"/>
      <c r="M808" s="27"/>
    </row>
    <row r="809" hidden="1">
      <c r="D809" s="26"/>
      <c r="E809" s="26"/>
      <c r="F809" s="26"/>
      <c r="G809" s="26"/>
      <c r="H809" s="26"/>
      <c r="I809" s="27"/>
      <c r="J809" s="27"/>
      <c r="K809" s="27"/>
      <c r="L809" s="27"/>
      <c r="M809" s="27"/>
    </row>
    <row r="810" hidden="1">
      <c r="D810" s="26"/>
      <c r="E810" s="26"/>
      <c r="F810" s="26"/>
      <c r="G810" s="26"/>
      <c r="H810" s="26"/>
      <c r="I810" s="27"/>
      <c r="J810" s="27"/>
      <c r="K810" s="27"/>
      <c r="L810" s="27"/>
      <c r="M810" s="27"/>
    </row>
    <row r="811" hidden="1">
      <c r="D811" s="26"/>
      <c r="E811" s="26"/>
      <c r="F811" s="26"/>
      <c r="G811" s="26"/>
      <c r="H811" s="26"/>
      <c r="I811" s="27"/>
      <c r="J811" s="27"/>
      <c r="K811" s="27"/>
      <c r="L811" s="27"/>
      <c r="M811" s="27"/>
    </row>
    <row r="812" hidden="1">
      <c r="D812" s="26"/>
      <c r="E812" s="26"/>
      <c r="F812" s="26"/>
      <c r="G812" s="26"/>
      <c r="H812" s="26"/>
      <c r="I812" s="27"/>
      <c r="J812" s="27"/>
      <c r="K812" s="27"/>
      <c r="L812" s="27"/>
      <c r="M812" s="27"/>
    </row>
    <row r="813" hidden="1">
      <c r="D813" s="26"/>
      <c r="E813" s="26"/>
      <c r="F813" s="26"/>
      <c r="G813" s="26"/>
      <c r="H813" s="26"/>
      <c r="I813" s="27"/>
      <c r="J813" s="27"/>
      <c r="K813" s="27"/>
      <c r="L813" s="27"/>
      <c r="M813" s="27"/>
    </row>
    <row r="814" hidden="1">
      <c r="D814" s="26"/>
      <c r="E814" s="26"/>
      <c r="F814" s="26"/>
      <c r="G814" s="26"/>
      <c r="H814" s="26"/>
      <c r="I814" s="27"/>
      <c r="J814" s="27"/>
      <c r="K814" s="27"/>
      <c r="L814" s="27"/>
      <c r="M814" s="27"/>
    </row>
    <row r="815" hidden="1">
      <c r="D815" s="26"/>
      <c r="E815" s="26"/>
      <c r="F815" s="26"/>
      <c r="G815" s="26"/>
      <c r="H815" s="26"/>
      <c r="I815" s="27"/>
      <c r="J815" s="27"/>
      <c r="K815" s="27"/>
      <c r="L815" s="27"/>
      <c r="M815" s="27"/>
    </row>
    <row r="816" hidden="1">
      <c r="D816" s="26"/>
      <c r="E816" s="26"/>
      <c r="F816" s="26"/>
      <c r="G816" s="26"/>
      <c r="H816" s="26"/>
      <c r="I816" s="27"/>
      <c r="J816" s="27"/>
      <c r="K816" s="27"/>
      <c r="L816" s="27"/>
      <c r="M816" s="27"/>
    </row>
    <row r="817" hidden="1">
      <c r="D817" s="26"/>
      <c r="E817" s="26"/>
      <c r="F817" s="26"/>
      <c r="G817" s="26"/>
      <c r="H817" s="26"/>
      <c r="I817" s="27"/>
      <c r="J817" s="27"/>
      <c r="K817" s="27"/>
      <c r="L817" s="27"/>
      <c r="M817" s="27"/>
    </row>
    <row r="818" hidden="1">
      <c r="D818" s="26"/>
      <c r="E818" s="26"/>
      <c r="F818" s="26"/>
      <c r="G818" s="26"/>
      <c r="H818" s="26"/>
      <c r="I818" s="27"/>
      <c r="J818" s="27"/>
      <c r="K818" s="27"/>
      <c r="L818" s="27"/>
      <c r="M818" s="27"/>
    </row>
    <row r="819" hidden="1">
      <c r="D819" s="26"/>
      <c r="E819" s="26"/>
      <c r="F819" s="26"/>
      <c r="G819" s="26"/>
      <c r="H819" s="26"/>
      <c r="I819" s="27"/>
      <c r="J819" s="27"/>
      <c r="K819" s="27"/>
      <c r="L819" s="27"/>
      <c r="M819" s="27"/>
    </row>
    <row r="820" hidden="1">
      <c r="D820" s="26"/>
      <c r="E820" s="26"/>
      <c r="F820" s="26"/>
      <c r="G820" s="26"/>
      <c r="H820" s="26"/>
      <c r="I820" s="27"/>
      <c r="J820" s="27"/>
      <c r="K820" s="27"/>
      <c r="L820" s="27"/>
      <c r="M820" s="27"/>
    </row>
    <row r="821" hidden="1">
      <c r="D821" s="26"/>
      <c r="E821" s="26"/>
      <c r="F821" s="26"/>
      <c r="G821" s="26"/>
      <c r="H821" s="26"/>
      <c r="I821" s="27"/>
      <c r="J821" s="27"/>
      <c r="K821" s="27"/>
      <c r="L821" s="27"/>
      <c r="M821" s="27"/>
    </row>
    <row r="822" hidden="1">
      <c r="D822" s="26"/>
      <c r="E822" s="26"/>
      <c r="F822" s="26"/>
      <c r="G822" s="26"/>
      <c r="H822" s="26"/>
      <c r="I822" s="27"/>
      <c r="J822" s="27"/>
      <c r="K822" s="27"/>
      <c r="L822" s="27"/>
      <c r="M822" s="27"/>
    </row>
    <row r="823" hidden="1">
      <c r="D823" s="26"/>
      <c r="E823" s="26"/>
      <c r="F823" s="26"/>
      <c r="G823" s="26"/>
      <c r="H823" s="26"/>
      <c r="I823" s="27"/>
      <c r="J823" s="27"/>
      <c r="K823" s="27"/>
      <c r="L823" s="27"/>
      <c r="M823" s="27"/>
    </row>
    <row r="824" hidden="1">
      <c r="D824" s="26"/>
      <c r="E824" s="26"/>
      <c r="F824" s="26"/>
      <c r="G824" s="26"/>
      <c r="H824" s="26"/>
      <c r="I824" s="27"/>
      <c r="J824" s="27"/>
      <c r="K824" s="27"/>
      <c r="L824" s="27"/>
      <c r="M824" s="27"/>
    </row>
    <row r="825" hidden="1">
      <c r="D825" s="26"/>
      <c r="E825" s="26"/>
      <c r="F825" s="26"/>
      <c r="G825" s="26"/>
      <c r="H825" s="26"/>
      <c r="I825" s="27"/>
      <c r="J825" s="27"/>
      <c r="K825" s="27"/>
      <c r="L825" s="27"/>
      <c r="M825" s="27"/>
    </row>
    <row r="826" hidden="1">
      <c r="D826" s="26"/>
      <c r="E826" s="26"/>
      <c r="F826" s="26"/>
      <c r="G826" s="26"/>
      <c r="H826" s="26"/>
      <c r="I826" s="27"/>
      <c r="J826" s="27"/>
      <c r="K826" s="27"/>
      <c r="L826" s="27"/>
      <c r="M826" s="27"/>
    </row>
    <row r="827" hidden="1">
      <c r="D827" s="26"/>
      <c r="E827" s="26"/>
      <c r="F827" s="26"/>
      <c r="G827" s="26"/>
      <c r="H827" s="26"/>
      <c r="I827" s="27"/>
      <c r="J827" s="27"/>
      <c r="K827" s="27"/>
      <c r="L827" s="27"/>
      <c r="M827" s="27"/>
    </row>
    <row r="828" hidden="1">
      <c r="D828" s="26"/>
      <c r="E828" s="26"/>
      <c r="F828" s="26"/>
      <c r="G828" s="26"/>
      <c r="H828" s="26"/>
      <c r="I828" s="27"/>
      <c r="J828" s="27"/>
      <c r="K828" s="27"/>
      <c r="L828" s="27"/>
      <c r="M828" s="27"/>
    </row>
    <row r="829" hidden="1">
      <c r="D829" s="26"/>
      <c r="E829" s="26"/>
      <c r="F829" s="26"/>
      <c r="G829" s="26"/>
      <c r="H829" s="26"/>
      <c r="I829" s="27"/>
      <c r="J829" s="27"/>
      <c r="K829" s="27"/>
      <c r="L829" s="27"/>
      <c r="M829" s="27"/>
    </row>
    <row r="830" hidden="1">
      <c r="D830" s="26"/>
      <c r="E830" s="26"/>
      <c r="F830" s="26"/>
      <c r="G830" s="26"/>
      <c r="H830" s="26"/>
      <c r="I830" s="27"/>
      <c r="J830" s="27"/>
      <c r="K830" s="27"/>
      <c r="L830" s="27"/>
      <c r="M830" s="27"/>
    </row>
    <row r="831" hidden="1">
      <c r="D831" s="26"/>
      <c r="E831" s="26"/>
      <c r="F831" s="26"/>
      <c r="G831" s="26"/>
      <c r="H831" s="26"/>
      <c r="I831" s="27"/>
      <c r="J831" s="27"/>
      <c r="K831" s="27"/>
      <c r="L831" s="27"/>
      <c r="M831" s="27"/>
    </row>
    <row r="832" hidden="1">
      <c r="D832" s="26"/>
      <c r="E832" s="26"/>
      <c r="F832" s="26"/>
      <c r="G832" s="26"/>
      <c r="H832" s="26"/>
      <c r="I832" s="27"/>
      <c r="J832" s="27"/>
      <c r="K832" s="27"/>
      <c r="L832" s="27"/>
      <c r="M832" s="27"/>
    </row>
    <row r="833" hidden="1">
      <c r="D833" s="26"/>
      <c r="E833" s="26"/>
      <c r="F833" s="26"/>
      <c r="G833" s="26"/>
      <c r="H833" s="26"/>
      <c r="I833" s="27"/>
      <c r="J833" s="27"/>
      <c r="K833" s="27"/>
      <c r="L833" s="27"/>
      <c r="M833" s="27"/>
    </row>
    <row r="834" hidden="1">
      <c r="D834" s="26"/>
      <c r="E834" s="26"/>
      <c r="F834" s="26"/>
      <c r="G834" s="26"/>
      <c r="H834" s="26"/>
      <c r="I834" s="27"/>
      <c r="J834" s="27"/>
      <c r="K834" s="27"/>
      <c r="L834" s="27"/>
      <c r="M834" s="27"/>
    </row>
    <row r="835" hidden="1">
      <c r="D835" s="26"/>
      <c r="E835" s="26"/>
      <c r="F835" s="26"/>
      <c r="G835" s="26"/>
      <c r="H835" s="26"/>
      <c r="I835" s="27"/>
      <c r="J835" s="27"/>
      <c r="K835" s="27"/>
      <c r="L835" s="27"/>
      <c r="M835" s="27"/>
    </row>
    <row r="836" hidden="1">
      <c r="D836" s="26"/>
      <c r="E836" s="26"/>
      <c r="F836" s="26"/>
      <c r="G836" s="26"/>
      <c r="H836" s="26"/>
      <c r="I836" s="27"/>
      <c r="J836" s="27"/>
      <c r="K836" s="27"/>
      <c r="L836" s="27"/>
      <c r="M836" s="27"/>
    </row>
    <row r="837" hidden="1">
      <c r="D837" s="26"/>
      <c r="E837" s="26"/>
      <c r="F837" s="26"/>
      <c r="G837" s="26"/>
      <c r="H837" s="26"/>
      <c r="I837" s="27"/>
      <c r="J837" s="27"/>
      <c r="K837" s="27"/>
      <c r="L837" s="27"/>
      <c r="M837" s="27"/>
    </row>
    <row r="838" hidden="1">
      <c r="D838" s="26"/>
      <c r="E838" s="26"/>
      <c r="F838" s="26"/>
      <c r="G838" s="26"/>
      <c r="H838" s="26"/>
      <c r="I838" s="27"/>
      <c r="J838" s="27"/>
      <c r="K838" s="27"/>
      <c r="L838" s="27"/>
      <c r="M838" s="27"/>
    </row>
    <row r="839" hidden="1">
      <c r="D839" s="26"/>
      <c r="E839" s="26"/>
      <c r="F839" s="26"/>
      <c r="G839" s="26"/>
      <c r="H839" s="26"/>
      <c r="I839" s="27"/>
      <c r="J839" s="27"/>
      <c r="K839" s="27"/>
      <c r="L839" s="27"/>
      <c r="M839" s="27"/>
    </row>
    <row r="840" hidden="1">
      <c r="D840" s="26"/>
      <c r="E840" s="26"/>
      <c r="F840" s="26"/>
      <c r="G840" s="26"/>
      <c r="H840" s="26"/>
      <c r="I840" s="27"/>
      <c r="J840" s="27"/>
      <c r="K840" s="27"/>
      <c r="L840" s="27"/>
      <c r="M840" s="27"/>
    </row>
    <row r="841" hidden="1">
      <c r="D841" s="26"/>
      <c r="E841" s="26"/>
      <c r="F841" s="26"/>
      <c r="G841" s="26"/>
      <c r="H841" s="26"/>
      <c r="I841" s="27"/>
      <c r="J841" s="27"/>
      <c r="K841" s="27"/>
      <c r="L841" s="27"/>
      <c r="M841" s="27"/>
    </row>
    <row r="842" hidden="1">
      <c r="D842" s="26"/>
      <c r="E842" s="26"/>
      <c r="F842" s="26"/>
      <c r="G842" s="26"/>
      <c r="H842" s="26"/>
      <c r="I842" s="27"/>
      <c r="J842" s="27"/>
      <c r="K842" s="27"/>
      <c r="L842" s="27"/>
      <c r="M842" s="27"/>
    </row>
    <row r="843" hidden="1">
      <c r="D843" s="26"/>
      <c r="E843" s="26"/>
      <c r="F843" s="26"/>
      <c r="G843" s="26"/>
      <c r="H843" s="26"/>
      <c r="I843" s="27"/>
      <c r="J843" s="27"/>
      <c r="K843" s="27"/>
      <c r="L843" s="27"/>
      <c r="M843" s="27"/>
    </row>
    <row r="844" hidden="1">
      <c r="D844" s="26"/>
      <c r="E844" s="26"/>
      <c r="F844" s="26"/>
      <c r="G844" s="26"/>
      <c r="H844" s="26"/>
      <c r="I844" s="27"/>
      <c r="J844" s="27"/>
      <c r="K844" s="27"/>
      <c r="L844" s="27"/>
      <c r="M844" s="27"/>
    </row>
    <row r="845" hidden="1">
      <c r="D845" s="26"/>
      <c r="E845" s="26"/>
      <c r="F845" s="26"/>
      <c r="G845" s="26"/>
      <c r="H845" s="26"/>
      <c r="I845" s="27"/>
      <c r="J845" s="27"/>
      <c r="K845" s="27"/>
      <c r="L845" s="27"/>
      <c r="M845" s="27"/>
    </row>
    <row r="846" hidden="1">
      <c r="D846" s="26"/>
      <c r="E846" s="26"/>
      <c r="F846" s="26"/>
      <c r="G846" s="26"/>
      <c r="H846" s="26"/>
      <c r="I846" s="27"/>
      <c r="J846" s="27"/>
      <c r="K846" s="27"/>
      <c r="L846" s="27"/>
      <c r="M846" s="27"/>
    </row>
    <row r="847" hidden="1">
      <c r="D847" s="26"/>
      <c r="E847" s="26"/>
      <c r="F847" s="26"/>
      <c r="G847" s="26"/>
      <c r="H847" s="26"/>
      <c r="I847" s="27"/>
      <c r="J847" s="27"/>
      <c r="K847" s="27"/>
      <c r="L847" s="27"/>
      <c r="M847" s="27"/>
    </row>
    <row r="848" hidden="1">
      <c r="D848" s="26"/>
      <c r="E848" s="26"/>
      <c r="F848" s="26"/>
      <c r="G848" s="26"/>
      <c r="H848" s="26"/>
      <c r="I848" s="27"/>
      <c r="J848" s="27"/>
      <c r="K848" s="27"/>
      <c r="L848" s="27"/>
      <c r="M848" s="27"/>
    </row>
    <row r="849" hidden="1">
      <c r="D849" s="26"/>
      <c r="E849" s="26"/>
      <c r="F849" s="26"/>
      <c r="G849" s="26"/>
      <c r="H849" s="26"/>
      <c r="I849" s="27"/>
      <c r="J849" s="27"/>
      <c r="K849" s="27"/>
      <c r="L849" s="27"/>
      <c r="M849" s="27"/>
    </row>
    <row r="850" hidden="1">
      <c r="D850" s="26"/>
      <c r="E850" s="26"/>
      <c r="F850" s="26"/>
      <c r="G850" s="26"/>
      <c r="H850" s="26"/>
      <c r="I850" s="27"/>
      <c r="J850" s="27"/>
      <c r="K850" s="27"/>
      <c r="L850" s="27"/>
      <c r="M850" s="27"/>
    </row>
    <row r="851" hidden="1">
      <c r="D851" s="26"/>
      <c r="E851" s="26"/>
      <c r="F851" s="26"/>
      <c r="G851" s="26"/>
      <c r="H851" s="26"/>
      <c r="I851" s="27"/>
      <c r="J851" s="27"/>
      <c r="K851" s="27"/>
      <c r="L851" s="27"/>
      <c r="M851" s="27"/>
    </row>
    <row r="852" hidden="1">
      <c r="D852" s="26"/>
      <c r="E852" s="26"/>
      <c r="F852" s="26"/>
      <c r="G852" s="26"/>
      <c r="H852" s="26"/>
      <c r="I852" s="27"/>
      <c r="J852" s="27"/>
      <c r="K852" s="27"/>
      <c r="L852" s="27"/>
      <c r="M852" s="27"/>
    </row>
    <row r="853" hidden="1">
      <c r="D853" s="26"/>
      <c r="E853" s="26"/>
      <c r="F853" s="26"/>
      <c r="G853" s="26"/>
      <c r="H853" s="26"/>
      <c r="I853" s="27"/>
      <c r="J853" s="27"/>
      <c r="K853" s="27"/>
      <c r="L853" s="27"/>
      <c r="M853" s="27"/>
    </row>
    <row r="854" hidden="1">
      <c r="D854" s="26"/>
      <c r="E854" s="26"/>
      <c r="F854" s="26"/>
      <c r="G854" s="26"/>
      <c r="H854" s="26"/>
      <c r="I854" s="27"/>
      <c r="J854" s="27"/>
      <c r="K854" s="27"/>
      <c r="L854" s="27"/>
      <c r="M854" s="27"/>
    </row>
    <row r="855" hidden="1">
      <c r="D855" s="26"/>
      <c r="E855" s="26"/>
      <c r="F855" s="26"/>
      <c r="G855" s="26"/>
      <c r="H855" s="26"/>
      <c r="I855" s="27"/>
      <c r="J855" s="27"/>
      <c r="K855" s="27"/>
      <c r="L855" s="27"/>
      <c r="M855" s="27"/>
    </row>
    <row r="856" hidden="1">
      <c r="D856" s="26"/>
      <c r="E856" s="26"/>
      <c r="F856" s="26"/>
      <c r="G856" s="26"/>
      <c r="H856" s="26"/>
      <c r="I856" s="27"/>
      <c r="J856" s="27"/>
      <c r="K856" s="27"/>
      <c r="L856" s="27"/>
      <c r="M856" s="27"/>
    </row>
    <row r="857" hidden="1">
      <c r="D857" s="26"/>
      <c r="E857" s="26"/>
      <c r="F857" s="26"/>
      <c r="G857" s="26"/>
      <c r="H857" s="26"/>
      <c r="I857" s="27"/>
      <c r="J857" s="27"/>
      <c r="K857" s="27"/>
      <c r="L857" s="27"/>
      <c r="M857" s="27"/>
    </row>
    <row r="858" hidden="1">
      <c r="D858" s="26"/>
      <c r="E858" s="26"/>
      <c r="F858" s="26"/>
      <c r="G858" s="26"/>
      <c r="H858" s="26"/>
      <c r="I858" s="27"/>
      <c r="J858" s="27"/>
      <c r="K858" s="27"/>
      <c r="L858" s="27"/>
      <c r="M858" s="27"/>
    </row>
    <row r="859" hidden="1">
      <c r="D859" s="26"/>
      <c r="E859" s="26"/>
      <c r="F859" s="26"/>
      <c r="G859" s="26"/>
      <c r="H859" s="26"/>
      <c r="I859" s="27"/>
      <c r="J859" s="27"/>
      <c r="K859" s="27"/>
      <c r="L859" s="27"/>
      <c r="M859" s="27"/>
    </row>
    <row r="860" hidden="1">
      <c r="D860" s="26"/>
      <c r="E860" s="26"/>
      <c r="F860" s="26"/>
      <c r="G860" s="26"/>
      <c r="H860" s="26"/>
      <c r="I860" s="27"/>
      <c r="J860" s="27"/>
      <c r="K860" s="27"/>
      <c r="L860" s="27"/>
      <c r="M860" s="27"/>
    </row>
    <row r="861" hidden="1">
      <c r="D861" s="26"/>
      <c r="E861" s="26"/>
      <c r="F861" s="26"/>
      <c r="G861" s="26"/>
      <c r="H861" s="26"/>
      <c r="I861" s="27"/>
      <c r="J861" s="27"/>
      <c r="K861" s="27"/>
      <c r="L861" s="27"/>
      <c r="M861" s="27"/>
    </row>
    <row r="862" hidden="1">
      <c r="D862" s="26"/>
      <c r="E862" s="26"/>
      <c r="F862" s="26"/>
      <c r="G862" s="26"/>
      <c r="H862" s="26"/>
      <c r="I862" s="27"/>
      <c r="J862" s="27"/>
      <c r="K862" s="27"/>
      <c r="L862" s="27"/>
      <c r="M862" s="27"/>
    </row>
    <row r="863" hidden="1">
      <c r="D863" s="26"/>
      <c r="E863" s="26"/>
      <c r="F863" s="26"/>
      <c r="G863" s="26"/>
      <c r="H863" s="26"/>
      <c r="I863" s="27"/>
      <c r="J863" s="27"/>
      <c r="K863" s="27"/>
      <c r="L863" s="27"/>
      <c r="M863" s="27"/>
    </row>
    <row r="864" hidden="1">
      <c r="D864" s="26"/>
      <c r="E864" s="26"/>
      <c r="F864" s="26"/>
      <c r="G864" s="26"/>
      <c r="H864" s="26"/>
      <c r="I864" s="27"/>
      <c r="J864" s="27"/>
      <c r="K864" s="27"/>
      <c r="L864" s="27"/>
      <c r="M864" s="27"/>
    </row>
    <row r="865" hidden="1">
      <c r="D865" s="26"/>
      <c r="E865" s="26"/>
      <c r="F865" s="26"/>
      <c r="G865" s="26"/>
      <c r="H865" s="26"/>
      <c r="I865" s="27"/>
      <c r="J865" s="27"/>
      <c r="K865" s="27"/>
      <c r="L865" s="27"/>
      <c r="M865" s="27"/>
    </row>
    <row r="866" hidden="1">
      <c r="D866" s="26"/>
      <c r="E866" s="26"/>
      <c r="F866" s="26"/>
      <c r="G866" s="26"/>
      <c r="H866" s="26"/>
      <c r="I866" s="27"/>
      <c r="J866" s="27"/>
      <c r="K866" s="27"/>
      <c r="L866" s="27"/>
      <c r="M866" s="27"/>
    </row>
    <row r="867" hidden="1">
      <c r="D867" s="26"/>
      <c r="E867" s="26"/>
      <c r="F867" s="26"/>
      <c r="G867" s="26"/>
      <c r="H867" s="26"/>
      <c r="I867" s="27"/>
      <c r="J867" s="27"/>
      <c r="K867" s="27"/>
      <c r="L867" s="27"/>
      <c r="M867" s="27"/>
    </row>
    <row r="868" hidden="1">
      <c r="D868" s="26"/>
      <c r="E868" s="26"/>
      <c r="F868" s="26"/>
      <c r="G868" s="26"/>
      <c r="H868" s="26"/>
      <c r="I868" s="27"/>
      <c r="J868" s="27"/>
      <c r="K868" s="27"/>
      <c r="L868" s="27"/>
      <c r="M868" s="27"/>
    </row>
    <row r="869" hidden="1">
      <c r="D869" s="26"/>
      <c r="E869" s="26"/>
      <c r="F869" s="26"/>
      <c r="G869" s="26"/>
      <c r="H869" s="26"/>
      <c r="I869" s="27"/>
      <c r="J869" s="27"/>
      <c r="K869" s="27"/>
      <c r="L869" s="27"/>
      <c r="M869" s="27"/>
    </row>
    <row r="870" hidden="1">
      <c r="D870" s="26"/>
      <c r="E870" s="26"/>
      <c r="F870" s="26"/>
      <c r="G870" s="26"/>
      <c r="H870" s="26"/>
      <c r="I870" s="27"/>
      <c r="J870" s="27"/>
      <c r="K870" s="27"/>
      <c r="L870" s="27"/>
      <c r="M870" s="27"/>
    </row>
    <row r="871" hidden="1">
      <c r="D871" s="26"/>
      <c r="E871" s="26"/>
      <c r="F871" s="26"/>
      <c r="G871" s="26"/>
      <c r="H871" s="26"/>
      <c r="I871" s="27"/>
      <c r="J871" s="27"/>
      <c r="K871" s="27"/>
      <c r="L871" s="27"/>
      <c r="M871" s="27"/>
    </row>
    <row r="872" hidden="1">
      <c r="D872" s="26"/>
      <c r="E872" s="26"/>
      <c r="F872" s="26"/>
      <c r="G872" s="26"/>
      <c r="H872" s="26"/>
      <c r="I872" s="27"/>
      <c r="J872" s="27"/>
      <c r="K872" s="27"/>
      <c r="L872" s="27"/>
      <c r="M872" s="27"/>
    </row>
    <row r="873" hidden="1">
      <c r="D873" s="26"/>
      <c r="E873" s="26"/>
      <c r="F873" s="26"/>
      <c r="G873" s="26"/>
      <c r="H873" s="26"/>
      <c r="I873" s="27"/>
      <c r="J873" s="27"/>
      <c r="K873" s="27"/>
      <c r="L873" s="27"/>
      <c r="M873" s="27"/>
    </row>
    <row r="874" hidden="1">
      <c r="D874" s="26"/>
      <c r="E874" s="26"/>
      <c r="F874" s="26"/>
      <c r="G874" s="26"/>
      <c r="H874" s="26"/>
      <c r="I874" s="27"/>
      <c r="J874" s="27"/>
      <c r="K874" s="27"/>
      <c r="L874" s="27"/>
      <c r="M874" s="27"/>
    </row>
    <row r="875" hidden="1">
      <c r="D875" s="26"/>
      <c r="E875" s="26"/>
      <c r="F875" s="26"/>
      <c r="G875" s="26"/>
      <c r="H875" s="26"/>
      <c r="I875" s="27"/>
      <c r="J875" s="27"/>
      <c r="K875" s="27"/>
      <c r="L875" s="27"/>
      <c r="M875" s="27"/>
    </row>
    <row r="876" hidden="1">
      <c r="D876" s="26"/>
      <c r="E876" s="26"/>
      <c r="F876" s="26"/>
      <c r="G876" s="26"/>
      <c r="H876" s="26"/>
      <c r="I876" s="27"/>
      <c r="J876" s="27"/>
      <c r="K876" s="27"/>
      <c r="L876" s="27"/>
      <c r="M876" s="27"/>
    </row>
    <row r="877" hidden="1">
      <c r="D877" s="26"/>
      <c r="E877" s="26"/>
      <c r="F877" s="26"/>
      <c r="G877" s="26"/>
      <c r="H877" s="26"/>
      <c r="I877" s="27"/>
      <c r="J877" s="27"/>
      <c r="K877" s="27"/>
      <c r="L877" s="27"/>
      <c r="M877" s="27"/>
    </row>
    <row r="878" hidden="1">
      <c r="D878" s="26"/>
      <c r="E878" s="26"/>
      <c r="F878" s="26"/>
      <c r="G878" s="26"/>
      <c r="H878" s="26"/>
      <c r="I878" s="27"/>
      <c r="J878" s="27"/>
      <c r="K878" s="27"/>
      <c r="L878" s="27"/>
      <c r="M878" s="27"/>
    </row>
    <row r="879" hidden="1">
      <c r="D879" s="26"/>
      <c r="E879" s="26"/>
      <c r="F879" s="26"/>
      <c r="G879" s="26"/>
      <c r="H879" s="26"/>
      <c r="I879" s="27"/>
      <c r="J879" s="27"/>
      <c r="K879" s="27"/>
      <c r="L879" s="27"/>
      <c r="M879" s="27"/>
    </row>
    <row r="880" hidden="1">
      <c r="D880" s="26"/>
      <c r="E880" s="26"/>
      <c r="F880" s="26"/>
      <c r="G880" s="26"/>
      <c r="H880" s="26"/>
      <c r="I880" s="27"/>
      <c r="J880" s="27"/>
      <c r="K880" s="27"/>
      <c r="L880" s="27"/>
      <c r="M880" s="27"/>
    </row>
    <row r="881" hidden="1">
      <c r="D881" s="26"/>
      <c r="E881" s="26"/>
      <c r="F881" s="26"/>
      <c r="G881" s="26"/>
      <c r="H881" s="26"/>
      <c r="I881" s="27"/>
      <c r="J881" s="27"/>
      <c r="K881" s="27"/>
      <c r="L881" s="27"/>
      <c r="M881" s="27"/>
    </row>
    <row r="882" hidden="1">
      <c r="D882" s="26"/>
      <c r="E882" s="26"/>
      <c r="F882" s="26"/>
      <c r="G882" s="26"/>
      <c r="H882" s="26"/>
      <c r="I882" s="27"/>
      <c r="J882" s="27"/>
      <c r="K882" s="27"/>
      <c r="L882" s="27"/>
      <c r="M882" s="27"/>
    </row>
    <row r="883" hidden="1">
      <c r="D883" s="26"/>
      <c r="E883" s="26"/>
      <c r="F883" s="26"/>
      <c r="G883" s="26"/>
      <c r="H883" s="26"/>
      <c r="I883" s="27"/>
      <c r="J883" s="27"/>
      <c r="K883" s="27"/>
      <c r="L883" s="27"/>
      <c r="M883" s="27"/>
    </row>
    <row r="884" hidden="1">
      <c r="D884" s="26"/>
      <c r="E884" s="26"/>
      <c r="F884" s="26"/>
      <c r="G884" s="26"/>
      <c r="H884" s="26"/>
      <c r="I884" s="27"/>
      <c r="J884" s="27"/>
      <c r="K884" s="27"/>
      <c r="L884" s="27"/>
      <c r="M884" s="27"/>
    </row>
    <row r="885" hidden="1">
      <c r="D885" s="26"/>
      <c r="E885" s="26"/>
      <c r="F885" s="26"/>
      <c r="G885" s="26"/>
      <c r="H885" s="26"/>
      <c r="I885" s="27"/>
      <c r="J885" s="27"/>
      <c r="K885" s="27"/>
      <c r="L885" s="27"/>
      <c r="M885" s="27"/>
    </row>
    <row r="886" hidden="1">
      <c r="D886" s="26"/>
      <c r="E886" s="26"/>
      <c r="F886" s="26"/>
      <c r="G886" s="26"/>
      <c r="H886" s="26"/>
      <c r="I886" s="27"/>
      <c r="J886" s="27"/>
      <c r="K886" s="27"/>
      <c r="L886" s="27"/>
      <c r="M886" s="27"/>
    </row>
    <row r="887" hidden="1">
      <c r="D887" s="26"/>
      <c r="E887" s="26"/>
      <c r="F887" s="26"/>
      <c r="G887" s="26"/>
      <c r="H887" s="26"/>
      <c r="I887" s="27"/>
      <c r="J887" s="27"/>
      <c r="K887" s="27"/>
      <c r="L887" s="27"/>
      <c r="M887" s="27"/>
    </row>
    <row r="888" hidden="1">
      <c r="D888" s="26"/>
      <c r="E888" s="26"/>
      <c r="F888" s="26"/>
      <c r="G888" s="26"/>
      <c r="H888" s="26"/>
      <c r="I888" s="27"/>
      <c r="J888" s="27"/>
      <c r="K888" s="27"/>
      <c r="L888" s="27"/>
      <c r="M888" s="27"/>
    </row>
    <row r="889" hidden="1">
      <c r="D889" s="26"/>
      <c r="E889" s="26"/>
      <c r="F889" s="26"/>
      <c r="G889" s="26"/>
      <c r="H889" s="26"/>
      <c r="I889" s="27"/>
      <c r="J889" s="27"/>
      <c r="K889" s="27"/>
      <c r="L889" s="27"/>
      <c r="M889" s="27"/>
    </row>
    <row r="890" hidden="1">
      <c r="D890" s="26"/>
      <c r="E890" s="26"/>
      <c r="F890" s="26"/>
      <c r="G890" s="26"/>
      <c r="H890" s="26"/>
      <c r="I890" s="27"/>
      <c r="J890" s="27"/>
      <c r="K890" s="27"/>
      <c r="L890" s="27"/>
      <c r="M890" s="27"/>
    </row>
    <row r="891" hidden="1">
      <c r="D891" s="26"/>
      <c r="E891" s="26"/>
      <c r="F891" s="26"/>
      <c r="G891" s="26"/>
      <c r="H891" s="26"/>
      <c r="I891" s="27"/>
      <c r="J891" s="27"/>
      <c r="K891" s="27"/>
      <c r="L891" s="27"/>
      <c r="M891" s="27"/>
    </row>
    <row r="892" hidden="1">
      <c r="D892" s="26"/>
      <c r="E892" s="26"/>
      <c r="F892" s="26"/>
      <c r="G892" s="26"/>
      <c r="H892" s="26"/>
      <c r="I892" s="27"/>
      <c r="J892" s="27"/>
      <c r="K892" s="27"/>
      <c r="L892" s="27"/>
      <c r="M892" s="27"/>
    </row>
    <row r="893" hidden="1">
      <c r="D893" s="26"/>
      <c r="E893" s="26"/>
      <c r="F893" s="26"/>
      <c r="G893" s="26"/>
      <c r="H893" s="26"/>
      <c r="I893" s="27"/>
      <c r="J893" s="27"/>
      <c r="K893" s="27"/>
      <c r="L893" s="27"/>
      <c r="M893" s="27"/>
    </row>
    <row r="894" hidden="1">
      <c r="D894" s="26"/>
      <c r="E894" s="26"/>
      <c r="F894" s="26"/>
      <c r="G894" s="26"/>
      <c r="H894" s="26"/>
      <c r="I894" s="27"/>
      <c r="J894" s="27"/>
      <c r="K894" s="27"/>
      <c r="L894" s="27"/>
      <c r="M894" s="27"/>
    </row>
    <row r="895" hidden="1">
      <c r="D895" s="26"/>
      <c r="E895" s="26"/>
      <c r="F895" s="26"/>
      <c r="G895" s="26"/>
      <c r="H895" s="26"/>
      <c r="I895" s="27"/>
      <c r="J895" s="27"/>
      <c r="K895" s="27"/>
      <c r="L895" s="27"/>
      <c r="M895" s="27"/>
    </row>
    <row r="896" hidden="1">
      <c r="D896" s="26"/>
      <c r="E896" s="26"/>
      <c r="F896" s="26"/>
      <c r="G896" s="26"/>
      <c r="H896" s="26"/>
      <c r="I896" s="27"/>
      <c r="J896" s="27"/>
      <c r="K896" s="27"/>
      <c r="L896" s="27"/>
      <c r="M896" s="27"/>
    </row>
    <row r="897" hidden="1">
      <c r="D897" s="26"/>
      <c r="E897" s="26"/>
      <c r="F897" s="26"/>
      <c r="G897" s="26"/>
      <c r="H897" s="26"/>
      <c r="I897" s="27"/>
      <c r="J897" s="27"/>
      <c r="K897" s="27"/>
      <c r="L897" s="27"/>
      <c r="M897" s="27"/>
    </row>
    <row r="898" hidden="1">
      <c r="D898" s="26"/>
      <c r="E898" s="26"/>
      <c r="F898" s="26"/>
      <c r="G898" s="26"/>
      <c r="H898" s="26"/>
      <c r="I898" s="27"/>
      <c r="J898" s="27"/>
      <c r="K898" s="27"/>
      <c r="L898" s="27"/>
      <c r="M898" s="27"/>
    </row>
    <row r="899" hidden="1">
      <c r="D899" s="26"/>
      <c r="E899" s="26"/>
      <c r="F899" s="26"/>
      <c r="G899" s="26"/>
      <c r="H899" s="26"/>
      <c r="I899" s="27"/>
      <c r="J899" s="27"/>
      <c r="K899" s="27"/>
      <c r="L899" s="27"/>
      <c r="M899" s="27"/>
    </row>
    <row r="900" hidden="1">
      <c r="D900" s="26"/>
      <c r="E900" s="26"/>
      <c r="F900" s="26"/>
      <c r="G900" s="26"/>
      <c r="H900" s="26"/>
      <c r="I900" s="27"/>
      <c r="J900" s="27"/>
      <c r="K900" s="27"/>
      <c r="L900" s="27"/>
      <c r="M900" s="27"/>
    </row>
    <row r="901" hidden="1">
      <c r="D901" s="26"/>
      <c r="E901" s="26"/>
      <c r="F901" s="26"/>
      <c r="G901" s="26"/>
      <c r="H901" s="26"/>
      <c r="I901" s="27"/>
      <c r="J901" s="27"/>
      <c r="K901" s="27"/>
      <c r="L901" s="27"/>
      <c r="M901" s="27"/>
    </row>
    <row r="902" hidden="1">
      <c r="D902" s="26"/>
      <c r="E902" s="26"/>
      <c r="F902" s="26"/>
      <c r="G902" s="26"/>
      <c r="H902" s="26"/>
      <c r="I902" s="27"/>
      <c r="J902" s="27"/>
      <c r="K902" s="27"/>
      <c r="L902" s="27"/>
      <c r="M902" s="27"/>
    </row>
    <row r="903" hidden="1">
      <c r="D903" s="26"/>
      <c r="E903" s="26"/>
      <c r="F903" s="26"/>
      <c r="G903" s="26"/>
      <c r="H903" s="26"/>
      <c r="I903" s="27"/>
      <c r="J903" s="27"/>
      <c r="K903" s="27"/>
      <c r="L903" s="27"/>
      <c r="M903" s="27"/>
    </row>
    <row r="904" hidden="1">
      <c r="D904" s="26"/>
      <c r="E904" s="26"/>
      <c r="F904" s="26"/>
      <c r="G904" s="26"/>
      <c r="H904" s="26"/>
      <c r="I904" s="27"/>
      <c r="J904" s="27"/>
      <c r="K904" s="27"/>
      <c r="L904" s="27"/>
      <c r="M904" s="27"/>
    </row>
    <row r="905" hidden="1">
      <c r="D905" s="26"/>
      <c r="E905" s="26"/>
      <c r="F905" s="26"/>
      <c r="G905" s="26"/>
      <c r="H905" s="26"/>
      <c r="I905" s="27"/>
      <c r="J905" s="27"/>
      <c r="K905" s="27"/>
      <c r="L905" s="27"/>
      <c r="M905" s="27"/>
    </row>
    <row r="906" hidden="1">
      <c r="D906" s="26"/>
      <c r="E906" s="26"/>
      <c r="F906" s="26"/>
      <c r="G906" s="26"/>
      <c r="H906" s="26"/>
      <c r="I906" s="27"/>
      <c r="J906" s="27"/>
      <c r="K906" s="27"/>
      <c r="L906" s="27"/>
      <c r="M906" s="27"/>
    </row>
    <row r="907" hidden="1">
      <c r="D907" s="26"/>
      <c r="E907" s="26"/>
      <c r="F907" s="26"/>
      <c r="G907" s="26"/>
      <c r="H907" s="26"/>
      <c r="I907" s="27"/>
      <c r="J907" s="27"/>
      <c r="K907" s="27"/>
      <c r="L907" s="27"/>
      <c r="M907" s="27"/>
    </row>
    <row r="908" hidden="1">
      <c r="D908" s="26"/>
      <c r="E908" s="26"/>
      <c r="F908" s="26"/>
      <c r="G908" s="26"/>
      <c r="H908" s="26"/>
      <c r="I908" s="27"/>
      <c r="J908" s="27"/>
      <c r="K908" s="27"/>
      <c r="L908" s="27"/>
      <c r="M908" s="27"/>
    </row>
    <row r="909" hidden="1">
      <c r="D909" s="26"/>
      <c r="E909" s="26"/>
      <c r="F909" s="26"/>
      <c r="G909" s="26"/>
      <c r="H909" s="26"/>
      <c r="I909" s="27"/>
      <c r="J909" s="27"/>
      <c r="K909" s="27"/>
      <c r="L909" s="27"/>
      <c r="M909" s="27"/>
    </row>
    <row r="910" hidden="1">
      <c r="D910" s="26"/>
      <c r="E910" s="26"/>
      <c r="F910" s="26"/>
      <c r="G910" s="26"/>
      <c r="H910" s="26"/>
      <c r="I910" s="27"/>
      <c r="J910" s="27"/>
      <c r="K910" s="27"/>
      <c r="L910" s="27"/>
      <c r="M910" s="27"/>
    </row>
    <row r="911" hidden="1">
      <c r="D911" s="26"/>
      <c r="E911" s="26"/>
      <c r="F911" s="26"/>
      <c r="G911" s="26"/>
      <c r="H911" s="26"/>
      <c r="I911" s="27"/>
      <c r="J911" s="27"/>
      <c r="K911" s="27"/>
      <c r="L911" s="27"/>
      <c r="M911" s="27"/>
    </row>
    <row r="912" hidden="1">
      <c r="D912" s="26"/>
      <c r="E912" s="26"/>
      <c r="F912" s="26"/>
      <c r="G912" s="26"/>
      <c r="H912" s="26"/>
      <c r="I912" s="27"/>
      <c r="J912" s="27"/>
      <c r="K912" s="27"/>
      <c r="L912" s="27"/>
      <c r="M912" s="27"/>
    </row>
    <row r="913" hidden="1">
      <c r="D913" s="26"/>
      <c r="E913" s="26"/>
      <c r="F913" s="26"/>
      <c r="G913" s="26"/>
      <c r="H913" s="26"/>
      <c r="I913" s="27"/>
      <c r="J913" s="27"/>
      <c r="K913" s="27"/>
      <c r="L913" s="27"/>
      <c r="M913" s="27"/>
    </row>
    <row r="914" hidden="1">
      <c r="D914" s="26"/>
      <c r="E914" s="26"/>
      <c r="F914" s="26"/>
      <c r="G914" s="26"/>
      <c r="H914" s="26"/>
      <c r="I914" s="27"/>
      <c r="J914" s="27"/>
      <c r="K914" s="27"/>
      <c r="L914" s="27"/>
      <c r="M914" s="27"/>
    </row>
    <row r="915" hidden="1">
      <c r="D915" s="26"/>
      <c r="E915" s="26"/>
      <c r="F915" s="26"/>
      <c r="G915" s="26"/>
      <c r="H915" s="26"/>
      <c r="I915" s="27"/>
      <c r="J915" s="27"/>
      <c r="K915" s="27"/>
      <c r="L915" s="27"/>
      <c r="M915" s="27"/>
    </row>
    <row r="916" hidden="1">
      <c r="D916" s="26"/>
      <c r="E916" s="26"/>
      <c r="F916" s="26"/>
      <c r="G916" s="26"/>
      <c r="H916" s="26"/>
      <c r="I916" s="27"/>
      <c r="J916" s="27"/>
      <c r="K916" s="27"/>
      <c r="L916" s="27"/>
      <c r="M916" s="27"/>
    </row>
    <row r="917" hidden="1">
      <c r="D917" s="26"/>
      <c r="E917" s="26"/>
      <c r="F917" s="26"/>
      <c r="G917" s="26"/>
      <c r="H917" s="26"/>
      <c r="I917" s="27"/>
      <c r="J917" s="27"/>
      <c r="K917" s="27"/>
      <c r="L917" s="27"/>
      <c r="M917" s="27"/>
    </row>
    <row r="918" hidden="1">
      <c r="D918" s="26"/>
      <c r="E918" s="26"/>
      <c r="F918" s="26"/>
      <c r="G918" s="26"/>
      <c r="H918" s="26"/>
      <c r="I918" s="27"/>
      <c r="J918" s="27"/>
      <c r="K918" s="27"/>
      <c r="L918" s="27"/>
      <c r="M918" s="27"/>
    </row>
    <row r="919" hidden="1">
      <c r="D919" s="26"/>
      <c r="E919" s="26"/>
      <c r="F919" s="26"/>
      <c r="G919" s="26"/>
      <c r="H919" s="26"/>
      <c r="I919" s="27"/>
      <c r="J919" s="27"/>
      <c r="K919" s="27"/>
      <c r="L919" s="27"/>
      <c r="M919" s="27"/>
    </row>
    <row r="920" hidden="1">
      <c r="D920" s="26"/>
      <c r="E920" s="26"/>
      <c r="F920" s="26"/>
      <c r="G920" s="26"/>
      <c r="H920" s="26"/>
      <c r="I920" s="27"/>
      <c r="J920" s="27"/>
      <c r="K920" s="27"/>
      <c r="L920" s="27"/>
      <c r="M920" s="27"/>
    </row>
    <row r="921" hidden="1">
      <c r="D921" s="26"/>
      <c r="E921" s="26"/>
      <c r="F921" s="26"/>
      <c r="G921" s="26"/>
      <c r="H921" s="26"/>
      <c r="I921" s="27"/>
      <c r="J921" s="27"/>
      <c r="K921" s="27"/>
      <c r="L921" s="27"/>
      <c r="M921" s="27"/>
    </row>
    <row r="922" hidden="1">
      <c r="D922" s="26"/>
      <c r="E922" s="26"/>
      <c r="F922" s="26"/>
      <c r="G922" s="26"/>
      <c r="H922" s="26"/>
      <c r="I922" s="27"/>
      <c r="J922" s="27"/>
      <c r="K922" s="27"/>
      <c r="L922" s="27"/>
      <c r="M922" s="27"/>
    </row>
    <row r="923" hidden="1">
      <c r="D923" s="26"/>
      <c r="E923" s="26"/>
      <c r="F923" s="26"/>
      <c r="G923" s="26"/>
      <c r="H923" s="26"/>
      <c r="I923" s="27"/>
      <c r="J923" s="27"/>
      <c r="K923" s="27"/>
      <c r="L923" s="27"/>
      <c r="M923" s="27"/>
    </row>
    <row r="924" hidden="1">
      <c r="D924" s="26"/>
      <c r="E924" s="26"/>
      <c r="F924" s="26"/>
      <c r="G924" s="26"/>
      <c r="H924" s="26"/>
      <c r="I924" s="27"/>
      <c r="J924" s="27"/>
      <c r="K924" s="27"/>
      <c r="L924" s="27"/>
      <c r="M924" s="27"/>
    </row>
    <row r="925" hidden="1">
      <c r="D925" s="26"/>
      <c r="E925" s="26"/>
      <c r="F925" s="26"/>
      <c r="G925" s="26"/>
      <c r="H925" s="26"/>
      <c r="I925" s="27"/>
      <c r="J925" s="27"/>
      <c r="K925" s="27"/>
      <c r="L925" s="27"/>
      <c r="M925" s="27"/>
    </row>
    <row r="926" hidden="1">
      <c r="D926" s="26"/>
      <c r="E926" s="26"/>
      <c r="F926" s="26"/>
      <c r="G926" s="26"/>
      <c r="H926" s="26"/>
      <c r="I926" s="27"/>
      <c r="J926" s="27"/>
      <c r="K926" s="27"/>
      <c r="L926" s="27"/>
      <c r="M926" s="27"/>
    </row>
    <row r="927" hidden="1">
      <c r="D927" s="26"/>
      <c r="E927" s="26"/>
      <c r="F927" s="26"/>
      <c r="G927" s="26"/>
      <c r="H927" s="26"/>
      <c r="I927" s="27"/>
      <c r="J927" s="27"/>
      <c r="K927" s="27"/>
      <c r="L927" s="27"/>
      <c r="M927" s="27"/>
    </row>
    <row r="928" hidden="1">
      <c r="D928" s="26"/>
      <c r="E928" s="26"/>
      <c r="F928" s="26"/>
      <c r="G928" s="26"/>
      <c r="H928" s="26"/>
      <c r="I928" s="27"/>
      <c r="J928" s="27"/>
      <c r="K928" s="27"/>
      <c r="L928" s="27"/>
      <c r="M928" s="27"/>
    </row>
    <row r="929" hidden="1">
      <c r="D929" s="26"/>
      <c r="E929" s="26"/>
      <c r="F929" s="26"/>
      <c r="G929" s="26"/>
      <c r="H929" s="26"/>
      <c r="I929" s="27"/>
      <c r="J929" s="27"/>
      <c r="K929" s="27"/>
      <c r="L929" s="27"/>
      <c r="M929" s="27"/>
    </row>
    <row r="930" hidden="1">
      <c r="D930" s="26"/>
      <c r="E930" s="26"/>
      <c r="F930" s="26"/>
      <c r="G930" s="26"/>
      <c r="H930" s="26"/>
      <c r="I930" s="27"/>
      <c r="J930" s="27"/>
      <c r="K930" s="27"/>
      <c r="L930" s="27"/>
      <c r="M930" s="27"/>
    </row>
    <row r="931" hidden="1">
      <c r="D931" s="26"/>
      <c r="E931" s="26"/>
      <c r="F931" s="26"/>
      <c r="G931" s="26"/>
      <c r="H931" s="26"/>
      <c r="I931" s="27"/>
      <c r="J931" s="27"/>
      <c r="K931" s="27"/>
      <c r="L931" s="27"/>
      <c r="M931" s="27"/>
    </row>
    <row r="932" hidden="1">
      <c r="D932" s="26"/>
      <c r="E932" s="26"/>
      <c r="F932" s="26"/>
      <c r="G932" s="26"/>
      <c r="H932" s="26"/>
      <c r="I932" s="27"/>
      <c r="J932" s="27"/>
      <c r="K932" s="27"/>
      <c r="L932" s="27"/>
      <c r="M932" s="27"/>
    </row>
    <row r="933" hidden="1">
      <c r="D933" s="26"/>
      <c r="E933" s="26"/>
      <c r="F933" s="26"/>
      <c r="G933" s="26"/>
      <c r="H933" s="26"/>
      <c r="I933" s="27"/>
      <c r="J933" s="27"/>
      <c r="K933" s="27"/>
      <c r="L933" s="27"/>
      <c r="M933" s="27"/>
    </row>
    <row r="934" hidden="1">
      <c r="D934" s="26"/>
      <c r="E934" s="26"/>
      <c r="F934" s="26"/>
      <c r="G934" s="26"/>
      <c r="H934" s="26"/>
      <c r="I934" s="27"/>
      <c r="J934" s="27"/>
      <c r="K934" s="27"/>
      <c r="L934" s="27"/>
      <c r="M934" s="27"/>
    </row>
    <row r="935" hidden="1">
      <c r="D935" s="26"/>
      <c r="E935" s="26"/>
      <c r="F935" s="26"/>
      <c r="G935" s="26"/>
      <c r="H935" s="26"/>
      <c r="I935" s="27"/>
      <c r="J935" s="27"/>
      <c r="K935" s="27"/>
      <c r="L935" s="27"/>
      <c r="M935" s="27"/>
    </row>
    <row r="936" hidden="1">
      <c r="D936" s="26"/>
      <c r="E936" s="26"/>
      <c r="F936" s="26"/>
      <c r="G936" s="26"/>
      <c r="H936" s="26"/>
      <c r="I936" s="27"/>
      <c r="J936" s="27"/>
      <c r="K936" s="27"/>
      <c r="L936" s="27"/>
      <c r="M936" s="27"/>
    </row>
    <row r="937" hidden="1">
      <c r="D937" s="26"/>
      <c r="E937" s="26"/>
      <c r="F937" s="26"/>
      <c r="G937" s="26"/>
      <c r="H937" s="26"/>
      <c r="I937" s="27"/>
      <c r="J937" s="27"/>
      <c r="K937" s="27"/>
      <c r="L937" s="27"/>
      <c r="M937" s="27"/>
    </row>
    <row r="938" hidden="1">
      <c r="D938" s="26"/>
      <c r="E938" s="26"/>
      <c r="F938" s="26"/>
      <c r="G938" s="26"/>
      <c r="H938" s="26"/>
      <c r="I938" s="27"/>
      <c r="J938" s="27"/>
      <c r="K938" s="27"/>
      <c r="L938" s="27"/>
      <c r="M938" s="27"/>
    </row>
    <row r="939" hidden="1">
      <c r="D939" s="26"/>
      <c r="E939" s="26"/>
      <c r="F939" s="26"/>
      <c r="G939" s="26"/>
      <c r="H939" s="26"/>
      <c r="I939" s="27"/>
      <c r="J939" s="27"/>
      <c r="K939" s="27"/>
      <c r="L939" s="27"/>
      <c r="M939" s="27"/>
    </row>
    <row r="940" hidden="1">
      <c r="D940" s="26"/>
      <c r="E940" s="26"/>
      <c r="F940" s="26"/>
      <c r="G940" s="26"/>
      <c r="H940" s="26"/>
      <c r="I940" s="27"/>
      <c r="J940" s="27"/>
      <c r="K940" s="27"/>
      <c r="L940" s="27"/>
      <c r="M940" s="27"/>
    </row>
    <row r="941" hidden="1">
      <c r="D941" s="26"/>
      <c r="E941" s="26"/>
      <c r="F941" s="26"/>
      <c r="G941" s="26"/>
      <c r="H941" s="26"/>
      <c r="I941" s="27"/>
      <c r="J941" s="27"/>
      <c r="K941" s="27"/>
      <c r="L941" s="27"/>
      <c r="M941" s="27"/>
    </row>
    <row r="942" hidden="1">
      <c r="D942" s="26"/>
      <c r="E942" s="26"/>
      <c r="F942" s="26"/>
      <c r="G942" s="26"/>
      <c r="H942" s="26"/>
      <c r="I942" s="27"/>
      <c r="J942" s="27"/>
      <c r="K942" s="27"/>
      <c r="L942" s="27"/>
      <c r="M942" s="27"/>
    </row>
    <row r="943" hidden="1">
      <c r="D943" s="26"/>
      <c r="E943" s="26"/>
      <c r="F943" s="26"/>
      <c r="G943" s="26"/>
      <c r="H943" s="26"/>
      <c r="I943" s="27"/>
      <c r="J943" s="27"/>
      <c r="K943" s="27"/>
      <c r="L943" s="27"/>
      <c r="M943" s="27"/>
    </row>
    <row r="944" hidden="1">
      <c r="D944" s="26"/>
      <c r="E944" s="26"/>
      <c r="F944" s="26"/>
      <c r="G944" s="26"/>
      <c r="H944" s="26"/>
      <c r="I944" s="27"/>
      <c r="J944" s="27"/>
      <c r="K944" s="27"/>
      <c r="L944" s="27"/>
      <c r="M944" s="27"/>
    </row>
    <row r="945" hidden="1">
      <c r="D945" s="26"/>
      <c r="E945" s="26"/>
      <c r="F945" s="26"/>
      <c r="G945" s="26"/>
      <c r="H945" s="26"/>
      <c r="I945" s="27"/>
      <c r="J945" s="27"/>
      <c r="K945" s="27"/>
      <c r="L945" s="27"/>
      <c r="M945" s="27"/>
    </row>
    <row r="946" hidden="1">
      <c r="D946" s="26"/>
      <c r="E946" s="26"/>
      <c r="F946" s="26"/>
      <c r="G946" s="26"/>
      <c r="H946" s="26"/>
      <c r="I946" s="27"/>
      <c r="J946" s="27"/>
      <c r="K946" s="27"/>
      <c r="L946" s="27"/>
      <c r="M946" s="27"/>
    </row>
    <row r="947" hidden="1">
      <c r="D947" s="26"/>
      <c r="E947" s="26"/>
      <c r="F947" s="26"/>
      <c r="G947" s="26"/>
      <c r="H947" s="26"/>
      <c r="I947" s="27"/>
      <c r="J947" s="27"/>
      <c r="K947" s="27"/>
      <c r="L947" s="27"/>
      <c r="M947" s="27"/>
    </row>
    <row r="948" hidden="1">
      <c r="D948" s="26"/>
      <c r="E948" s="26"/>
      <c r="F948" s="26"/>
      <c r="G948" s="26"/>
      <c r="H948" s="26"/>
      <c r="I948" s="27"/>
      <c r="J948" s="27"/>
      <c r="K948" s="27"/>
      <c r="L948" s="27"/>
      <c r="M948" s="27"/>
    </row>
    <row r="949" hidden="1">
      <c r="D949" s="26"/>
      <c r="E949" s="26"/>
      <c r="F949" s="26"/>
      <c r="G949" s="26"/>
      <c r="H949" s="26"/>
      <c r="I949" s="27"/>
      <c r="J949" s="27"/>
      <c r="K949" s="27"/>
      <c r="L949" s="27"/>
      <c r="M949" s="27"/>
    </row>
    <row r="950" hidden="1">
      <c r="D950" s="26"/>
      <c r="E950" s="26"/>
      <c r="F950" s="26"/>
      <c r="G950" s="26"/>
      <c r="H950" s="26"/>
      <c r="I950" s="27"/>
      <c r="J950" s="27"/>
      <c r="K950" s="27"/>
      <c r="L950" s="27"/>
      <c r="M950" s="27"/>
    </row>
    <row r="951" hidden="1">
      <c r="D951" s="26"/>
      <c r="E951" s="26"/>
      <c r="F951" s="26"/>
      <c r="G951" s="26"/>
      <c r="H951" s="26"/>
      <c r="I951" s="27"/>
      <c r="J951" s="27"/>
      <c r="K951" s="27"/>
      <c r="L951" s="27"/>
      <c r="M951" s="27"/>
    </row>
    <row r="952" hidden="1">
      <c r="D952" s="26"/>
      <c r="E952" s="26"/>
      <c r="F952" s="26"/>
      <c r="G952" s="26"/>
      <c r="H952" s="26"/>
      <c r="I952" s="27"/>
      <c r="J952" s="27"/>
      <c r="K952" s="27"/>
      <c r="L952" s="27"/>
      <c r="M952" s="27"/>
    </row>
    <row r="953" hidden="1">
      <c r="D953" s="26"/>
      <c r="E953" s="26"/>
      <c r="F953" s="26"/>
      <c r="G953" s="26"/>
      <c r="H953" s="26"/>
      <c r="I953" s="27"/>
      <c r="J953" s="27"/>
      <c r="K953" s="27"/>
      <c r="L953" s="27"/>
      <c r="M953" s="27"/>
    </row>
    <row r="954" hidden="1">
      <c r="D954" s="26"/>
      <c r="E954" s="26"/>
      <c r="F954" s="26"/>
      <c r="G954" s="26"/>
      <c r="H954" s="26"/>
      <c r="I954" s="27"/>
      <c r="J954" s="27"/>
      <c r="K954" s="27"/>
      <c r="L954" s="27"/>
      <c r="M954" s="27"/>
    </row>
    <row r="955" hidden="1">
      <c r="D955" s="26"/>
      <c r="E955" s="26"/>
      <c r="F955" s="26"/>
      <c r="G955" s="26"/>
      <c r="H955" s="26"/>
      <c r="I955" s="27"/>
      <c r="J955" s="27"/>
      <c r="K955" s="27"/>
      <c r="L955" s="27"/>
      <c r="M955" s="27"/>
    </row>
    <row r="956" hidden="1">
      <c r="D956" s="26"/>
      <c r="E956" s="26"/>
      <c r="F956" s="26"/>
      <c r="G956" s="26"/>
      <c r="H956" s="26"/>
      <c r="I956" s="27"/>
      <c r="J956" s="27"/>
      <c r="K956" s="27"/>
      <c r="L956" s="27"/>
      <c r="M956" s="27"/>
    </row>
    <row r="957" hidden="1">
      <c r="D957" s="26"/>
      <c r="E957" s="26"/>
      <c r="F957" s="26"/>
      <c r="G957" s="26"/>
      <c r="H957" s="26"/>
      <c r="I957" s="27"/>
      <c r="J957" s="27"/>
      <c r="K957" s="27"/>
      <c r="L957" s="27"/>
      <c r="M957" s="27"/>
    </row>
    <row r="958" hidden="1">
      <c r="D958" s="26"/>
      <c r="E958" s="26"/>
      <c r="F958" s="26"/>
      <c r="G958" s="26"/>
      <c r="H958" s="26"/>
      <c r="I958" s="27"/>
      <c r="J958" s="27"/>
      <c r="K958" s="27"/>
      <c r="L958" s="27"/>
      <c r="M958" s="27"/>
    </row>
    <row r="959" hidden="1">
      <c r="D959" s="26"/>
      <c r="E959" s="26"/>
      <c r="F959" s="26"/>
      <c r="G959" s="26"/>
      <c r="H959" s="26"/>
      <c r="I959" s="27"/>
      <c r="J959" s="27"/>
      <c r="K959" s="27"/>
      <c r="L959" s="27"/>
      <c r="M959" s="27"/>
    </row>
    <row r="960" hidden="1">
      <c r="D960" s="26"/>
      <c r="E960" s="26"/>
      <c r="F960" s="26"/>
      <c r="G960" s="26"/>
      <c r="H960" s="26"/>
      <c r="I960" s="27"/>
      <c r="J960" s="27"/>
      <c r="K960" s="27"/>
      <c r="L960" s="27"/>
      <c r="M960" s="27"/>
    </row>
    <row r="961" hidden="1">
      <c r="D961" s="26"/>
      <c r="E961" s="26"/>
      <c r="F961" s="26"/>
      <c r="G961" s="26"/>
      <c r="H961" s="26"/>
      <c r="I961" s="27"/>
      <c r="J961" s="27"/>
      <c r="K961" s="27"/>
      <c r="L961" s="27"/>
      <c r="M961" s="27"/>
    </row>
    <row r="962" hidden="1">
      <c r="D962" s="26"/>
      <c r="E962" s="26"/>
      <c r="F962" s="26"/>
      <c r="G962" s="26"/>
      <c r="H962" s="26"/>
      <c r="I962" s="27"/>
      <c r="J962" s="27"/>
      <c r="K962" s="27"/>
      <c r="L962" s="27"/>
      <c r="M962" s="27"/>
    </row>
    <row r="963" hidden="1">
      <c r="D963" s="26"/>
      <c r="E963" s="26"/>
      <c r="F963" s="26"/>
      <c r="G963" s="26"/>
      <c r="H963" s="26"/>
      <c r="I963" s="27"/>
      <c r="J963" s="27"/>
      <c r="K963" s="27"/>
      <c r="L963" s="27"/>
      <c r="M963" s="27"/>
    </row>
    <row r="964" hidden="1">
      <c r="D964" s="26"/>
      <c r="E964" s="26"/>
      <c r="F964" s="26"/>
      <c r="G964" s="26"/>
      <c r="H964" s="26"/>
      <c r="I964" s="27"/>
      <c r="J964" s="27"/>
      <c r="K964" s="27"/>
      <c r="L964" s="27"/>
      <c r="M964" s="27"/>
    </row>
    <row r="965" hidden="1">
      <c r="D965" s="26"/>
      <c r="E965" s="26"/>
      <c r="F965" s="26"/>
      <c r="G965" s="26"/>
      <c r="H965" s="26"/>
      <c r="I965" s="27"/>
      <c r="J965" s="27"/>
      <c r="K965" s="27"/>
      <c r="L965" s="27"/>
      <c r="M965" s="27"/>
    </row>
    <row r="966" hidden="1">
      <c r="D966" s="26"/>
      <c r="E966" s="26"/>
      <c r="F966" s="26"/>
      <c r="G966" s="26"/>
      <c r="H966" s="26"/>
      <c r="I966" s="27"/>
      <c r="J966" s="27"/>
      <c r="K966" s="27"/>
      <c r="L966" s="27"/>
      <c r="M966" s="27"/>
    </row>
    <row r="967" hidden="1">
      <c r="D967" s="26"/>
      <c r="E967" s="26"/>
      <c r="F967" s="26"/>
      <c r="G967" s="26"/>
      <c r="H967" s="26"/>
      <c r="I967" s="27"/>
      <c r="J967" s="27"/>
      <c r="K967" s="27"/>
      <c r="L967" s="27"/>
      <c r="M967" s="27"/>
    </row>
    <row r="968" hidden="1">
      <c r="D968" s="26"/>
      <c r="E968" s="26"/>
      <c r="F968" s="26"/>
      <c r="G968" s="26"/>
      <c r="H968" s="26"/>
      <c r="I968" s="27"/>
      <c r="J968" s="27"/>
      <c r="K968" s="27"/>
      <c r="L968" s="27"/>
      <c r="M968" s="27"/>
    </row>
    <row r="969" hidden="1">
      <c r="D969" s="26"/>
      <c r="E969" s="26"/>
      <c r="F969" s="26"/>
      <c r="G969" s="26"/>
      <c r="H969" s="26"/>
      <c r="I969" s="27"/>
      <c r="J969" s="27"/>
      <c r="K969" s="27"/>
      <c r="L969" s="27"/>
      <c r="M969" s="27"/>
    </row>
    <row r="970" hidden="1">
      <c r="D970" s="26"/>
      <c r="E970" s="26"/>
      <c r="F970" s="26"/>
      <c r="G970" s="26"/>
      <c r="H970" s="26"/>
      <c r="I970" s="27"/>
      <c r="J970" s="27"/>
      <c r="K970" s="27"/>
      <c r="L970" s="27"/>
      <c r="M970" s="27"/>
    </row>
    <row r="971" hidden="1">
      <c r="D971" s="26"/>
      <c r="E971" s="26"/>
      <c r="F971" s="26"/>
      <c r="G971" s="26"/>
      <c r="H971" s="26"/>
      <c r="I971" s="27"/>
      <c r="J971" s="27"/>
      <c r="K971" s="27"/>
      <c r="L971" s="27"/>
      <c r="M971" s="27"/>
    </row>
    <row r="972" hidden="1">
      <c r="D972" s="26"/>
      <c r="E972" s="26"/>
      <c r="F972" s="26"/>
      <c r="G972" s="26"/>
      <c r="H972" s="26"/>
      <c r="I972" s="27"/>
      <c r="J972" s="27"/>
      <c r="K972" s="27"/>
      <c r="L972" s="27"/>
      <c r="M972" s="27"/>
    </row>
    <row r="973" hidden="1">
      <c r="D973" s="26"/>
      <c r="E973" s="26"/>
      <c r="F973" s="26"/>
      <c r="G973" s="26"/>
      <c r="H973" s="26"/>
      <c r="I973" s="27"/>
      <c r="J973" s="27"/>
      <c r="K973" s="27"/>
      <c r="L973" s="27"/>
      <c r="M973" s="27"/>
    </row>
    <row r="974" hidden="1">
      <c r="D974" s="26"/>
      <c r="E974" s="26"/>
      <c r="F974" s="26"/>
      <c r="G974" s="26"/>
      <c r="H974" s="26"/>
      <c r="I974" s="27"/>
      <c r="J974" s="27"/>
      <c r="K974" s="27"/>
      <c r="L974" s="27"/>
      <c r="M974" s="27"/>
    </row>
    <row r="975" hidden="1">
      <c r="D975" s="26"/>
      <c r="E975" s="26"/>
      <c r="F975" s="26"/>
      <c r="G975" s="26"/>
      <c r="H975" s="26"/>
      <c r="I975" s="27"/>
      <c r="J975" s="27"/>
      <c r="K975" s="27"/>
      <c r="L975" s="27"/>
      <c r="M975" s="27"/>
    </row>
    <row r="976" hidden="1">
      <c r="D976" s="26"/>
      <c r="E976" s="26"/>
      <c r="F976" s="26"/>
      <c r="G976" s="26"/>
      <c r="H976" s="26"/>
      <c r="I976" s="27"/>
      <c r="J976" s="27"/>
      <c r="K976" s="27"/>
      <c r="L976" s="27"/>
      <c r="M976" s="27"/>
    </row>
    <row r="977" hidden="1">
      <c r="D977" s="26"/>
      <c r="E977" s="26"/>
      <c r="F977" s="26"/>
      <c r="G977" s="26"/>
      <c r="H977" s="26"/>
      <c r="I977" s="27"/>
      <c r="J977" s="27"/>
      <c r="K977" s="27"/>
      <c r="L977" s="27"/>
      <c r="M977" s="27"/>
    </row>
    <row r="978" hidden="1">
      <c r="D978" s="26"/>
      <c r="E978" s="26"/>
      <c r="F978" s="26"/>
      <c r="G978" s="26"/>
      <c r="H978" s="26"/>
      <c r="I978" s="27"/>
      <c r="J978" s="27"/>
      <c r="K978" s="27"/>
      <c r="L978" s="27"/>
      <c r="M978" s="27"/>
    </row>
    <row r="979" hidden="1">
      <c r="D979" s="26"/>
      <c r="E979" s="26"/>
      <c r="F979" s="26"/>
      <c r="G979" s="26"/>
      <c r="H979" s="26"/>
      <c r="I979" s="27"/>
      <c r="J979" s="27"/>
      <c r="K979" s="27"/>
      <c r="L979" s="27"/>
      <c r="M979" s="27"/>
    </row>
    <row r="980" hidden="1">
      <c r="D980" s="26"/>
      <c r="E980" s="26"/>
      <c r="F980" s="26"/>
      <c r="G980" s="26"/>
      <c r="H980" s="26"/>
      <c r="I980" s="27"/>
      <c r="J980" s="27"/>
      <c r="K980" s="27"/>
      <c r="L980" s="27"/>
      <c r="M980" s="27"/>
    </row>
    <row r="981" hidden="1">
      <c r="D981" s="26"/>
      <c r="E981" s="26"/>
      <c r="F981" s="26"/>
      <c r="G981" s="26"/>
      <c r="H981" s="26"/>
      <c r="I981" s="27"/>
      <c r="J981" s="27"/>
      <c r="K981" s="27"/>
      <c r="L981" s="27"/>
      <c r="M981" s="27"/>
    </row>
    <row r="982" hidden="1">
      <c r="D982" s="26"/>
      <c r="E982" s="26"/>
      <c r="F982" s="26"/>
      <c r="G982" s="26"/>
      <c r="H982" s="26"/>
      <c r="I982" s="27"/>
      <c r="J982" s="27"/>
      <c r="K982" s="27"/>
      <c r="L982" s="27"/>
      <c r="M982" s="27"/>
    </row>
    <row r="983" hidden="1">
      <c r="D983" s="26"/>
      <c r="E983" s="26"/>
      <c r="F983" s="26"/>
      <c r="G983" s="26"/>
      <c r="H983" s="26"/>
      <c r="I983" s="27"/>
      <c r="J983" s="27"/>
      <c r="K983" s="27"/>
      <c r="L983" s="27"/>
      <c r="M983" s="27"/>
    </row>
    <row r="984" hidden="1">
      <c r="D984" s="26"/>
      <c r="E984" s="26"/>
      <c r="F984" s="26"/>
      <c r="G984" s="26"/>
      <c r="H984" s="26"/>
      <c r="I984" s="27"/>
      <c r="J984" s="27"/>
      <c r="K984" s="27"/>
      <c r="L984" s="27"/>
      <c r="M984" s="27"/>
    </row>
    <row r="985" hidden="1">
      <c r="D985" s="26"/>
      <c r="E985" s="26"/>
      <c r="F985" s="26"/>
      <c r="G985" s="26"/>
      <c r="H985" s="26"/>
      <c r="I985" s="27"/>
      <c r="J985" s="27"/>
      <c r="K985" s="27"/>
      <c r="L985" s="27"/>
      <c r="M985" s="27"/>
    </row>
    <row r="986" hidden="1">
      <c r="D986" s="26"/>
      <c r="E986" s="26"/>
      <c r="F986" s="26"/>
      <c r="G986" s="26"/>
      <c r="H986" s="26"/>
      <c r="I986" s="27"/>
      <c r="J986" s="27"/>
      <c r="K986" s="27"/>
      <c r="L986" s="27"/>
      <c r="M986" s="27"/>
    </row>
    <row r="987" hidden="1">
      <c r="D987" s="26"/>
      <c r="E987" s="26"/>
      <c r="F987" s="26"/>
      <c r="G987" s="26"/>
      <c r="H987" s="26"/>
      <c r="I987" s="27"/>
      <c r="J987" s="27"/>
      <c r="K987" s="27"/>
      <c r="L987" s="27"/>
      <c r="M987" s="27"/>
    </row>
    <row r="988" hidden="1">
      <c r="D988" s="26"/>
      <c r="E988" s="26"/>
      <c r="F988" s="26"/>
      <c r="G988" s="26"/>
      <c r="H988" s="26"/>
      <c r="I988" s="27"/>
      <c r="J988" s="27"/>
      <c r="K988" s="27"/>
      <c r="L988" s="27"/>
      <c r="M988" s="27"/>
    </row>
    <row r="989" hidden="1">
      <c r="D989" s="26"/>
      <c r="E989" s="26"/>
      <c r="F989" s="26"/>
      <c r="G989" s="26"/>
      <c r="H989" s="26"/>
      <c r="I989" s="27"/>
      <c r="J989" s="27"/>
      <c r="K989" s="27"/>
      <c r="L989" s="27"/>
      <c r="M989" s="27"/>
    </row>
    <row r="990" hidden="1">
      <c r="D990" s="26"/>
      <c r="E990" s="26"/>
      <c r="F990" s="26"/>
      <c r="G990" s="26"/>
      <c r="H990" s="26"/>
      <c r="I990" s="27"/>
      <c r="J990" s="27"/>
      <c r="K990" s="27"/>
      <c r="L990" s="27"/>
      <c r="M990" s="27"/>
    </row>
    <row r="991" hidden="1">
      <c r="D991" s="26"/>
      <c r="E991" s="26"/>
      <c r="F991" s="26"/>
      <c r="G991" s="26"/>
      <c r="H991" s="26"/>
      <c r="I991" s="27"/>
      <c r="J991" s="27"/>
      <c r="K991" s="27"/>
      <c r="L991" s="27"/>
      <c r="M991" s="27"/>
    </row>
    <row r="992" hidden="1">
      <c r="D992" s="26"/>
      <c r="E992" s="26"/>
      <c r="F992" s="26"/>
      <c r="G992" s="26"/>
      <c r="H992" s="26"/>
      <c r="I992" s="27"/>
      <c r="J992" s="27"/>
      <c r="K992" s="27"/>
      <c r="L992" s="27"/>
      <c r="M992" s="27"/>
    </row>
    <row r="993" hidden="1">
      <c r="D993" s="26"/>
      <c r="E993" s="26"/>
      <c r="F993" s="26"/>
      <c r="G993" s="26"/>
      <c r="H993" s="26"/>
      <c r="I993" s="27"/>
      <c r="J993" s="27"/>
      <c r="K993" s="27"/>
      <c r="L993" s="27"/>
      <c r="M993" s="27"/>
    </row>
    <row r="994" hidden="1">
      <c r="D994" s="26"/>
      <c r="E994" s="26"/>
      <c r="F994" s="26"/>
      <c r="G994" s="26"/>
      <c r="H994" s="26"/>
      <c r="I994" s="27"/>
      <c r="J994" s="27"/>
      <c r="K994" s="27"/>
      <c r="L994" s="27"/>
      <c r="M994" s="27"/>
    </row>
    <row r="995" hidden="1">
      <c r="D995" s="26"/>
      <c r="E995" s="26"/>
      <c r="F995" s="26"/>
      <c r="G995" s="26"/>
      <c r="H995" s="26"/>
      <c r="I995" s="27"/>
      <c r="J995" s="27"/>
      <c r="K995" s="27"/>
      <c r="L995" s="27"/>
      <c r="M995" s="27"/>
    </row>
    <row r="996" hidden="1">
      <c r="D996" s="26"/>
      <c r="E996" s="26"/>
      <c r="F996" s="26"/>
      <c r="G996" s="26"/>
      <c r="H996" s="26"/>
      <c r="I996" s="27"/>
      <c r="J996" s="27"/>
      <c r="K996" s="27"/>
      <c r="L996" s="27"/>
      <c r="M996" s="27"/>
    </row>
    <row r="997" hidden="1">
      <c r="D997" s="26"/>
      <c r="E997" s="26"/>
      <c r="F997" s="26"/>
      <c r="G997" s="26"/>
      <c r="H997" s="26"/>
      <c r="I997" s="27"/>
      <c r="J997" s="27"/>
      <c r="K997" s="27"/>
      <c r="L997" s="27"/>
      <c r="M997" s="27"/>
    </row>
    <row r="998" hidden="1">
      <c r="D998" s="26"/>
      <c r="E998" s="26"/>
      <c r="F998" s="26"/>
      <c r="G998" s="26"/>
      <c r="H998" s="26"/>
      <c r="I998" s="27"/>
      <c r="J998" s="27"/>
      <c r="K998" s="27"/>
      <c r="L998" s="27"/>
      <c r="M998" s="27"/>
    </row>
    <row r="999" hidden="1">
      <c r="D999" s="26"/>
      <c r="E999" s="26"/>
      <c r="F999" s="26"/>
      <c r="G999" s="26"/>
      <c r="H999" s="26"/>
      <c r="I999" s="27"/>
      <c r="J999" s="27"/>
      <c r="K999" s="27"/>
      <c r="L999" s="27"/>
      <c r="M999" s="27"/>
    </row>
    <row r="1000" hidden="1">
      <c r="D1000" s="26"/>
      <c r="E1000" s="26"/>
      <c r="F1000" s="26"/>
      <c r="G1000" s="26"/>
      <c r="H1000" s="26"/>
      <c r="I1000" s="27"/>
      <c r="J1000" s="27"/>
      <c r="K1000" s="27"/>
      <c r="L1000" s="27"/>
      <c r="M1000" s="27"/>
    </row>
  </sheetData>
  <autoFilter ref="$G$1:$G$1000">
    <filterColumn colId="0">
      <filters>
        <filter val="Unknown"/>
        <filter val="None"/>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sheetData>
  <drawing r:id="rId2"/>
</worksheet>
</file>