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jtul\Desktop\DCF Models\Meta\"/>
    </mc:Choice>
  </mc:AlternateContent>
  <xr:revisionPtr revIDLastSave="0" documentId="13_ncr:1_{C18B0084-16BF-4D64-BA93-968CD0EB999A}" xr6:coauthVersionLast="47" xr6:coauthVersionMax="47" xr10:uidLastSave="{00000000-0000-0000-0000-000000000000}"/>
  <bookViews>
    <workbookView xWindow="-120" yWindow="-120" windowWidth="29040" windowHeight="15840" firstSheet="1" activeTab="7" xr2:uid="{F7A9AB71-A267-4D53-913E-3D816EEB5A38}"/>
  </bookViews>
  <sheets>
    <sheet name="DCF Model ---&gt;" sheetId="10" r:id="rId1"/>
    <sheet name="DCF" sheetId="16" r:id="rId2"/>
    <sheet name="WACC" sheetId="14" r:id="rId3"/>
    <sheet name="Cost of Equity Beta Regression" sheetId="11" r:id="rId4"/>
    <sheet name="Financial Data --&gt;" sheetId="9" r:id="rId5"/>
    <sheet name="Financial Statements " sheetId="1" r:id="rId6"/>
    <sheet name="Fixed Assets" sheetId="3" r:id="rId7"/>
    <sheet name="Intangible Asset " sheetId="6" r:id="rId8"/>
    <sheet name=" MISC --&gt;" sheetId="17" r:id="rId9"/>
    <sheet name="Trend Analysis" sheetId="2" r:id="rId10"/>
    <sheet name="Long Term Debt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6" l="1"/>
  <c r="H43" i="16"/>
  <c r="F9" i="16" l="1"/>
  <c r="C14" i="14"/>
  <c r="H53" i="16"/>
  <c r="G24" i="11"/>
  <c r="H51" i="16"/>
  <c r="E23" i="14"/>
  <c r="H50" i="16"/>
  <c r="H49" i="16"/>
  <c r="N12" i="3"/>
  <c r="O12" i="3" s="1"/>
  <c r="P12" i="3" s="1"/>
  <c r="Q12" i="3" s="1"/>
  <c r="G12" i="3"/>
  <c r="B27" i="2"/>
  <c r="L137" i="1"/>
  <c r="H80" i="1"/>
  <c r="D23" i="2" s="1"/>
  <c r="I80" i="1"/>
  <c r="E23" i="2" s="1"/>
  <c r="J80" i="1"/>
  <c r="F23" i="2" s="1"/>
  <c r="K80" i="1"/>
  <c r="G23" i="2" s="1"/>
  <c r="L80" i="1"/>
  <c r="H23" i="2" s="1"/>
  <c r="G80" i="1"/>
  <c r="C23" i="2" s="1"/>
  <c r="G81" i="1"/>
  <c r="C22" i="2" s="1"/>
  <c r="H81" i="1"/>
  <c r="D22" i="2" s="1"/>
  <c r="I81" i="1"/>
  <c r="E22" i="2" s="1"/>
  <c r="J81" i="1"/>
  <c r="F22" i="2" s="1"/>
  <c r="K81" i="1"/>
  <c r="G22" i="2" s="1"/>
  <c r="L81" i="1"/>
  <c r="H22" i="2" s="1"/>
  <c r="H137" i="1"/>
  <c r="I137" i="1"/>
  <c r="J137" i="1"/>
  <c r="K137" i="1"/>
  <c r="G137" i="1"/>
  <c r="E28" i="16"/>
  <c r="F28" i="16"/>
  <c r="G28" i="16"/>
  <c r="H28" i="16"/>
  <c r="D28" i="16"/>
  <c r="K22" i="2" l="1"/>
  <c r="K23" i="2"/>
  <c r="J23" i="2"/>
  <c r="J22" i="2"/>
  <c r="C27" i="11"/>
  <c r="E26" i="14"/>
  <c r="F9" i="14"/>
  <c r="E27" i="14" s="1"/>
  <c r="E28" i="14" l="1"/>
  <c r="C31" i="14" s="1"/>
  <c r="H42" i="16" l="1"/>
  <c r="H45" i="16" s="1"/>
  <c r="F42" i="16"/>
  <c r="F45" i="16" s="1"/>
  <c r="D42" i="16"/>
  <c r="D45" i="16" s="1"/>
  <c r="G42" i="16"/>
  <c r="G45" i="16" s="1"/>
  <c r="E42" i="16"/>
  <c r="E45" i="16" s="1"/>
  <c r="E13" i="11" l="1"/>
  <c r="E14" i="11"/>
  <c r="E15" i="11"/>
  <c r="E16" i="11"/>
  <c r="E17" i="11"/>
  <c r="E18" i="11"/>
  <c r="E19" i="11"/>
  <c r="E20" i="11"/>
  <c r="E21" i="11"/>
  <c r="E12" i="11"/>
  <c r="H67" i="1" l="1"/>
  <c r="I67" i="1"/>
  <c r="J67" i="1"/>
  <c r="K67" i="1"/>
  <c r="L67" i="1"/>
  <c r="G67" i="1"/>
  <c r="H61" i="1"/>
  <c r="I61" i="1"/>
  <c r="J61" i="1"/>
  <c r="K61" i="1"/>
  <c r="L61" i="1"/>
  <c r="G61" i="1"/>
  <c r="N51" i="1"/>
  <c r="O51" i="1"/>
  <c r="P51" i="1"/>
  <c r="Q51" i="1"/>
  <c r="M51" i="1"/>
  <c r="F9" i="1"/>
  <c r="M158" i="1"/>
  <c r="N158" i="1"/>
  <c r="O158" i="1"/>
  <c r="P158" i="1"/>
  <c r="Q158" i="1"/>
  <c r="N157" i="1"/>
  <c r="O157" i="1"/>
  <c r="P157" i="1"/>
  <c r="Q157" i="1"/>
  <c r="M151" i="1"/>
  <c r="M148" i="1"/>
  <c r="N148" i="1"/>
  <c r="O148" i="1"/>
  <c r="P148" i="1"/>
  <c r="Q148" i="1"/>
  <c r="G62" i="1"/>
  <c r="H65" i="1" l="1"/>
  <c r="I65" i="1"/>
  <c r="J65" i="1"/>
  <c r="K65" i="1"/>
  <c r="L65" i="1"/>
  <c r="G65" i="1"/>
  <c r="H62" i="1"/>
  <c r="I62" i="1"/>
  <c r="J62" i="1"/>
  <c r="K62" i="1"/>
  <c r="L62" i="1"/>
  <c r="H27" i="1"/>
  <c r="N81" i="1"/>
  <c r="O81" i="1" s="1"/>
  <c r="P81" i="1" s="1"/>
  <c r="Q81" i="1" s="1"/>
  <c r="G74" i="1"/>
  <c r="M41" i="1"/>
  <c r="K19" i="6"/>
  <c r="L19" i="6" s="1"/>
  <c r="M19" i="6" s="1"/>
  <c r="N19" i="6" s="1"/>
  <c r="O19" i="6" s="1"/>
  <c r="N27" i="1"/>
  <c r="O27" i="1"/>
  <c r="P27" i="1"/>
  <c r="Q27" i="1"/>
  <c r="M27" i="1"/>
  <c r="M40" i="1" s="1"/>
  <c r="M95" i="1"/>
  <c r="N95" i="1" s="1"/>
  <c r="O95" i="1" s="1"/>
  <c r="P95" i="1" s="1"/>
  <c r="Q95" i="1" s="1"/>
  <c r="N151" i="1"/>
  <c r="O151" i="1"/>
  <c r="P151" i="1"/>
  <c r="Q151" i="1"/>
  <c r="M126" i="1"/>
  <c r="M174" i="1" s="1"/>
  <c r="N173" i="1"/>
  <c r="O173" i="1"/>
  <c r="P173" i="1"/>
  <c r="Q173" i="1"/>
  <c r="M173" i="1"/>
  <c r="M170" i="1"/>
  <c r="M154" i="1"/>
  <c r="N154" i="1"/>
  <c r="O154" i="1"/>
  <c r="P154" i="1"/>
  <c r="Q154" i="1"/>
  <c r="N172" i="1"/>
  <c r="O172" i="1"/>
  <c r="P172" i="1"/>
  <c r="Q172" i="1"/>
  <c r="M172" i="1"/>
  <c r="N170" i="1"/>
  <c r="O170" i="1"/>
  <c r="P170" i="1"/>
  <c r="Q170" i="1"/>
  <c r="N166" i="1"/>
  <c r="O166" i="1"/>
  <c r="P166" i="1"/>
  <c r="Q166" i="1"/>
  <c r="M166" i="1"/>
  <c r="M157" i="1"/>
  <c r="L12" i="3"/>
  <c r="K12" i="3"/>
  <c r="J12" i="3"/>
  <c r="I12" i="3"/>
  <c r="H12" i="3"/>
  <c r="E27" i="6"/>
  <c r="E9" i="6" s="1"/>
  <c r="G25" i="6"/>
  <c r="H25" i="6"/>
  <c r="I25" i="6"/>
  <c r="J25" i="6"/>
  <c r="G26" i="6"/>
  <c r="H26" i="6"/>
  <c r="I26" i="6"/>
  <c r="J26" i="6"/>
  <c r="F26" i="6"/>
  <c r="F25" i="6"/>
  <c r="F24" i="6"/>
  <c r="G24" i="6"/>
  <c r="H24" i="6"/>
  <c r="I24" i="6"/>
  <c r="J24" i="6"/>
  <c r="G23" i="6"/>
  <c r="H23" i="6"/>
  <c r="I23" i="6"/>
  <c r="J23" i="6"/>
  <c r="F23" i="6"/>
  <c r="G22" i="6"/>
  <c r="H22" i="6"/>
  <c r="I22" i="6"/>
  <c r="J22" i="6"/>
  <c r="F22" i="6"/>
  <c r="L132" i="1"/>
  <c r="M123" i="1"/>
  <c r="M116" i="1"/>
  <c r="I27" i="1"/>
  <c r="J27" i="1"/>
  <c r="K27" i="1"/>
  <c r="L27" i="1"/>
  <c r="C27" i="2" l="1" a="1"/>
  <c r="C27" i="2" s="1"/>
  <c r="G66" i="1"/>
  <c r="G63" i="1"/>
  <c r="L66" i="1"/>
  <c r="L63" i="1"/>
  <c r="K66" i="1"/>
  <c r="K63" i="1"/>
  <c r="J66" i="1"/>
  <c r="J63" i="1"/>
  <c r="I66" i="1"/>
  <c r="I63" i="1"/>
  <c r="H66" i="1"/>
  <c r="H63" i="1"/>
  <c r="F27" i="6"/>
  <c r="F9" i="6" s="1"/>
  <c r="M44" i="1"/>
  <c r="N126" i="1"/>
  <c r="O126" i="1" s="1"/>
  <c r="P126" i="1" s="1"/>
  <c r="J27" i="6"/>
  <c r="J9" i="6" s="1"/>
  <c r="H27" i="6"/>
  <c r="H9" i="6" s="1"/>
  <c r="I27" i="6"/>
  <c r="I9" i="6" s="1"/>
  <c r="G27" i="6"/>
  <c r="G9" i="6" s="1"/>
  <c r="M121" i="1"/>
  <c r="K64" i="1" l="1"/>
  <c r="K27" i="2"/>
  <c r="J27" i="2"/>
  <c r="H64" i="1"/>
  <c r="I64" i="1"/>
  <c r="J64" i="1"/>
  <c r="L64" i="1"/>
  <c r="Q126" i="1"/>
  <c r="Q174" i="1" s="1"/>
  <c r="P174" i="1"/>
  <c r="O174" i="1"/>
  <c r="N174" i="1"/>
  <c r="N116" i="1"/>
  <c r="N121" i="1" s="1"/>
  <c r="O116" i="1" l="1"/>
  <c r="O121" i="1" s="1"/>
  <c r="P116" i="1" l="1"/>
  <c r="P121" i="1" s="1"/>
  <c r="Q116" i="1" l="1"/>
  <c r="Q121" i="1" s="1"/>
  <c r="G132" i="1" l="1"/>
  <c r="H79" i="1"/>
  <c r="I79" i="1"/>
  <c r="J79" i="1"/>
  <c r="K79" i="1"/>
  <c r="L79" i="1"/>
  <c r="G79" i="1"/>
  <c r="H78" i="1" l="1"/>
  <c r="I78" i="1"/>
  <c r="J78" i="1"/>
  <c r="K78" i="1"/>
  <c r="L78" i="1"/>
  <c r="G78" i="1"/>
  <c r="B21" i="2"/>
  <c r="H77" i="1"/>
  <c r="D21" i="2" s="1"/>
  <c r="I77" i="1"/>
  <c r="E21" i="2" s="1"/>
  <c r="J77" i="1"/>
  <c r="F21" i="2" s="1"/>
  <c r="K77" i="1"/>
  <c r="G21" i="2" s="1"/>
  <c r="L77" i="1"/>
  <c r="H21" i="2" s="1"/>
  <c r="G77" i="1"/>
  <c r="C21" i="2" s="1"/>
  <c r="H76" i="1"/>
  <c r="I76" i="1"/>
  <c r="J76" i="1"/>
  <c r="K76" i="1"/>
  <c r="L76" i="1"/>
  <c r="G76" i="1"/>
  <c r="D19" i="2"/>
  <c r="E19" i="2"/>
  <c r="F19" i="2"/>
  <c r="G19" i="2"/>
  <c r="H19" i="2"/>
  <c r="C19" i="2"/>
  <c r="B19" i="2"/>
  <c r="B20" i="2"/>
  <c r="H75" i="1"/>
  <c r="D20" i="2" s="1"/>
  <c r="G75" i="1"/>
  <c r="C20" i="2" s="1"/>
  <c r="I75" i="1"/>
  <c r="E20" i="2" s="1"/>
  <c r="J75" i="1"/>
  <c r="F20" i="2" s="1"/>
  <c r="K75" i="1"/>
  <c r="G20" i="2" s="1"/>
  <c r="L75" i="1"/>
  <c r="H20" i="2" s="1"/>
  <c r="H74" i="1"/>
  <c r="D18" i="2" s="1"/>
  <c r="I74" i="1"/>
  <c r="E18" i="2" s="1"/>
  <c r="J74" i="1"/>
  <c r="F18" i="2" s="1"/>
  <c r="K74" i="1"/>
  <c r="G18" i="2" s="1"/>
  <c r="L74" i="1"/>
  <c r="H18" i="2" s="1"/>
  <c r="C18" i="2"/>
  <c r="H132" i="1"/>
  <c r="I132" i="1"/>
  <c r="J132" i="1"/>
  <c r="K132" i="1"/>
  <c r="H57" i="1"/>
  <c r="I57" i="1"/>
  <c r="J57" i="1"/>
  <c r="K57" i="1"/>
  <c r="L57" i="1"/>
  <c r="J53" i="1"/>
  <c r="K53" i="1"/>
  <c r="L53" i="1"/>
  <c r="I53" i="1"/>
  <c r="H53" i="1"/>
  <c r="L19" i="2" l="1"/>
  <c r="K20" i="2"/>
  <c r="J20" i="2"/>
  <c r="J21" i="2"/>
  <c r="K21" i="2"/>
  <c r="L18" i="2"/>
  <c r="J18" i="2"/>
  <c r="K18" i="2"/>
  <c r="H28" i="1"/>
  <c r="I28" i="1"/>
  <c r="J28" i="1"/>
  <c r="K28" i="1"/>
  <c r="L28" i="1"/>
  <c r="G28" i="1"/>
  <c r="B14" i="2"/>
  <c r="H25" i="1"/>
  <c r="D14" i="2" s="1"/>
  <c r="I25" i="1"/>
  <c r="E14" i="2" s="1"/>
  <c r="J25" i="1"/>
  <c r="F14" i="2" s="1"/>
  <c r="K25" i="1"/>
  <c r="G14" i="2" s="1"/>
  <c r="L25" i="1"/>
  <c r="H14" i="2" s="1"/>
  <c r="G25" i="1"/>
  <c r="C14" i="2" s="1"/>
  <c r="D10" i="2"/>
  <c r="E10" i="2"/>
  <c r="F10" i="2"/>
  <c r="G10" i="2"/>
  <c r="H10" i="2"/>
  <c r="C10" i="2"/>
  <c r="B10" i="2"/>
  <c r="B13" i="2"/>
  <c r="B12" i="2"/>
  <c r="G24" i="1"/>
  <c r="C13" i="2" s="1"/>
  <c r="H24" i="1"/>
  <c r="D13" i="2" s="1"/>
  <c r="I24" i="1"/>
  <c r="E13" i="2" s="1"/>
  <c r="J24" i="1"/>
  <c r="F13" i="2" s="1"/>
  <c r="K24" i="1"/>
  <c r="G13" i="2" s="1"/>
  <c r="L24" i="1"/>
  <c r="H13" i="2" s="1"/>
  <c r="H23" i="1"/>
  <c r="D12" i="2" s="1"/>
  <c r="I23" i="1"/>
  <c r="E12" i="2" s="1"/>
  <c r="J23" i="1"/>
  <c r="F12" i="2" s="1"/>
  <c r="K23" i="1"/>
  <c r="G12" i="2" s="1"/>
  <c r="L23" i="1"/>
  <c r="H12" i="2" s="1"/>
  <c r="G23" i="1"/>
  <c r="C12" i="2" s="1"/>
  <c r="B11" i="2"/>
  <c r="H22" i="1"/>
  <c r="I22" i="1"/>
  <c r="J22" i="1"/>
  <c r="K22" i="1"/>
  <c r="L22" i="1"/>
  <c r="G22" i="1"/>
  <c r="C8" i="2" a="1"/>
  <c r="G21" i="1"/>
  <c r="I21" i="1"/>
  <c r="J21" i="1"/>
  <c r="K21" i="1"/>
  <c r="L21" i="1"/>
  <c r="H21" i="1"/>
  <c r="L10" i="2" l="1"/>
  <c r="C8" i="2"/>
  <c r="L8" i="2" s="1"/>
  <c r="J14" i="2"/>
  <c r="C9" i="2" a="1"/>
  <c r="C9" i="2" s="1"/>
  <c r="K9" i="2" s="1"/>
  <c r="C11" i="2" a="1"/>
  <c r="C11" i="2" s="1"/>
  <c r="K11" i="2" s="1"/>
  <c r="J13" i="2"/>
  <c r="J12" i="2"/>
  <c r="K14" i="2"/>
  <c r="K12" i="2"/>
  <c r="K13" i="2"/>
  <c r="J9" i="2" l="1"/>
  <c r="J11" i="2"/>
  <c r="M90" i="1" l="1"/>
  <c r="N90" i="1" s="1"/>
  <c r="M105" i="1"/>
  <c r="N105" i="1" s="1"/>
  <c r="M13" i="3"/>
  <c r="M147" i="1" s="1"/>
  <c r="M150" i="1" s="1"/>
  <c r="D30" i="16" s="1"/>
  <c r="M32" i="1"/>
  <c r="M37" i="1" s="1"/>
  <c r="K12" i="6" l="1"/>
  <c r="N32" i="1"/>
  <c r="N35" i="1" s="1"/>
  <c r="M35" i="1"/>
  <c r="M21" i="3"/>
  <c r="N13" i="3"/>
  <c r="N147" i="1" s="1"/>
  <c r="N150" i="1" s="1"/>
  <c r="E30" i="16" s="1"/>
  <c r="N161" i="1"/>
  <c r="O105" i="1"/>
  <c r="N156" i="1"/>
  <c r="O90" i="1"/>
  <c r="M161" i="1"/>
  <c r="M156" i="1"/>
  <c r="M34" i="1"/>
  <c r="M61" i="1" s="1"/>
  <c r="M89" i="1"/>
  <c r="O32" i="1"/>
  <c r="M36" i="1"/>
  <c r="M20" i="3"/>
  <c r="N89" i="1" l="1"/>
  <c r="N155" i="1" s="1"/>
  <c r="N36" i="1"/>
  <c r="N34" i="1"/>
  <c r="N62" i="1" s="1"/>
  <c r="N20" i="3"/>
  <c r="N165" i="1" s="1"/>
  <c r="N167" i="1" s="1"/>
  <c r="L12" i="6"/>
  <c r="N37" i="1"/>
  <c r="N38" i="1" s="1"/>
  <c r="N39" i="1" s="1"/>
  <c r="O13" i="3"/>
  <c r="P13" i="3" s="1"/>
  <c r="N21" i="3"/>
  <c r="M155" i="1"/>
  <c r="M22" i="3"/>
  <c r="M165" i="1"/>
  <c r="M167" i="1" s="1"/>
  <c r="D32" i="16"/>
  <c r="N103" i="1"/>
  <c r="N102" i="1"/>
  <c r="N61" i="1"/>
  <c r="M102" i="1"/>
  <c r="M38" i="1"/>
  <c r="M39" i="1" s="1"/>
  <c r="M103" i="1"/>
  <c r="M160" i="1" s="1"/>
  <c r="M62" i="1"/>
  <c r="O89" i="1"/>
  <c r="O35" i="1"/>
  <c r="M12" i="6"/>
  <c r="O20" i="3"/>
  <c r="P32" i="1"/>
  <c r="O37" i="1"/>
  <c r="O36" i="1"/>
  <c r="O34" i="1"/>
  <c r="O156" i="1"/>
  <c r="P90" i="1"/>
  <c r="O161" i="1"/>
  <c r="P105" i="1"/>
  <c r="E32" i="16" l="1"/>
  <c r="O147" i="1"/>
  <c r="O150" i="1" s="1"/>
  <c r="F30" i="16" s="1"/>
  <c r="O21" i="3"/>
  <c r="N160" i="1"/>
  <c r="N137" i="1"/>
  <c r="F32" i="16"/>
  <c r="O165" i="1"/>
  <c r="O167" i="1" s="1"/>
  <c r="O103" i="1"/>
  <c r="O160" i="1" s="1"/>
  <c r="O38" i="1"/>
  <c r="O39" i="1" s="1"/>
  <c r="O102" i="1"/>
  <c r="Q13" i="3"/>
  <c r="P147" i="1"/>
  <c r="P150" i="1" s="1"/>
  <c r="G30" i="16" s="1"/>
  <c r="P21" i="3"/>
  <c r="Q105" i="1"/>
  <c r="Q161" i="1" s="1"/>
  <c r="P161" i="1"/>
  <c r="O155" i="1"/>
  <c r="M65" i="1"/>
  <c r="M45" i="1"/>
  <c r="M107" i="1"/>
  <c r="M159" i="1"/>
  <c r="M93" i="1"/>
  <c r="N19" i="3"/>
  <c r="N22" i="3" s="1"/>
  <c r="O61" i="1"/>
  <c r="O62" i="1"/>
  <c r="N65" i="1"/>
  <c r="Q90" i="1"/>
  <c r="Q156" i="1" s="1"/>
  <c r="P156" i="1"/>
  <c r="P20" i="3"/>
  <c r="P34" i="1"/>
  <c r="P61" i="1" s="1"/>
  <c r="P36" i="1"/>
  <c r="P35" i="1"/>
  <c r="P89" i="1"/>
  <c r="P37" i="1"/>
  <c r="N12" i="6"/>
  <c r="Q32" i="1"/>
  <c r="N107" i="1"/>
  <c r="N159" i="1"/>
  <c r="M137" i="1"/>
  <c r="D31" i="16" s="1"/>
  <c r="O137" i="1" l="1"/>
  <c r="F31" i="16" s="1"/>
  <c r="P62" i="1"/>
  <c r="P155" i="1"/>
  <c r="O65" i="1"/>
  <c r="E27" i="16"/>
  <c r="E29" i="16" s="1"/>
  <c r="N63" i="1"/>
  <c r="N66" i="1"/>
  <c r="M63" i="1"/>
  <c r="M64" i="1" s="1"/>
  <c r="D27" i="16"/>
  <c r="D29" i="16" s="1"/>
  <c r="D33" i="16" s="1"/>
  <c r="D41" i="16" s="1"/>
  <c r="D46" i="16" s="1"/>
  <c r="M66" i="1"/>
  <c r="Q147" i="1"/>
  <c r="Q150" i="1" s="1"/>
  <c r="H30" i="16" s="1"/>
  <c r="Q21" i="3"/>
  <c r="M46" i="1"/>
  <c r="M47" i="1" s="1"/>
  <c r="O107" i="1"/>
  <c r="O159" i="1"/>
  <c r="P103" i="1"/>
  <c r="P160" i="1" s="1"/>
  <c r="P102" i="1"/>
  <c r="P38" i="1"/>
  <c r="P39" i="1" s="1"/>
  <c r="Q89" i="1"/>
  <c r="O12" i="6"/>
  <c r="Q34" i="1"/>
  <c r="Q35" i="1"/>
  <c r="Q36" i="1"/>
  <c r="Q20" i="3"/>
  <c r="Q37" i="1"/>
  <c r="N93" i="1"/>
  <c r="O19" i="3"/>
  <c r="O22" i="3" s="1"/>
  <c r="P165" i="1"/>
  <c r="P167" i="1" s="1"/>
  <c r="G32" i="16"/>
  <c r="E31" i="16"/>
  <c r="E33" i="16" l="1"/>
  <c r="E41" i="16" s="1"/>
  <c r="E46" i="16" s="1"/>
  <c r="N64" i="1"/>
  <c r="M67" i="1"/>
  <c r="M52" i="1"/>
  <c r="M53" i="1" s="1"/>
  <c r="M127" i="1"/>
  <c r="M128" i="1" s="1"/>
  <c r="M146" i="1"/>
  <c r="M162" i="1" s="1"/>
  <c r="F27" i="16"/>
  <c r="F29" i="16" s="1"/>
  <c r="F33" i="16" s="1"/>
  <c r="F41" i="16" s="1"/>
  <c r="F46" i="16" s="1"/>
  <c r="O63" i="1"/>
  <c r="O64" i="1" s="1"/>
  <c r="O66" i="1"/>
  <c r="Q155" i="1"/>
  <c r="Q103" i="1"/>
  <c r="Q160" i="1" s="1"/>
  <c r="Q102" i="1"/>
  <c r="Q38" i="1"/>
  <c r="Q39" i="1" s="1"/>
  <c r="H32" i="16"/>
  <c r="Q165" i="1"/>
  <c r="Q167" i="1" s="1"/>
  <c r="P65" i="1"/>
  <c r="P107" i="1"/>
  <c r="P159" i="1"/>
  <c r="Q62" i="1"/>
  <c r="P137" i="1"/>
  <c r="G31" i="16" s="1"/>
  <c r="P19" i="3"/>
  <c r="P22" i="3" s="1"/>
  <c r="O93" i="1"/>
  <c r="Q61" i="1"/>
  <c r="Q19" i="3" l="1"/>
  <c r="Q22" i="3" s="1"/>
  <c r="Q93" i="1" s="1"/>
  <c r="P93" i="1"/>
  <c r="Q65" i="1"/>
  <c r="Q159" i="1"/>
  <c r="Q107" i="1"/>
  <c r="N123" i="1"/>
  <c r="M129" i="1"/>
  <c r="M179" i="1"/>
  <c r="M180" i="1" s="1"/>
  <c r="M111" i="1" s="1"/>
  <c r="P63" i="1"/>
  <c r="P64" i="1" s="1"/>
  <c r="P66" i="1"/>
  <c r="G27" i="16"/>
  <c r="G29" i="16" s="1"/>
  <c r="G33" i="16" s="1"/>
  <c r="G41" i="16" s="1"/>
  <c r="G46" i="16" s="1"/>
  <c r="Q137" i="1"/>
  <c r="H31" i="16" s="1"/>
  <c r="H27" i="16" l="1"/>
  <c r="H29" i="16" s="1"/>
  <c r="H33" i="16" s="1"/>
  <c r="H41" i="16" s="1"/>
  <c r="Q63" i="1"/>
  <c r="Q64" i="1" s="1"/>
  <c r="Q66" i="1"/>
  <c r="N41" i="1"/>
  <c r="M171" i="1"/>
  <c r="M175" i="1" s="1"/>
  <c r="M177" i="1" s="1"/>
  <c r="M87" i="1" s="1"/>
  <c r="M112" i="1"/>
  <c r="M130" i="1" s="1"/>
  <c r="N40" i="1" l="1"/>
  <c r="N44" i="1" s="1"/>
  <c r="N45" i="1" s="1"/>
  <c r="M91" i="1"/>
  <c r="M98" i="1" s="1"/>
  <c r="M132" i="1" s="1"/>
  <c r="H44" i="16"/>
  <c r="H47" i="16" s="1"/>
  <c r="H46" i="16"/>
  <c r="H48" i="16" l="1"/>
  <c r="H52" i="16" s="1"/>
  <c r="H54" i="16" s="1"/>
  <c r="K45" i="16" s="1"/>
  <c r="N46" i="1"/>
  <c r="N47" i="1" s="1"/>
  <c r="N52" i="1" l="1"/>
  <c r="N53" i="1" s="1"/>
  <c r="N146" i="1"/>
  <c r="N162" i="1" s="1"/>
  <c r="N127" i="1"/>
  <c r="N128" i="1" s="1"/>
  <c r="N67" i="1"/>
  <c r="N129" i="1" l="1"/>
  <c r="O123" i="1"/>
  <c r="N179" i="1"/>
  <c r="N180" i="1" s="1"/>
  <c r="N111" i="1" s="1"/>
  <c r="O41" i="1" l="1"/>
  <c r="N171" i="1"/>
  <c r="N175" i="1" s="1"/>
  <c r="N177" i="1" s="1"/>
  <c r="N87" i="1" s="1"/>
  <c r="N112" i="1"/>
  <c r="N130" i="1" s="1"/>
  <c r="N91" i="1" l="1"/>
  <c r="N98" i="1" s="1"/>
  <c r="N132" i="1" s="1"/>
  <c r="O40" i="1"/>
  <c r="O44" i="1" s="1"/>
  <c r="O45" i="1" s="1"/>
  <c r="O46" i="1" l="1"/>
  <c r="O47" i="1" s="1"/>
  <c r="O146" i="1" l="1"/>
  <c r="O162" i="1" s="1"/>
  <c r="O127" i="1"/>
  <c r="O128" i="1" s="1"/>
  <c r="O67" i="1"/>
  <c r="O52" i="1"/>
  <c r="O53" i="1" s="1"/>
  <c r="P123" i="1" l="1"/>
  <c r="O129" i="1"/>
  <c r="O179" i="1"/>
  <c r="O180" i="1" s="1"/>
  <c r="O111" i="1" s="1"/>
  <c r="P41" i="1" l="1"/>
  <c r="O171" i="1"/>
  <c r="O175" i="1" s="1"/>
  <c r="O177" i="1" s="1"/>
  <c r="O87" i="1" s="1"/>
  <c r="O112" i="1"/>
  <c r="O130" i="1" s="1"/>
  <c r="P40" i="1" l="1"/>
  <c r="P44" i="1" s="1"/>
  <c r="P45" i="1" s="1"/>
  <c r="O91" i="1"/>
  <c r="O98" i="1" s="1"/>
  <c r="O132" i="1" s="1"/>
  <c r="P46" i="1" l="1"/>
  <c r="P47" i="1" s="1"/>
  <c r="P52" i="1" l="1"/>
  <c r="P53" i="1" s="1"/>
  <c r="P146" i="1"/>
  <c r="P162" i="1" s="1"/>
  <c r="P127" i="1"/>
  <c r="P128" i="1" s="1"/>
  <c r="P67" i="1"/>
  <c r="P129" i="1" l="1"/>
  <c r="Q123" i="1"/>
  <c r="P179" i="1"/>
  <c r="P180" i="1" s="1"/>
  <c r="P111" i="1" s="1"/>
  <c r="Q41" i="1" l="1"/>
  <c r="P171" i="1"/>
  <c r="P175" i="1" s="1"/>
  <c r="P177" i="1" s="1"/>
  <c r="P87" i="1" s="1"/>
  <c r="P112" i="1"/>
  <c r="P130" i="1" s="1"/>
  <c r="P91" i="1" l="1"/>
  <c r="P98" i="1" s="1"/>
  <c r="P132" i="1" s="1"/>
  <c r="Q40" i="1"/>
  <c r="Q44" i="1" s="1"/>
  <c r="Q45" i="1" s="1"/>
  <c r="Q46" i="1" l="1"/>
  <c r="Q47" i="1" s="1"/>
  <c r="Q127" i="1" l="1"/>
  <c r="Q128" i="1" s="1"/>
  <c r="Q129" i="1" s="1"/>
  <c r="Q67" i="1"/>
  <c r="Q146" i="1"/>
  <c r="Q162" i="1" s="1"/>
  <c r="Q52" i="1"/>
  <c r="Q53" i="1" s="1"/>
  <c r="Q179" i="1" l="1"/>
  <c r="Q180" i="1" s="1"/>
  <c r="Q111" i="1" s="1"/>
  <c r="Q171" i="1" l="1"/>
  <c r="Q175" i="1" s="1"/>
  <c r="Q177" i="1" s="1"/>
  <c r="Q87" i="1" s="1"/>
  <c r="Q91" i="1" s="1"/>
  <c r="Q98" i="1" s="1"/>
  <c r="Q112" i="1"/>
  <c r="Q130" i="1" s="1"/>
  <c r="Q13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<sst xmlns="http://schemas.openxmlformats.org/spreadsheetml/2006/main" count="344" uniqueCount="240">
  <si>
    <t>Finacial Statements</t>
  </si>
  <si>
    <t>Revenue</t>
  </si>
  <si>
    <t>Costs and expenses:</t>
  </si>
  <si>
    <t>Cost of revenue</t>
  </si>
  <si>
    <t>Research and development</t>
  </si>
  <si>
    <t>Marketing and sales</t>
  </si>
  <si>
    <t>General and administrative</t>
  </si>
  <si>
    <t>Total costs and expenses</t>
  </si>
  <si>
    <t>Income from operations</t>
  </si>
  <si>
    <t>Interest and other income (expense), net</t>
  </si>
  <si>
    <t>Income before provision for income taxes</t>
  </si>
  <si>
    <t>Provision for income taxes</t>
  </si>
  <si>
    <t>Net income</t>
  </si>
  <si>
    <t>Income Statement</t>
  </si>
  <si>
    <t>Income Statement Assumptions</t>
  </si>
  <si>
    <t>2023E</t>
  </si>
  <si>
    <t>2024E</t>
  </si>
  <si>
    <t>2025E</t>
  </si>
  <si>
    <t>2026E</t>
  </si>
  <si>
    <t>2027E</t>
  </si>
  <si>
    <t>% Revenue Growth</t>
  </si>
  <si>
    <t>Mean</t>
  </si>
  <si>
    <t>STD</t>
  </si>
  <si>
    <t>CAGR</t>
  </si>
  <si>
    <t>% Cost of Revenue</t>
  </si>
  <si>
    <t>% R&amp;D of Revenue</t>
  </si>
  <si>
    <t>% M&amp;S of Revenue</t>
  </si>
  <si>
    <t>% G&amp;A of Revenue</t>
  </si>
  <si>
    <t>% Tax Rate</t>
  </si>
  <si>
    <t>Per Share Analysis</t>
  </si>
  <si>
    <t>Basic EPS</t>
  </si>
  <si>
    <t>% Growth</t>
  </si>
  <si>
    <t>-</t>
  </si>
  <si>
    <t>Weighted Average Basic Shares Outstanding</t>
  </si>
  <si>
    <t>Weighted Average Diluted Shares Outstanding</t>
  </si>
  <si>
    <t>Diluted EPS</t>
  </si>
  <si>
    <t>Balance Sheet</t>
  </si>
  <si>
    <t>Assets</t>
  </si>
  <si>
    <t>Current assets:</t>
  </si>
  <si>
    <t>Cash and cash equivalents</t>
  </si>
  <si>
    <t>Marketable securities</t>
  </si>
  <si>
    <t>Prepaid expenses and other current assets</t>
  </si>
  <si>
    <t>Property and equipment, net</t>
  </si>
  <si>
    <t>Operating lease right-of-use assets, net</t>
  </si>
  <si>
    <t>Intangible assets, net</t>
  </si>
  <si>
    <t>Goodwill</t>
  </si>
  <si>
    <t>Other assets</t>
  </si>
  <si>
    <t>Liabilities and stockholders' equity</t>
  </si>
  <si>
    <t>Current liabilities:</t>
  </si>
  <si>
    <t>Accounts payable</t>
  </si>
  <si>
    <t>Partners payable</t>
  </si>
  <si>
    <t>Operating lease liabilities, current</t>
  </si>
  <si>
    <t>Accrued expenses and other current liabilities</t>
  </si>
  <si>
    <t>Deferred revenue and deposits</t>
  </si>
  <si>
    <t>Operating lease liabilities, non-current</t>
  </si>
  <si>
    <t>Other liabilities</t>
  </si>
  <si>
    <t>Total liabilities</t>
  </si>
  <si>
    <t>Stockholders' equity:</t>
  </si>
  <si>
    <t>Additional paid-in capital</t>
  </si>
  <si>
    <t>Accumulated other comprehensive loss</t>
  </si>
  <si>
    <t>Retained earnings</t>
  </si>
  <si>
    <t>Total stockholders' equity</t>
  </si>
  <si>
    <t>Total liabilities and stockholders' equity</t>
  </si>
  <si>
    <t>Accounts receivable</t>
  </si>
  <si>
    <t>Common stock</t>
  </si>
  <si>
    <t>Equity investments</t>
  </si>
  <si>
    <t>Balance Check</t>
  </si>
  <si>
    <t>Balance Sheett Assumptions</t>
  </si>
  <si>
    <t>DSO</t>
  </si>
  <si>
    <t>Days Sales Outstanding (DSO)</t>
  </si>
  <si>
    <t>Marketable Securiters % Rev</t>
  </si>
  <si>
    <t>Prepaid Expenses &amp; O.C.A % rev</t>
  </si>
  <si>
    <t>Accounts Payable % Rev</t>
  </si>
  <si>
    <t>Partner Payable % rev</t>
  </si>
  <si>
    <t>Accrued expenses and O.C.L % Rev</t>
  </si>
  <si>
    <t>Cash Flow Statement</t>
  </si>
  <si>
    <t>Cash flows from operating activities</t>
  </si>
  <si>
    <t>Other</t>
  </si>
  <si>
    <t>Changes in assets and liabilities:</t>
  </si>
  <si>
    <t>Net cash provided by operating activities</t>
  </si>
  <si>
    <t>Cash flows from investing activities</t>
  </si>
  <si>
    <t>Purchases of property and equipment</t>
  </si>
  <si>
    <t>Net cash used in investing activities</t>
  </si>
  <si>
    <t>Cash flows from financing activities</t>
  </si>
  <si>
    <t>Net cash used in financing activities</t>
  </si>
  <si>
    <t>Interest income</t>
  </si>
  <si>
    <t>Interest expense</t>
  </si>
  <si>
    <t>Foreign currency exchange losses, net</t>
  </si>
  <si>
    <t>Depreciation and amortization,net</t>
  </si>
  <si>
    <t>Depriciation</t>
  </si>
  <si>
    <t>Amortization</t>
  </si>
  <si>
    <t>Purchase of Int asset % of Rev</t>
  </si>
  <si>
    <t/>
  </si>
  <si>
    <t>Long-term debt</t>
  </si>
  <si>
    <t>net</t>
  </si>
  <si>
    <t>Unamortized discount and issuance costs,</t>
  </si>
  <si>
    <t>Total face amount of long-term debt</t>
  </si>
  <si>
    <t>Notes</t>
  </si>
  <si>
    <t>December 31, 2022</t>
  </si>
  <si>
    <t>Effective Interest Rate</t>
  </si>
  <si>
    <t>Stated Interest Rate</t>
  </si>
  <si>
    <t>Maturity</t>
  </si>
  <si>
    <t>Table Of Contents</t>
  </si>
  <si>
    <t>Date Filed: Feb 02, 2023</t>
  </si>
  <si>
    <t>Period End: Dec 31, 2022</t>
  </si>
  <si>
    <t>Form Type: 10-K</t>
  </si>
  <si>
    <t>TABLE40</t>
  </si>
  <si>
    <t>META PLATFORMS, INC.</t>
  </si>
  <si>
    <t>Created by EDGAR Online, Inc.</t>
  </si>
  <si>
    <t>% Interest Rate on Debt</t>
  </si>
  <si>
    <t>Revovlver</t>
  </si>
  <si>
    <t xml:space="preserve"> % Interest income BOP Rate</t>
  </si>
  <si>
    <t>Share based Compensation</t>
  </si>
  <si>
    <t>Beg. Paid in Capital</t>
  </si>
  <si>
    <t>Shares witheld for settlement</t>
  </si>
  <si>
    <t>Issuance of common stock for aquistions</t>
  </si>
  <si>
    <t>Issuance of common stock for exrecise of options</t>
  </si>
  <si>
    <t>Retained Earnings BOP</t>
  </si>
  <si>
    <t>Share witheld for net share settlement</t>
  </si>
  <si>
    <t>Share Repurchases</t>
  </si>
  <si>
    <t>Net Income</t>
  </si>
  <si>
    <t>Update to Accounting procedures</t>
  </si>
  <si>
    <t>Intangible Assets</t>
  </si>
  <si>
    <t>Acquired technology,net</t>
  </si>
  <si>
    <t>Acquired patents,net</t>
  </si>
  <si>
    <t>Trade names,net</t>
  </si>
  <si>
    <t>Other,net</t>
  </si>
  <si>
    <t>Total finite-lived assets,net</t>
  </si>
  <si>
    <t>Total indefinite-lived assets,net</t>
  </si>
  <si>
    <t>Acquired Users</t>
  </si>
  <si>
    <t>Purchases</t>
  </si>
  <si>
    <t>Total Purchases</t>
  </si>
  <si>
    <t xml:space="preserve">Scheduled Amortization </t>
  </si>
  <si>
    <t>Total intangible assets,net of amortization</t>
  </si>
  <si>
    <t>Marketable Securities</t>
  </si>
  <si>
    <t>Purchase of Intangibles</t>
  </si>
  <si>
    <t>Long term Debt</t>
  </si>
  <si>
    <t>Revovler</t>
  </si>
  <si>
    <t>Total Change in Cash</t>
  </si>
  <si>
    <t>Share repurchases</t>
  </si>
  <si>
    <t>Share Baseed Comp</t>
  </si>
  <si>
    <t>Total Cash before revolver</t>
  </si>
  <si>
    <t>Total Revolving credit needed</t>
  </si>
  <si>
    <t>Profitability Measures</t>
  </si>
  <si>
    <t>Gross Profit Margin</t>
  </si>
  <si>
    <t>EBIT</t>
  </si>
  <si>
    <t>EBIT Margin</t>
  </si>
  <si>
    <t>EBITDA</t>
  </si>
  <si>
    <r>
      <t>Income Statement 
(</t>
    </r>
    <r>
      <rPr>
        <i/>
        <sz val="14"/>
        <color theme="1"/>
        <rFont val="Arial"/>
        <family val="2"/>
      </rPr>
      <t>figures in millions</t>
    </r>
    <r>
      <rPr>
        <b/>
        <sz val="16"/>
        <color theme="1"/>
        <rFont val="Arial"/>
        <family val="2"/>
      </rPr>
      <t>)</t>
    </r>
  </si>
  <si>
    <t>figures in millions</t>
  </si>
  <si>
    <t>Total Assets</t>
  </si>
  <si>
    <t>Total Current Assets</t>
  </si>
  <si>
    <t>Total Current Liabilities</t>
  </si>
  <si>
    <t>Fixed Assets</t>
  </si>
  <si>
    <t>Fixed Assets Assumptions</t>
  </si>
  <si>
    <t>Depriciation % growth rev</t>
  </si>
  <si>
    <t>Capex % of Rev</t>
  </si>
  <si>
    <t>Capex</t>
  </si>
  <si>
    <t>BOP PPE</t>
  </si>
  <si>
    <t>EOP PPE,Net</t>
  </si>
  <si>
    <t xml:space="preserve">Meta Platforms, Inc.
(NASDAQ: META)
</t>
  </si>
  <si>
    <t>Shares Outsanding (millions)</t>
  </si>
  <si>
    <t xml:space="preserve">Share Price </t>
  </si>
  <si>
    <t xml:space="preserve">Market Capitilization (millions)
</t>
  </si>
  <si>
    <t>EBITDA % Growth</t>
  </si>
  <si>
    <t xml:space="preserve">Gross Profit </t>
  </si>
  <si>
    <t>Net Profit Margin</t>
  </si>
  <si>
    <t>Intangible Asset Assumptions</t>
  </si>
  <si>
    <t>Inputs</t>
  </si>
  <si>
    <t>Risk Free Rate</t>
  </si>
  <si>
    <t>Year</t>
  </si>
  <si>
    <t>Meta annual Returns</t>
  </si>
  <si>
    <t>Nasdaq Annual Returns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</si>
  <si>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</si>
  <si>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</si>
  <si>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</si>
  <si>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</si>
  <si>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</si>
  <si>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</si>
  <si>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</si>
  <si>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</si>
  <si>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</si>
  <si>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</si>
  <si>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</si>
  <si>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</si>
  <si>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</si>
  <si>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</si>
  <si>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</si>
  <si>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</si>
  <si>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</si>
  <si>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</si>
  <si>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</si>
  <si>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</si>
  <si>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</si>
  <si>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</si>
  <si>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</si>
  <si>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</si>
  <si>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Regression Data</t>
  </si>
  <si>
    <t>Output</t>
  </si>
  <si>
    <t>Meta Stock Beta</t>
  </si>
  <si>
    <t>Cost of Equity</t>
  </si>
  <si>
    <t xml:space="preserve">Cost of Debt </t>
  </si>
  <si>
    <t>MV of Debt</t>
  </si>
  <si>
    <t>Mv of Equity</t>
  </si>
  <si>
    <t>Beta</t>
  </si>
  <si>
    <t>Rf</t>
  </si>
  <si>
    <t>Calculations</t>
  </si>
  <si>
    <t>Rm</t>
  </si>
  <si>
    <t>Tax rate</t>
  </si>
  <si>
    <t>Tot Capital</t>
  </si>
  <si>
    <t>WACC</t>
  </si>
  <si>
    <t xml:space="preserve">Unlevered Free Cash Flows 
</t>
  </si>
  <si>
    <t>After Tax</t>
  </si>
  <si>
    <t>NOPAT</t>
  </si>
  <si>
    <t>Add D&amp;A</t>
  </si>
  <si>
    <t>Change in NWC</t>
  </si>
  <si>
    <t>Liquidity  Measures</t>
  </si>
  <si>
    <t>Net Working Capital</t>
  </si>
  <si>
    <t>Trend Analysis for Historical Levels</t>
  </si>
  <si>
    <r>
      <rPr>
        <i/>
        <sz val="8"/>
        <color theme="1"/>
        <rFont val="Arial"/>
        <family val="2"/>
      </rPr>
      <t>AP Days Payable Outstanding</t>
    </r>
    <r>
      <rPr>
        <sz val="8"/>
        <color theme="1"/>
        <rFont val="Arial"/>
        <family val="2"/>
      </rPr>
      <t xml:space="preserve"> </t>
    </r>
    <r>
      <rPr>
        <i/>
        <sz val="8"/>
        <color theme="1"/>
        <rFont val="Arial"/>
        <family val="2"/>
      </rPr>
      <t>(DPO)</t>
    </r>
  </si>
  <si>
    <t>Part.Days Payable Outstanding (DPO)</t>
  </si>
  <si>
    <t>AP DPO</t>
  </si>
  <si>
    <t>Partner Payable DPO</t>
  </si>
  <si>
    <t xml:space="preserve">Free Cash Flow </t>
  </si>
  <si>
    <t>FCFF</t>
  </si>
  <si>
    <t xml:space="preserve">Perpetuity Growth Model
</t>
  </si>
  <si>
    <t>Terminal Growth Rate</t>
  </si>
  <si>
    <t>Terminal Value</t>
  </si>
  <si>
    <t>Periods discounted</t>
  </si>
  <si>
    <t>Discount Factor</t>
  </si>
  <si>
    <t>Discounted  TV</t>
  </si>
  <si>
    <t>Discounted  FCFF</t>
  </si>
  <si>
    <t>Implied Enterpirse Value</t>
  </si>
  <si>
    <t>Cash &amp; Equivalents</t>
  </si>
  <si>
    <t>Long Term Debt</t>
  </si>
  <si>
    <t>Equity Value</t>
  </si>
  <si>
    <t>Shares outstanding</t>
  </si>
  <si>
    <t>Implied Share Price</t>
  </si>
  <si>
    <t>Equity  Risk Premium</t>
  </si>
  <si>
    <t>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</si>
</sst>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\ #,##0"/>
    <numFmt numFmtId="166" formatCode="&quot;$&quot;#,##0.00"/>
    <numFmt numFmtId="167" formatCode="0.0%"/>
    <numFmt numFmtId="168" formatCode="_(* #,##0_);_(* \(#,##0\);_(* &quot;-&quot;??_);_(@_)"/>
    <numFmt numFmtId="169" formatCode="_(* #,##0.0_);_(* \(#,##0.0\);_(* &quot;-&quot;_);_(@_)"/>
    <numFmt numFmtId="170" formatCode="#,###"/>
    <numFmt numFmtId="171" formatCode="\(#,###\)"/>
    <numFmt numFmtId="172" formatCode="&quot;$&quot;\ #,###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sz val="9"/>
      <color rgb="FF00B0F0"/>
      <name val="Arial"/>
      <family val="2"/>
    </font>
    <font>
      <b/>
      <i/>
      <sz val="11"/>
      <color theme="1"/>
      <name val="Calibri"/>
      <family val="2"/>
      <scheme val="minor"/>
    </font>
    <font>
      <sz val="9"/>
      <color rgb="FF1629DA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0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1629DA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sz val="10"/>
      <name val="Arial"/>
    </font>
    <font>
      <u/>
      <sz val="10"/>
      <color indexed="12"/>
      <name val="Arial"/>
      <family val="2"/>
    </font>
    <font>
      <sz val="9"/>
      <color theme="9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0"/>
      <color rgb="FF1629DA"/>
      <name val="Arial"/>
      <family val="2"/>
    </font>
    <font>
      <sz val="9"/>
      <color rgb="FF00B050"/>
      <name val="Arial"/>
      <family val="2"/>
    </font>
    <font>
      <u/>
      <sz val="11"/>
      <color theme="1"/>
      <name val="Calibri"/>
      <family val="2"/>
      <scheme val="minor"/>
    </font>
    <font>
      <sz val="11"/>
      <color rgb="FF1629DA"/>
      <name val="Arial"/>
      <family val="2"/>
    </font>
    <font>
      <i/>
      <sz val="11"/>
      <color theme="1"/>
      <name val="Arial"/>
      <family val="2"/>
    </font>
    <font>
      <b/>
      <i/>
      <sz val="1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i/>
      <sz val="14"/>
      <color theme="1"/>
      <name val="Arial"/>
      <family val="2"/>
    </font>
    <font>
      <sz val="10"/>
      <color rgb="FF00B050"/>
      <name val="Arial"/>
      <family val="2"/>
    </font>
    <font>
      <sz val="28"/>
      <color theme="1"/>
      <name val="Arial"/>
      <family val="2"/>
    </font>
    <font>
      <b/>
      <i/>
      <sz val="9"/>
      <color theme="1"/>
      <name val="Arial"/>
      <family val="2"/>
    </font>
    <font>
      <b/>
      <sz val="11"/>
      <color rgb="FFFF0000"/>
      <name val="Arial"/>
      <family val="2"/>
    </font>
    <font>
      <i/>
      <sz val="10"/>
      <color theme="0"/>
      <name val="Arial"/>
      <family val="2"/>
    </font>
    <font>
      <sz val="10"/>
      <color theme="0"/>
      <name val="Arial"/>
      <family val="2"/>
    </font>
    <font>
      <sz val="11"/>
      <color rgb="FF1629DA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Arial"/>
      <family val="2"/>
    </font>
    <font>
      <b/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>
      <alignment vertical="top"/>
    </xf>
    <xf numFmtId="43" fontId="1" fillId="0" borderId="0" applyFont="0" applyFill="0" applyBorder="0" applyAlignment="0" applyProtection="0"/>
    <xf numFmtId="0" fontId="27" fillId="0" borderId="0">
      <alignment vertical="top"/>
    </xf>
  </cellStyleXfs>
  <cellXfs count="441">
    <xf numFmtId="0" fontId="0" fillId="0" borderId="0" xfId="0"/>
    <xf numFmtId="0" fontId="4" fillId="0" borderId="0" xfId="0" applyFont="1"/>
    <xf numFmtId="0" fontId="3" fillId="0" borderId="0" xfId="0" applyFont="1" applyAlignment="1">
      <alignment horizontal="left" vertical="top" indent="1"/>
    </xf>
    <xf numFmtId="0" fontId="5" fillId="0" borderId="0" xfId="0" applyFont="1" applyAlignment="1">
      <alignment vertical="top"/>
    </xf>
    <xf numFmtId="9" fontId="0" fillId="0" borderId="0" xfId="2" applyFont="1"/>
    <xf numFmtId="10" fontId="0" fillId="0" borderId="0" xfId="2" applyNumberFormat="1" applyFont="1"/>
    <xf numFmtId="0" fontId="6" fillId="0" borderId="0" xfId="0" applyFont="1"/>
    <xf numFmtId="10" fontId="0" fillId="0" borderId="0" xfId="0" applyNumberFormat="1"/>
    <xf numFmtId="10" fontId="7" fillId="0" borderId="0" xfId="2" applyNumberFormat="1" applyFont="1"/>
    <xf numFmtId="0" fontId="0" fillId="0" borderId="0" xfId="0" applyAlignment="1">
      <alignment horizontal="center" vertical="center"/>
    </xf>
    <xf numFmtId="9" fontId="0" fillId="0" borderId="0" xfId="0" applyNumberFormat="1"/>
    <xf numFmtId="9" fontId="7" fillId="0" borderId="0" xfId="0" applyNumberFormat="1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horizontal="left" indent="1"/>
    </xf>
    <xf numFmtId="0" fontId="10" fillId="0" borderId="0" xfId="0" applyFont="1" applyAlignment="1">
      <alignment horizontal="right" vertical="top"/>
    </xf>
    <xf numFmtId="0" fontId="10" fillId="0" borderId="0" xfId="0" applyFont="1"/>
    <xf numFmtId="164" fontId="7" fillId="0" borderId="0" xfId="1" applyNumberFormat="1" applyFont="1"/>
    <xf numFmtId="9" fontId="7" fillId="0" borderId="0" xfId="2" applyFont="1"/>
    <xf numFmtId="0" fontId="15" fillId="0" borderId="0" xfId="0" applyFont="1"/>
    <xf numFmtId="164" fontId="7" fillId="0" borderId="0" xfId="2" applyNumberFormat="1" applyFont="1"/>
    <xf numFmtId="37" fontId="8" fillId="0" borderId="0" xfId="0" applyNumberFormat="1" applyFont="1"/>
    <xf numFmtId="9" fontId="16" fillId="0" borderId="0" xfId="2" applyFont="1" applyBorder="1"/>
    <xf numFmtId="2" fontId="14" fillId="0" borderId="0" xfId="2" applyNumberFormat="1" applyFont="1" applyBorder="1" applyAlignment="1"/>
    <xf numFmtId="0" fontId="8" fillId="0" borderId="0" xfId="0" applyFont="1" applyBorder="1"/>
    <xf numFmtId="0" fontId="10" fillId="0" borderId="0" xfId="0" applyFont="1" applyBorder="1"/>
    <xf numFmtId="9" fontId="10" fillId="0" borderId="0" xfId="2" applyFont="1" applyBorder="1"/>
    <xf numFmtId="0" fontId="8" fillId="0" borderId="0" xfId="0" applyFont="1" applyBorder="1" applyAlignment="1">
      <alignment horizontal="center"/>
    </xf>
    <xf numFmtId="9" fontId="16" fillId="0" borderId="2" xfId="2" applyFont="1" applyBorder="1"/>
    <xf numFmtId="0" fontId="17" fillId="0" borderId="0" xfId="0" applyFont="1"/>
    <xf numFmtId="0" fontId="18" fillId="0" borderId="0" xfId="0" applyFont="1"/>
    <xf numFmtId="0" fontId="13" fillId="0" borderId="0" xfId="0" applyFont="1" applyAlignment="1">
      <alignment horizontal="left" indent="1"/>
    </xf>
    <xf numFmtId="37" fontId="3" fillId="0" borderId="0" xfId="0" applyNumberFormat="1" applyFont="1" applyAlignment="1">
      <alignment vertical="top"/>
    </xf>
    <xf numFmtId="0" fontId="17" fillId="0" borderId="0" xfId="0" applyFont="1" applyAlignment="1">
      <alignment horizontal="left"/>
    </xf>
    <xf numFmtId="0" fontId="3" fillId="0" borderId="0" xfId="0" applyNumberFormat="1" applyFont="1" applyAlignment="1">
      <alignment vertical="top"/>
    </xf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9" fontId="10" fillId="0" borderId="0" xfId="2" applyNumberFormat="1" applyFont="1"/>
    <xf numFmtId="0" fontId="3" fillId="0" borderId="0" xfId="3" applyFont="1">
      <alignment vertical="top"/>
    </xf>
    <xf numFmtId="37" fontId="3" fillId="0" borderId="0" xfId="3" applyNumberFormat="1" applyFont="1">
      <alignment vertical="top"/>
    </xf>
    <xf numFmtId="43" fontId="3" fillId="0" borderId="0" xfId="3" applyNumberFormat="1" applyFont="1">
      <alignment vertical="top"/>
    </xf>
    <xf numFmtId="0" fontId="16" fillId="0" borderId="0" xfId="2" applyNumberFormat="1" applyFont="1" applyBorder="1" applyAlignment="1">
      <alignment horizontal="right"/>
    </xf>
    <xf numFmtId="2" fontId="10" fillId="0" borderId="0" xfId="2" applyNumberFormat="1" applyFont="1" applyBorder="1" applyAlignment="1"/>
    <xf numFmtId="2" fontId="0" fillId="0" borderId="0" xfId="0" applyNumberFormat="1"/>
    <xf numFmtId="1" fontId="0" fillId="0" borderId="0" xfId="0" applyNumberFormat="1"/>
    <xf numFmtId="37" fontId="17" fillId="0" borderId="0" xfId="0" applyNumberFormat="1" applyFont="1"/>
    <xf numFmtId="3" fontId="17" fillId="0" borderId="0" xfId="0" applyNumberFormat="1" applyFont="1"/>
    <xf numFmtId="9" fontId="10" fillId="0" borderId="0" xfId="2" applyFont="1" applyBorder="1" applyAlignment="1">
      <alignment horizontal="right"/>
    </xf>
    <xf numFmtId="0" fontId="23" fillId="0" borderId="0" xfId="0" applyFont="1"/>
    <xf numFmtId="167" fontId="10" fillId="0" borderId="0" xfId="2" applyNumberFormat="1" applyFont="1" applyBorder="1"/>
    <xf numFmtId="43" fontId="23" fillId="0" borderId="0" xfId="3" applyNumberFormat="1" applyFont="1">
      <alignment vertical="top"/>
    </xf>
    <xf numFmtId="0" fontId="8" fillId="0" borderId="0" xfId="0" applyFont="1" applyFill="1" applyAlignment="1">
      <alignment horizontal="left" indent="1"/>
    </xf>
    <xf numFmtId="164" fontId="3" fillId="0" borderId="0" xfId="0" applyNumberFormat="1" applyFont="1" applyAlignment="1">
      <alignment vertical="top"/>
    </xf>
    <xf numFmtId="167" fontId="16" fillId="0" borderId="0" xfId="2" applyNumberFormat="1" applyFont="1" applyBorder="1" applyAlignment="1">
      <alignment horizontal="right"/>
    </xf>
    <xf numFmtId="166" fontId="8" fillId="0" borderId="0" xfId="0" applyNumberFormat="1" applyFont="1"/>
    <xf numFmtId="0" fontId="3" fillId="0" borderId="0" xfId="0" applyFont="1" applyBorder="1" applyAlignment="1">
      <alignment horizontal="left" vertical="top" indent="1"/>
    </xf>
    <xf numFmtId="0" fontId="8" fillId="0" borderId="0" xfId="0" applyFont="1" applyBorder="1" applyAlignment="1">
      <alignment horizontal="left" indent="1"/>
    </xf>
    <xf numFmtId="37" fontId="3" fillId="0" borderId="0" xfId="0" applyNumberFormat="1" applyFont="1" applyBorder="1" applyAlignment="1">
      <alignment vertical="top"/>
    </xf>
    <xf numFmtId="0" fontId="10" fillId="0" borderId="0" xfId="0" applyFont="1" applyBorder="1" applyAlignment="1">
      <alignment horizontal="right" vertical="top"/>
    </xf>
    <xf numFmtId="168" fontId="3" fillId="0" borderId="0" xfId="4" applyNumberFormat="1" applyFont="1" applyAlignment="1">
      <alignment vertical="top"/>
    </xf>
    <xf numFmtId="1" fontId="3" fillId="0" borderId="0" xfId="0" applyNumberFormat="1" applyFont="1" applyAlignment="1">
      <alignment vertical="top"/>
    </xf>
    <xf numFmtId="0" fontId="8" fillId="0" borderId="0" xfId="0" applyFont="1" applyAlignment="1">
      <alignment horizontal="right"/>
    </xf>
    <xf numFmtId="43" fontId="17" fillId="0" borderId="0" xfId="4" applyFont="1"/>
    <xf numFmtId="0" fontId="27" fillId="0" borderId="0" xfId="5">
      <alignment vertical="top"/>
    </xf>
    <xf numFmtId="42" fontId="3" fillId="0" borderId="0" xfId="5" applyNumberFormat="1" applyFont="1">
      <alignment vertical="top"/>
    </xf>
    <xf numFmtId="0" fontId="3" fillId="0" borderId="0" xfId="5" applyFont="1">
      <alignment vertical="top"/>
    </xf>
    <xf numFmtId="37" fontId="3" fillId="0" borderId="0" xfId="5" applyNumberFormat="1" applyFont="1">
      <alignment vertical="top"/>
    </xf>
    <xf numFmtId="10" fontId="3" fillId="0" borderId="0" xfId="5" applyNumberFormat="1" applyFont="1">
      <alignment vertical="top"/>
    </xf>
    <xf numFmtId="10" fontId="10" fillId="0" borderId="0" xfId="2" applyNumberFormat="1" applyFont="1" applyFill="1" applyBorder="1"/>
    <xf numFmtId="0" fontId="3" fillId="0" borderId="0" xfId="0" applyFont="1" applyAlignment="1">
      <alignment horizontal="left" vertical="top" indent="2"/>
    </xf>
    <xf numFmtId="0" fontId="8" fillId="0" borderId="0" xfId="0" applyFont="1" applyAlignment="1">
      <alignment horizontal="left" indent="2"/>
    </xf>
    <xf numFmtId="168" fontId="3" fillId="0" borderId="0" xfId="3" applyNumberFormat="1" applyFont="1">
      <alignment vertical="top"/>
    </xf>
    <xf numFmtId="0" fontId="30" fillId="0" borderId="0" xfId="0" applyFont="1" applyAlignment="1">
      <alignment horizontal="left" vertical="top" indent="2"/>
    </xf>
    <xf numFmtId="0" fontId="26" fillId="0" borderId="0" xfId="0" applyFont="1" applyAlignment="1">
      <alignment horizontal="left" indent="1"/>
    </xf>
    <xf numFmtId="9" fontId="33" fillId="0" borderId="0" xfId="2" applyFont="1" applyBorder="1" applyAlignment="1"/>
    <xf numFmtId="0" fontId="25" fillId="0" borderId="0" xfId="0" applyFont="1"/>
    <xf numFmtId="0" fontId="34" fillId="0" borderId="0" xfId="0" applyFont="1"/>
    <xf numFmtId="43" fontId="23" fillId="0" borderId="3" xfId="3" applyNumberFormat="1" applyFont="1" applyBorder="1">
      <alignment vertical="top"/>
    </xf>
    <xf numFmtId="43" fontId="23" fillId="0" borderId="12" xfId="3" applyNumberFormat="1" applyFont="1" applyBorder="1">
      <alignment vertical="top"/>
    </xf>
    <xf numFmtId="43" fontId="23" fillId="0" borderId="13" xfId="3" applyNumberFormat="1" applyFont="1" applyBorder="1">
      <alignment vertical="top"/>
    </xf>
    <xf numFmtId="166" fontId="8" fillId="0" borderId="0" xfId="0" applyNumberFormat="1" applyFont="1" applyFill="1"/>
    <xf numFmtId="43" fontId="17" fillId="0" borderId="0" xfId="4" applyFont="1" applyFill="1"/>
    <xf numFmtId="0" fontId="8" fillId="0" borderId="0" xfId="0" applyFont="1" applyFill="1"/>
    <xf numFmtId="0" fontId="17" fillId="0" borderId="0" xfId="0" applyFont="1" applyAlignment="1">
      <alignment horizontal="right"/>
    </xf>
    <xf numFmtId="2" fontId="17" fillId="0" borderId="0" xfId="0" applyNumberFormat="1" applyFont="1" applyFill="1"/>
    <xf numFmtId="41" fontId="17" fillId="0" borderId="0" xfId="0" applyNumberFormat="1" applyFont="1"/>
    <xf numFmtId="168" fontId="17" fillId="0" borderId="0" xfId="4" applyNumberFormat="1" applyFont="1"/>
    <xf numFmtId="42" fontId="12" fillId="0" borderId="0" xfId="0" applyNumberFormat="1" applyFont="1"/>
    <xf numFmtId="42" fontId="8" fillId="0" borderId="0" xfId="0" applyNumberFormat="1" applyFont="1"/>
    <xf numFmtId="0" fontId="23" fillId="0" borderId="0" xfId="0" applyFont="1" applyFill="1"/>
    <xf numFmtId="9" fontId="8" fillId="0" borderId="0" xfId="2" applyFont="1"/>
    <xf numFmtId="0" fontId="8" fillId="0" borderId="0" xfId="0" applyFont="1" applyAlignment="1">
      <alignment vertical="top"/>
    </xf>
    <xf numFmtId="9" fontId="10" fillId="0" borderId="0" xfId="2" applyNumberFormat="1" applyFont="1" applyFill="1" applyBorder="1"/>
    <xf numFmtId="0" fontId="36" fillId="0" borderId="0" xfId="0" applyFont="1"/>
    <xf numFmtId="0" fontId="31" fillId="0" borderId="0" xfId="0" applyFont="1" applyAlignment="1">
      <alignment vertical="top"/>
    </xf>
    <xf numFmtId="0" fontId="8" fillId="0" borderId="12" xfId="0" applyFont="1" applyBorder="1"/>
    <xf numFmtId="0" fontId="5" fillId="0" borderId="12" xfId="0" applyFont="1" applyBorder="1" applyAlignment="1">
      <alignment vertical="top"/>
    </xf>
    <xf numFmtId="9" fontId="10" fillId="0" borderId="0" xfId="2" applyFont="1"/>
    <xf numFmtId="9" fontId="16" fillId="0" borderId="0" xfId="2" applyFont="1"/>
    <xf numFmtId="37" fontId="10" fillId="0" borderId="0" xfId="0" applyNumberFormat="1" applyFont="1"/>
    <xf numFmtId="37" fontId="16" fillId="0" borderId="0" xfId="0" applyNumberFormat="1" applyFont="1"/>
    <xf numFmtId="10" fontId="10" fillId="0" borderId="0" xfId="2" applyNumberFormat="1" applyFont="1" applyFill="1" applyBorder="1" applyAlignment="1"/>
    <xf numFmtId="9" fontId="16" fillId="0" borderId="0" xfId="2" applyFont="1" applyFill="1" applyBorder="1" applyAlignment="1">
      <alignment horizontal="right"/>
    </xf>
    <xf numFmtId="9" fontId="16" fillId="0" borderId="0" xfId="2" applyFont="1" applyFill="1" applyBorder="1" applyAlignment="1"/>
    <xf numFmtId="9" fontId="16" fillId="0" borderId="11" xfId="2" applyFont="1" applyFill="1" applyBorder="1" applyAlignment="1">
      <alignment horizontal="right"/>
    </xf>
    <xf numFmtId="9" fontId="16" fillId="0" borderId="2" xfId="2" applyFont="1" applyFill="1" applyBorder="1" applyAlignment="1">
      <alignment horizontal="right"/>
    </xf>
    <xf numFmtId="10" fontId="10" fillId="0" borderId="0" xfId="2" applyNumberFormat="1" applyFont="1" applyFill="1" applyBorder="1" applyAlignment="1">
      <alignment horizontal="right"/>
    </xf>
    <xf numFmtId="9" fontId="16" fillId="0" borderId="0" xfId="2" applyFont="1" applyFill="1" applyBorder="1"/>
    <xf numFmtId="9" fontId="16" fillId="0" borderId="2" xfId="2" applyFont="1" applyFill="1" applyBorder="1"/>
    <xf numFmtId="10" fontId="29" fillId="0" borderId="0" xfId="2" applyNumberFormat="1" applyFont="1" applyFill="1" applyBorder="1"/>
    <xf numFmtId="10" fontId="29" fillId="0" borderId="2" xfId="2" applyNumberFormat="1" applyFont="1" applyFill="1" applyBorder="1"/>
    <xf numFmtId="9" fontId="10" fillId="0" borderId="3" xfId="2" applyFont="1" applyFill="1" applyBorder="1"/>
    <xf numFmtId="9" fontId="16" fillId="0" borderId="3" xfId="2" applyFont="1" applyFill="1" applyBorder="1"/>
    <xf numFmtId="9" fontId="16" fillId="0" borderId="4" xfId="2" applyFont="1" applyFill="1" applyBorder="1"/>
    <xf numFmtId="0" fontId="12" fillId="3" borderId="8" xfId="0" applyFont="1" applyFill="1" applyBorder="1" applyAlignment="1">
      <alignment horizontal="center"/>
    </xf>
    <xf numFmtId="49" fontId="37" fillId="4" borderId="6" xfId="0" applyNumberFormat="1" applyFont="1" applyFill="1" applyBorder="1" applyAlignment="1">
      <alignment horizontal="right" vertical="center"/>
    </xf>
    <xf numFmtId="0" fontId="37" fillId="4" borderId="6" xfId="0" applyFont="1" applyFill="1" applyBorder="1" applyAlignment="1">
      <alignment horizontal="right" vertical="center"/>
    </xf>
    <xf numFmtId="49" fontId="37" fillId="4" borderId="7" xfId="0" applyNumberFormat="1" applyFont="1" applyFill="1" applyBorder="1" applyAlignment="1">
      <alignment horizontal="right" vertical="center"/>
    </xf>
    <xf numFmtId="0" fontId="37" fillId="4" borderId="5" xfId="3" applyFont="1" applyFill="1" applyBorder="1" applyAlignment="1">
      <alignment vertical="center"/>
    </xf>
    <xf numFmtId="0" fontId="37" fillId="4" borderId="6" xfId="3" applyFont="1" applyFill="1" applyBorder="1" applyAlignment="1">
      <alignment vertical="center"/>
    </xf>
    <xf numFmtId="0" fontId="37" fillId="4" borderId="6" xfId="0" applyFont="1" applyFill="1" applyBorder="1" applyAlignment="1">
      <alignment vertical="center"/>
    </xf>
    <xf numFmtId="41" fontId="12" fillId="5" borderId="0" xfId="0" applyNumberFormat="1" applyFont="1" applyFill="1" applyAlignment="1">
      <alignment horizontal="right"/>
    </xf>
    <xf numFmtId="41" fontId="12" fillId="5" borderId="0" xfId="0" applyNumberFormat="1" applyFont="1" applyFill="1" applyAlignment="1">
      <alignment horizontal="center" vertical="center"/>
    </xf>
    <xf numFmtId="169" fontId="12" fillId="5" borderId="0" xfId="0" applyNumberFormat="1" applyFont="1" applyFill="1" applyAlignment="1">
      <alignment horizontal="center" vertical="center"/>
    </xf>
    <xf numFmtId="0" fontId="38" fillId="3" borderId="9" xfId="0" applyFont="1" applyFill="1" applyBorder="1" applyAlignment="1">
      <alignment horizontal="left" vertical="center" indent="1"/>
    </xf>
    <xf numFmtId="0" fontId="39" fillId="3" borderId="10" xfId="0" applyFont="1" applyFill="1" applyBorder="1" applyAlignment="1">
      <alignment horizontal="left" vertical="center" indent="1"/>
    </xf>
    <xf numFmtId="0" fontId="8" fillId="0" borderId="3" xfId="0" applyFont="1" applyBorder="1"/>
    <xf numFmtId="0" fontId="5" fillId="0" borderId="0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37" fontId="23" fillId="0" borderId="0" xfId="0" applyNumberFormat="1" applyFont="1" applyAlignment="1">
      <alignment vertical="top"/>
    </xf>
    <xf numFmtId="3" fontId="17" fillId="0" borderId="0" xfId="0" applyNumberFormat="1" applyFont="1" applyFill="1"/>
    <xf numFmtId="168" fontId="17" fillId="0" borderId="0" xfId="4" applyNumberFormat="1" applyFont="1" applyFill="1"/>
    <xf numFmtId="0" fontId="12" fillId="0" borderId="14" xfId="0" applyFont="1" applyBorder="1" applyAlignment="1">
      <alignment horizontal="left" indent="1"/>
    </xf>
    <xf numFmtId="0" fontId="12" fillId="0" borderId="14" xfId="0" applyFont="1" applyBorder="1"/>
    <xf numFmtId="0" fontId="5" fillId="0" borderId="14" xfId="0" applyFont="1" applyBorder="1" applyAlignment="1">
      <alignment horizontal="left" vertical="top"/>
    </xf>
    <xf numFmtId="0" fontId="5" fillId="0" borderId="14" xfId="0" applyFont="1" applyBorder="1" applyAlignment="1">
      <alignment vertical="top"/>
    </xf>
    <xf numFmtId="37" fontId="3" fillId="0" borderId="0" xfId="3" applyNumberFormat="1" applyFont="1" applyAlignment="1">
      <alignment horizontal="right" vertical="top"/>
    </xf>
    <xf numFmtId="37" fontId="3" fillId="0" borderId="0" xfId="0" applyNumberFormat="1" applyFont="1" applyAlignment="1">
      <alignment horizontal="right" vertical="top"/>
    </xf>
    <xf numFmtId="43" fontId="3" fillId="0" borderId="0" xfId="0" applyNumberFormat="1" applyFont="1" applyAlignment="1">
      <alignment horizontal="right" vertical="top"/>
    </xf>
    <xf numFmtId="0" fontId="31" fillId="0" borderId="0" xfId="0" applyFont="1" applyAlignment="1">
      <alignment horizontal="left" vertical="top"/>
    </xf>
    <xf numFmtId="170" fontId="3" fillId="0" borderId="0" xfId="0" applyNumberFormat="1" applyFont="1" applyAlignment="1">
      <alignment horizontal="left" vertical="top" indent="1"/>
    </xf>
    <xf numFmtId="170" fontId="8" fillId="0" borderId="0" xfId="0" applyNumberFormat="1" applyFont="1" applyAlignment="1">
      <alignment horizontal="left" indent="1"/>
    </xf>
    <xf numFmtId="170" fontId="8" fillId="0" borderId="0" xfId="0" applyNumberFormat="1" applyFont="1"/>
    <xf numFmtId="170" fontId="3" fillId="0" borderId="0" xfId="3" applyNumberFormat="1" applyFont="1" applyAlignment="1">
      <alignment horizontal="right" vertical="top"/>
    </xf>
    <xf numFmtId="170" fontId="3" fillId="0" borderId="0" xfId="0" applyNumberFormat="1" applyFont="1" applyAlignment="1">
      <alignment horizontal="right" vertical="top"/>
    </xf>
    <xf numFmtId="170" fontId="17" fillId="0" borderId="0" xfId="0" applyNumberFormat="1" applyFont="1" applyFill="1" applyAlignment="1">
      <alignment horizontal="right"/>
    </xf>
    <xf numFmtId="37" fontId="3" fillId="0" borderId="0" xfId="3" applyNumberFormat="1" applyFont="1" applyFill="1" applyAlignment="1">
      <alignment horizontal="right" vertical="top"/>
    </xf>
    <xf numFmtId="37" fontId="17" fillId="0" borderId="0" xfId="0" applyNumberFormat="1" applyFont="1" applyFill="1" applyAlignment="1">
      <alignment horizontal="right"/>
    </xf>
    <xf numFmtId="3" fontId="17" fillId="0" borderId="0" xfId="0" applyNumberFormat="1" applyFont="1" applyFill="1" applyAlignment="1">
      <alignment horizontal="right"/>
    </xf>
    <xf numFmtId="170" fontId="5" fillId="0" borderId="14" xfId="3" applyNumberFormat="1" applyFont="1" applyBorder="1" applyAlignment="1">
      <alignment horizontal="right" vertical="top"/>
    </xf>
    <xf numFmtId="170" fontId="5" fillId="0" borderId="14" xfId="0" applyNumberFormat="1" applyFont="1" applyBorder="1" applyAlignment="1">
      <alignment horizontal="right" vertical="top"/>
    </xf>
    <xf numFmtId="170" fontId="18" fillId="0" borderId="14" xfId="0" applyNumberFormat="1" applyFont="1" applyFill="1" applyBorder="1" applyAlignment="1">
      <alignment horizontal="right"/>
    </xf>
    <xf numFmtId="0" fontId="23" fillId="0" borderId="0" xfId="0" applyFont="1" applyFill="1" applyAlignment="1">
      <alignment horizontal="right"/>
    </xf>
    <xf numFmtId="37" fontId="23" fillId="0" borderId="0" xfId="3" applyNumberFormat="1" applyFont="1" applyFill="1" applyAlignment="1">
      <alignment horizontal="right" vertical="top"/>
    </xf>
    <xf numFmtId="43" fontId="17" fillId="0" borderId="0" xfId="0" applyNumberFormat="1" applyFont="1" applyFill="1" applyAlignment="1">
      <alignment horizontal="right"/>
    </xf>
    <xf numFmtId="37" fontId="23" fillId="0" borderId="0" xfId="3" applyNumberFormat="1" applyFont="1" applyAlignment="1">
      <alignment horizontal="right" vertical="top"/>
    </xf>
    <xf numFmtId="170" fontId="18" fillId="0" borderId="14" xfId="4" applyNumberFormat="1" applyFont="1" applyFill="1" applyBorder="1" applyAlignment="1">
      <alignment horizontal="right"/>
    </xf>
    <xf numFmtId="0" fontId="3" fillId="0" borderId="0" xfId="3" applyFont="1" applyAlignment="1">
      <alignment horizontal="right" vertical="top"/>
    </xf>
    <xf numFmtId="170" fontId="17" fillId="0" borderId="0" xfId="0" applyNumberFormat="1" applyFont="1" applyAlignment="1">
      <alignment horizontal="right"/>
    </xf>
    <xf numFmtId="3" fontId="17" fillId="0" borderId="0" xfId="0" applyNumberFormat="1" applyFont="1" applyAlignment="1">
      <alignment horizontal="right"/>
    </xf>
    <xf numFmtId="43" fontId="3" fillId="0" borderId="0" xfId="3" applyNumberFormat="1" applyFont="1" applyAlignment="1">
      <alignment horizontal="right" vertical="top"/>
    </xf>
    <xf numFmtId="43" fontId="23" fillId="0" borderId="0" xfId="3" applyNumberFormat="1" applyFont="1" applyAlignment="1">
      <alignment horizontal="right" vertical="top"/>
    </xf>
    <xf numFmtId="3" fontId="8" fillId="0" borderId="0" xfId="0" applyNumberFormat="1" applyFont="1" applyAlignment="1">
      <alignment horizontal="right"/>
    </xf>
    <xf numFmtId="43" fontId="23" fillId="0" borderId="0" xfId="0" applyNumberFormat="1" applyFont="1" applyAlignment="1">
      <alignment horizontal="right" vertical="top"/>
    </xf>
    <xf numFmtId="168" fontId="3" fillId="0" borderId="0" xfId="3" applyNumberFormat="1" applyFont="1" applyAlignment="1">
      <alignment horizontal="right" vertical="top"/>
    </xf>
    <xf numFmtId="168" fontId="3" fillId="0" borderId="0" xfId="0" applyNumberFormat="1" applyFont="1" applyAlignment="1">
      <alignment horizontal="right" vertical="top"/>
    </xf>
    <xf numFmtId="3" fontId="35" fillId="0" borderId="0" xfId="0" applyNumberFormat="1" applyFont="1" applyAlignment="1">
      <alignment horizontal="right"/>
    </xf>
    <xf numFmtId="43" fontId="3" fillId="0" borderId="0" xfId="3" applyNumberFormat="1" applyFont="1" applyAlignment="1">
      <alignment horizontal="right"/>
    </xf>
    <xf numFmtId="43" fontId="3" fillId="0" borderId="0" xfId="3" applyNumberFormat="1" applyFont="1" applyAlignment="1">
      <alignment horizontal="right" indent="1"/>
    </xf>
    <xf numFmtId="0" fontId="5" fillId="0" borderId="0" xfId="0" applyFont="1" applyAlignment="1">
      <alignment horizontal="left" vertical="top"/>
    </xf>
    <xf numFmtId="37" fontId="5" fillId="0" borderId="14" xfId="3" applyNumberFormat="1" applyFont="1" applyBorder="1" applyAlignment="1">
      <alignment horizontal="right" vertical="top"/>
    </xf>
    <xf numFmtId="37" fontId="5" fillId="0" borderId="14" xfId="0" applyNumberFormat="1" applyFont="1" applyBorder="1" applyAlignment="1">
      <alignment horizontal="right" vertical="top"/>
    </xf>
    <xf numFmtId="168" fontId="18" fillId="0" borderId="14" xfId="4" applyNumberFormat="1" applyFont="1" applyBorder="1" applyAlignment="1">
      <alignment horizontal="right"/>
    </xf>
    <xf numFmtId="170" fontId="18" fillId="0" borderId="14" xfId="0" applyNumberFormat="1" applyFont="1" applyBorder="1" applyAlignment="1">
      <alignment horizontal="right"/>
    </xf>
    <xf numFmtId="0" fontId="12" fillId="0" borderId="0" xfId="0" applyFont="1" applyBorder="1"/>
    <xf numFmtId="170" fontId="5" fillId="0" borderId="0" xfId="3" applyNumberFormat="1" applyFont="1" applyBorder="1" applyAlignment="1">
      <alignment horizontal="right" vertical="top"/>
    </xf>
    <xf numFmtId="170" fontId="5" fillId="0" borderId="0" xfId="0" applyNumberFormat="1" applyFont="1" applyBorder="1" applyAlignment="1">
      <alignment horizontal="right" vertical="top"/>
    </xf>
    <xf numFmtId="170" fontId="18" fillId="0" borderId="0" xfId="0" applyNumberFormat="1" applyFont="1" applyBorder="1" applyAlignment="1">
      <alignment horizontal="right"/>
    </xf>
    <xf numFmtId="170" fontId="23" fillId="0" borderId="0" xfId="0" applyNumberFormat="1" applyFont="1" applyAlignment="1">
      <alignment horizontal="right"/>
    </xf>
    <xf numFmtId="170" fontId="13" fillId="0" borderId="0" xfId="0" applyNumberFormat="1" applyFont="1" applyAlignment="1">
      <alignment horizontal="right"/>
    </xf>
    <xf numFmtId="170" fontId="23" fillId="0" borderId="0" xfId="3" applyNumberFormat="1" applyFont="1" applyAlignment="1">
      <alignment horizontal="right" vertical="top"/>
    </xf>
    <xf numFmtId="170" fontId="8" fillId="0" borderId="0" xfId="0" applyNumberFormat="1" applyFont="1" applyAlignment="1">
      <alignment horizontal="right"/>
    </xf>
    <xf numFmtId="170" fontId="31" fillId="0" borderId="0" xfId="3" applyNumberFormat="1" applyFont="1" applyAlignment="1">
      <alignment horizontal="right" vertical="top"/>
    </xf>
    <xf numFmtId="170" fontId="31" fillId="0" borderId="0" xfId="0" applyNumberFormat="1" applyFont="1" applyAlignment="1">
      <alignment horizontal="right" vertical="top"/>
    </xf>
    <xf numFmtId="170" fontId="32" fillId="0" borderId="0" xfId="3" applyNumberFormat="1" applyFont="1" applyAlignment="1">
      <alignment horizontal="right" vertical="top"/>
    </xf>
    <xf numFmtId="43" fontId="23" fillId="0" borderId="0" xfId="4" applyFont="1" applyFill="1" applyAlignment="1">
      <alignment horizontal="right"/>
    </xf>
    <xf numFmtId="0" fontId="12" fillId="0" borderId="12" xfId="0" applyFont="1" applyBorder="1"/>
    <xf numFmtId="170" fontId="5" fillId="0" borderId="12" xfId="3" applyNumberFormat="1" applyFont="1" applyBorder="1" applyAlignment="1">
      <alignment horizontal="right" vertical="top"/>
    </xf>
    <xf numFmtId="170" fontId="5" fillId="0" borderId="12" xfId="0" applyNumberFormat="1" applyFont="1" applyBorder="1" applyAlignment="1">
      <alignment horizontal="right" vertical="top"/>
    </xf>
    <xf numFmtId="170" fontId="18" fillId="0" borderId="12" xfId="4" applyNumberFormat="1" applyFont="1" applyBorder="1" applyAlignment="1">
      <alignment horizontal="right"/>
    </xf>
    <xf numFmtId="0" fontId="3" fillId="0" borderId="0" xfId="0" applyFont="1" applyBorder="1" applyAlignment="1">
      <alignment vertical="top"/>
    </xf>
    <xf numFmtId="37" fontId="3" fillId="0" borderId="0" xfId="3" applyNumberFormat="1" applyFont="1" applyBorder="1" applyAlignment="1">
      <alignment horizontal="right" vertical="top"/>
    </xf>
    <xf numFmtId="37" fontId="3" fillId="0" borderId="0" xfId="0" applyNumberFormat="1" applyFont="1" applyBorder="1" applyAlignment="1">
      <alignment horizontal="right" vertical="top"/>
    </xf>
    <xf numFmtId="37" fontId="17" fillId="0" borderId="0" xfId="0" applyNumberFormat="1" applyFont="1" applyBorder="1" applyAlignment="1">
      <alignment horizontal="right"/>
    </xf>
    <xf numFmtId="43" fontId="41" fillId="0" borderId="0" xfId="4" applyFont="1"/>
    <xf numFmtId="168" fontId="41" fillId="0" borderId="0" xfId="4" applyNumberFormat="1" applyFont="1"/>
    <xf numFmtId="37" fontId="5" fillId="0" borderId="12" xfId="3" applyNumberFormat="1" applyFont="1" applyBorder="1" applyAlignment="1">
      <alignment horizontal="right" vertical="top"/>
    </xf>
    <xf numFmtId="37" fontId="5" fillId="0" borderId="12" xfId="0" applyNumberFormat="1" applyFont="1" applyBorder="1" applyAlignment="1">
      <alignment horizontal="right" vertical="top"/>
    </xf>
    <xf numFmtId="0" fontId="0" fillId="6" borderId="0" xfId="0" applyFill="1"/>
    <xf numFmtId="0" fontId="3" fillId="0" borderId="0" xfId="0" applyFont="1" applyAlignment="1">
      <alignment horizontal="left" vertical="top"/>
    </xf>
    <xf numFmtId="0" fontId="18" fillId="0" borderId="12" xfId="0" applyFont="1" applyBorder="1"/>
    <xf numFmtId="37" fontId="18" fillId="0" borderId="12" xfId="0" applyNumberFormat="1" applyFont="1" applyBorder="1"/>
    <xf numFmtId="0" fontId="17" fillId="6" borderId="0" xfId="0" applyFont="1" applyFill="1"/>
    <xf numFmtId="168" fontId="17" fillId="0" borderId="0" xfId="0" applyNumberFormat="1" applyFont="1"/>
    <xf numFmtId="168" fontId="41" fillId="0" borderId="0" xfId="0" applyNumberFormat="1" applyFont="1" applyFill="1" applyAlignment="1">
      <alignment horizontal="right"/>
    </xf>
    <xf numFmtId="0" fontId="8" fillId="3" borderId="15" xfId="0" applyFont="1" applyFill="1" applyBorder="1"/>
    <xf numFmtId="0" fontId="8" fillId="3" borderId="11" xfId="0" applyFont="1" applyFill="1" applyBorder="1"/>
    <xf numFmtId="168" fontId="9" fillId="0" borderId="3" xfId="4" applyNumberFormat="1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168" fontId="16" fillId="0" borderId="3" xfId="4" applyNumberFormat="1" applyFont="1" applyBorder="1" applyAlignment="1">
      <alignment horizontal="right"/>
    </xf>
    <xf numFmtId="168" fontId="16" fillId="0" borderId="4" xfId="4" applyNumberFormat="1" applyFont="1" applyBorder="1" applyAlignment="1">
      <alignment horizontal="right"/>
    </xf>
    <xf numFmtId="0" fontId="13" fillId="4" borderId="0" xfId="0" applyFont="1" applyFill="1" applyBorder="1" applyAlignment="1">
      <alignment horizontal="right"/>
    </xf>
    <xf numFmtId="0" fontId="13" fillId="4" borderId="2" xfId="0" applyFont="1" applyFill="1" applyBorder="1" applyAlignment="1">
      <alignment horizontal="right"/>
    </xf>
    <xf numFmtId="0" fontId="43" fillId="3" borderId="2" xfId="0" applyFont="1" applyFill="1" applyBorder="1"/>
    <xf numFmtId="0" fontId="12" fillId="3" borderId="4" xfId="0" applyFont="1" applyFill="1" applyBorder="1"/>
    <xf numFmtId="0" fontId="38" fillId="3" borderId="15" xfId="0" applyFont="1" applyFill="1" applyBorder="1"/>
    <xf numFmtId="0" fontId="38" fillId="3" borderId="16" xfId="0" applyFont="1" applyFill="1" applyBorder="1"/>
    <xf numFmtId="168" fontId="17" fillId="0" borderId="0" xfId="4" applyNumberFormat="1" applyFont="1" applyFill="1" applyAlignment="1">
      <alignment horizontal="left" indent="1"/>
    </xf>
    <xf numFmtId="168" fontId="41" fillId="0" borderId="0" xfId="4" applyNumberFormat="1" applyFont="1" applyFill="1" applyAlignment="1">
      <alignment horizontal="left" indent="1"/>
    </xf>
    <xf numFmtId="0" fontId="8" fillId="6" borderId="0" xfId="0" applyFont="1" applyFill="1"/>
    <xf numFmtId="168" fontId="3" fillId="6" borderId="0" xfId="4" applyNumberFormat="1" applyFont="1" applyFill="1" applyAlignment="1">
      <alignment vertical="top"/>
    </xf>
    <xf numFmtId="1" fontId="3" fillId="6" borderId="0" xfId="0" applyNumberFormat="1" applyFont="1" applyFill="1" applyAlignment="1">
      <alignment vertical="top"/>
    </xf>
    <xf numFmtId="0" fontId="3" fillId="6" borderId="0" xfId="0" applyNumberFormat="1" applyFont="1" applyFill="1" applyAlignment="1">
      <alignment vertical="top"/>
    </xf>
    <xf numFmtId="165" fontId="5" fillId="0" borderId="0" xfId="3" applyNumberFormat="1" applyFont="1" applyBorder="1">
      <alignment vertical="top"/>
    </xf>
    <xf numFmtId="165" fontId="5" fillId="0" borderId="0" xfId="0" applyNumberFormat="1" applyFont="1" applyBorder="1" applyAlignment="1">
      <alignment vertical="top"/>
    </xf>
    <xf numFmtId="165" fontId="18" fillId="0" borderId="0" xfId="1" applyNumberFormat="1" applyFont="1" applyBorder="1" applyAlignment="1">
      <alignment horizontal="right" vertical="top"/>
    </xf>
    <xf numFmtId="0" fontId="17" fillId="0" borderId="0" xfId="0" applyFont="1" applyAlignment="1">
      <alignment vertical="top"/>
    </xf>
    <xf numFmtId="170" fontId="17" fillId="0" borderId="0" xfId="0" applyNumberFormat="1" applyFont="1" applyAlignment="1">
      <alignment horizontal="right" vertical="top"/>
    </xf>
    <xf numFmtId="171" fontId="17" fillId="0" borderId="3" xfId="0" applyNumberFormat="1" applyFont="1" applyBorder="1" applyAlignment="1">
      <alignment horizontal="right" vertical="top"/>
    </xf>
    <xf numFmtId="170" fontId="5" fillId="0" borderId="0" xfId="3" applyNumberFormat="1" applyFont="1" applyBorder="1">
      <alignment vertical="top"/>
    </xf>
    <xf numFmtId="170" fontId="5" fillId="0" borderId="0" xfId="0" applyNumberFormat="1" applyFont="1" applyBorder="1" applyAlignment="1">
      <alignment vertical="top"/>
    </xf>
    <xf numFmtId="170" fontId="18" fillId="0" borderId="0" xfId="0" applyNumberFormat="1" applyFont="1" applyBorder="1" applyAlignment="1">
      <alignment horizontal="right" vertical="top"/>
    </xf>
    <xf numFmtId="165" fontId="18" fillId="0" borderId="0" xfId="0" applyNumberFormat="1" applyFont="1" applyFill="1" applyAlignment="1">
      <alignment horizontal="right" vertical="top"/>
    </xf>
    <xf numFmtId="168" fontId="17" fillId="0" borderId="0" xfId="4" applyNumberFormat="1" applyFont="1" applyAlignment="1">
      <alignment horizontal="right" vertical="top"/>
    </xf>
    <xf numFmtId="168" fontId="17" fillId="0" borderId="0" xfId="0" applyNumberFormat="1" applyFont="1" applyFill="1" applyAlignment="1">
      <alignment horizontal="right" vertical="top"/>
    </xf>
    <xf numFmtId="165" fontId="17" fillId="0" borderId="0" xfId="0" applyNumberFormat="1" applyFont="1" applyFill="1" applyAlignment="1">
      <alignment horizontal="right" vertical="top"/>
    </xf>
    <xf numFmtId="171" fontId="3" fillId="0" borderId="0" xfId="3" applyNumberFormat="1" applyFont="1">
      <alignment vertical="top"/>
    </xf>
    <xf numFmtId="171" fontId="3" fillId="0" borderId="0" xfId="0" applyNumberFormat="1" applyFont="1" applyAlignment="1">
      <alignment vertical="top"/>
    </xf>
    <xf numFmtId="43" fontId="17" fillId="0" borderId="0" xfId="4" applyFont="1" applyFill="1" applyAlignment="1">
      <alignment horizontal="right" vertical="top"/>
    </xf>
    <xf numFmtId="172" fontId="5" fillId="0" borderId="12" xfId="3" applyNumberFormat="1" applyFont="1" applyBorder="1">
      <alignment vertical="top"/>
    </xf>
    <xf numFmtId="172" fontId="5" fillId="0" borderId="12" xfId="0" applyNumberFormat="1" applyFont="1" applyBorder="1" applyAlignment="1">
      <alignment vertical="top"/>
    </xf>
    <xf numFmtId="172" fontId="18" fillId="0" borderId="12" xfId="0" applyNumberFormat="1" applyFont="1" applyFill="1" applyBorder="1" applyAlignment="1">
      <alignment horizontal="right" vertical="top"/>
    </xf>
    <xf numFmtId="168" fontId="17" fillId="0" borderId="0" xfId="0" applyNumberFormat="1" applyFont="1" applyAlignment="1">
      <alignment horizontal="right"/>
    </xf>
    <xf numFmtId="0" fontId="44" fillId="0" borderId="0" xfId="0" applyFont="1" applyAlignment="1">
      <alignment horizontal="left" vertical="center" indent="1"/>
    </xf>
    <xf numFmtId="0" fontId="13" fillId="0" borderId="0" xfId="0" applyFont="1"/>
    <xf numFmtId="0" fontId="17" fillId="0" borderId="0" xfId="0" applyFont="1" applyAlignment="1">
      <alignment horizontal="left" indent="1"/>
    </xf>
    <xf numFmtId="0" fontId="17" fillId="0" borderId="3" xfId="0" applyFont="1" applyBorder="1"/>
    <xf numFmtId="0" fontId="17" fillId="0" borderId="0" xfId="0" applyFont="1" applyBorder="1"/>
    <xf numFmtId="0" fontId="17" fillId="0" borderId="0" xfId="0" applyFont="1" applyBorder="1" applyAlignment="1">
      <alignment horizontal="left" indent="1"/>
    </xf>
    <xf numFmtId="0" fontId="17" fillId="0" borderId="12" xfId="0" applyFont="1" applyBorder="1"/>
    <xf numFmtId="0" fontId="18" fillId="0" borderId="0" xfId="0" applyFont="1" applyAlignment="1">
      <alignment horizontal="left"/>
    </xf>
    <xf numFmtId="43" fontId="41" fillId="0" borderId="0" xfId="0" applyNumberFormat="1" applyFont="1"/>
    <xf numFmtId="164" fontId="18" fillId="0" borderId="0" xfId="0" applyNumberFormat="1" applyFont="1"/>
    <xf numFmtId="0" fontId="0" fillId="6" borderId="12" xfId="0" applyFill="1" applyBorder="1"/>
    <xf numFmtId="3" fontId="18" fillId="0" borderId="12" xfId="0" applyNumberFormat="1" applyFont="1" applyBorder="1"/>
    <xf numFmtId="0" fontId="5" fillId="0" borderId="12" xfId="0" applyFont="1" applyBorder="1" applyAlignment="1">
      <alignment horizontal="left" vertical="top"/>
    </xf>
    <xf numFmtId="168" fontId="18" fillId="0" borderId="12" xfId="0" applyNumberFormat="1" applyFont="1" applyBorder="1"/>
    <xf numFmtId="0" fontId="25" fillId="6" borderId="12" xfId="0" applyFont="1" applyFill="1" applyBorder="1"/>
    <xf numFmtId="43" fontId="13" fillId="5" borderId="0" xfId="4" applyNumberFormat="1" applyFont="1" applyFill="1"/>
    <xf numFmtId="166" fontId="13" fillId="5" borderId="0" xfId="0" applyNumberFormat="1" applyFont="1" applyFill="1"/>
    <xf numFmtId="43" fontId="13" fillId="5" borderId="0" xfId="4" applyFont="1" applyFill="1"/>
    <xf numFmtId="43" fontId="23" fillId="0" borderId="0" xfId="0" applyNumberFormat="1" applyFont="1"/>
    <xf numFmtId="168" fontId="23" fillId="0" borderId="0" xfId="0" applyNumberFormat="1" applyFont="1"/>
    <xf numFmtId="0" fontId="3" fillId="4" borderId="0" xfId="3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49" fontId="3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49" fontId="3" fillId="4" borderId="2" xfId="0" applyNumberFormat="1" applyFont="1" applyFill="1" applyBorder="1" applyAlignment="1">
      <alignment horizontal="right" vertical="center"/>
    </xf>
    <xf numFmtId="0" fontId="21" fillId="3" borderId="15" xfId="0" applyFont="1" applyFill="1" applyBorder="1"/>
    <xf numFmtId="0" fontId="16" fillId="0" borderId="2" xfId="2" applyNumberFormat="1" applyFont="1" applyBorder="1" applyAlignment="1">
      <alignment horizontal="right"/>
    </xf>
    <xf numFmtId="0" fontId="21" fillId="3" borderId="15" xfId="0" applyFont="1" applyFill="1" applyBorder="1" applyAlignment="1"/>
    <xf numFmtId="0" fontId="22" fillId="3" borderId="16" xfId="0" applyFont="1" applyFill="1" applyBorder="1"/>
    <xf numFmtId="0" fontId="20" fillId="2" borderId="0" xfId="0" applyFont="1" applyFill="1" applyAlignment="1">
      <alignment horizontal="left" vertical="top" wrapText="1"/>
    </xf>
    <xf numFmtId="0" fontId="20" fillId="2" borderId="0" xfId="0" applyFont="1" applyFill="1" applyAlignment="1">
      <alignment horizontal="left" vertical="top"/>
    </xf>
    <xf numFmtId="44" fontId="46" fillId="2" borderId="0" xfId="0" applyNumberFormat="1" applyFont="1" applyFill="1" applyAlignment="1">
      <alignment horizontal="center" vertical="center"/>
    </xf>
    <xf numFmtId="3" fontId="46" fillId="2" borderId="0" xfId="0" applyNumberFormat="1" applyFont="1" applyFill="1" applyAlignment="1">
      <alignment horizontal="right" vertical="center"/>
    </xf>
    <xf numFmtId="9" fontId="17" fillId="0" borderId="0" xfId="2" applyFont="1" applyFill="1"/>
    <xf numFmtId="0" fontId="10" fillId="6" borderId="0" xfId="0" applyFont="1" applyFill="1"/>
    <xf numFmtId="0" fontId="21" fillId="0" borderId="0" xfId="0" applyFont="1"/>
    <xf numFmtId="0" fontId="12" fillId="3" borderId="16" xfId="0" applyFont="1" applyFill="1" applyBorder="1" applyAlignment="1">
      <alignment horizontal="center"/>
    </xf>
    <xf numFmtId="0" fontId="0" fillId="2" borderId="0" xfId="0" applyFill="1"/>
    <xf numFmtId="168" fontId="16" fillId="0" borderId="0" xfId="4" applyNumberFormat="1" applyFont="1"/>
    <xf numFmtId="0" fontId="20" fillId="2" borderId="0" xfId="0" applyFont="1" applyFill="1" applyAlignment="1">
      <alignment horizontal="left" vertical="top" wrapText="1"/>
    </xf>
    <xf numFmtId="170" fontId="10" fillId="0" borderId="0" xfId="0" applyNumberFormat="1" applyFont="1"/>
    <xf numFmtId="0" fontId="0" fillId="0" borderId="0" xfId="0" applyBorder="1"/>
    <xf numFmtId="10" fontId="33" fillId="0" borderId="3" xfId="2" applyNumberFormat="1" applyFont="1" applyBorder="1"/>
    <xf numFmtId="10" fontId="16" fillId="0" borderId="3" xfId="2" applyNumberFormat="1" applyFont="1" applyBorder="1" applyAlignment="1">
      <alignment horizontal="right"/>
    </xf>
    <xf numFmtId="10" fontId="16" fillId="0" borderId="4" xfId="2" applyNumberFormat="1" applyFont="1" applyBorder="1" applyAlignment="1">
      <alignment horizontal="right"/>
    </xf>
    <xf numFmtId="0" fontId="24" fillId="0" borderId="0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right"/>
    </xf>
    <xf numFmtId="0" fontId="15" fillId="4" borderId="2" xfId="0" applyFont="1" applyFill="1" applyBorder="1" applyAlignment="1">
      <alignment horizontal="right"/>
    </xf>
    <xf numFmtId="0" fontId="25" fillId="3" borderId="4" xfId="0" applyFont="1" applyFill="1" applyBorder="1"/>
    <xf numFmtId="0" fontId="0" fillId="3" borderId="17" xfId="0" applyFill="1" applyBorder="1"/>
    <xf numFmtId="0" fontId="0" fillId="3" borderId="11" xfId="0" applyFill="1" applyBorder="1"/>
    <xf numFmtId="0" fontId="17" fillId="0" borderId="0" xfId="0" applyFont="1" applyFill="1" applyBorder="1"/>
    <xf numFmtId="0" fontId="18" fillId="0" borderId="12" xfId="0" applyFont="1" applyFill="1" applyBorder="1"/>
    <xf numFmtId="0" fontId="18" fillId="0" borderId="0" xfId="0" applyFont="1" applyFill="1" applyBorder="1"/>
    <xf numFmtId="0" fontId="17" fillId="0" borderId="3" xfId="0" applyFont="1" applyBorder="1" applyAlignment="1">
      <alignment horizontal="left" indent="1"/>
    </xf>
    <xf numFmtId="0" fontId="18" fillId="0" borderId="12" xfId="0" applyFont="1" applyFill="1" applyBorder="1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19" xfId="0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Continuous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17" fillId="4" borderId="18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9" fontId="0" fillId="0" borderId="4" xfId="2" applyFont="1" applyBorder="1"/>
    <xf numFmtId="0" fontId="13" fillId="0" borderId="16" xfId="0" applyFont="1" applyBorder="1"/>
    <xf numFmtId="0" fontId="0" fillId="0" borderId="4" xfId="0" applyBorder="1"/>
    <xf numFmtId="0" fontId="6" fillId="0" borderId="16" xfId="0" applyFont="1" applyBorder="1"/>
    <xf numFmtId="0" fontId="11" fillId="0" borderId="0" xfId="0" applyFont="1" applyBorder="1"/>
    <xf numFmtId="0" fontId="36" fillId="0" borderId="0" xfId="0" applyFont="1" applyBorder="1" applyAlignment="1"/>
    <xf numFmtId="168" fontId="0" fillId="0" borderId="0" xfId="4" applyNumberFormat="1" applyFont="1"/>
    <xf numFmtId="10" fontId="16" fillId="0" borderId="0" xfId="2" applyNumberFormat="1" applyFont="1" applyFill="1" applyBorder="1"/>
    <xf numFmtId="10" fontId="16" fillId="0" borderId="2" xfId="2" applyNumberFormat="1" applyFont="1" applyFill="1" applyBorder="1"/>
    <xf numFmtId="10" fontId="47" fillId="0" borderId="0" xfId="2" applyNumberFormat="1" applyFont="1"/>
    <xf numFmtId="168" fontId="47" fillId="0" borderId="0" xfId="4" applyNumberFormat="1" applyFont="1" applyAlignment="1">
      <alignment horizontal="left" indent="1"/>
    </xf>
    <xf numFmtId="0" fontId="0" fillId="0" borderId="14" xfId="0" applyBorder="1"/>
    <xf numFmtId="43" fontId="0" fillId="0" borderId="14" xfId="4" applyFont="1" applyBorder="1"/>
    <xf numFmtId="0" fontId="15" fillId="0" borderId="14" xfId="0" applyFont="1" applyBorder="1"/>
    <xf numFmtId="0" fontId="13" fillId="0" borderId="15" xfId="0" applyFont="1" applyBorder="1"/>
    <xf numFmtId="0" fontId="17" fillId="0" borderId="16" xfId="0" applyFont="1" applyBorder="1"/>
    <xf numFmtId="2" fontId="33" fillId="0" borderId="2" xfId="0" applyNumberFormat="1" applyFont="1" applyBorder="1"/>
    <xf numFmtId="167" fontId="16" fillId="0" borderId="2" xfId="2" applyNumberFormat="1" applyFont="1" applyBorder="1"/>
    <xf numFmtId="9" fontId="16" fillId="0" borderId="4" xfId="2" applyFont="1" applyBorder="1"/>
    <xf numFmtId="0" fontId="15" fillId="0" borderId="16" xfId="0" applyFont="1" applyBorder="1"/>
    <xf numFmtId="37" fontId="0" fillId="0" borderId="0" xfId="0" applyNumberFormat="1"/>
    <xf numFmtId="43" fontId="0" fillId="0" borderId="0" xfId="0" applyNumberFormat="1"/>
    <xf numFmtId="2" fontId="10" fillId="0" borderId="0" xfId="2" applyNumberFormat="1" applyFont="1" applyBorder="1"/>
    <xf numFmtId="43" fontId="10" fillId="0" borderId="3" xfId="4" applyFont="1" applyBorder="1"/>
    <xf numFmtId="43" fontId="16" fillId="0" borderId="3" xfId="4" applyFont="1" applyBorder="1"/>
    <xf numFmtId="43" fontId="16" fillId="0" borderId="4" xfId="4" applyFont="1" applyBorder="1"/>
    <xf numFmtId="0" fontId="16" fillId="0" borderId="0" xfId="2" applyNumberFormat="1" applyFont="1" applyBorder="1"/>
    <xf numFmtId="0" fontId="18" fillId="0" borderId="14" xfId="0" applyFont="1" applyBorder="1" applyAlignment="1">
      <alignment horizontal="left" indent="1"/>
    </xf>
    <xf numFmtId="10" fontId="16" fillId="0" borderId="0" xfId="2" applyNumberFormat="1" applyFont="1" applyBorder="1" applyAlignment="1"/>
    <xf numFmtId="10" fontId="16" fillId="0" borderId="2" xfId="2" applyNumberFormat="1" applyFont="1" applyBorder="1" applyAlignment="1"/>
    <xf numFmtId="0" fontId="37" fillId="4" borderId="0" xfId="3" applyFont="1" applyFill="1">
      <alignment vertical="top"/>
    </xf>
    <xf numFmtId="0" fontId="37" fillId="4" borderId="0" xfId="0" applyFont="1" applyFill="1" applyAlignment="1">
      <alignment vertical="top"/>
    </xf>
    <xf numFmtId="49" fontId="37" fillId="4" borderId="0" xfId="0" applyNumberFormat="1" applyFont="1" applyFill="1" applyAlignment="1">
      <alignment horizontal="right" vertical="top"/>
    </xf>
    <xf numFmtId="0" fontId="37" fillId="4" borderId="0" xfId="0" applyFont="1" applyFill="1" applyAlignment="1">
      <alignment horizontal="right" vertical="top"/>
    </xf>
    <xf numFmtId="49" fontId="37" fillId="4" borderId="0" xfId="0" applyNumberFormat="1" applyFont="1" applyFill="1" applyBorder="1" applyAlignment="1">
      <alignment horizontal="right"/>
    </xf>
    <xf numFmtId="0" fontId="37" fillId="4" borderId="0" xfId="0" applyFont="1" applyFill="1" applyBorder="1" applyAlignment="1">
      <alignment horizontal="right"/>
    </xf>
    <xf numFmtId="9" fontId="0" fillId="0" borderId="4" xfId="2" applyNumberFormat="1" applyFont="1" applyBorder="1"/>
    <xf numFmtId="9" fontId="16" fillId="0" borderId="2" xfId="0" applyNumberFormat="1" applyFont="1" applyBorder="1"/>
    <xf numFmtId="0" fontId="17" fillId="0" borderId="15" xfId="0" applyFont="1" applyBorder="1"/>
    <xf numFmtId="0" fontId="10" fillId="0" borderId="2" xfId="0" applyFont="1" applyBorder="1"/>
    <xf numFmtId="41" fontId="10" fillId="0" borderId="0" xfId="0" applyNumberFormat="1" applyFont="1" applyBorder="1"/>
    <xf numFmtId="41" fontId="10" fillId="0" borderId="2" xfId="0" applyNumberFormat="1" applyFont="1" applyBorder="1"/>
    <xf numFmtId="9" fontId="33" fillId="0" borderId="0" xfId="0" applyNumberFormat="1" applyFont="1" applyBorder="1"/>
    <xf numFmtId="9" fontId="33" fillId="0" borderId="2" xfId="0" applyNumberFormat="1" applyFont="1" applyBorder="1"/>
    <xf numFmtId="43" fontId="10" fillId="0" borderId="2" xfId="0" applyNumberFormat="1" applyFont="1" applyBorder="1"/>
    <xf numFmtId="2" fontId="10" fillId="0" borderId="0" xfId="0" applyNumberFormat="1" applyFont="1" applyBorder="1"/>
    <xf numFmtId="2" fontId="10" fillId="0" borderId="2" xfId="0" applyNumberFormat="1" applyFont="1" applyBorder="1"/>
    <xf numFmtId="43" fontId="10" fillId="0" borderId="0" xfId="0" applyNumberFormat="1" applyFont="1" applyBorder="1"/>
    <xf numFmtId="0" fontId="17" fillId="0" borderId="15" xfId="0" applyFont="1" applyBorder="1" applyAlignment="1">
      <alignment horizontal="left" indent="1"/>
    </xf>
    <xf numFmtId="0" fontId="8" fillId="2" borderId="0" xfId="0" applyFont="1" applyFill="1"/>
    <xf numFmtId="0" fontId="8" fillId="0" borderId="14" xfId="0" applyFont="1" applyBorder="1"/>
    <xf numFmtId="0" fontId="8" fillId="0" borderId="15" xfId="0" applyFont="1" applyBorder="1"/>
    <xf numFmtId="0" fontId="8" fillId="0" borderId="2" xfId="0" applyFont="1" applyBorder="1"/>
    <xf numFmtId="0" fontId="12" fillId="0" borderId="17" xfId="0" applyFont="1" applyBorder="1"/>
    <xf numFmtId="43" fontId="12" fillId="0" borderId="11" xfId="0" applyNumberFormat="1" applyFont="1" applyBorder="1"/>
    <xf numFmtId="0" fontId="8" fillId="0" borderId="15" xfId="0" applyFont="1" applyBorder="1" applyAlignment="1">
      <alignment horizontal="left" indent="1"/>
    </xf>
    <xf numFmtId="168" fontId="8" fillId="0" borderId="2" xfId="4" applyNumberFormat="1" applyFont="1" applyBorder="1"/>
    <xf numFmtId="37" fontId="8" fillId="0" borderId="2" xfId="0" applyNumberFormat="1" applyFont="1" applyBorder="1"/>
    <xf numFmtId="168" fontId="8" fillId="0" borderId="11" xfId="0" applyNumberFormat="1" applyFont="1" applyBorder="1"/>
    <xf numFmtId="3" fontId="8" fillId="0" borderId="2" xfId="0" applyNumberFormat="1" applyFont="1" applyBorder="1"/>
    <xf numFmtId="0" fontId="12" fillId="0" borderId="5" xfId="0" applyFont="1" applyBorder="1"/>
    <xf numFmtId="0" fontId="8" fillId="0" borderId="6" xfId="0" applyFont="1" applyBorder="1"/>
    <xf numFmtId="168" fontId="12" fillId="0" borderId="7" xfId="0" applyNumberFormat="1" applyFont="1" applyBorder="1"/>
    <xf numFmtId="0" fontId="18" fillId="0" borderId="14" xfId="0" applyFont="1" applyBorder="1"/>
    <xf numFmtId="0" fontId="13" fillId="0" borderId="0" xfId="0" applyFont="1" applyAlignment="1">
      <alignment horizontal="left" indent="2"/>
    </xf>
    <xf numFmtId="9" fontId="17" fillId="0" borderId="0" xfId="0" applyNumberFormat="1" applyFont="1"/>
    <xf numFmtId="41" fontId="18" fillId="0" borderId="14" xfId="0" applyNumberFormat="1" applyFont="1" applyBorder="1"/>
    <xf numFmtId="41" fontId="17" fillId="0" borderId="14" xfId="0" applyNumberFormat="1" applyFont="1" applyBorder="1"/>
    <xf numFmtId="8" fontId="8" fillId="0" borderId="0" xfId="0" applyNumberFormat="1" applyFont="1"/>
    <xf numFmtId="9" fontId="49" fillId="0" borderId="2" xfId="0" applyNumberFormat="1" applyFont="1" applyBorder="1"/>
    <xf numFmtId="9" fontId="35" fillId="0" borderId="4" xfId="2" applyFont="1" applyBorder="1"/>
    <xf numFmtId="0" fontId="36" fillId="0" borderId="15" xfId="0" applyFont="1" applyBorder="1"/>
    <xf numFmtId="0" fontId="36" fillId="0" borderId="16" xfId="0" applyFont="1" applyBorder="1"/>
    <xf numFmtId="0" fontId="48" fillId="0" borderId="0" xfId="0" applyFont="1" applyBorder="1"/>
    <xf numFmtId="167" fontId="35" fillId="0" borderId="0" xfId="0" applyNumberFormat="1" applyFont="1" applyBorder="1"/>
    <xf numFmtId="167" fontId="35" fillId="0" borderId="0" xfId="2" applyNumberFormat="1" applyFont="1" applyBorder="1"/>
    <xf numFmtId="167" fontId="35" fillId="0" borderId="2" xfId="0" applyNumberFormat="1" applyFont="1" applyBorder="1"/>
    <xf numFmtId="167" fontId="35" fillId="0" borderId="3" xfId="2" applyNumberFormat="1" applyFont="1" applyBorder="1"/>
    <xf numFmtId="2" fontId="8" fillId="0" borderId="0" xfId="0" applyNumberFormat="1" applyFont="1" applyBorder="1"/>
    <xf numFmtId="2" fontId="8" fillId="0" borderId="2" xfId="0" applyNumberFormat="1" applyFont="1" applyBorder="1"/>
    <xf numFmtId="2" fontId="8" fillId="0" borderId="3" xfId="0" applyNumberFormat="1" applyFont="1" applyBorder="1"/>
    <xf numFmtId="2" fontId="8" fillId="0" borderId="4" xfId="0" applyNumberFormat="1" applyFont="1" applyBorder="1"/>
    <xf numFmtId="0" fontId="12" fillId="0" borderId="0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50" fillId="0" borderId="15" xfId="0" applyFont="1" applyBorder="1" applyAlignment="1">
      <alignment horizontal="center" textRotation="90"/>
    </xf>
    <xf numFmtId="0" fontId="50" fillId="0" borderId="16" xfId="0" applyFont="1" applyBorder="1" applyAlignment="1">
      <alignment horizontal="center" textRotation="90"/>
    </xf>
    <xf numFmtId="0" fontId="12" fillId="3" borderId="5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20" fillId="2" borderId="0" xfId="0" applyFont="1" applyFill="1" applyAlignment="1">
      <alignment horizontal="left" vertical="top" wrapText="1"/>
    </xf>
    <xf numFmtId="0" fontId="45" fillId="2" borderId="0" xfId="0" applyFont="1" applyFill="1" applyAlignment="1">
      <alignment horizontal="left" vertical="center" wrapText="1"/>
    </xf>
    <xf numFmtId="0" fontId="45" fillId="2" borderId="0" xfId="0" applyFont="1" applyFill="1" applyAlignment="1">
      <alignment horizontal="left" vertical="top" wrapText="1"/>
    </xf>
    <xf numFmtId="0" fontId="11" fillId="0" borderId="3" xfId="0" applyFont="1" applyBorder="1" applyAlignment="1">
      <alignment wrapText="1"/>
    </xf>
    <xf numFmtId="0" fontId="11" fillId="0" borderId="3" xfId="0" applyFont="1" applyBorder="1"/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8" fillId="5" borderId="17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24" fillId="3" borderId="17" xfId="0" applyFont="1" applyFill="1" applyBorder="1" applyAlignment="1">
      <alignment horizontal="center"/>
    </xf>
    <xf numFmtId="0" fontId="24" fillId="3" borderId="14" xfId="0" applyFont="1" applyFill="1" applyBorder="1" applyAlignment="1">
      <alignment horizontal="center"/>
    </xf>
    <xf numFmtId="0" fontId="24" fillId="3" borderId="11" xfId="0" applyFont="1" applyFill="1" applyBorder="1" applyAlignment="1">
      <alignment horizontal="center"/>
    </xf>
    <xf numFmtId="0" fontId="19" fillId="0" borderId="0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2" fillId="0" borderId="3" xfId="0" applyFont="1" applyBorder="1" applyAlignment="1">
      <alignment horizontal="center"/>
    </xf>
    <xf numFmtId="0" fontId="42" fillId="0" borderId="0" xfId="0" applyFont="1" applyBorder="1" applyAlignment="1">
      <alignment horizontal="left" vertical="center"/>
    </xf>
    <xf numFmtId="0" fontId="42" fillId="0" borderId="3" xfId="0" applyFont="1" applyBorder="1" applyAlignment="1">
      <alignment horizontal="left" vertical="center"/>
    </xf>
    <xf numFmtId="0" fontId="24" fillId="3" borderId="5" xfId="0" applyFont="1" applyFill="1" applyBorder="1" applyAlignment="1">
      <alignment horizontal="center"/>
    </xf>
    <xf numFmtId="0" fontId="24" fillId="3" borderId="6" xfId="0" applyFont="1" applyFill="1" applyBorder="1" applyAlignment="1">
      <alignment horizontal="center"/>
    </xf>
    <xf numFmtId="0" fontId="42" fillId="0" borderId="0" xfId="0" applyFont="1" applyBorder="1" applyAlignment="1">
      <alignment horizontal="left"/>
    </xf>
    <xf numFmtId="0" fontId="42" fillId="0" borderId="1" xfId="0" applyFont="1" applyBorder="1" applyAlignment="1">
      <alignment horizontal="left"/>
    </xf>
    <xf numFmtId="0" fontId="8" fillId="3" borderId="17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5" applyFont="1" applyAlignment="1">
      <alignment horizontal="center" vertical="top" shrinkToFit="1"/>
    </xf>
    <xf numFmtId="0" fontId="3" fillId="0" borderId="0" xfId="5" applyFont="1">
      <alignment vertical="top"/>
    </xf>
    <xf numFmtId="0" fontId="5" fillId="0" borderId="0" xfId="5" applyFont="1" applyAlignment="1">
      <alignment horizontal="left" vertical="top"/>
    </xf>
    <xf numFmtId="0" fontId="27" fillId="0" borderId="0" xfId="5">
      <alignment vertical="top"/>
    </xf>
    <xf numFmtId="0" fontId="28" fillId="0" borderId="0" xfId="5" applyFont="1">
      <alignment vertical="top"/>
    </xf>
  </cellXfs>
  <cellStyles count="6">
    <cellStyle name="Comma" xfId="4" builtinId="3"/>
    <cellStyle name="Currency" xfId="1" builtinId="4"/>
    <cellStyle name="Normal" xfId="0" builtinId="0"/>
    <cellStyle name="Normal 2" xfId="3" xr:uid="{C6B7AF25-886A-45BA-936C-F34869E16D22}"/>
    <cellStyle name="Normal 3" xfId="5" xr:uid="{D58D353F-37A5-4CD3-855F-149E815BEFE4}"/>
    <cellStyle name="Percent" xfId="2" builtinId="5"/>
  </cellStyles>
  <dxfs count="0"/>
  <tableStyles count="0" defaultTableStyle="TableStyleMedium2" defaultPivotStyle="PivotStyleLight16"/>
  <colors>
    <mruColors>
      <color rgb="FF1629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561975</xdr:colOff>
      <xdr:row>1</xdr:row>
      <xdr:rowOff>9525</xdr:rowOff>
    </xdr:from>
    <xdr:to>
      <xdr:col>12</xdr:col>
      <xdr:colOff>161925</xdr:colOff>
      <xdr:row>10</xdr:row>
      <xdr:rowOff>14225</xdr:rowOff>
    </xdr:to>
    <xdr:pic>
      <xdr:nvPicPr>
        <xdr:cNvPr id="2" name="Picture 1" descr="Meta logo and the history of the business | LogoMyWay">
          <a:extLst>
            <a:ext uri="{FF2B5EF4-FFF2-40B4-BE49-F238E27FC236}">
              <a16:creationId xmlns:a16="http://schemas.microsoft.com/office/drawing/2014/main" id="{CBD79398-6E91-4A7E-8209-B438E457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190500"/>
          <a:ext cx="1762125" cy="17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561975</xdr:colOff>
      <xdr:row>1</xdr:row>
      <xdr:rowOff>9525</xdr:rowOff>
    </xdr:from>
    <xdr:to>
      <xdr:col>12</xdr:col>
      <xdr:colOff>161925</xdr:colOff>
      <xdr:row>10</xdr:row>
      <xdr:rowOff>14225</xdr:rowOff>
    </xdr:to>
    <xdr:pic>
      <xdr:nvPicPr>
        <xdr:cNvPr id="2" name="Picture 1" descr="Meta logo and the history of the business | LogoMyWay">
          <a:extLst>
            <a:ext uri="{FF2B5EF4-FFF2-40B4-BE49-F238E27FC236}">
              <a16:creationId xmlns:a16="http://schemas.microsoft.com/office/drawing/2014/main" id="{F5A38DEF-BFC2-4BF5-87B7-D5EB4551D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190500"/>
          <a:ext cx="1762125" cy="17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561975</xdr:colOff>
      <xdr:row>1</xdr:row>
      <xdr:rowOff>9525</xdr:rowOff>
    </xdr:from>
    <xdr:to>
      <xdr:col>12</xdr:col>
      <xdr:colOff>161925</xdr:colOff>
      <xdr:row>10</xdr:row>
      <xdr:rowOff>14225</xdr:rowOff>
    </xdr:to>
    <xdr:pic>
      <xdr:nvPicPr>
        <xdr:cNvPr id="3" name="Picture 2" descr="Meta logo and the history of the business | LogoMyWay">
          <a:extLst>
            <a:ext uri="{FF2B5EF4-FFF2-40B4-BE49-F238E27FC236}">
              <a16:creationId xmlns:a16="http://schemas.microsoft.com/office/drawing/2014/main" id="{9C56ED8A-6429-2AEA-6412-8995CBF08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190500"/>
          <a:ext cx="1762125" cy="17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7132-7DC9-4699-BE53-13411EED2F84}">
  <sheetPr>
    <tabColor rgb="FFFFC000"/>
    <outlinePr summaryBelow="0"/>
  </sheetPr>
  <dimension ref="B2:R193"/>
  <sheetViews>
    <sheetView showGridLines="0" topLeftCell="A16" workbookViewId="0">
      <selection activeCell="G25" sqref="G25"/>
    </sheetView>
  </sheetViews>
  <sheetFormatPr defaultRowHeight="14.25" x14ac:dyDescent="0.2"/>
  <cols>
    <col min="1" max="5" width="9.140625" style="12"/>
    <col min="6" max="6" width="26.42578125" style="12" customWidth="1"/>
    <col min="7" max="7" width="12.28515625" style="12" bestFit="1" customWidth="1"/>
    <col min="8" max="9" width="10.28515625" style="12" bestFit="1" customWidth="1"/>
    <col min="10" max="10" width="10.42578125" style="12" bestFit="1" customWidth="1"/>
    <col min="11" max="12" width="11" style="12" bestFit="1" customWidth="1"/>
    <col min="13" max="14" width="13" style="12" bestFit="1" customWidth="1"/>
    <col min="15" max="17" width="14.28515625" style="12" bestFit="1" customWidth="1"/>
    <col min="18" max="18" width="10.28515625" style="12" bestFit="1" customWidth="1"/>
    <col min="19" max="19" width="9.85546875" style="12" bestFit="1" customWidth="1"/>
    <col min="20" max="20" width="9.140625" style="12"/>
    <col min="21" max="21" width="11" style="12" bestFit="1" customWidth="1"/>
    <col min="22" max="16384" width="9.140625" style="12"/>
  </cols>
  <sheetData>
    <row r="2" spans="2:18" ht="14.25" customHeight="1" x14ac:dyDescent="0.25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2:18" ht="14.25" customHeight="1" x14ac:dyDescent="0.25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2:18" ht="14.25" customHeight="1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2:18" ht="14.25" customHeight="1" x14ac:dyDescent="0.25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2:18" ht="14.25" customHeight="1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2:18" ht="14.25" customHeight="1" x14ac:dyDescent="0.25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2:18" ht="15" x14ac:dyDescent="0.25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2:18" ht="14.25" customHeight="1" x14ac:dyDescent="0.25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2:18" ht="14.25" customHeight="1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2:18" customFormat="1" ht="15" x14ac:dyDescent="0.25"/>
    <row r="12" spans="2:18" customFormat="1" ht="15" x14ac:dyDescent="0.25"/>
    <row r="13" spans="2:18" customFormat="1" ht="15" x14ac:dyDescent="0.25"/>
    <row r="14" spans="2:18" customFormat="1" ht="15" x14ac:dyDescent="0.25"/>
    <row r="15" spans="2:18" customFormat="1" ht="15" x14ac:dyDescent="0.25"/>
    <row r="16" spans="2:18" customFormat="1" ht="15" x14ac:dyDescent="0.25"/>
    <row r="17" customFormat="1" ht="15" x14ac:dyDescent="0.25"/>
    <row r="18" customFormat="1" ht="15" x14ac:dyDescent="0.25"/>
    <row r="19" customFormat="1" ht="15" x14ac:dyDescent="0.25"/>
    <row r="20" customFormat="1" ht="15" x14ac:dyDescent="0.25"/>
    <row r="21" customFormat="1" ht="15" x14ac:dyDescent="0.25"/>
    <row r="22" customFormat="1" ht="15" x14ac:dyDescent="0.25"/>
    <row r="23" customFormat="1" ht="15" x14ac:dyDescent="0.25"/>
    <row r="24" customFormat="1" ht="15" x14ac:dyDescent="0.25"/>
    <row r="25" customFormat="1" ht="15" x14ac:dyDescent="0.25"/>
    <row r="26" customFormat="1" ht="15" x14ac:dyDescent="0.25"/>
    <row r="27" customFormat="1" ht="15" x14ac:dyDescent="0.25"/>
    <row r="28" customFormat="1" ht="15" x14ac:dyDescent="0.25"/>
    <row r="29" customFormat="1" ht="15" x14ac:dyDescent="0.25"/>
    <row r="30" customFormat="1" ht="15" x14ac:dyDescent="0.25"/>
    <row r="31" customFormat="1" ht="15" x14ac:dyDescent="0.25"/>
    <row r="32" customFormat="1" ht="15" x14ac:dyDescent="0.25"/>
    <row r="33" customFormat="1" ht="15" x14ac:dyDescent="0.25"/>
    <row r="34" customFormat="1" ht="15" x14ac:dyDescent="0.25"/>
    <row r="35" customFormat="1" ht="15" x14ac:dyDescent="0.25"/>
    <row r="36" customFormat="1" ht="15" x14ac:dyDescent="0.25"/>
    <row r="37" customFormat="1" ht="15" x14ac:dyDescent="0.25"/>
    <row r="38" customFormat="1" ht="15" x14ac:dyDescent="0.25"/>
    <row r="39" customFormat="1" ht="15" x14ac:dyDescent="0.25"/>
    <row r="40" customFormat="1" ht="15" x14ac:dyDescent="0.25"/>
    <row r="41" customFormat="1" ht="15" x14ac:dyDescent="0.25"/>
    <row r="42" customFormat="1" ht="15" x14ac:dyDescent="0.25"/>
    <row r="43" customFormat="1" ht="15" x14ac:dyDescent="0.25"/>
    <row r="44" customFormat="1" ht="15" x14ac:dyDescent="0.25"/>
    <row r="45" customFormat="1" ht="15" x14ac:dyDescent="0.25"/>
    <row r="46" customFormat="1" ht="15" x14ac:dyDescent="0.25"/>
    <row r="47" customFormat="1" ht="15" x14ac:dyDescent="0.25"/>
    <row r="48" customFormat="1" ht="15" x14ac:dyDescent="0.25"/>
    <row r="49" customFormat="1" ht="15" x14ac:dyDescent="0.25"/>
    <row r="50" customFormat="1" ht="15" x14ac:dyDescent="0.25"/>
    <row r="51" customFormat="1" ht="15" x14ac:dyDescent="0.25"/>
    <row r="52" customFormat="1" ht="15" x14ac:dyDescent="0.25"/>
    <row r="53" customFormat="1" ht="15" x14ac:dyDescent="0.25"/>
    <row r="54" customFormat="1" ht="15" x14ac:dyDescent="0.25"/>
    <row r="55" customFormat="1" ht="15" x14ac:dyDescent="0.25"/>
    <row r="56" customFormat="1" ht="15" x14ac:dyDescent="0.25"/>
    <row r="57" customFormat="1" ht="15" x14ac:dyDescent="0.25"/>
    <row r="58" customFormat="1" ht="15" x14ac:dyDescent="0.25"/>
    <row r="59" customFormat="1" ht="15" x14ac:dyDescent="0.25"/>
    <row r="60" customFormat="1" ht="15" x14ac:dyDescent="0.25"/>
    <row r="61" customFormat="1" ht="15" x14ac:dyDescent="0.25"/>
    <row r="62" customFormat="1" ht="15" x14ac:dyDescent="0.25"/>
    <row r="63" customFormat="1" ht="15" x14ac:dyDescent="0.25"/>
    <row r="64" customFormat="1" ht="15" x14ac:dyDescent="0.25"/>
    <row r="65" customFormat="1" ht="15" x14ac:dyDescent="0.25"/>
    <row r="66" customFormat="1" ht="15" x14ac:dyDescent="0.25"/>
    <row r="67" customFormat="1" ht="15" x14ac:dyDescent="0.25"/>
    <row r="68" customFormat="1" ht="15" x14ac:dyDescent="0.25"/>
    <row r="69" customFormat="1" ht="15" x14ac:dyDescent="0.25"/>
    <row r="70" customFormat="1" ht="15" x14ac:dyDescent="0.25"/>
    <row r="71" customFormat="1" ht="15" x14ac:dyDescent="0.25"/>
    <row r="72" customFormat="1" ht="15" x14ac:dyDescent="0.25"/>
    <row r="73" customFormat="1" ht="15" x14ac:dyDescent="0.25"/>
    <row r="74" customFormat="1" ht="15" x14ac:dyDescent="0.25"/>
    <row r="75" customFormat="1" ht="15" x14ac:dyDescent="0.25"/>
    <row r="76" customFormat="1" ht="15" x14ac:dyDescent="0.25"/>
    <row r="77" customFormat="1" ht="15" x14ac:dyDescent="0.25"/>
    <row r="78" customFormat="1" ht="15" x14ac:dyDescent="0.25"/>
    <row r="79" customFormat="1" ht="15" x14ac:dyDescent="0.25"/>
    <row r="80" customFormat="1" ht="15" x14ac:dyDescent="0.25"/>
    <row r="81" customFormat="1" ht="15" x14ac:dyDescent="0.25"/>
    <row r="82" customFormat="1" ht="15" x14ac:dyDescent="0.25"/>
    <row r="83" customFormat="1" ht="15" x14ac:dyDescent="0.25"/>
    <row r="84" customFormat="1" ht="15" x14ac:dyDescent="0.25"/>
    <row r="85" customFormat="1" ht="15" x14ac:dyDescent="0.25"/>
    <row r="86" customFormat="1" ht="15" x14ac:dyDescent="0.25"/>
    <row r="87" customFormat="1" ht="15" x14ac:dyDescent="0.25"/>
    <row r="88" customFormat="1" ht="15" x14ac:dyDescent="0.25"/>
    <row r="89" customFormat="1" ht="15" x14ac:dyDescent="0.25"/>
    <row r="90" customFormat="1" ht="15" x14ac:dyDescent="0.25"/>
    <row r="91" customFormat="1" ht="15" x14ac:dyDescent="0.25"/>
    <row r="92" customFormat="1" ht="15" x14ac:dyDescent="0.25"/>
    <row r="93" customFormat="1" ht="15" x14ac:dyDescent="0.25"/>
    <row r="94" customFormat="1" ht="15" x14ac:dyDescent="0.25"/>
    <row r="95" customFormat="1" ht="15" x14ac:dyDescent="0.25"/>
    <row r="96" customFormat="1" ht="15" x14ac:dyDescent="0.25"/>
    <row r="97" customFormat="1" ht="15" x14ac:dyDescent="0.25"/>
    <row r="98" customFormat="1" ht="15" x14ac:dyDescent="0.25"/>
    <row r="99" customFormat="1" ht="15" x14ac:dyDescent="0.25"/>
    <row r="100" customFormat="1" ht="15" x14ac:dyDescent="0.25"/>
    <row r="101" customFormat="1" ht="15" x14ac:dyDescent="0.25"/>
    <row r="102" customFormat="1" ht="15" x14ac:dyDescent="0.25"/>
    <row r="103" customFormat="1" ht="15" x14ac:dyDescent="0.25"/>
    <row r="104" customFormat="1" ht="15" x14ac:dyDescent="0.25"/>
    <row r="105" customFormat="1" ht="15" x14ac:dyDescent="0.25"/>
    <row r="106" customFormat="1" ht="15" x14ac:dyDescent="0.25"/>
    <row r="107" customFormat="1" ht="15" x14ac:dyDescent="0.25"/>
    <row r="108" customFormat="1" ht="15" x14ac:dyDescent="0.25"/>
    <row r="109" customFormat="1" ht="15" x14ac:dyDescent="0.25"/>
    <row r="110" customFormat="1" ht="15" x14ac:dyDescent="0.25"/>
    <row r="111" customFormat="1" ht="15" x14ac:dyDescent="0.25"/>
    <row r="112" customFormat="1" ht="15" x14ac:dyDescent="0.25"/>
    <row r="113" customFormat="1" ht="15" x14ac:dyDescent="0.25"/>
    <row r="114" customFormat="1" ht="15" x14ac:dyDescent="0.25"/>
    <row r="115" customFormat="1" ht="15" x14ac:dyDescent="0.25"/>
    <row r="116" customFormat="1" ht="15" x14ac:dyDescent="0.25"/>
    <row r="117" customFormat="1" ht="15" x14ac:dyDescent="0.25"/>
    <row r="118" customFormat="1" ht="15" x14ac:dyDescent="0.25"/>
    <row r="119" customFormat="1" ht="15" x14ac:dyDescent="0.25"/>
    <row r="120" customFormat="1" ht="15" x14ac:dyDescent="0.25"/>
    <row r="121" customFormat="1" ht="15" x14ac:dyDescent="0.25"/>
    <row r="122" customFormat="1" ht="15" x14ac:dyDescent="0.25"/>
    <row r="123" customFormat="1" ht="15" x14ac:dyDescent="0.25"/>
    <row r="124" customFormat="1" ht="15" x14ac:dyDescent="0.25"/>
    <row r="125" customFormat="1" ht="15" x14ac:dyDescent="0.25"/>
    <row r="126" customFormat="1" ht="15" x14ac:dyDescent="0.25"/>
    <row r="127" customFormat="1" ht="15" x14ac:dyDescent="0.25"/>
    <row r="128" customFormat="1" ht="15" x14ac:dyDescent="0.25"/>
    <row r="129" customFormat="1" ht="15" x14ac:dyDescent="0.25"/>
    <row r="130" customFormat="1" ht="15" x14ac:dyDescent="0.25"/>
    <row r="131" customFormat="1" ht="15" x14ac:dyDescent="0.25"/>
    <row r="132" customFormat="1" ht="15" x14ac:dyDescent="0.25"/>
    <row r="133" customFormat="1" ht="15" x14ac:dyDescent="0.25"/>
    <row r="134" customFormat="1" ht="15" x14ac:dyDescent="0.25"/>
    <row r="135" customFormat="1" ht="15" x14ac:dyDescent="0.25"/>
    <row r="136" customFormat="1" ht="15" x14ac:dyDescent="0.25"/>
    <row r="137" customFormat="1" ht="15" x14ac:dyDescent="0.25"/>
    <row r="138" customFormat="1" ht="15" x14ac:dyDescent="0.25"/>
    <row r="139" customFormat="1" ht="15" x14ac:dyDescent="0.25"/>
    <row r="140" customFormat="1" ht="15" x14ac:dyDescent="0.25"/>
    <row r="141" customFormat="1" ht="15" x14ac:dyDescent="0.25"/>
    <row r="142" customFormat="1" ht="15" x14ac:dyDescent="0.25"/>
    <row r="143" customFormat="1" ht="15" x14ac:dyDescent="0.25"/>
    <row r="144" customFormat="1" ht="15" x14ac:dyDescent="0.25"/>
    <row r="145" customFormat="1" ht="15" x14ac:dyDescent="0.25"/>
    <row r="146" customFormat="1" ht="15" x14ac:dyDescent="0.25"/>
    <row r="147" customFormat="1" ht="15" x14ac:dyDescent="0.25"/>
    <row r="148" customFormat="1" ht="15" x14ac:dyDescent="0.25"/>
    <row r="149" customFormat="1" ht="15" x14ac:dyDescent="0.25"/>
    <row r="150" customFormat="1" ht="15" x14ac:dyDescent="0.25"/>
    <row r="151" customFormat="1" ht="15" x14ac:dyDescent="0.25"/>
    <row r="152" customFormat="1" ht="15" x14ac:dyDescent="0.25"/>
    <row r="153" customFormat="1" ht="15" x14ac:dyDescent="0.25"/>
    <row r="154" customFormat="1" ht="15" x14ac:dyDescent="0.25"/>
    <row r="155" customFormat="1" ht="15" x14ac:dyDescent="0.25"/>
    <row r="156" customFormat="1" ht="15" x14ac:dyDescent="0.25"/>
    <row r="157" customFormat="1" ht="15" x14ac:dyDescent="0.25"/>
    <row r="158" customFormat="1" ht="15" x14ac:dyDescent="0.25"/>
    <row r="159" customFormat="1" ht="15" x14ac:dyDescent="0.25"/>
    <row r="160" customFormat="1" ht="15" x14ac:dyDescent="0.25"/>
    <row r="161" customFormat="1" ht="15" x14ac:dyDescent="0.25"/>
    <row r="162" customFormat="1" ht="15" x14ac:dyDescent="0.25"/>
    <row r="163" customFormat="1" ht="15" x14ac:dyDescent="0.25"/>
    <row r="164" customFormat="1" ht="15" x14ac:dyDescent="0.25"/>
    <row r="165" customFormat="1" ht="15" x14ac:dyDescent="0.25"/>
    <row r="166" customFormat="1" ht="15" x14ac:dyDescent="0.25"/>
    <row r="167" customFormat="1" ht="15" x14ac:dyDescent="0.25"/>
    <row r="168" customFormat="1" ht="15" x14ac:dyDescent="0.25"/>
    <row r="169" customFormat="1" ht="15" x14ac:dyDescent="0.25"/>
    <row r="170" customFormat="1" ht="15" x14ac:dyDescent="0.25"/>
    <row r="171" customFormat="1" ht="15" x14ac:dyDescent="0.25"/>
    <row r="172" customFormat="1" ht="15" x14ac:dyDescent="0.25"/>
    <row r="173" customFormat="1" ht="15" x14ac:dyDescent="0.25"/>
    <row r="174" customFormat="1" ht="15" x14ac:dyDescent="0.25"/>
    <row r="175" customFormat="1" ht="15" x14ac:dyDescent="0.25"/>
    <row r="176" customFormat="1" ht="15" x14ac:dyDescent="0.25"/>
    <row r="177" customFormat="1" ht="15" x14ac:dyDescent="0.25"/>
    <row r="178" customFormat="1" ht="15" x14ac:dyDescent="0.25"/>
    <row r="179" customFormat="1" ht="15" x14ac:dyDescent="0.25"/>
    <row r="180" customFormat="1" ht="15" x14ac:dyDescent="0.25"/>
    <row r="181" customFormat="1" ht="15" x14ac:dyDescent="0.25"/>
    <row r="182" customFormat="1" ht="15" x14ac:dyDescent="0.25"/>
    <row r="183" customFormat="1" ht="15" x14ac:dyDescent="0.25"/>
    <row r="184" customFormat="1" ht="15" x14ac:dyDescent="0.25"/>
    <row r="185" customFormat="1" ht="15" x14ac:dyDescent="0.25"/>
    <row r="186" customFormat="1" ht="15" x14ac:dyDescent="0.25"/>
    <row r="187" customFormat="1" ht="15" x14ac:dyDescent="0.25"/>
    <row r="188" customFormat="1" ht="15" x14ac:dyDescent="0.25"/>
    <row r="189" customFormat="1" ht="15" x14ac:dyDescent="0.25"/>
    <row r="190" customFormat="1" ht="15" x14ac:dyDescent="0.25"/>
    <row r="191" customFormat="1" ht="15" x14ac:dyDescent="0.25"/>
    <row r="192" customFormat="1" ht="15" x14ac:dyDescent="0.25"/>
    <row r="193" customFormat="1" ht="1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E474-87F3-4310-A302-3A5F65CCA00D}">
  <sheetPr>
    <tabColor rgb="FF00B050"/>
    <outlinePr summaryBelow="0"/>
  </sheetPr>
  <dimension ref="B2:R54"/>
  <sheetViews>
    <sheetView showGridLines="0" topLeftCell="A3" workbookViewId="0">
      <selection activeCell="N32" sqref="N32"/>
    </sheetView>
  </sheetViews>
  <sheetFormatPr defaultRowHeight="14.25" x14ac:dyDescent="0.2"/>
  <cols>
    <col min="1" max="2" width="9.140625" style="12"/>
    <col min="3" max="3" width="10.7109375" style="12" customWidth="1"/>
    <col min="4" max="5" width="11.7109375" style="12" bestFit="1" customWidth="1"/>
    <col min="6" max="7" width="12.5703125" style="12" bestFit="1" customWidth="1"/>
    <col min="8" max="8" width="12.7109375" style="12" bestFit="1" customWidth="1"/>
    <col min="9" max="9" width="10.28515625" style="12" bestFit="1" customWidth="1"/>
    <col min="10" max="10" width="10.42578125" style="12" bestFit="1" customWidth="1"/>
    <col min="11" max="12" width="11" style="12" bestFit="1" customWidth="1"/>
    <col min="13" max="13" width="13" style="12" bestFit="1" customWidth="1"/>
    <col min="14" max="14" width="13.28515625" style="12" bestFit="1" customWidth="1"/>
    <col min="15" max="17" width="14.28515625" style="12" bestFit="1" customWidth="1"/>
    <col min="18" max="18" width="10.28515625" style="12" bestFit="1" customWidth="1"/>
    <col min="19" max="19" width="9.85546875" style="12" bestFit="1" customWidth="1"/>
    <col min="20" max="20" width="9.140625" style="12"/>
    <col min="21" max="21" width="11" style="12" bestFit="1" customWidth="1"/>
    <col min="22" max="16384" width="9.140625" style="12"/>
  </cols>
  <sheetData>
    <row r="2" spans="2:18" ht="14.25" customHeight="1" x14ac:dyDescent="0.2">
      <c r="B2" s="405" t="s">
        <v>160</v>
      </c>
      <c r="C2" s="405"/>
      <c r="D2" s="405"/>
      <c r="E2" s="405"/>
      <c r="F2" s="275"/>
      <c r="G2" s="362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</row>
    <row r="3" spans="2:18" ht="14.25" customHeight="1" x14ac:dyDescent="0.2">
      <c r="B3" s="405"/>
      <c r="C3" s="405"/>
      <c r="D3" s="405"/>
      <c r="E3" s="40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</row>
    <row r="4" spans="2:18" ht="14.25" customHeight="1" x14ac:dyDescent="0.2">
      <c r="B4" s="405"/>
      <c r="C4" s="405"/>
      <c r="D4" s="405"/>
      <c r="E4" s="40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75"/>
      <c r="R4" s="275"/>
    </row>
    <row r="5" spans="2:18" ht="14.25" customHeight="1" x14ac:dyDescent="0.2">
      <c r="B5" s="405"/>
      <c r="C5" s="405"/>
      <c r="D5" s="405"/>
      <c r="E5" s="40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  <c r="R5" s="275"/>
    </row>
    <row r="6" spans="2:18" ht="14.25" customHeight="1" x14ac:dyDescent="0.2">
      <c r="B6" s="405"/>
      <c r="C6" s="405"/>
      <c r="D6" s="405"/>
      <c r="E6" s="405"/>
      <c r="F6" s="275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  <c r="R6" s="275"/>
    </row>
    <row r="7" spans="2:18" ht="14.25" customHeight="1" x14ac:dyDescent="0.2">
      <c r="B7" s="406" t="s">
        <v>162</v>
      </c>
      <c r="C7" s="406"/>
      <c r="D7" s="406"/>
      <c r="E7" s="284"/>
      <c r="F7" s="276">
        <v>120.74</v>
      </c>
      <c r="G7" s="275"/>
      <c r="H7" s="275"/>
      <c r="I7" s="275"/>
      <c r="J7" s="275"/>
      <c r="K7" s="275"/>
      <c r="L7" s="275"/>
      <c r="M7" s="275"/>
      <c r="N7" s="275"/>
      <c r="O7" s="275"/>
      <c r="P7" s="275"/>
      <c r="Q7" s="275"/>
      <c r="R7" s="275"/>
    </row>
    <row r="8" spans="2:18" ht="23.25" x14ac:dyDescent="0.2">
      <c r="B8" s="406" t="s">
        <v>161</v>
      </c>
      <c r="C8" s="406"/>
      <c r="D8" s="406"/>
      <c r="E8" s="284"/>
      <c r="F8" s="277">
        <v>2702</v>
      </c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5"/>
      <c r="R8" s="275"/>
    </row>
    <row r="9" spans="2:18" ht="14.25" customHeight="1" x14ac:dyDescent="0.2">
      <c r="B9" s="407" t="s">
        <v>163</v>
      </c>
      <c r="C9" s="407"/>
      <c r="D9" s="407"/>
      <c r="E9" s="284"/>
      <c r="F9" s="276">
        <f>($F$7*$F$8)</f>
        <v>326239.48</v>
      </c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</row>
    <row r="10" spans="2:18" ht="14.25" customHeight="1" x14ac:dyDescent="0.2">
      <c r="B10" s="284"/>
      <c r="C10" s="284"/>
      <c r="D10" s="284"/>
      <c r="E10" s="284"/>
      <c r="F10" s="275"/>
      <c r="G10" s="275"/>
      <c r="H10" s="275"/>
      <c r="I10" s="275"/>
      <c r="J10" s="275"/>
      <c r="K10" s="275"/>
      <c r="L10" s="275"/>
      <c r="M10" s="275"/>
      <c r="N10" s="275"/>
      <c r="O10" s="275"/>
      <c r="P10" s="275"/>
      <c r="Q10" s="275"/>
      <c r="R10" s="275"/>
    </row>
    <row r="15" spans="2:18" x14ac:dyDescent="0.2">
      <c r="B15" s="410" t="s">
        <v>168</v>
      </c>
      <c r="C15" s="411"/>
      <c r="D15" s="411"/>
      <c r="E15" s="412"/>
    </row>
    <row r="16" spans="2:18" x14ac:dyDescent="0.2">
      <c r="B16" s="384" t="s">
        <v>210</v>
      </c>
      <c r="C16" s="26"/>
      <c r="D16" s="26"/>
      <c r="E16" s="382">
        <f>WACC!$C$31</f>
        <v>0.10714161130897842</v>
      </c>
    </row>
    <row r="17" spans="2:8" x14ac:dyDescent="0.2">
      <c r="B17" s="385" t="s">
        <v>226</v>
      </c>
      <c r="C17" s="128"/>
      <c r="D17" s="128"/>
      <c r="E17" s="383">
        <v>0.03</v>
      </c>
    </row>
    <row r="21" spans="2:8" ht="20.25" x14ac:dyDescent="0.3">
      <c r="B21" s="408" t="s">
        <v>211</v>
      </c>
      <c r="C21" s="409"/>
      <c r="D21" s="409"/>
      <c r="E21" s="409"/>
      <c r="F21" s="409"/>
    </row>
    <row r="22" spans="2:8" ht="15" x14ac:dyDescent="0.25">
      <c r="B22" s="95" t="s">
        <v>149</v>
      </c>
      <c r="C22" s="14"/>
    </row>
    <row r="25" spans="2:8" x14ac:dyDescent="0.2">
      <c r="D25" s="347" t="s">
        <v>15</v>
      </c>
      <c r="E25" s="348" t="s">
        <v>16</v>
      </c>
      <c r="F25" s="347" t="s">
        <v>17</v>
      </c>
      <c r="G25" s="348" t="s">
        <v>18</v>
      </c>
      <c r="H25" s="347" t="s">
        <v>19</v>
      </c>
    </row>
    <row r="27" spans="2:8" x14ac:dyDescent="0.2">
      <c r="B27" s="31" t="s">
        <v>145</v>
      </c>
      <c r="D27" s="47">
        <f>'Financial Statements '!M65</f>
        <v>42912.111999999994</v>
      </c>
      <c r="E27" s="47">
        <f>'Financial Statements '!N65</f>
        <v>48061.565440000006</v>
      </c>
      <c r="F27" s="47">
        <f>'Financial Statements '!O65</f>
        <v>53348.337638400015</v>
      </c>
      <c r="G27" s="47">
        <f>'Financial Statements '!P65</f>
        <v>58683.171402239983</v>
      </c>
      <c r="H27" s="47">
        <f>'Financial Statements '!Q65</f>
        <v>63964.656828441599</v>
      </c>
    </row>
    <row r="28" spans="2:8" x14ac:dyDescent="0.2">
      <c r="B28" s="33" t="s">
        <v>212</v>
      </c>
      <c r="D28" s="378">
        <f>1-'Financial Statements '!M28</f>
        <v>0.79</v>
      </c>
      <c r="E28" s="378">
        <f>1-'Financial Statements '!N28</f>
        <v>0.79</v>
      </c>
      <c r="F28" s="378">
        <f>1-'Financial Statements '!O28</f>
        <v>0.79</v>
      </c>
      <c r="G28" s="378">
        <f>1-'Financial Statements '!P28</f>
        <v>0.79</v>
      </c>
      <c r="H28" s="378">
        <f>1-'Financial Statements '!Q28</f>
        <v>0.79</v>
      </c>
    </row>
    <row r="29" spans="2:8" x14ac:dyDescent="0.2">
      <c r="B29" s="376" t="s">
        <v>213</v>
      </c>
      <c r="C29" s="363"/>
      <c r="D29" s="379">
        <f>D27*D28</f>
        <v>33900.568479999994</v>
      </c>
      <c r="E29" s="379">
        <f t="shared" ref="E29:H29" si="0">E27*E28</f>
        <v>37968.636697600006</v>
      </c>
      <c r="F29" s="379">
        <f t="shared" si="0"/>
        <v>42145.186734336014</v>
      </c>
      <c r="G29" s="379">
        <f t="shared" si="0"/>
        <v>46359.705407769587</v>
      </c>
      <c r="H29" s="379">
        <f t="shared" si="0"/>
        <v>50532.078894468868</v>
      </c>
    </row>
    <row r="30" spans="2:8" x14ac:dyDescent="0.2">
      <c r="B30" s="33" t="s">
        <v>214</v>
      </c>
      <c r="D30" s="31">
        <f>'Financial Statements '!M150</f>
        <v>9928</v>
      </c>
      <c r="E30" s="31">
        <f>'Financial Statements '!N150</f>
        <v>11074.000000000002</v>
      </c>
      <c r="F30" s="31">
        <f>'Financial Statements '!O150</f>
        <v>12235.280000000002</v>
      </c>
      <c r="G30" s="31">
        <f>'Financial Statements '!P150</f>
        <v>13411.508000000003</v>
      </c>
      <c r="H30" s="31">
        <f>'Financial Statements '!Q150</f>
        <v>14597.583720000004</v>
      </c>
    </row>
    <row r="31" spans="2:8" x14ac:dyDescent="0.2">
      <c r="B31" s="33" t="s">
        <v>215</v>
      </c>
      <c r="D31" s="87">
        <f>-('Financial Statements '!M137-'Financial Statements '!L137)</f>
        <v>-1524.5486109589001</v>
      </c>
      <c r="E31" s="87">
        <f>-('Financial Statements '!N137-'Financial Statements '!M137)</f>
        <v>638.81416668492966</v>
      </c>
      <c r="F31" s="87">
        <f>-('Financial Statements '!O137-'Financial Statements '!N137)</f>
        <v>655.84921112986922</v>
      </c>
      <c r="G31" s="87">
        <f>-('Financial Statements '!P137-'Financial Statements '!O137)</f>
        <v>661.81147668558697</v>
      </c>
      <c r="H31" s="87">
        <f>-('Financial Statements '!Q137-'Financial Statements '!P137)</f>
        <v>655.19336191874027</v>
      </c>
    </row>
    <row r="32" spans="2:8" x14ac:dyDescent="0.2">
      <c r="B32" s="33" t="s">
        <v>157</v>
      </c>
      <c r="D32" s="87">
        <f>-'Fixed Assets'!M20</f>
        <v>-28161.073499999995</v>
      </c>
      <c r="E32" s="87">
        <f>-'Fixed Assets'!N20</f>
        <v>-30789.440359999997</v>
      </c>
      <c r="F32" s="87">
        <f>-'Fixed Assets'!O20</f>
        <v>-33342.711023999997</v>
      </c>
      <c r="G32" s="87">
        <f>-'Fixed Assets'!P20</f>
        <v>-35760.057573239996</v>
      </c>
      <c r="H32" s="87">
        <f>-'Fixed Assets'!Q20</f>
        <v>-37979.014991887198</v>
      </c>
    </row>
    <row r="33" spans="2:18" x14ac:dyDescent="0.2">
      <c r="B33" s="340" t="s">
        <v>223</v>
      </c>
      <c r="C33" s="363"/>
      <c r="D33" s="380">
        <f>SUM(D29:D32)</f>
        <v>14142.946369041096</v>
      </c>
      <c r="E33" s="380">
        <f t="shared" ref="E33:H33" si="1">SUM(E29:E32)</f>
        <v>18892.010504284943</v>
      </c>
      <c r="F33" s="380">
        <f t="shared" si="1"/>
        <v>21693.604921465892</v>
      </c>
      <c r="G33" s="380">
        <f t="shared" si="1"/>
        <v>24672.96731121518</v>
      </c>
      <c r="H33" s="380">
        <f t="shared" si="1"/>
        <v>27805.840984500413</v>
      </c>
      <c r="N33" s="381"/>
    </row>
    <row r="34" spans="2:18" x14ac:dyDescent="0.2">
      <c r="B34" s="377" t="s">
        <v>224</v>
      </c>
    </row>
    <row r="38" spans="2:18" ht="20.25" x14ac:dyDescent="0.3">
      <c r="B38" s="402" t="s">
        <v>225</v>
      </c>
      <c r="C38" s="403"/>
      <c r="D38" s="403"/>
      <c r="E38" s="403"/>
      <c r="F38" s="403"/>
      <c r="G38" s="403"/>
      <c r="H38" s="404"/>
    </row>
    <row r="39" spans="2:18" x14ac:dyDescent="0.2">
      <c r="B39" s="364"/>
      <c r="C39" s="26"/>
      <c r="D39" s="26"/>
      <c r="E39" s="26"/>
      <c r="F39" s="26"/>
      <c r="G39" s="26"/>
      <c r="H39" s="365"/>
    </row>
    <row r="40" spans="2:18" x14ac:dyDescent="0.2">
      <c r="B40" s="351" t="s">
        <v>228</v>
      </c>
      <c r="C40" s="26"/>
      <c r="D40" s="27">
        <v>1</v>
      </c>
      <c r="E40" s="27">
        <v>2</v>
      </c>
      <c r="F40" s="27">
        <v>3</v>
      </c>
      <c r="G40" s="27">
        <v>4</v>
      </c>
      <c r="H40" s="352">
        <v>5</v>
      </c>
    </row>
    <row r="41" spans="2:18" x14ac:dyDescent="0.2">
      <c r="B41" s="351" t="s">
        <v>224</v>
      </c>
      <c r="C41" s="26"/>
      <c r="D41" s="353">
        <f>D33</f>
        <v>14142.946369041096</v>
      </c>
      <c r="E41" s="353">
        <f t="shared" ref="E41:H41" si="2">E33</f>
        <v>18892.010504284943</v>
      </c>
      <c r="F41" s="353">
        <f t="shared" si="2"/>
        <v>21693.604921465892</v>
      </c>
      <c r="G41" s="353">
        <f t="shared" si="2"/>
        <v>24672.96731121518</v>
      </c>
      <c r="H41" s="354">
        <f t="shared" si="2"/>
        <v>27805.840984500413</v>
      </c>
    </row>
    <row r="42" spans="2:18" x14ac:dyDescent="0.2">
      <c r="B42" s="351" t="s">
        <v>210</v>
      </c>
      <c r="C42" s="26"/>
      <c r="D42" s="355">
        <f>$E$16</f>
        <v>0.10714161130897842</v>
      </c>
      <c r="E42" s="355">
        <f t="shared" ref="E42:H42" si="3">$E$16</f>
        <v>0.10714161130897842</v>
      </c>
      <c r="F42" s="355">
        <f t="shared" si="3"/>
        <v>0.10714161130897842</v>
      </c>
      <c r="G42" s="355">
        <f t="shared" si="3"/>
        <v>0.10714161130897842</v>
      </c>
      <c r="H42" s="356">
        <f t="shared" si="3"/>
        <v>0.10714161130897842</v>
      </c>
    </row>
    <row r="43" spans="2:18" ht="15" x14ac:dyDescent="0.25">
      <c r="B43" s="351" t="s">
        <v>226</v>
      </c>
      <c r="C43" s="26"/>
      <c r="D43" s="27"/>
      <c r="E43" s="27"/>
      <c r="F43" s="27"/>
      <c r="G43" s="27"/>
      <c r="H43" s="330">
        <f>$E$17</f>
        <v>0.03</v>
      </c>
      <c r="J43" s="399" t="s">
        <v>239</v>
      </c>
      <c r="K43" s="400"/>
      <c r="L43" s="400"/>
      <c r="M43" s="400"/>
      <c r="N43" s="400"/>
      <c r="O43" s="400"/>
      <c r="P43" s="400"/>
      <c r="Q43" s="400"/>
      <c r="R43" s="401"/>
    </row>
    <row r="44" spans="2:18" ht="15" x14ac:dyDescent="0.25">
      <c r="B44" s="351" t="s">
        <v>227</v>
      </c>
      <c r="C44" s="26"/>
      <c r="D44" s="27"/>
      <c r="E44" s="27"/>
      <c r="F44" s="27"/>
      <c r="G44" s="27"/>
      <c r="H44" s="357">
        <f>(H41*(1+H43))/(H42-H43)</f>
        <v>371265.46526650066</v>
      </c>
      <c r="J44" s="364"/>
      <c r="K44" s="26"/>
      <c r="L44" s="395" t="s">
        <v>210</v>
      </c>
      <c r="M44" s="395"/>
      <c r="N44" s="395"/>
      <c r="O44" s="395"/>
      <c r="P44" s="395"/>
      <c r="Q44" s="395"/>
      <c r="R44" s="396"/>
    </row>
    <row r="45" spans="2:18" ht="15" x14ac:dyDescent="0.25">
      <c r="B45" s="351" t="s">
        <v>229</v>
      </c>
      <c r="C45" s="26"/>
      <c r="D45" s="358">
        <f>1/(1+D42)^D40</f>
        <v>0.90322682282503641</v>
      </c>
      <c r="E45" s="358">
        <f t="shared" ref="E45:H45" si="4">1/(1+E42)^E40</f>
        <v>0.81581869347060965</v>
      </c>
      <c r="F45" s="358">
        <f t="shared" si="4"/>
        <v>0.73686932650473091</v>
      </c>
      <c r="G45" s="358">
        <f t="shared" si="4"/>
        <v>0.66556014061609248</v>
      </c>
      <c r="H45" s="359">
        <f t="shared" si="4"/>
        <v>0.60115177120765761</v>
      </c>
      <c r="J45" s="364"/>
      <c r="K45" s="386">
        <f>$H$54</f>
        <v>122.61689936080103</v>
      </c>
      <c r="L45" s="387">
        <v>9.5000000000000001E-2</v>
      </c>
      <c r="M45" s="388">
        <v>0.1</v>
      </c>
      <c r="N45" s="387">
        <v>0.105</v>
      </c>
      <c r="O45" s="388">
        <v>0.11</v>
      </c>
      <c r="P45" s="387">
        <v>0.115</v>
      </c>
      <c r="Q45" s="388">
        <v>0.12</v>
      </c>
      <c r="R45" s="389">
        <v>0.125</v>
      </c>
    </row>
    <row r="46" spans="2:18" x14ac:dyDescent="0.2">
      <c r="B46" s="351" t="s">
        <v>231</v>
      </c>
      <c r="C46" s="26"/>
      <c r="D46" s="360">
        <f>D45*D41</f>
        <v>12774.288514293874</v>
      </c>
      <c r="E46" s="360">
        <f t="shared" ref="E46:H46" si="5">E45*E41</f>
        <v>15412.455326638776</v>
      </c>
      <c r="F46" s="360">
        <f t="shared" si="5"/>
        <v>15985.352047940289</v>
      </c>
      <c r="G46" s="360">
        <f t="shared" si="5"/>
        <v>16421.343593068628</v>
      </c>
      <c r="H46" s="357">
        <f t="shared" si="5"/>
        <v>16715.530557750903</v>
      </c>
      <c r="J46" s="397" t="s">
        <v>226</v>
      </c>
      <c r="K46" s="388">
        <v>0.02</v>
      </c>
      <c r="L46" s="391">
        <f t="dataTable" ref="L46:R54" dt2D="1" dtr="1" r1="E16" r2="E17"/>
        <v>129.92315034118121</v>
      </c>
      <c r="M46" s="391">
        <v>122.07002037019662</v>
      </c>
      <c r="N46" s="391">
        <v>115.1479082163503</v>
      </c>
      <c r="O46" s="391">
        <v>109.00149060201031</v>
      </c>
      <c r="P46" s="391">
        <v>103.50814797307629</v>
      </c>
      <c r="Q46" s="391">
        <v>98.569788440201805</v>
      </c>
      <c r="R46" s="392">
        <v>94.10700774139174</v>
      </c>
    </row>
    <row r="47" spans="2:18" x14ac:dyDescent="0.2">
      <c r="B47" s="351" t="s">
        <v>230</v>
      </c>
      <c r="C47" s="26"/>
      <c r="D47" s="27"/>
      <c r="E47" s="27"/>
      <c r="F47" s="27"/>
      <c r="G47" s="27"/>
      <c r="H47" s="357">
        <f>H44*H45</f>
        <v>223186.89203319195</v>
      </c>
      <c r="J47" s="397"/>
      <c r="K47" s="388">
        <v>2.5000000000000001E-2</v>
      </c>
      <c r="L47" s="391">
        <v>136.74033274487238</v>
      </c>
      <c r="M47" s="391">
        <v>127.92733702765877</v>
      </c>
      <c r="N47" s="391">
        <v>120.22321933298092</v>
      </c>
      <c r="O47" s="391">
        <v>113.43213958113516</v>
      </c>
      <c r="P47" s="391">
        <v>107.40178183487083</v>
      </c>
      <c r="Q47" s="391">
        <v>102.01190044902565</v>
      </c>
      <c r="R47" s="392">
        <v>97.166302379866508</v>
      </c>
    </row>
    <row r="48" spans="2:18" ht="15" x14ac:dyDescent="0.25">
      <c r="B48" s="366" t="s">
        <v>232</v>
      </c>
      <c r="C48" s="135"/>
      <c r="D48" s="135"/>
      <c r="E48" s="135"/>
      <c r="F48" s="135"/>
      <c r="G48" s="135"/>
      <c r="H48" s="367">
        <f>SUM(D46:H46,H47)</f>
        <v>300495.8620728844</v>
      </c>
      <c r="J48" s="397"/>
      <c r="K48" s="388">
        <v>0.03</v>
      </c>
      <c r="L48" s="391">
        <v>144.60631244143912</v>
      </c>
      <c r="M48" s="391">
        <v>134.62141320761552</v>
      </c>
      <c r="N48" s="391">
        <v>125.97523859849561</v>
      </c>
      <c r="O48" s="391">
        <v>118.41661968265063</v>
      </c>
      <c r="P48" s="391">
        <v>111.7534902686412</v>
      </c>
      <c r="Q48" s="391">
        <v>105.83646934771886</v>
      </c>
      <c r="R48" s="392">
        <v>100.54762803291757</v>
      </c>
    </row>
    <row r="49" spans="2:18" x14ac:dyDescent="0.2">
      <c r="B49" s="368" t="s">
        <v>233</v>
      </c>
      <c r="C49" s="26"/>
      <c r="D49" s="26"/>
      <c r="E49" s="26"/>
      <c r="F49" s="26"/>
      <c r="G49" s="26"/>
      <c r="H49" s="369">
        <f>'Financial Statements '!L87</f>
        <v>14681</v>
      </c>
      <c r="J49" s="397"/>
      <c r="K49" s="388">
        <v>3.5000000000000003E-2</v>
      </c>
      <c r="L49" s="391">
        <v>153.78328875410034</v>
      </c>
      <c r="M49" s="391">
        <v>142.34534726141177</v>
      </c>
      <c r="N49" s="391">
        <v>132.54897490194094</v>
      </c>
      <c r="O49" s="391">
        <v>124.06569713103484</v>
      </c>
      <c r="P49" s="391">
        <v>116.64916225663289</v>
      </c>
      <c r="Q49" s="391">
        <v>110.11098752861125</v>
      </c>
      <c r="R49" s="392">
        <v>104.30465653630763</v>
      </c>
    </row>
    <row r="50" spans="2:18" x14ac:dyDescent="0.2">
      <c r="B50" s="361" t="s">
        <v>134</v>
      </c>
      <c r="C50" s="26"/>
      <c r="D50" s="26"/>
      <c r="E50" s="26"/>
      <c r="F50" s="26"/>
      <c r="G50" s="26"/>
      <c r="H50" s="370">
        <f>'Financial Statements '!L88</f>
        <v>26057</v>
      </c>
      <c r="J50" s="397"/>
      <c r="K50" s="388">
        <v>0.04</v>
      </c>
      <c r="L50" s="391">
        <v>164.62880621451816</v>
      </c>
      <c r="M50" s="391">
        <v>151.35660365750743</v>
      </c>
      <c r="N50" s="391">
        <v>140.1340552520702</v>
      </c>
      <c r="O50" s="391">
        <v>130.52178564347395</v>
      </c>
      <c r="P50" s="391">
        <v>122.19759050969013</v>
      </c>
      <c r="Q50" s="391">
        <v>114.91982048211523</v>
      </c>
      <c r="R50" s="392">
        <v>108.50368839303773</v>
      </c>
    </row>
    <row r="51" spans="2:18" x14ac:dyDescent="0.2">
      <c r="B51" s="368" t="s">
        <v>234</v>
      </c>
      <c r="C51" s="26"/>
      <c r="D51" s="26"/>
      <c r="E51" s="26"/>
      <c r="F51" s="26"/>
      <c r="G51" s="26"/>
      <c r="H51" s="370">
        <f>-('Financial Statements '!L109)</f>
        <v>-9923</v>
      </c>
      <c r="J51" s="397"/>
      <c r="K51" s="388">
        <v>4.4999999999999998E-2</v>
      </c>
      <c r="L51" s="391">
        <v>177.64342716701947</v>
      </c>
      <c r="M51" s="391">
        <v>162.00627030743863</v>
      </c>
      <c r="N51" s="391">
        <v>148.98331566055435</v>
      </c>
      <c r="O51" s="391">
        <v>137.9711185424421</v>
      </c>
      <c r="P51" s="391">
        <v>128.53865137032693</v>
      </c>
      <c r="Q51" s="391">
        <v>120.369831162753</v>
      </c>
      <c r="R51" s="392">
        <v>113.22759923185905</v>
      </c>
    </row>
    <row r="52" spans="2:18" ht="15" x14ac:dyDescent="0.25">
      <c r="B52" s="366" t="s">
        <v>235</v>
      </c>
      <c r="C52" s="363"/>
      <c r="D52" s="363"/>
      <c r="E52" s="363"/>
      <c r="F52" s="363"/>
      <c r="G52" s="363"/>
      <c r="H52" s="371">
        <f>SUM(H48:H51)</f>
        <v>331310.8620728844</v>
      </c>
      <c r="J52" s="397"/>
      <c r="K52" s="388">
        <v>0.05</v>
      </c>
      <c r="L52" s="391">
        <v>193.55018610896565</v>
      </c>
      <c r="M52" s="391">
        <v>174.78587028735609</v>
      </c>
      <c r="N52" s="391">
        <v>159.4415325069447</v>
      </c>
      <c r="O52" s="391">
        <v>146.66200692457164</v>
      </c>
      <c r="P52" s="391">
        <v>135.85526005567715</v>
      </c>
      <c r="Q52" s="391">
        <v>126.59841479776762</v>
      </c>
      <c r="R52" s="392">
        <v>118.58136484918992</v>
      </c>
    </row>
    <row r="53" spans="2:18" x14ac:dyDescent="0.2">
      <c r="B53" s="364" t="s">
        <v>236</v>
      </c>
      <c r="C53" s="26"/>
      <c r="D53" s="26"/>
      <c r="E53" s="26"/>
      <c r="F53" s="26"/>
      <c r="G53" s="26"/>
      <c r="H53" s="372">
        <f>F8</f>
        <v>2702</v>
      </c>
      <c r="J53" s="397"/>
      <c r="K53" s="388">
        <v>5.5E-2</v>
      </c>
      <c r="L53" s="391">
        <v>213.43363478639822</v>
      </c>
      <c r="M53" s="391">
        <v>190.40538137392187</v>
      </c>
      <c r="N53" s="391">
        <v>171.99139272261314</v>
      </c>
      <c r="O53" s="391">
        <v>156.93305683072472</v>
      </c>
      <c r="P53" s="391">
        <v>144.39130352191904</v>
      </c>
      <c r="Q53" s="391">
        <v>133.78524206893835</v>
      </c>
      <c r="R53" s="392">
        <v>124.69995412613945</v>
      </c>
    </row>
    <row r="54" spans="2:18" ht="15" x14ac:dyDescent="0.25">
      <c r="B54" s="373" t="s">
        <v>237</v>
      </c>
      <c r="C54" s="374"/>
      <c r="D54" s="374"/>
      <c r="E54" s="374"/>
      <c r="F54" s="374"/>
      <c r="G54" s="374"/>
      <c r="H54" s="375">
        <f>H52/H53</f>
        <v>122.61689936080103</v>
      </c>
      <c r="J54" s="398"/>
      <c r="K54" s="390">
        <v>0.06</v>
      </c>
      <c r="L54" s="393">
        <v>238.99806880024016</v>
      </c>
      <c r="M54" s="393">
        <v>209.92977023212907</v>
      </c>
      <c r="N54" s="393">
        <v>187.33011076398563</v>
      </c>
      <c r="O54" s="393">
        <v>169.25831671810843</v>
      </c>
      <c r="P54" s="393">
        <v>154.47935489111404</v>
      </c>
      <c r="Q54" s="393">
        <v>142.16987388530418</v>
      </c>
      <c r="R54" s="394">
        <v>131.75986483031198</v>
      </c>
    </row>
  </sheetData>
  <mergeCells count="10">
    <mergeCell ref="L44:R44"/>
    <mergeCell ref="J46:J54"/>
    <mergeCell ref="J43:R43"/>
    <mergeCell ref="B38:H38"/>
    <mergeCell ref="B2:E6"/>
    <mergeCell ref="B7:D7"/>
    <mergeCell ref="B8:D8"/>
    <mergeCell ref="B9:D9"/>
    <mergeCell ref="B21:F21"/>
    <mergeCell ref="B15:E15"/>
  </mergeCells>
  <conditionalFormatting sqref="L46:R5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7E45-F58B-4E43-A3A1-7A10E923F28C}">
  <sheetPr>
    <outlinePr summaryBelow="0"/>
  </sheetPr>
  <dimension ref="B2:R198"/>
  <sheetViews>
    <sheetView showGridLines="0" workbookViewId="0">
      <selection activeCell="H27" sqref="H27"/>
    </sheetView>
  </sheetViews>
  <sheetFormatPr defaultRowHeight="14.25" outlineLevelRow="5" x14ac:dyDescent="0.2"/>
  <cols>
    <col min="1" max="4" width="9.140625" style="12"/>
    <col min="5" max="5" width="20.42578125" style="12" bestFit="1" customWidth="1"/>
    <col min="6" max="6" width="26.42578125" style="12" customWidth="1"/>
    <col min="7" max="7" width="12.28515625" style="12" bestFit="1" customWidth="1"/>
    <col min="8" max="9" width="10.28515625" style="12" bestFit="1" customWidth="1"/>
    <col min="10" max="10" width="10.42578125" style="12" bestFit="1" customWidth="1"/>
    <col min="11" max="12" width="11" style="12" bestFit="1" customWidth="1"/>
    <col min="13" max="14" width="13" style="12" bestFit="1" customWidth="1"/>
    <col min="15" max="17" width="14.28515625" style="12" bestFit="1" customWidth="1"/>
    <col min="18" max="18" width="10.28515625" style="12" bestFit="1" customWidth="1"/>
    <col min="19" max="19" width="9.85546875" style="12" bestFit="1" customWidth="1"/>
    <col min="20" max="20" width="9.140625" style="12"/>
    <col min="21" max="21" width="11" style="12" bestFit="1" customWidth="1"/>
    <col min="22" max="16384" width="9.140625" style="12"/>
  </cols>
  <sheetData>
    <row r="2" spans="2:18" ht="14.25" customHeight="1" x14ac:dyDescent="0.25">
      <c r="B2" s="405" t="s">
        <v>160</v>
      </c>
      <c r="C2" s="405"/>
      <c r="D2" s="405"/>
      <c r="E2" s="405"/>
      <c r="F2" s="275"/>
      <c r="G2" s="282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</row>
    <row r="3" spans="2:18" ht="14.25" customHeight="1" x14ac:dyDescent="0.2">
      <c r="B3" s="405"/>
      <c r="C3" s="405"/>
      <c r="D3" s="405"/>
      <c r="E3" s="40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</row>
    <row r="4" spans="2:18" ht="14.25" customHeight="1" x14ac:dyDescent="0.2">
      <c r="B4" s="405"/>
      <c r="C4" s="405"/>
      <c r="D4" s="405"/>
      <c r="E4" s="40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75"/>
      <c r="R4" s="275"/>
    </row>
    <row r="5" spans="2:18" ht="14.25" customHeight="1" x14ac:dyDescent="0.2">
      <c r="B5" s="405"/>
      <c r="C5" s="405"/>
      <c r="D5" s="405"/>
      <c r="E5" s="40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  <c r="R5" s="275"/>
    </row>
    <row r="6" spans="2:18" ht="14.25" customHeight="1" x14ac:dyDescent="0.2">
      <c r="B6" s="405"/>
      <c r="C6" s="405"/>
      <c r="D6" s="405"/>
      <c r="E6" s="405"/>
      <c r="F6" s="275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  <c r="R6" s="275"/>
    </row>
    <row r="7" spans="2:18" ht="14.25" customHeight="1" x14ac:dyDescent="0.2">
      <c r="B7" s="406" t="s">
        <v>162</v>
      </c>
      <c r="C7" s="406"/>
      <c r="D7" s="406"/>
      <c r="E7" s="274"/>
      <c r="F7" s="276">
        <v>120.74</v>
      </c>
      <c r="G7" s="275"/>
      <c r="H7" s="275"/>
      <c r="I7" s="275"/>
      <c r="J7" s="275"/>
      <c r="K7" s="275"/>
      <c r="L7" s="275"/>
      <c r="M7" s="275"/>
      <c r="N7" s="275"/>
      <c r="O7" s="275"/>
      <c r="P7" s="275"/>
      <c r="Q7" s="275"/>
      <c r="R7" s="275"/>
    </row>
    <row r="8" spans="2:18" ht="23.25" x14ac:dyDescent="0.2">
      <c r="B8" s="406" t="s">
        <v>161</v>
      </c>
      <c r="C8" s="406"/>
      <c r="D8" s="406"/>
      <c r="E8" s="274"/>
      <c r="F8" s="277">
        <v>2702</v>
      </c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5"/>
      <c r="R8" s="275"/>
    </row>
    <row r="9" spans="2:18" ht="14.25" customHeight="1" x14ac:dyDescent="0.2">
      <c r="B9" s="407" t="s">
        <v>163</v>
      </c>
      <c r="C9" s="407"/>
      <c r="D9" s="407"/>
      <c r="E9" s="274"/>
      <c r="F9" s="276">
        <f>($F$7*$F$8)</f>
        <v>326239.48</v>
      </c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</row>
    <row r="10" spans="2:18" ht="14.25" customHeight="1" x14ac:dyDescent="0.2">
      <c r="B10" s="274"/>
      <c r="C10" s="274"/>
      <c r="D10" s="274"/>
      <c r="E10" s="274"/>
      <c r="F10" s="275"/>
      <c r="G10" s="275"/>
      <c r="H10" s="275"/>
      <c r="I10" s="275"/>
      <c r="J10" s="275"/>
      <c r="K10" s="275"/>
      <c r="L10" s="275"/>
      <c r="M10" s="275"/>
      <c r="N10" s="275"/>
      <c r="O10" s="275"/>
      <c r="P10" s="275"/>
      <c r="Q10" s="275"/>
      <c r="R10" s="275"/>
    </row>
    <row r="11" spans="2:18" customFormat="1" ht="15" x14ac:dyDescent="0.25"/>
    <row r="12" spans="2:18" customFormat="1" ht="15" x14ac:dyDescent="0.25"/>
    <row r="13" spans="2:18" customFormat="1" ht="15" x14ac:dyDescent="0.25">
      <c r="B13" s="410" t="s">
        <v>168</v>
      </c>
      <c r="C13" s="412"/>
    </row>
    <row r="14" spans="2:18" customFormat="1" ht="15" x14ac:dyDescent="0.25">
      <c r="B14" s="327" t="s">
        <v>204</v>
      </c>
      <c r="C14" s="329">
        <f>'Cost of Equity Beta Regression'!H24</f>
        <v>1.7382053743022021</v>
      </c>
    </row>
    <row r="15" spans="2:18" customFormat="1" ht="15" x14ac:dyDescent="0.25">
      <c r="B15" s="327" t="s">
        <v>205</v>
      </c>
      <c r="C15" s="350">
        <v>0.04</v>
      </c>
    </row>
    <row r="16" spans="2:18" customFormat="1" ht="15" x14ac:dyDescent="0.25">
      <c r="B16" s="327" t="s">
        <v>207</v>
      </c>
      <c r="C16" s="330">
        <v>0.08</v>
      </c>
    </row>
    <row r="17" spans="2:6" customFormat="1" ht="15" outlineLevel="2" x14ac:dyDescent="0.25">
      <c r="B17" s="328" t="s">
        <v>208</v>
      </c>
      <c r="C17" s="331">
        <v>0.21</v>
      </c>
    </row>
    <row r="18" spans="2:6" customFormat="1" ht="15" outlineLevel="2" x14ac:dyDescent="0.25">
      <c r="B18" s="12"/>
      <c r="C18" s="12"/>
    </row>
    <row r="19" spans="2:6" customFormat="1" ht="15" outlineLevel="2" x14ac:dyDescent="0.25">
      <c r="B19" s="12"/>
      <c r="C19" s="12"/>
    </row>
    <row r="20" spans="2:6" customFormat="1" ht="20.25" outlineLevel="2" x14ac:dyDescent="0.3">
      <c r="B20" s="408" t="s">
        <v>206</v>
      </c>
      <c r="C20" s="409"/>
      <c r="D20" s="409"/>
      <c r="E20" s="409"/>
      <c r="F20" s="409"/>
    </row>
    <row r="21" spans="2:6" customFormat="1" ht="20.25" outlineLevel="2" x14ac:dyDescent="0.3">
      <c r="B21" s="318" t="s">
        <v>149</v>
      </c>
      <c r="C21" s="317"/>
      <c r="D21" s="317"/>
      <c r="E21" s="317"/>
      <c r="F21" s="317"/>
    </row>
    <row r="22" spans="2:6" customFormat="1" ht="20.25" outlineLevel="2" x14ac:dyDescent="0.3">
      <c r="B22" s="318"/>
      <c r="C22" s="317"/>
      <c r="D22" s="317"/>
      <c r="E22" s="317"/>
      <c r="F22" s="317"/>
    </row>
    <row r="23" spans="2:6" customFormat="1" ht="15" outlineLevel="2" x14ac:dyDescent="0.25">
      <c r="B23" t="s">
        <v>200</v>
      </c>
      <c r="E23" s="7">
        <f>$C$15+C14*($C$16-C15)</f>
        <v>0.10952821497208809</v>
      </c>
    </row>
    <row r="24" spans="2:6" customFormat="1" ht="15" outlineLevel="2" x14ac:dyDescent="0.25">
      <c r="B24" t="s">
        <v>201</v>
      </c>
      <c r="E24" s="322">
        <v>3.6299999999999999E-2</v>
      </c>
    </row>
    <row r="25" spans="2:6" customFormat="1" ht="15" outlineLevel="2" x14ac:dyDescent="0.25">
      <c r="E25" s="322"/>
    </row>
    <row r="26" spans="2:6" customFormat="1" ht="15" outlineLevel="2" x14ac:dyDescent="0.25">
      <c r="B26" t="s">
        <v>202</v>
      </c>
      <c r="E26" s="323">
        <f>'Long Term Debt'!G18</f>
        <v>9923</v>
      </c>
    </row>
    <row r="27" spans="2:6" customFormat="1" ht="15" outlineLevel="2" x14ac:dyDescent="0.25">
      <c r="B27" t="s">
        <v>203</v>
      </c>
      <c r="E27" s="319">
        <f>F9</f>
        <v>326239.48</v>
      </c>
    </row>
    <row r="28" spans="2:6" customFormat="1" ht="15" outlineLevel="2" x14ac:dyDescent="0.25">
      <c r="B28" s="326" t="s">
        <v>209</v>
      </c>
      <c r="C28" s="324"/>
      <c r="D28" s="324"/>
      <c r="E28" s="325">
        <f>$E$27+$E$26</f>
        <v>336162.48</v>
      </c>
    </row>
    <row r="29" spans="2:6" customFormat="1" ht="15" outlineLevel="2" x14ac:dyDescent="0.25"/>
    <row r="30" spans="2:6" customFormat="1" ht="15" outlineLevel="2" x14ac:dyDescent="0.25">
      <c r="B30" s="413" t="s">
        <v>198</v>
      </c>
      <c r="C30" s="414"/>
    </row>
    <row r="31" spans="2:6" customFormat="1" ht="15" outlineLevel="2" x14ac:dyDescent="0.25">
      <c r="B31" s="332" t="s">
        <v>210</v>
      </c>
      <c r="C31" s="349">
        <f>(($E$27/$E$28)*$E$23) + (($E$26/$E$28)*E24*(1-$C$17))</f>
        <v>0.10714161130897842</v>
      </c>
    </row>
    <row r="32" spans="2:6" customFormat="1" ht="15" outlineLevel="2" x14ac:dyDescent="0.25"/>
    <row r="33" customFormat="1" ht="15" outlineLevel="2" x14ac:dyDescent="0.25"/>
    <row r="34" customFormat="1" ht="15" outlineLevel="2" x14ac:dyDescent="0.25"/>
    <row r="35" customFormat="1" ht="15" outlineLevel="2" x14ac:dyDescent="0.25"/>
    <row r="36" customFormat="1" ht="15" outlineLevel="2" x14ac:dyDescent="0.25"/>
    <row r="37" customFormat="1" ht="15" outlineLevel="2" x14ac:dyDescent="0.25"/>
    <row r="38" customFormat="1" ht="15" outlineLevel="2" x14ac:dyDescent="0.25"/>
    <row r="39" customFormat="1" ht="15" outlineLevel="2" x14ac:dyDescent="0.25"/>
    <row r="40" customFormat="1" ht="15" outlineLevel="2" x14ac:dyDescent="0.25"/>
    <row r="41" customFormat="1" ht="15" outlineLevel="2" x14ac:dyDescent="0.25"/>
    <row r="42" customFormat="1" ht="15" outlineLevel="2" x14ac:dyDescent="0.25"/>
    <row r="43" customFormat="1" ht="15" outlineLevel="2" x14ac:dyDescent="0.25"/>
    <row r="44" customFormat="1" ht="15" outlineLevel="2" x14ac:dyDescent="0.25"/>
    <row r="45" customFormat="1" ht="15" outlineLevel="3" x14ac:dyDescent="0.25"/>
    <row r="46" customFormat="1" ht="15" outlineLevel="3" x14ac:dyDescent="0.25"/>
    <row r="47" customFormat="1" ht="15" outlineLevel="3" x14ac:dyDescent="0.25"/>
    <row r="48" customFormat="1" ht="15" outlineLevel="3" x14ac:dyDescent="0.25"/>
    <row r="49" customFormat="1" ht="15" outlineLevel="2" x14ac:dyDescent="0.25"/>
    <row r="50" customFormat="1" ht="15" outlineLevel="2" x14ac:dyDescent="0.25"/>
    <row r="51" customFormat="1" ht="15" outlineLevel="2" x14ac:dyDescent="0.25"/>
    <row r="52" customFormat="1" ht="15" outlineLevel="2" x14ac:dyDescent="0.25"/>
    <row r="53" customFormat="1" ht="15" outlineLevel="2" x14ac:dyDescent="0.25"/>
    <row r="54" customFormat="1" ht="15" outlineLevel="2" x14ac:dyDescent="0.25"/>
    <row r="55" customFormat="1" ht="15" outlineLevel="2" x14ac:dyDescent="0.25"/>
    <row r="56" customFormat="1" ht="15" outlineLevel="2" x14ac:dyDescent="0.25"/>
    <row r="57" customFormat="1" ht="15" outlineLevel="2" x14ac:dyDescent="0.25"/>
    <row r="58" customFormat="1" ht="15" outlineLevel="2" x14ac:dyDescent="0.25"/>
    <row r="59" customFormat="1" ht="15" outlineLevel="2" x14ac:dyDescent="0.25"/>
    <row r="60" customFormat="1" ht="15" outlineLevel="2" x14ac:dyDescent="0.25"/>
    <row r="61" customFormat="1" ht="15" outlineLevel="2" x14ac:dyDescent="0.25"/>
    <row r="62" customFormat="1" ht="15" outlineLevel="2" x14ac:dyDescent="0.25"/>
    <row r="63" customFormat="1" ht="15" outlineLevel="1" x14ac:dyDescent="0.25"/>
    <row r="64" customFormat="1" ht="15" outlineLevel="1" x14ac:dyDescent="0.25"/>
    <row r="65" customFormat="1" ht="15" outlineLevel="1" x14ac:dyDescent="0.25"/>
    <row r="66" customFormat="1" ht="15" outlineLevel="1" x14ac:dyDescent="0.25"/>
    <row r="67" customFormat="1" ht="15" outlineLevel="1" x14ac:dyDescent="0.25"/>
    <row r="68" customFormat="1" ht="15" outlineLevel="1" x14ac:dyDescent="0.25"/>
    <row r="69" customFormat="1" ht="15" outlineLevel="1" x14ac:dyDescent="0.25"/>
    <row r="70" customFormat="1" ht="15" outlineLevel="1" x14ac:dyDescent="0.25"/>
    <row r="71" customFormat="1" ht="15" outlineLevel="1" x14ac:dyDescent="0.25"/>
    <row r="72" customFormat="1" ht="15" outlineLevel="1" x14ac:dyDescent="0.25"/>
    <row r="73" customFormat="1" ht="15" x14ac:dyDescent="0.25"/>
    <row r="74" customFormat="1" ht="15" x14ac:dyDescent="0.25"/>
    <row r="75" customFormat="1" ht="15" outlineLevel="1" x14ac:dyDescent="0.25"/>
    <row r="76" customFormat="1" ht="15" outlineLevel="1" x14ac:dyDescent="0.25"/>
    <row r="77" customFormat="1" ht="15" outlineLevel="1" x14ac:dyDescent="0.25"/>
    <row r="78" customFormat="1" ht="15" outlineLevel="1" x14ac:dyDescent="0.25"/>
    <row r="79" customFormat="1" ht="15" outlineLevel="1" x14ac:dyDescent="0.25"/>
    <row r="80" customFormat="1" ht="15" outlineLevel="1" x14ac:dyDescent="0.25"/>
    <row r="81" customFormat="1" ht="15" outlineLevel="1" x14ac:dyDescent="0.25"/>
    <row r="82" customFormat="1" ht="15" outlineLevel="1" x14ac:dyDescent="0.25"/>
    <row r="83" customFormat="1" ht="15" outlineLevel="1" x14ac:dyDescent="0.25"/>
    <row r="84" customFormat="1" ht="15" outlineLevel="1" x14ac:dyDescent="0.25"/>
    <row r="85" customFormat="1" ht="15" outlineLevel="1" x14ac:dyDescent="0.25"/>
    <row r="86" customFormat="1" ht="15" outlineLevel="1" x14ac:dyDescent="0.25"/>
    <row r="87" customFormat="1" ht="15" outlineLevel="1" x14ac:dyDescent="0.25"/>
    <row r="88" customFormat="1" ht="15" outlineLevel="1" x14ac:dyDescent="0.25"/>
    <row r="89" customFormat="1" ht="15" outlineLevel="1" x14ac:dyDescent="0.25"/>
    <row r="90" customFormat="1" ht="15" outlineLevel="1" x14ac:dyDescent="0.25"/>
    <row r="91" customFormat="1" ht="15" outlineLevel="1" x14ac:dyDescent="0.25"/>
    <row r="92" customFormat="1" ht="15" outlineLevel="1" x14ac:dyDescent="0.25"/>
    <row r="93" customFormat="1" ht="15" outlineLevel="1" x14ac:dyDescent="0.25"/>
    <row r="94" customFormat="1" ht="15" outlineLevel="1" x14ac:dyDescent="0.25"/>
    <row r="95" customFormat="1" ht="15" outlineLevel="1" x14ac:dyDescent="0.25"/>
    <row r="96" customFormat="1" ht="15" outlineLevel="1" x14ac:dyDescent="0.25"/>
    <row r="97" customFormat="1" ht="15" outlineLevel="1" x14ac:dyDescent="0.25"/>
    <row r="98" customFormat="1" ht="15" outlineLevel="1" x14ac:dyDescent="0.25"/>
    <row r="99" customFormat="1" ht="15" outlineLevel="1" x14ac:dyDescent="0.25"/>
    <row r="100" customFormat="1" ht="15" outlineLevel="1" x14ac:dyDescent="0.25"/>
    <row r="101" customFormat="1" ht="15" outlineLevel="1" x14ac:dyDescent="0.25"/>
    <row r="102" customFormat="1" ht="15" outlineLevel="1" x14ac:dyDescent="0.25"/>
    <row r="103" customFormat="1" ht="15" outlineLevel="1" x14ac:dyDescent="0.25"/>
    <row r="104" customFormat="1" ht="15" outlineLevel="1" x14ac:dyDescent="0.25"/>
    <row r="105" customFormat="1" ht="15" outlineLevel="1" x14ac:dyDescent="0.25"/>
    <row r="106" customFormat="1" ht="15" outlineLevel="1" x14ac:dyDescent="0.25"/>
    <row r="107" customFormat="1" ht="15" outlineLevel="1" x14ac:dyDescent="0.25"/>
    <row r="108" customFormat="1" ht="15" outlineLevel="1" x14ac:dyDescent="0.25"/>
    <row r="109" customFormat="1" ht="15" outlineLevel="1" x14ac:dyDescent="0.25"/>
    <row r="110" customFormat="1" ht="15" outlineLevel="1" x14ac:dyDescent="0.25"/>
    <row r="111" customFormat="1" ht="15" outlineLevel="1" x14ac:dyDescent="0.25"/>
    <row r="112" customFormat="1" ht="15" outlineLevel="1" x14ac:dyDescent="0.25"/>
    <row r="113" customFormat="1" ht="15" outlineLevel="1" x14ac:dyDescent="0.25"/>
    <row r="114" customFormat="1" ht="15" outlineLevel="1" x14ac:dyDescent="0.25"/>
    <row r="115" customFormat="1" ht="15" outlineLevel="1" x14ac:dyDescent="0.25"/>
    <row r="116" customFormat="1" ht="15" outlineLevel="1" x14ac:dyDescent="0.25"/>
    <row r="117" customFormat="1" ht="15" outlineLevel="1" x14ac:dyDescent="0.25"/>
    <row r="118" customFormat="1" ht="15" outlineLevel="1" x14ac:dyDescent="0.25"/>
    <row r="119" customFormat="1" ht="15" outlineLevel="2" x14ac:dyDescent="0.25"/>
    <row r="120" customFormat="1" ht="15" outlineLevel="2" x14ac:dyDescent="0.25"/>
    <row r="121" customFormat="1" ht="15" outlineLevel="2" x14ac:dyDescent="0.25"/>
    <row r="122" customFormat="1" ht="15" outlineLevel="2" x14ac:dyDescent="0.25"/>
    <row r="123" customFormat="1" ht="15" outlineLevel="2" x14ac:dyDescent="0.25"/>
    <row r="124" customFormat="1" ht="15" outlineLevel="1" x14ac:dyDescent="0.25"/>
    <row r="125" customFormat="1" ht="15" outlineLevel="1" x14ac:dyDescent="0.25"/>
    <row r="126" customFormat="1" ht="15" outlineLevel="2" x14ac:dyDescent="0.25"/>
    <row r="127" customFormat="1" ht="15" outlineLevel="2" x14ac:dyDescent="0.25"/>
    <row r="128" customFormat="1" ht="15" outlineLevel="2" x14ac:dyDescent="0.25"/>
    <row r="129" customFormat="1" ht="15" outlineLevel="2" x14ac:dyDescent="0.25"/>
    <row r="130" customFormat="1" ht="15" outlineLevel="2" x14ac:dyDescent="0.25"/>
    <row r="131" customFormat="1" ht="15" outlineLevel="1" x14ac:dyDescent="0.25"/>
    <row r="132" customFormat="1" ht="15" outlineLevel="1" x14ac:dyDescent="0.25"/>
    <row r="133" customFormat="1" ht="15" outlineLevel="1" x14ac:dyDescent="0.25"/>
    <row r="134" customFormat="1" ht="15" outlineLevel="1" x14ac:dyDescent="0.25"/>
    <row r="135" customFormat="1" ht="15" outlineLevel="1" x14ac:dyDescent="0.25"/>
    <row r="136" customFormat="1" ht="15" x14ac:dyDescent="0.25"/>
    <row r="137" customFormat="1" ht="15" x14ac:dyDescent="0.25"/>
    <row r="138" customFormat="1" ht="15" x14ac:dyDescent="0.25"/>
    <row r="139" customFormat="1" ht="15" outlineLevel="4" x14ac:dyDescent="0.25"/>
    <row r="140" customFormat="1" ht="15" outlineLevel="4" x14ac:dyDescent="0.25"/>
    <row r="141" customFormat="1" ht="15" outlineLevel="4" x14ac:dyDescent="0.25"/>
    <row r="142" customFormat="1" ht="15" outlineLevel="4" x14ac:dyDescent="0.25"/>
    <row r="143" customFormat="1" ht="15" outlineLevel="4" x14ac:dyDescent="0.25"/>
    <row r="144" customFormat="1" ht="15" outlineLevel="4" x14ac:dyDescent="0.25"/>
    <row r="145" customFormat="1" ht="15" outlineLevel="5" x14ac:dyDescent="0.25"/>
    <row r="146" customFormat="1" ht="15" outlineLevel="5" x14ac:dyDescent="0.25"/>
    <row r="147" customFormat="1" ht="15" outlineLevel="5" x14ac:dyDescent="0.25"/>
    <row r="148" customFormat="1" ht="15" outlineLevel="4" x14ac:dyDescent="0.25"/>
    <row r="149" customFormat="1" ht="15" outlineLevel="4" x14ac:dyDescent="0.25"/>
    <row r="150" customFormat="1" ht="15" outlineLevel="4" x14ac:dyDescent="0.25"/>
    <row r="151" customFormat="1" ht="15" outlineLevel="4" x14ac:dyDescent="0.25"/>
    <row r="152" customFormat="1" ht="15" outlineLevel="4" x14ac:dyDescent="0.25"/>
    <row r="153" customFormat="1" ht="15" outlineLevel="4" x14ac:dyDescent="0.25"/>
    <row r="154" customFormat="1" ht="15" outlineLevel="4" x14ac:dyDescent="0.25"/>
    <row r="155" customFormat="1" ht="15" outlineLevel="4" x14ac:dyDescent="0.25"/>
    <row r="156" customFormat="1" ht="15" outlineLevel="4" x14ac:dyDescent="0.25"/>
    <row r="157" customFormat="1" ht="15" outlineLevel="4" x14ac:dyDescent="0.25"/>
    <row r="158" customFormat="1" ht="15" outlineLevel="4" x14ac:dyDescent="0.25"/>
    <row r="159" customFormat="1" ht="15" outlineLevel="4" x14ac:dyDescent="0.25"/>
    <row r="160" customFormat="1" ht="15" outlineLevel="4" x14ac:dyDescent="0.25"/>
    <row r="161" customFormat="1" ht="15" outlineLevel="4" x14ac:dyDescent="0.25"/>
    <row r="162" customFormat="1" ht="15" outlineLevel="4" x14ac:dyDescent="0.25"/>
    <row r="163" customFormat="1" ht="15" outlineLevel="4" x14ac:dyDescent="0.25"/>
    <row r="164" customFormat="1" ht="15" outlineLevel="4" x14ac:dyDescent="0.25"/>
    <row r="165" customFormat="1" ht="15" outlineLevel="4" x14ac:dyDescent="0.25"/>
    <row r="166" customFormat="1" ht="15" outlineLevel="4" x14ac:dyDescent="0.25"/>
    <row r="167" customFormat="1" ht="15" outlineLevel="4" x14ac:dyDescent="0.25"/>
    <row r="168" customFormat="1" ht="15" outlineLevel="4" x14ac:dyDescent="0.25"/>
    <row r="169" customFormat="1" ht="15" outlineLevel="4" x14ac:dyDescent="0.25"/>
    <row r="170" customFormat="1" ht="15" outlineLevel="4" x14ac:dyDescent="0.25"/>
    <row r="171" customFormat="1" ht="15" outlineLevel="4" x14ac:dyDescent="0.25"/>
    <row r="172" customFormat="1" ht="15" outlineLevel="4" x14ac:dyDescent="0.25"/>
    <row r="173" customFormat="1" ht="15" outlineLevel="4" x14ac:dyDescent="0.25"/>
    <row r="174" customFormat="1" ht="15" outlineLevel="4" x14ac:dyDescent="0.25"/>
    <row r="175" customFormat="1" ht="15" outlineLevel="4" x14ac:dyDescent="0.25"/>
    <row r="176" customFormat="1" ht="15" outlineLevel="4" x14ac:dyDescent="0.25"/>
    <row r="177" customFormat="1" ht="15" outlineLevel="4" x14ac:dyDescent="0.25"/>
    <row r="178" customFormat="1" ht="15" outlineLevel="4" x14ac:dyDescent="0.25"/>
    <row r="179" customFormat="1" ht="15" outlineLevel="4" x14ac:dyDescent="0.25"/>
    <row r="180" customFormat="1" ht="15" outlineLevel="2" x14ac:dyDescent="0.25"/>
    <row r="181" customFormat="1" ht="15" outlineLevel="2" x14ac:dyDescent="0.25"/>
    <row r="182" customFormat="1" ht="15" outlineLevel="2" x14ac:dyDescent="0.25"/>
    <row r="183" customFormat="1" ht="15" outlineLevel="2" x14ac:dyDescent="0.25"/>
    <row r="184" customFormat="1" ht="15" outlineLevel="2" x14ac:dyDescent="0.25"/>
    <row r="185" customFormat="1" ht="15" outlineLevel="2" x14ac:dyDescent="0.25"/>
    <row r="186" customFormat="1" ht="15" x14ac:dyDescent="0.25"/>
    <row r="187" customFormat="1" ht="15" x14ac:dyDescent="0.25"/>
    <row r="188" customFormat="1" ht="15" x14ac:dyDescent="0.25"/>
    <row r="189" customFormat="1" ht="15" x14ac:dyDescent="0.25"/>
    <row r="190" customFormat="1" ht="15" x14ac:dyDescent="0.25"/>
    <row r="191" customFormat="1" ht="15" x14ac:dyDescent="0.25"/>
    <row r="192" customFormat="1" ht="15" x14ac:dyDescent="0.25"/>
    <row r="193" customFormat="1" ht="15" x14ac:dyDescent="0.25"/>
    <row r="194" customFormat="1" ht="15" x14ac:dyDescent="0.25"/>
    <row r="195" customFormat="1" ht="15" x14ac:dyDescent="0.25"/>
    <row r="196" customFormat="1" ht="15" x14ac:dyDescent="0.25"/>
    <row r="197" customFormat="1" ht="15" x14ac:dyDescent="0.25"/>
    <row r="198" customFormat="1" ht="15" x14ac:dyDescent="0.25"/>
  </sheetData>
  <mergeCells count="7">
    <mergeCell ref="B30:C30"/>
    <mergeCell ref="B2:E6"/>
    <mergeCell ref="B7:D7"/>
    <mergeCell ref="B8:D8"/>
    <mergeCell ref="B9:D9"/>
    <mergeCell ref="B13:C13"/>
    <mergeCell ref="B20:F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1B73-9CF5-4B3F-9C79-A7CC28D1D1B3}">
  <dimension ref="B2:O28"/>
  <sheetViews>
    <sheetView showGridLines="0" workbookViewId="0">
      <selection activeCell="F29" sqref="F29"/>
    </sheetView>
  </sheetViews>
  <sheetFormatPr defaultRowHeight="15" x14ac:dyDescent="0.25"/>
  <cols>
    <col min="2" max="2" width="18.5703125" customWidth="1"/>
    <col min="3" max="3" width="19.85546875" customWidth="1"/>
    <col min="4" max="4" width="22" bestFit="1" customWidth="1"/>
    <col min="5" max="5" width="21.42578125" bestFit="1" customWidth="1"/>
    <col min="6" max="6" width="19.5703125" bestFit="1" customWidth="1"/>
    <col min="7" max="7" width="22" bestFit="1" customWidth="1"/>
    <col min="8" max="8" width="21.42578125" bestFit="1" customWidth="1"/>
    <col min="9" max="9" width="14.5703125" bestFit="1" customWidth="1"/>
    <col min="10" max="10" width="9.5703125" customWidth="1"/>
    <col min="11" max="11" width="12" bestFit="1" customWidth="1"/>
    <col min="12" max="12" width="13.42578125" bestFit="1" customWidth="1"/>
    <col min="13" max="13" width="12" bestFit="1" customWidth="1"/>
    <col min="14" max="14" width="12.7109375" bestFit="1" customWidth="1"/>
    <col min="15" max="15" width="12.5703125" bestFit="1" customWidth="1"/>
  </cols>
  <sheetData>
    <row r="2" spans="2:8" x14ac:dyDescent="0.25">
      <c r="B2" s="415" t="s">
        <v>168</v>
      </c>
      <c r="C2" s="416"/>
    </row>
    <row r="3" spans="2:8" x14ac:dyDescent="0.25">
      <c r="B3" s="316" t="s">
        <v>169</v>
      </c>
      <c r="C3" s="313">
        <v>0.04</v>
      </c>
    </row>
    <row r="7" spans="2:8" x14ac:dyDescent="0.25">
      <c r="G7" t="s">
        <v>173</v>
      </c>
    </row>
    <row r="8" spans="2:8" ht="15.75" thickBot="1" x14ac:dyDescent="0.3"/>
    <row r="9" spans="2:8" x14ac:dyDescent="0.25">
      <c r="G9" s="304" t="s">
        <v>174</v>
      </c>
      <c r="H9" s="304"/>
    </row>
    <row r="10" spans="2:8" x14ac:dyDescent="0.25">
      <c r="B10" s="399" t="s">
        <v>197</v>
      </c>
      <c r="C10" s="400"/>
      <c r="D10" s="400"/>
      <c r="E10" s="401"/>
      <c r="G10" s="301" t="s">
        <v>175</v>
      </c>
      <c r="H10" s="301">
        <v>0.86364765426244006</v>
      </c>
    </row>
    <row r="11" spans="2:8" x14ac:dyDescent="0.25">
      <c r="B11" s="311" t="s">
        <v>170</v>
      </c>
      <c r="C11" s="311" t="s">
        <v>171</v>
      </c>
      <c r="D11" s="311" t="s">
        <v>172</v>
      </c>
      <c r="E11" s="312" t="s">
        <v>238</v>
      </c>
      <c r="G11" s="301" t="s">
        <v>176</v>
      </c>
      <c r="H11" s="301">
        <v>0.74588727071301519</v>
      </c>
    </row>
    <row r="12" spans="2:8" x14ac:dyDescent="0.25">
      <c r="B12" s="305">
        <v>2022</v>
      </c>
      <c r="C12" s="307">
        <v>-0.64219999999999999</v>
      </c>
      <c r="D12" s="307">
        <v>-0.33100000000000002</v>
      </c>
      <c r="E12" s="309">
        <f>D12-$C$3</f>
        <v>-0.371</v>
      </c>
      <c r="G12" s="301" t="s">
        <v>177</v>
      </c>
      <c r="H12" s="301">
        <v>0.71412317955214211</v>
      </c>
    </row>
    <row r="13" spans="2:8" x14ac:dyDescent="0.25">
      <c r="B13" s="305">
        <v>2021</v>
      </c>
      <c r="C13" s="307">
        <v>0.23130000000000001</v>
      </c>
      <c r="D13" s="307">
        <v>0.21390000000000001</v>
      </c>
      <c r="E13" s="309">
        <f t="shared" ref="E13:E21" si="0">D13-$C$3</f>
        <v>0.1739</v>
      </c>
      <c r="G13" s="301" t="s">
        <v>178</v>
      </c>
      <c r="H13" s="301">
        <v>0.24851737387054915</v>
      </c>
    </row>
    <row r="14" spans="2:8" ht="15.75" thickBot="1" x14ac:dyDescent="0.3">
      <c r="B14" s="305">
        <v>2020</v>
      </c>
      <c r="C14" s="307">
        <v>0.33090000000000003</v>
      </c>
      <c r="D14" s="307">
        <v>0.43640000000000001</v>
      </c>
      <c r="E14" s="309">
        <f t="shared" si="0"/>
        <v>0.39640000000000003</v>
      </c>
      <c r="G14" s="302" t="s">
        <v>179</v>
      </c>
      <c r="H14" s="302">
        <v>10</v>
      </c>
    </row>
    <row r="15" spans="2:8" x14ac:dyDescent="0.25">
      <c r="B15" s="305">
        <v>2019</v>
      </c>
      <c r="C15" s="307">
        <v>0.56569999999999998</v>
      </c>
      <c r="D15" s="307">
        <v>0.3523</v>
      </c>
      <c r="E15" s="309">
        <f t="shared" si="0"/>
        <v>0.31230000000000002</v>
      </c>
    </row>
    <row r="16" spans="2:8" ht="15.75" thickBot="1" x14ac:dyDescent="0.3">
      <c r="B16" s="305">
        <v>2018</v>
      </c>
      <c r="C16" s="307">
        <v>-0.2571</v>
      </c>
      <c r="D16" s="307">
        <v>-3.8800000000000001E-2</v>
      </c>
      <c r="E16" s="309">
        <f t="shared" si="0"/>
        <v>-7.8800000000000009E-2</v>
      </c>
      <c r="G16" t="s">
        <v>180</v>
      </c>
    </row>
    <row r="17" spans="2:15" x14ac:dyDescent="0.25">
      <c r="B17" s="305">
        <v>2017</v>
      </c>
      <c r="C17" s="307">
        <v>0.53380000000000005</v>
      </c>
      <c r="D17" s="307">
        <v>0.28239999999999998</v>
      </c>
      <c r="E17" s="309">
        <f t="shared" si="0"/>
        <v>0.24239999999999998</v>
      </c>
      <c r="G17" s="303"/>
      <c r="H17" s="303" t="s">
        <v>185</v>
      </c>
      <c r="I17" s="303" t="s">
        <v>186</v>
      </c>
      <c r="J17" s="303" t="s">
        <v>187</v>
      </c>
      <c r="K17" s="303" t="s">
        <v>188</v>
      </c>
      <c r="L17" s="303" t="s">
        <v>189</v>
      </c>
    </row>
    <row r="18" spans="2:15" x14ac:dyDescent="0.25">
      <c r="B18" s="305">
        <v>2016</v>
      </c>
      <c r="C18" s="307">
        <v>9.9299999999999999E-2</v>
      </c>
      <c r="D18" s="307">
        <v>7.4999999999999997E-2</v>
      </c>
      <c r="E18" s="309">
        <f t="shared" si="0"/>
        <v>3.4999999999999996E-2</v>
      </c>
      <c r="G18" s="301" t="s">
        <v>181</v>
      </c>
      <c r="H18" s="301">
        <v>1</v>
      </c>
      <c r="I18" s="301">
        <v>1.4502747080758853</v>
      </c>
      <c r="J18" s="301">
        <v>1.4502747080758853</v>
      </c>
      <c r="K18" s="301">
        <v>23.482090733696062</v>
      </c>
      <c r="L18" s="301">
        <v>1.2786098963451038E-3</v>
      </c>
    </row>
    <row r="19" spans="2:15" x14ac:dyDescent="0.25">
      <c r="B19" s="305">
        <v>2015</v>
      </c>
      <c r="C19" s="307">
        <v>0.34150000000000003</v>
      </c>
      <c r="D19" s="307">
        <v>5.7299999999999997E-2</v>
      </c>
      <c r="E19" s="309">
        <f t="shared" si="0"/>
        <v>1.7299999999999996E-2</v>
      </c>
      <c r="G19" s="301" t="s">
        <v>182</v>
      </c>
      <c r="H19" s="301">
        <v>8</v>
      </c>
      <c r="I19" s="301">
        <v>0.49408708092411441</v>
      </c>
      <c r="J19" s="301">
        <v>6.1760885115514301E-2</v>
      </c>
      <c r="K19" s="301"/>
      <c r="L19" s="301"/>
    </row>
    <row r="20" spans="2:15" ht="15.75" thickBot="1" x14ac:dyDescent="0.3">
      <c r="B20" s="305">
        <v>2014</v>
      </c>
      <c r="C20" s="307">
        <v>0.42770000000000002</v>
      </c>
      <c r="D20" s="307">
        <v>0.13400000000000001</v>
      </c>
      <c r="E20" s="309">
        <f t="shared" si="0"/>
        <v>9.4E-2</v>
      </c>
      <c r="G20" s="302" t="s">
        <v>183</v>
      </c>
      <c r="H20" s="302">
        <v>9</v>
      </c>
      <c r="I20" s="302">
        <v>1.9443617889999998</v>
      </c>
      <c r="J20" s="302"/>
      <c r="K20" s="302"/>
      <c r="L20" s="302"/>
    </row>
    <row r="21" spans="2:15" ht="15.75" thickBot="1" x14ac:dyDescent="0.3">
      <c r="B21" s="306">
        <v>2013</v>
      </c>
      <c r="C21" s="308">
        <v>1.0529999999999999</v>
      </c>
      <c r="D21" s="308">
        <v>0.38319999999999999</v>
      </c>
      <c r="E21" s="310">
        <f t="shared" si="0"/>
        <v>0.34320000000000001</v>
      </c>
    </row>
    <row r="22" spans="2:15" x14ac:dyDescent="0.25">
      <c r="G22" s="303"/>
      <c r="H22" s="303" t="s">
        <v>190</v>
      </c>
      <c r="I22" s="303" t="s">
        <v>178</v>
      </c>
      <c r="J22" s="303" t="s">
        <v>191</v>
      </c>
      <c r="K22" s="303" t="s">
        <v>192</v>
      </c>
      <c r="L22" s="303" t="s">
        <v>193</v>
      </c>
      <c r="M22" s="303" t="s">
        <v>194</v>
      </c>
      <c r="N22" s="303" t="s">
        <v>195</v>
      </c>
      <c r="O22" s="303" t="s">
        <v>196</v>
      </c>
    </row>
    <row r="23" spans="2:15" x14ac:dyDescent="0.25">
      <c r="G23" s="301" t="s">
        <v>184</v>
      </c>
      <c r="H23" s="301">
        <v>6.5941220055022537E-2</v>
      </c>
      <c r="I23" s="301">
        <v>8.9002712666021611E-2</v>
      </c>
      <c r="J23" s="301">
        <v>0.74089000300995078</v>
      </c>
      <c r="K23" s="301">
        <v>0.47993927528256419</v>
      </c>
      <c r="L23" s="301">
        <v>-0.13929940339721161</v>
      </c>
      <c r="M23" s="301">
        <v>0.27118184350725671</v>
      </c>
      <c r="N23" s="301">
        <v>-0.13929940339721161</v>
      </c>
      <c r="O23" s="301">
        <v>0.27118184350725671</v>
      </c>
    </row>
    <row r="24" spans="2:15" ht="15.75" thickBot="1" x14ac:dyDescent="0.3">
      <c r="G24" s="302" t="str">
        <f>E11</f>
        <v>Equity  Risk Premium</v>
      </c>
      <c r="H24" s="302">
        <v>1.7382053743022021</v>
      </c>
      <c r="I24" s="302">
        <v>0.35870109914959297</v>
      </c>
      <c r="J24" s="302">
        <v>4.8458323055689876</v>
      </c>
      <c r="K24" s="302">
        <v>1.2786098963451049E-3</v>
      </c>
      <c r="L24" s="302">
        <v>0.91103915636096078</v>
      </c>
      <c r="M24" s="302">
        <v>2.5653715922434435</v>
      </c>
      <c r="N24" s="302">
        <v>0.91103915636096078</v>
      </c>
      <c r="O24" s="302">
        <v>2.5653715922434435</v>
      </c>
    </row>
    <row r="26" spans="2:15" x14ac:dyDescent="0.25">
      <c r="B26" s="417" t="s">
        <v>198</v>
      </c>
      <c r="C26" s="418"/>
    </row>
    <row r="27" spans="2:15" x14ac:dyDescent="0.25">
      <c r="B27" s="314" t="s">
        <v>199</v>
      </c>
      <c r="C27" s="315">
        <f>$H$24</f>
        <v>1.7382053743022021</v>
      </c>
    </row>
    <row r="28" spans="2:15" x14ac:dyDescent="0.25">
      <c r="B28" s="286"/>
      <c r="C28" s="286"/>
    </row>
  </sheetData>
  <mergeCells count="3">
    <mergeCell ref="B2:C2"/>
    <mergeCell ref="B10:E10"/>
    <mergeCell ref="B26:C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DA1E-C390-420A-9D52-CD83AC301B7F}">
  <sheetPr>
    <tabColor rgb="FFFF0000"/>
  </sheetPr>
  <dimension ref="A1"/>
  <sheetViews>
    <sheetView workbookViewId="0">
      <selection activeCell="L37" sqref="L3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U187"/>
  <sheetViews>
    <sheetView showGridLines="0" workbookViewId="0">
      <selection activeCell="L16" sqref="L16"/>
    </sheetView>
  </sheetViews>
  <sheetFormatPr defaultRowHeight="14.25" outlineLevelRow="5" x14ac:dyDescent="0.2"/>
  <cols>
    <col min="1" max="5" width="9.140625" style="12"/>
    <col min="6" max="6" width="27.28515625" style="12" customWidth="1"/>
    <col min="7" max="7" width="12.28515625" style="12" bestFit="1" customWidth="1"/>
    <col min="8" max="9" width="10.28515625" style="12" bestFit="1" customWidth="1"/>
    <col min="10" max="10" width="10.42578125" style="12" bestFit="1" customWidth="1"/>
    <col min="11" max="12" width="11" style="12" bestFit="1" customWidth="1"/>
    <col min="13" max="14" width="13" style="12" bestFit="1" customWidth="1"/>
    <col min="15" max="17" width="14.28515625" style="12" bestFit="1" customWidth="1"/>
    <col min="18" max="18" width="10.28515625" style="12" bestFit="1" customWidth="1"/>
    <col min="19" max="19" width="9.85546875" style="12" bestFit="1" customWidth="1"/>
    <col min="20" max="20" width="9.140625" style="12"/>
    <col min="21" max="21" width="11" style="12" bestFit="1" customWidth="1"/>
    <col min="22" max="16384" width="9.140625" style="12"/>
  </cols>
  <sheetData>
    <row r="2" spans="2:18" ht="14.25" customHeight="1" x14ac:dyDescent="0.25">
      <c r="B2" s="405" t="s">
        <v>160</v>
      </c>
      <c r="C2" s="405"/>
      <c r="D2" s="405"/>
      <c r="E2" s="405"/>
      <c r="F2" s="275"/>
      <c r="G2" s="282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</row>
    <row r="3" spans="2:18" ht="14.25" customHeight="1" x14ac:dyDescent="0.2">
      <c r="B3" s="405"/>
      <c r="C3" s="405"/>
      <c r="D3" s="405"/>
      <c r="E3" s="40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</row>
    <row r="4" spans="2:18" ht="14.25" customHeight="1" x14ac:dyDescent="0.2">
      <c r="B4" s="405"/>
      <c r="C4" s="405"/>
      <c r="D4" s="405"/>
      <c r="E4" s="40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75"/>
      <c r="R4" s="275"/>
    </row>
    <row r="5" spans="2:18" ht="14.25" customHeight="1" x14ac:dyDescent="0.2">
      <c r="B5" s="405"/>
      <c r="C5" s="405"/>
      <c r="D5" s="405"/>
      <c r="E5" s="40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  <c r="R5" s="275"/>
    </row>
    <row r="6" spans="2:18" ht="14.25" customHeight="1" x14ac:dyDescent="0.2">
      <c r="B6" s="405"/>
      <c r="C6" s="405"/>
      <c r="D6" s="405"/>
      <c r="E6" s="405"/>
      <c r="F6" s="275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  <c r="R6" s="275"/>
    </row>
    <row r="7" spans="2:18" ht="14.25" customHeight="1" x14ac:dyDescent="0.2">
      <c r="B7" s="406" t="s">
        <v>162</v>
      </c>
      <c r="C7" s="406"/>
      <c r="D7" s="406"/>
      <c r="E7" s="274"/>
      <c r="F7" s="276">
        <v>120.74</v>
      </c>
      <c r="G7" s="275"/>
      <c r="H7" s="275"/>
      <c r="I7" s="275"/>
      <c r="J7" s="275"/>
      <c r="K7" s="275"/>
      <c r="L7" s="275"/>
      <c r="M7" s="275"/>
      <c r="N7" s="275"/>
      <c r="O7" s="275"/>
      <c r="P7" s="275"/>
      <c r="Q7" s="275"/>
      <c r="R7" s="275"/>
    </row>
    <row r="8" spans="2:18" ht="23.25" x14ac:dyDescent="0.2">
      <c r="B8" s="406" t="s">
        <v>161</v>
      </c>
      <c r="C8" s="406"/>
      <c r="D8" s="406"/>
      <c r="E8" s="274"/>
      <c r="F8" s="277">
        <v>2702</v>
      </c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5"/>
      <c r="R8" s="275"/>
    </row>
    <row r="9" spans="2:18" ht="14.25" customHeight="1" x14ac:dyDescent="0.2">
      <c r="B9" s="407" t="s">
        <v>163</v>
      </c>
      <c r="C9" s="407"/>
      <c r="D9" s="407"/>
      <c r="E9" s="274"/>
      <c r="F9" s="276">
        <f>($F$7*$F$8)</f>
        <v>326239.48</v>
      </c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</row>
    <row r="10" spans="2:18" ht="14.25" customHeight="1" x14ac:dyDescent="0.2">
      <c r="B10" s="274"/>
      <c r="C10" s="274"/>
      <c r="D10" s="274"/>
      <c r="E10" s="274"/>
      <c r="F10" s="275"/>
      <c r="G10" s="275"/>
      <c r="H10" s="275"/>
      <c r="I10" s="275"/>
      <c r="J10" s="275"/>
      <c r="K10" s="275"/>
      <c r="L10" s="275"/>
      <c r="M10" s="275"/>
      <c r="N10" s="275"/>
      <c r="O10" s="275"/>
      <c r="P10" s="275"/>
      <c r="Q10" s="275"/>
      <c r="R10" s="275"/>
    </row>
    <row r="11" spans="2:18" x14ac:dyDescent="0.2">
      <c r="B11" s="422" t="s">
        <v>0</v>
      </c>
      <c r="C11" s="422"/>
      <c r="D11" s="422"/>
      <c r="E11" s="422"/>
      <c r="F11" s="422"/>
      <c r="G11" s="422"/>
      <c r="H11" s="422"/>
      <c r="I11" s="422"/>
      <c r="J11" s="422"/>
      <c r="K11" s="422"/>
      <c r="L11" s="422"/>
      <c r="M11" s="422"/>
      <c r="N11" s="422"/>
      <c r="O11" s="422"/>
      <c r="P11" s="422"/>
      <c r="Q11" s="422"/>
      <c r="R11" s="422"/>
    </row>
    <row r="12" spans="2:18" x14ac:dyDescent="0.2">
      <c r="B12" s="422"/>
      <c r="C12" s="422"/>
      <c r="D12" s="422"/>
      <c r="E12" s="422"/>
      <c r="F12" s="422"/>
      <c r="G12" s="422"/>
      <c r="H12" s="422"/>
      <c r="I12" s="422"/>
      <c r="J12" s="422"/>
      <c r="K12" s="422"/>
      <c r="L12" s="422"/>
      <c r="M12" s="422"/>
      <c r="N12" s="422"/>
      <c r="O12" s="422"/>
      <c r="P12" s="422"/>
      <c r="Q12" s="422"/>
      <c r="R12" s="422"/>
    </row>
    <row r="13" spans="2:18" ht="15" thickBot="1" x14ac:dyDescent="0.25">
      <c r="B13" s="423"/>
      <c r="C13" s="423"/>
      <c r="D13" s="423"/>
      <c r="E13" s="423"/>
      <c r="F13" s="423"/>
      <c r="G13" s="423"/>
      <c r="H13" s="423"/>
      <c r="I13" s="423"/>
      <c r="J13" s="423"/>
      <c r="K13" s="423"/>
      <c r="L13" s="423"/>
      <c r="M13" s="423"/>
      <c r="N13" s="423"/>
      <c r="O13" s="423"/>
      <c r="P13" s="423"/>
      <c r="Q13" s="423"/>
      <c r="R13" s="423"/>
    </row>
    <row r="16" spans="2:18" ht="20.25" x14ac:dyDescent="0.3">
      <c r="B16" s="408" t="s">
        <v>148</v>
      </c>
      <c r="C16" s="409"/>
      <c r="D16" s="409"/>
      <c r="E16" s="409"/>
      <c r="F16" s="409"/>
    </row>
    <row r="17" spans="2:17" ht="15" outlineLevel="2" x14ac:dyDescent="0.25">
      <c r="B17" s="95" t="s">
        <v>149</v>
      </c>
      <c r="C17" s="14"/>
    </row>
    <row r="18" spans="2:17" ht="20.25" outlineLevel="2" x14ac:dyDescent="0.3">
      <c r="B18" s="13"/>
      <c r="C18" s="14"/>
    </row>
    <row r="19" spans="2:17" ht="20.25" outlineLevel="2" x14ac:dyDescent="0.3">
      <c r="B19" s="13"/>
      <c r="C19" s="14"/>
      <c r="F19" s="399" t="s">
        <v>14</v>
      </c>
      <c r="G19" s="400"/>
      <c r="H19" s="400"/>
      <c r="I19" s="400"/>
      <c r="J19" s="400"/>
      <c r="K19" s="400"/>
      <c r="L19" s="400"/>
      <c r="M19" s="400"/>
      <c r="N19" s="400"/>
      <c r="O19" s="400"/>
      <c r="P19" s="400"/>
      <c r="Q19" s="401"/>
    </row>
    <row r="20" spans="2:17" ht="20.25" outlineLevel="2" x14ac:dyDescent="0.3">
      <c r="B20" s="13"/>
      <c r="C20" s="14"/>
      <c r="F20" s="116"/>
      <c r="G20" s="120">
        <v>2017</v>
      </c>
      <c r="H20" s="121">
        <v>2018</v>
      </c>
      <c r="I20" s="121">
        <v>2019</v>
      </c>
      <c r="J20" s="122">
        <v>2020</v>
      </c>
      <c r="K20" s="122">
        <v>2021</v>
      </c>
      <c r="L20" s="122">
        <v>2022</v>
      </c>
      <c r="M20" s="117" t="s">
        <v>15</v>
      </c>
      <c r="N20" s="118" t="s">
        <v>16</v>
      </c>
      <c r="O20" s="117" t="s">
        <v>17</v>
      </c>
      <c r="P20" s="118" t="s">
        <v>18</v>
      </c>
      <c r="Q20" s="119" t="s">
        <v>19</v>
      </c>
    </row>
    <row r="21" spans="2:17" ht="20.25" outlineLevel="2" x14ac:dyDescent="0.3">
      <c r="B21" s="13"/>
      <c r="C21" s="14"/>
      <c r="F21" s="126" t="s">
        <v>20</v>
      </c>
      <c r="G21" s="103">
        <f>(G32-27638)/27638</f>
        <v>0.47090961719371877</v>
      </c>
      <c r="H21" s="103">
        <f>(H32-G32)/G32</f>
        <v>0.37352716896661992</v>
      </c>
      <c r="I21" s="103">
        <f>(I32-H32)/H32</f>
        <v>0.26610910132884413</v>
      </c>
      <c r="J21" s="103">
        <f>(J32-I32)/I32</f>
        <v>0.21596390228722576</v>
      </c>
      <c r="K21" s="103">
        <f>(K32-J32)/J32</f>
        <v>0.37182574303495608</v>
      </c>
      <c r="L21" s="103">
        <f>(L32-K32)/K32</f>
        <v>-1.1193175554782962E-2</v>
      </c>
      <c r="M21" s="104">
        <v>0.15</v>
      </c>
      <c r="N21" s="105">
        <v>0.12</v>
      </c>
      <c r="O21" s="104">
        <v>0.11</v>
      </c>
      <c r="P21" s="105">
        <v>0.1</v>
      </c>
      <c r="Q21" s="106">
        <v>0.09</v>
      </c>
    </row>
    <row r="22" spans="2:17" ht="20.25" outlineLevel="2" x14ac:dyDescent="0.3">
      <c r="B22" s="13"/>
      <c r="C22" s="14"/>
      <c r="F22" s="126" t="s">
        <v>24</v>
      </c>
      <c r="G22" s="70">
        <f t="shared" ref="G22:L22" si="0">G34/G32</f>
        <v>0.13415984060216959</v>
      </c>
      <c r="H22" s="70">
        <f t="shared" si="0"/>
        <v>0.16753823561015796</v>
      </c>
      <c r="I22" s="70">
        <f t="shared" si="0"/>
        <v>0.18063001258893588</v>
      </c>
      <c r="J22" s="70">
        <f t="shared" si="0"/>
        <v>0.19417204676321759</v>
      </c>
      <c r="K22" s="70">
        <f t="shared" si="0"/>
        <v>0.19205623722748433</v>
      </c>
      <c r="L22" s="70">
        <f t="shared" si="0"/>
        <v>0.21652702621581524</v>
      </c>
      <c r="M22" s="104">
        <v>0.21</v>
      </c>
      <c r="N22" s="104">
        <v>0.21</v>
      </c>
      <c r="O22" s="104">
        <v>0.21</v>
      </c>
      <c r="P22" s="104">
        <v>0.21</v>
      </c>
      <c r="Q22" s="107">
        <v>0.21</v>
      </c>
    </row>
    <row r="23" spans="2:17" ht="20.25" outlineLevel="2" x14ac:dyDescent="0.3">
      <c r="B23" s="13"/>
      <c r="C23" s="14"/>
      <c r="F23" s="126" t="s">
        <v>25</v>
      </c>
      <c r="G23" s="108">
        <f t="shared" ref="G23:L24" si="1">G35/G$32</f>
        <v>0.19073623102846038</v>
      </c>
      <c r="H23" s="108">
        <f t="shared" si="1"/>
        <v>0.18397865253053475</v>
      </c>
      <c r="I23" s="108">
        <f t="shared" si="1"/>
        <v>0.19237025616362788</v>
      </c>
      <c r="J23" s="108">
        <f t="shared" si="1"/>
        <v>0.21458733205374281</v>
      </c>
      <c r="K23" s="108">
        <f t="shared" si="1"/>
        <v>0.20906647219937419</v>
      </c>
      <c r="L23" s="108">
        <f t="shared" si="1"/>
        <v>0.30304693462768739</v>
      </c>
      <c r="M23" s="109">
        <v>0.25</v>
      </c>
      <c r="N23" s="109">
        <v>0.25</v>
      </c>
      <c r="O23" s="109">
        <v>0.25</v>
      </c>
      <c r="P23" s="109">
        <v>0.25</v>
      </c>
      <c r="Q23" s="110">
        <v>0.25</v>
      </c>
    </row>
    <row r="24" spans="2:17" ht="20.25" outlineLevel="2" x14ac:dyDescent="0.3">
      <c r="B24" s="13"/>
      <c r="C24" s="14"/>
      <c r="F24" s="126" t="s">
        <v>26</v>
      </c>
      <c r="G24" s="108">
        <f t="shared" si="1"/>
        <v>0.1162275846800974</v>
      </c>
      <c r="H24" s="108">
        <f t="shared" si="1"/>
        <v>0.14051362871163006</v>
      </c>
      <c r="I24" s="108">
        <f t="shared" si="1"/>
        <v>0.139694753667058</v>
      </c>
      <c r="J24" s="108">
        <f t="shared" si="1"/>
        <v>0.13483394404699586</v>
      </c>
      <c r="K24" s="108">
        <f t="shared" si="1"/>
        <v>0.11908012448167965</v>
      </c>
      <c r="L24" s="108">
        <f t="shared" si="1"/>
        <v>0.13088183587887728</v>
      </c>
      <c r="M24" s="109">
        <v>0.13</v>
      </c>
      <c r="N24" s="109">
        <v>0.13</v>
      </c>
      <c r="O24" s="109">
        <v>0.13</v>
      </c>
      <c r="P24" s="109">
        <v>0.13</v>
      </c>
      <c r="Q24" s="110">
        <v>0.13</v>
      </c>
    </row>
    <row r="25" spans="2:17" ht="20.25" outlineLevel="2" x14ac:dyDescent="0.3">
      <c r="B25" s="13"/>
      <c r="C25" s="14"/>
      <c r="F25" s="126" t="s">
        <v>27</v>
      </c>
      <c r="G25" s="70">
        <f t="shared" ref="G25:L25" si="2">G37/G32</f>
        <v>6.1914249870858237E-2</v>
      </c>
      <c r="H25" s="70">
        <f t="shared" si="2"/>
        <v>6.1803789534009099E-2</v>
      </c>
      <c r="I25" s="70">
        <f t="shared" si="2"/>
        <v>0.14802608314355631</v>
      </c>
      <c r="J25" s="70">
        <f t="shared" si="2"/>
        <v>7.6356656778921658E-2</v>
      </c>
      <c r="K25" s="70">
        <f t="shared" si="2"/>
        <v>8.3346759490880107E-2</v>
      </c>
      <c r="L25" s="70">
        <f t="shared" si="2"/>
        <v>0.10133008601394404</v>
      </c>
      <c r="M25" s="109">
        <v>0.09</v>
      </c>
      <c r="N25" s="109">
        <v>0.09</v>
      </c>
      <c r="O25" s="109">
        <v>0.09</v>
      </c>
      <c r="P25" s="109">
        <v>0.09</v>
      </c>
      <c r="Q25" s="110">
        <v>0.09</v>
      </c>
    </row>
    <row r="26" spans="2:17" ht="20.25" outlineLevel="2" x14ac:dyDescent="0.3">
      <c r="B26" s="13"/>
      <c r="C26" s="14"/>
      <c r="F26" s="126" t="s">
        <v>109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4">
        <v>0</v>
      </c>
      <c r="M26" s="320">
        <v>3.6299999999999999E-2</v>
      </c>
      <c r="N26" s="320">
        <v>3.6299999999999999E-2</v>
      </c>
      <c r="O26" s="320">
        <v>3.6299999999999999E-2</v>
      </c>
      <c r="P26" s="320">
        <v>3.6299999999999999E-2</v>
      </c>
      <c r="Q26" s="321">
        <v>3.6299999999999999E-2</v>
      </c>
    </row>
    <row r="27" spans="2:17" ht="20.25" outlineLevel="2" x14ac:dyDescent="0.3">
      <c r="B27" s="13"/>
      <c r="C27" s="14"/>
      <c r="F27" s="126" t="s">
        <v>111</v>
      </c>
      <c r="G27" s="70"/>
      <c r="H27" s="70">
        <f>H40/G87</f>
        <v>8.181705656640674E-2</v>
      </c>
      <c r="I27" s="70">
        <f>I40/H87</f>
        <v>9.2224772931430277E-2</v>
      </c>
      <c r="J27" s="70">
        <f>J40/I87</f>
        <v>3.52219718014571E-2</v>
      </c>
      <c r="K27" s="70">
        <f>K40/J87</f>
        <v>2.6228948566226672E-2</v>
      </c>
      <c r="L27" s="70">
        <f>L40/K87</f>
        <v>1.6625504487681464E-2</v>
      </c>
      <c r="M27" s="111">
        <f>0.05</f>
        <v>0.05</v>
      </c>
      <c r="N27" s="111">
        <f t="shared" ref="N27:Q27" si="3">0.05</f>
        <v>0.05</v>
      </c>
      <c r="O27" s="111">
        <f t="shared" si="3"/>
        <v>0.05</v>
      </c>
      <c r="P27" s="111">
        <f t="shared" si="3"/>
        <v>0.05</v>
      </c>
      <c r="Q27" s="112">
        <f t="shared" si="3"/>
        <v>0.05</v>
      </c>
    </row>
    <row r="28" spans="2:17" outlineLevel="2" x14ac:dyDescent="0.2">
      <c r="F28" s="127" t="s">
        <v>28</v>
      </c>
      <c r="G28" s="113">
        <f t="shared" ref="G28:L28" si="4">G46/G45</f>
        <v>0.22627949888316987</v>
      </c>
      <c r="H28" s="113">
        <f t="shared" si="4"/>
        <v>0.12811009029612397</v>
      </c>
      <c r="I28" s="113">
        <f t="shared" si="4"/>
        <v>0.25499758181525067</v>
      </c>
      <c r="J28" s="113">
        <f t="shared" si="4"/>
        <v>0.12157926461723931</v>
      </c>
      <c r="K28" s="113">
        <f t="shared" si="4"/>
        <v>0.16737162676592504</v>
      </c>
      <c r="L28" s="113">
        <f t="shared" si="4"/>
        <v>0.19497553697213643</v>
      </c>
      <c r="M28" s="114">
        <v>0.21</v>
      </c>
      <c r="N28" s="114">
        <v>0.21</v>
      </c>
      <c r="O28" s="114">
        <v>0.21</v>
      </c>
      <c r="P28" s="114">
        <v>0.21</v>
      </c>
      <c r="Q28" s="115">
        <v>0.21</v>
      </c>
    </row>
    <row r="29" spans="2:17" outlineLevel="2" x14ac:dyDescent="0.2">
      <c r="F29" s="27"/>
      <c r="G29" s="28"/>
      <c r="H29" s="28"/>
      <c r="I29" s="28"/>
      <c r="J29" s="28"/>
      <c r="K29" s="28"/>
      <c r="L29" s="28"/>
      <c r="M29" s="24"/>
      <c r="N29" s="24"/>
      <c r="O29" s="24"/>
      <c r="P29" s="24"/>
      <c r="Q29" s="24"/>
    </row>
    <row r="30" spans="2:17" outlineLevel="2" x14ac:dyDescent="0.2">
      <c r="F30" s="27"/>
      <c r="G30" s="28"/>
      <c r="H30" s="28"/>
      <c r="I30" s="28"/>
      <c r="J30" s="28"/>
      <c r="K30" s="28"/>
      <c r="L30" s="28"/>
      <c r="M30" s="24"/>
      <c r="N30" s="24"/>
      <c r="O30" s="24"/>
      <c r="P30" s="24"/>
      <c r="Q30" s="24"/>
    </row>
    <row r="31" spans="2:17" outlineLevel="2" x14ac:dyDescent="0.2">
      <c r="G31" s="343">
        <v>2017</v>
      </c>
      <c r="H31" s="343">
        <v>2018</v>
      </c>
      <c r="I31" s="343">
        <v>2019</v>
      </c>
      <c r="J31" s="344">
        <v>2020</v>
      </c>
      <c r="K31" s="344">
        <v>2021</v>
      </c>
      <c r="L31" s="344">
        <v>2022</v>
      </c>
      <c r="M31" s="345" t="s">
        <v>15</v>
      </c>
      <c r="N31" s="346" t="s">
        <v>16</v>
      </c>
      <c r="O31" s="345" t="s">
        <v>17</v>
      </c>
      <c r="P31" s="346" t="s">
        <v>18</v>
      </c>
      <c r="Q31" s="345" t="s">
        <v>19</v>
      </c>
    </row>
    <row r="32" spans="2:17" outlineLevel="2" x14ac:dyDescent="0.2">
      <c r="B32" s="3" t="s">
        <v>1</v>
      </c>
      <c r="C32" s="31"/>
      <c r="D32" s="31"/>
      <c r="G32" s="225">
        <v>40653</v>
      </c>
      <c r="H32" s="225">
        <v>55838</v>
      </c>
      <c r="I32" s="225">
        <v>70697</v>
      </c>
      <c r="J32" s="226">
        <v>85965</v>
      </c>
      <c r="K32" s="226">
        <v>117929</v>
      </c>
      <c r="L32" s="226">
        <v>116609</v>
      </c>
      <c r="M32" s="227">
        <f>L32*(1+M21)</f>
        <v>134100.34999999998</v>
      </c>
      <c r="N32" s="227">
        <f>M32*(1+N21)</f>
        <v>150192.39199999999</v>
      </c>
      <c r="O32" s="227">
        <f>N32*(1+O21)</f>
        <v>166713.55512</v>
      </c>
      <c r="P32" s="227">
        <f>O32*(1+P21)</f>
        <v>183384.91063200001</v>
      </c>
      <c r="Q32" s="227">
        <f>P32*(1+Q21)</f>
        <v>199889.55258888003</v>
      </c>
    </row>
    <row r="33" spans="2:18" outlineLevel="2" x14ac:dyDescent="0.2">
      <c r="B33" s="96" t="s">
        <v>2</v>
      </c>
      <c r="C33" s="246"/>
      <c r="D33" s="31"/>
      <c r="G33" s="40"/>
      <c r="H33" s="40"/>
      <c r="I33" s="40"/>
      <c r="J33" s="228"/>
      <c r="K33" s="228"/>
      <c r="L33" s="228"/>
      <c r="M33" s="31"/>
      <c r="N33" s="31"/>
      <c r="O33" s="31"/>
      <c r="P33" s="31"/>
      <c r="Q33" s="31"/>
    </row>
    <row r="34" spans="2:18" outlineLevel="2" x14ac:dyDescent="0.2">
      <c r="B34" s="2" t="s">
        <v>3</v>
      </c>
      <c r="C34" s="31"/>
      <c r="D34" s="31"/>
      <c r="G34" s="41">
        <v>5454</v>
      </c>
      <c r="H34" s="41">
        <v>9355</v>
      </c>
      <c r="I34" s="41">
        <v>12770</v>
      </c>
      <c r="J34" s="34">
        <v>16692</v>
      </c>
      <c r="K34" s="34">
        <v>22649</v>
      </c>
      <c r="L34" s="34">
        <v>25249</v>
      </c>
      <c r="M34" s="229">
        <f>M32*M22</f>
        <v>28161.073499999995</v>
      </c>
      <c r="N34" s="229">
        <f>N32*N22</f>
        <v>31540.402319999997</v>
      </c>
      <c r="O34" s="229">
        <f>O32*O22</f>
        <v>35009.846575199997</v>
      </c>
      <c r="P34" s="229">
        <f>P32*P22</f>
        <v>38510.831232720004</v>
      </c>
      <c r="Q34" s="229">
        <f>Q32*Q22</f>
        <v>41976.806043664808</v>
      </c>
      <c r="R34" s="15"/>
    </row>
    <row r="35" spans="2:18" outlineLevel="2" x14ac:dyDescent="0.2">
      <c r="B35" s="2" t="s">
        <v>4</v>
      </c>
      <c r="C35" s="247"/>
      <c r="D35" s="247"/>
      <c r="G35" s="41">
        <v>7754</v>
      </c>
      <c r="H35" s="41">
        <v>10273</v>
      </c>
      <c r="I35" s="41">
        <v>13600</v>
      </c>
      <c r="J35" s="34">
        <v>18447</v>
      </c>
      <c r="K35" s="34">
        <v>24655</v>
      </c>
      <c r="L35" s="34">
        <v>35338</v>
      </c>
      <c r="M35" s="229">
        <f>M23*M32</f>
        <v>33525.087499999994</v>
      </c>
      <c r="N35" s="229">
        <f>N23*N32</f>
        <v>37548.097999999998</v>
      </c>
      <c r="O35" s="229">
        <f>O23*O32</f>
        <v>41678.388780000001</v>
      </c>
      <c r="P35" s="229">
        <f>P23*P32</f>
        <v>45846.227658000003</v>
      </c>
      <c r="Q35" s="229">
        <f>Q23*Q32</f>
        <v>49972.388147220008</v>
      </c>
      <c r="R35" s="17"/>
    </row>
    <row r="36" spans="2:18" outlineLevel="2" x14ac:dyDescent="0.2">
      <c r="B36" s="2" t="s">
        <v>5</v>
      </c>
      <c r="C36" s="247"/>
      <c r="D36" s="247"/>
      <c r="G36" s="41">
        <v>4725</v>
      </c>
      <c r="H36" s="41">
        <v>7846</v>
      </c>
      <c r="I36" s="41">
        <v>9876</v>
      </c>
      <c r="J36" s="34">
        <v>11591</v>
      </c>
      <c r="K36" s="34">
        <v>14043</v>
      </c>
      <c r="L36" s="34">
        <v>15262</v>
      </c>
      <c r="M36" s="229">
        <f>M24*M32</f>
        <v>17433.045499999997</v>
      </c>
      <c r="N36" s="229">
        <f>N24*N32</f>
        <v>19525.01096</v>
      </c>
      <c r="O36" s="229">
        <f>O24*O32</f>
        <v>21672.762165600001</v>
      </c>
      <c r="P36" s="229">
        <f>P24*P32</f>
        <v>23840.038382160004</v>
      </c>
      <c r="Q36" s="229">
        <f>Q24*Q32</f>
        <v>25985.641836554405</v>
      </c>
      <c r="R36" s="17"/>
    </row>
    <row r="37" spans="2:18" outlineLevel="2" x14ac:dyDescent="0.2">
      <c r="B37" s="2" t="s">
        <v>6</v>
      </c>
      <c r="C37" s="247"/>
      <c r="D37" s="247"/>
      <c r="G37" s="41">
        <v>2517</v>
      </c>
      <c r="H37" s="41">
        <v>3451</v>
      </c>
      <c r="I37" s="41">
        <v>10465</v>
      </c>
      <c r="J37" s="34">
        <v>6564</v>
      </c>
      <c r="K37" s="34">
        <v>9829</v>
      </c>
      <c r="L37" s="34">
        <v>11816</v>
      </c>
      <c r="M37" s="229">
        <f>M32*M25</f>
        <v>12069.031499999997</v>
      </c>
      <c r="N37" s="229">
        <f>N32*N25</f>
        <v>13517.315279999999</v>
      </c>
      <c r="O37" s="229">
        <f>O32*O25</f>
        <v>15004.219960799999</v>
      </c>
      <c r="P37" s="229">
        <f>P32*P25</f>
        <v>16504.641956880001</v>
      </c>
      <c r="Q37" s="229">
        <f>Q32*Q25</f>
        <v>17990.059732999202</v>
      </c>
      <c r="R37" s="17"/>
    </row>
    <row r="38" spans="2:18" outlineLevel="2" x14ac:dyDescent="0.2">
      <c r="B38" s="130" t="s">
        <v>7</v>
      </c>
      <c r="C38" s="248"/>
      <c r="D38" s="248"/>
      <c r="E38" s="128"/>
      <c r="F38" s="128"/>
      <c r="G38" s="230">
        <v>20450</v>
      </c>
      <c r="H38" s="230">
        <v>30925</v>
      </c>
      <c r="I38" s="230">
        <v>46711</v>
      </c>
      <c r="J38" s="230">
        <v>53294</v>
      </c>
      <c r="K38" s="230">
        <v>71176</v>
      </c>
      <c r="L38" s="230">
        <v>87665</v>
      </c>
      <c r="M38" s="230">
        <f>SUM(M34:M37)</f>
        <v>91188.237999999983</v>
      </c>
      <c r="N38" s="230">
        <f t="shared" ref="N38:Q38" si="5">SUM(N34:N37)</f>
        <v>102130.82655999999</v>
      </c>
      <c r="O38" s="230">
        <f t="shared" si="5"/>
        <v>113365.21748159999</v>
      </c>
      <c r="P38" s="230">
        <f t="shared" si="5"/>
        <v>124701.73922976003</v>
      </c>
      <c r="Q38" s="230">
        <f t="shared" si="5"/>
        <v>135924.89576043843</v>
      </c>
      <c r="R38" s="17"/>
    </row>
    <row r="39" spans="2:18" outlineLevel="2" x14ac:dyDescent="0.2">
      <c r="B39" s="129" t="s">
        <v>8</v>
      </c>
      <c r="C39" s="249"/>
      <c r="D39" s="249"/>
      <c r="E39" s="26"/>
      <c r="F39" s="26"/>
      <c r="G39" s="231">
        <v>20203</v>
      </c>
      <c r="H39" s="231">
        <v>24913</v>
      </c>
      <c r="I39" s="231">
        <v>23986</v>
      </c>
      <c r="J39" s="232">
        <v>32671</v>
      </c>
      <c r="K39" s="232">
        <v>46753</v>
      </c>
      <c r="L39" s="232">
        <v>28944</v>
      </c>
      <c r="M39" s="233">
        <f>M32-M38</f>
        <v>42912.111999999994</v>
      </c>
      <c r="N39" s="233">
        <f>N32-N38</f>
        <v>48061.565440000006</v>
      </c>
      <c r="O39" s="233">
        <f>O32-O38</f>
        <v>53348.337638400015</v>
      </c>
      <c r="P39" s="233">
        <f>P32-P38</f>
        <v>58683.171402239983</v>
      </c>
      <c r="Q39" s="233">
        <f>Q32-Q38</f>
        <v>63964.656828441599</v>
      </c>
      <c r="R39" s="17"/>
    </row>
    <row r="40" spans="2:18" outlineLevel="3" x14ac:dyDescent="0.2">
      <c r="B40" s="2" t="s">
        <v>85</v>
      </c>
      <c r="C40" s="247"/>
      <c r="D40" s="31"/>
      <c r="G40" s="54">
        <v>398</v>
      </c>
      <c r="H40" s="54">
        <v>661</v>
      </c>
      <c r="I40" s="54">
        <v>924</v>
      </c>
      <c r="J40" s="61">
        <v>672</v>
      </c>
      <c r="K40" s="54">
        <v>461</v>
      </c>
      <c r="L40" s="54">
        <v>276</v>
      </c>
      <c r="M40" s="234">
        <f>M27*L87</f>
        <v>734.05000000000007</v>
      </c>
      <c r="N40" s="234">
        <f>N27*M87</f>
        <v>643.42469990205518</v>
      </c>
      <c r="O40" s="234">
        <f>O27*N87</f>
        <v>786.67290721243342</v>
      </c>
      <c r="P40" s="234">
        <f>P27*O87</f>
        <v>1075.6591395706189</v>
      </c>
      <c r="Q40" s="234">
        <f>Q27*P87</f>
        <v>1525.0284475944165</v>
      </c>
      <c r="R40" s="17"/>
    </row>
    <row r="41" spans="2:18" outlineLevel="3" x14ac:dyDescent="0.2">
      <c r="B41" s="2" t="s">
        <v>86</v>
      </c>
      <c r="C41" s="247"/>
      <c r="D41" s="31"/>
      <c r="G41" s="34">
        <v>-6</v>
      </c>
      <c r="H41" s="34">
        <v>-9</v>
      </c>
      <c r="I41" s="34">
        <v>-20</v>
      </c>
      <c r="J41" s="52">
        <v>0</v>
      </c>
      <c r="K41" s="52">
        <v>0</v>
      </c>
      <c r="L41" s="52">
        <v>0</v>
      </c>
      <c r="M41" s="235">
        <f>-(M26*(L109+L111))</f>
        <v>-360.20490000000001</v>
      </c>
      <c r="N41" s="235">
        <f>-(N26*(M109+M111))</f>
        <v>-360.20490000000001</v>
      </c>
      <c r="O41" s="235">
        <f>-(O26*(N109+N111))</f>
        <v>-360.20490000000001</v>
      </c>
      <c r="P41" s="235">
        <f>-(P26*(O109+O111))</f>
        <v>-360.20490000000001</v>
      </c>
      <c r="Q41" s="235">
        <f>-(Q26*(P109+P111))</f>
        <v>-360.20490000000001</v>
      </c>
      <c r="R41" s="17"/>
    </row>
    <row r="42" spans="2:18" outlineLevel="3" x14ac:dyDescent="0.2">
      <c r="B42" s="2" t="s">
        <v>87</v>
      </c>
      <c r="C42" s="247"/>
      <c r="D42" s="31"/>
      <c r="G42" s="34">
        <v>-6</v>
      </c>
      <c r="H42" s="34">
        <v>-213</v>
      </c>
      <c r="I42" s="34">
        <v>-105</v>
      </c>
      <c r="J42" s="34">
        <v>-129</v>
      </c>
      <c r="K42" s="34">
        <v>-140</v>
      </c>
      <c r="L42" s="34">
        <v>-81</v>
      </c>
      <c r="M42" s="131">
        <v>-81</v>
      </c>
      <c r="N42" s="131">
        <v>-81</v>
      </c>
      <c r="O42" s="131">
        <v>-81</v>
      </c>
      <c r="P42" s="131">
        <v>-81</v>
      </c>
      <c r="Q42" s="131">
        <v>-81</v>
      </c>
      <c r="R42" s="17"/>
    </row>
    <row r="43" spans="2:18" s="26" customFormat="1" outlineLevel="3" x14ac:dyDescent="0.2">
      <c r="B43" s="57" t="s">
        <v>77</v>
      </c>
      <c r="C43" s="250"/>
      <c r="D43" s="249"/>
      <c r="G43" s="59">
        <v>5</v>
      </c>
      <c r="H43" s="59">
        <v>9</v>
      </c>
      <c r="I43" s="59">
        <v>27</v>
      </c>
      <c r="J43" s="34">
        <v>-34</v>
      </c>
      <c r="K43" s="34">
        <v>210</v>
      </c>
      <c r="L43" s="34">
        <v>-320</v>
      </c>
      <c r="M43" s="131">
        <v>-320</v>
      </c>
      <c r="N43" s="131">
        <v>-320</v>
      </c>
      <c r="O43" s="131">
        <v>-320</v>
      </c>
      <c r="P43" s="131">
        <v>-320</v>
      </c>
      <c r="Q43" s="131">
        <v>-320</v>
      </c>
      <c r="R43" s="60"/>
    </row>
    <row r="44" spans="2:18" outlineLevel="2" x14ac:dyDescent="0.2">
      <c r="B44" s="57" t="s">
        <v>9</v>
      </c>
      <c r="C44" s="250"/>
      <c r="D44" s="250"/>
      <c r="E44" s="58"/>
      <c r="G44" s="41">
        <v>391</v>
      </c>
      <c r="H44" s="41">
        <v>448</v>
      </c>
      <c r="I44" s="41">
        <v>826</v>
      </c>
      <c r="J44" s="34">
        <v>509</v>
      </c>
      <c r="K44" s="34">
        <v>531</v>
      </c>
      <c r="L44" s="34">
        <v>-125</v>
      </c>
      <c r="M44" s="236">
        <f>SUM(M40:M43)</f>
        <v>-27.154899999999941</v>
      </c>
      <c r="N44" s="236">
        <f t="shared" ref="N44:Q44" si="6">SUM(N40:N43)</f>
        <v>-117.78020009794483</v>
      </c>
      <c r="O44" s="236">
        <f t="shared" si="6"/>
        <v>25.468007212433406</v>
      </c>
      <c r="P44" s="236">
        <f t="shared" si="6"/>
        <v>314.45423957061894</v>
      </c>
      <c r="Q44" s="236">
        <f t="shared" si="6"/>
        <v>763.8235475944166</v>
      </c>
      <c r="R44" s="17"/>
    </row>
    <row r="45" spans="2:18" outlineLevel="2" x14ac:dyDescent="0.2">
      <c r="B45" s="2" t="s">
        <v>10</v>
      </c>
      <c r="C45" s="247"/>
      <c r="D45" s="247"/>
      <c r="E45" s="16"/>
      <c r="G45" s="41">
        <v>20594</v>
      </c>
      <c r="H45" s="41">
        <v>25361</v>
      </c>
      <c r="I45" s="41">
        <v>24812</v>
      </c>
      <c r="J45" s="34">
        <v>33180</v>
      </c>
      <c r="K45" s="34">
        <v>47284</v>
      </c>
      <c r="L45" s="34">
        <v>28819</v>
      </c>
      <c r="M45" s="237">
        <f>M39+M44</f>
        <v>42884.957099999992</v>
      </c>
      <c r="N45" s="237">
        <f t="shared" ref="N45:Q45" si="7">N39+N44</f>
        <v>47943.785239902063</v>
      </c>
      <c r="O45" s="237">
        <f t="shared" si="7"/>
        <v>53373.805645612447</v>
      </c>
      <c r="P45" s="237">
        <f t="shared" si="7"/>
        <v>58997.625641810599</v>
      </c>
      <c r="Q45" s="237">
        <f t="shared" si="7"/>
        <v>64728.480376036016</v>
      </c>
      <c r="R45" s="17"/>
    </row>
    <row r="46" spans="2:18" outlineLevel="2" x14ac:dyDescent="0.2">
      <c r="B46" s="2" t="s">
        <v>11</v>
      </c>
      <c r="C46" s="247"/>
      <c r="D46" s="247"/>
      <c r="E46" s="16"/>
      <c r="G46" s="238">
        <v>4660</v>
      </c>
      <c r="H46" s="238">
        <v>3249</v>
      </c>
      <c r="I46" s="238">
        <v>6327</v>
      </c>
      <c r="J46" s="239">
        <v>4034</v>
      </c>
      <c r="K46" s="239">
        <v>7914</v>
      </c>
      <c r="L46" s="239">
        <v>5619</v>
      </c>
      <c r="M46" s="240">
        <f>-(M28*M45)</f>
        <v>-9005.8409909999973</v>
      </c>
      <c r="N46" s="240">
        <f>-(N28*N45)</f>
        <v>-10068.194900379433</v>
      </c>
      <c r="O46" s="240">
        <f>-(O28*O45)</f>
        <v>-11208.499185578614</v>
      </c>
      <c r="P46" s="240">
        <f>-(P28*P45)</f>
        <v>-12389.501384780226</v>
      </c>
      <c r="Q46" s="240">
        <f>-(Q28*Q45)</f>
        <v>-13592.980878967563</v>
      </c>
      <c r="R46" s="17"/>
    </row>
    <row r="47" spans="2:18" ht="15" outlineLevel="2" thickBot="1" x14ac:dyDescent="0.25">
      <c r="B47" s="98" t="s">
        <v>12</v>
      </c>
      <c r="C47" s="251"/>
      <c r="D47" s="251"/>
      <c r="E47" s="97"/>
      <c r="F47" s="97"/>
      <c r="G47" s="241">
        <v>15934</v>
      </c>
      <c r="H47" s="241">
        <v>22112</v>
      </c>
      <c r="I47" s="241">
        <v>18485</v>
      </c>
      <c r="J47" s="242">
        <v>29146</v>
      </c>
      <c r="K47" s="242">
        <v>39370</v>
      </c>
      <c r="L47" s="242">
        <v>23200</v>
      </c>
      <c r="M47" s="243">
        <f>M45+M46</f>
        <v>33879.116108999995</v>
      </c>
      <c r="N47" s="243">
        <f t="shared" ref="N47:Q47" si="8">N45+N46</f>
        <v>37875.590339522634</v>
      </c>
      <c r="O47" s="243">
        <f t="shared" si="8"/>
        <v>42165.306460033833</v>
      </c>
      <c r="P47" s="243">
        <f t="shared" si="8"/>
        <v>46608.124257030373</v>
      </c>
      <c r="Q47" s="243">
        <f t="shared" si="8"/>
        <v>51135.499497068449</v>
      </c>
      <c r="R47" s="17"/>
    </row>
    <row r="48" spans="2:18" ht="15" outlineLevel="2" thickTop="1" x14ac:dyDescent="0.2">
      <c r="M48" s="17"/>
      <c r="N48" s="17"/>
      <c r="O48" s="17"/>
      <c r="P48" s="17"/>
      <c r="Q48" s="17"/>
      <c r="R48" s="17"/>
    </row>
    <row r="49" spans="1:18" ht="15" outlineLevel="2" x14ac:dyDescent="0.25">
      <c r="B49" s="424" t="s">
        <v>29</v>
      </c>
      <c r="C49" s="424"/>
      <c r="D49" s="424"/>
      <c r="E49" s="424"/>
      <c r="R49" s="29"/>
    </row>
    <row r="50" spans="1:18" outlineLevel="2" x14ac:dyDescent="0.2">
      <c r="R50" s="25"/>
    </row>
    <row r="51" spans="1:18" outlineLevel="2" x14ac:dyDescent="0.2">
      <c r="B51" s="32" t="s">
        <v>33</v>
      </c>
      <c r="C51" s="31"/>
      <c r="D51" s="31"/>
      <c r="E51" s="31"/>
      <c r="G51" s="36">
        <v>2901</v>
      </c>
      <c r="H51" s="36">
        <v>2890</v>
      </c>
      <c r="I51" s="36">
        <v>2854</v>
      </c>
      <c r="J51" s="36">
        <v>2851</v>
      </c>
      <c r="K51" s="36">
        <v>2815</v>
      </c>
      <c r="L51" s="36">
        <v>2687</v>
      </c>
      <c r="M51" s="132">
        <f>$F$8</f>
        <v>2702</v>
      </c>
      <c r="N51" s="132">
        <f t="shared" ref="N51:Q51" si="9">$F$8</f>
        <v>2702</v>
      </c>
      <c r="O51" s="132">
        <f t="shared" si="9"/>
        <v>2702</v>
      </c>
      <c r="P51" s="132">
        <f t="shared" si="9"/>
        <v>2702</v>
      </c>
      <c r="Q51" s="132">
        <f t="shared" si="9"/>
        <v>2702</v>
      </c>
      <c r="R51" s="26"/>
    </row>
    <row r="52" spans="1:18" outlineLevel="2" x14ac:dyDescent="0.2">
      <c r="A52" s="23"/>
      <c r="B52" s="35" t="s">
        <v>30</v>
      </c>
      <c r="C52" s="31"/>
      <c r="D52" s="31"/>
      <c r="E52" s="31"/>
      <c r="G52" s="36">
        <v>5.49</v>
      </c>
      <c r="H52" s="36">
        <v>7.65</v>
      </c>
      <c r="I52" s="36">
        <v>6.48</v>
      </c>
      <c r="J52" s="36">
        <v>10.220000000000001</v>
      </c>
      <c r="K52" s="36">
        <v>13.99</v>
      </c>
      <c r="L52" s="36">
        <v>8.6300000000000008</v>
      </c>
      <c r="M52" s="86">
        <f>M47/M51</f>
        <v>12.538532978904513</v>
      </c>
      <c r="N52" s="86">
        <f t="shared" ref="N52:Q52" si="10">N47/N51</f>
        <v>14.017613005004677</v>
      </c>
      <c r="O52" s="86">
        <f t="shared" si="10"/>
        <v>15.605220747606896</v>
      </c>
      <c r="P52" s="86">
        <f t="shared" si="10"/>
        <v>17.249490842720345</v>
      </c>
      <c r="Q52" s="86">
        <f t="shared" si="10"/>
        <v>18.925055328300683</v>
      </c>
      <c r="R52" s="26"/>
    </row>
    <row r="53" spans="1:18" outlineLevel="2" x14ac:dyDescent="0.2">
      <c r="B53" s="75" t="s">
        <v>31</v>
      </c>
      <c r="G53" s="63" t="s">
        <v>32</v>
      </c>
      <c r="H53" s="92">
        <f>(H52-G52)/G52</f>
        <v>0.39344262295081966</v>
      </c>
      <c r="I53" s="92">
        <f>(I52-H52)/H52</f>
        <v>-0.15294117647058822</v>
      </c>
      <c r="J53" s="92">
        <f t="shared" ref="J53:L53" si="11">(J52-I52)/I52</f>
        <v>0.5771604938271605</v>
      </c>
      <c r="K53" s="92">
        <f t="shared" si="11"/>
        <v>0.36888454011741678</v>
      </c>
      <c r="L53" s="92">
        <f t="shared" si="11"/>
        <v>-0.38313080771979979</v>
      </c>
      <c r="M53" s="278">
        <f>(M52-L52)/L52</f>
        <v>0.4529006928046943</v>
      </c>
      <c r="N53" s="278">
        <f t="shared" ref="N53:Q53" si="12">(N52-M52)/M52</f>
        <v>0.11796276554750429</v>
      </c>
      <c r="O53" s="278">
        <f t="shared" si="12"/>
        <v>0.11325806626530494</v>
      </c>
      <c r="P53" s="278">
        <f t="shared" si="12"/>
        <v>0.10536666681665505</v>
      </c>
      <c r="Q53" s="278">
        <f t="shared" si="12"/>
        <v>9.7137040209361453E-2</v>
      </c>
      <c r="R53" s="26"/>
    </row>
    <row r="54" spans="1:18" outlineLevel="2" x14ac:dyDescent="0.2">
      <c r="B54" s="31"/>
      <c r="C54" s="31"/>
      <c r="D54" s="31"/>
      <c r="E54" s="31"/>
      <c r="M54" s="31"/>
      <c r="N54" s="31"/>
      <c r="O54" s="31"/>
      <c r="P54" s="31"/>
      <c r="Q54" s="31"/>
      <c r="R54" s="26"/>
    </row>
    <row r="55" spans="1:18" outlineLevel="2" x14ac:dyDescent="0.2">
      <c r="B55" s="32" t="s">
        <v>34</v>
      </c>
      <c r="C55" s="31"/>
      <c r="E55" s="31"/>
      <c r="G55" s="34">
        <v>2956</v>
      </c>
      <c r="H55" s="34">
        <v>2921</v>
      </c>
      <c r="I55" s="34">
        <v>2876</v>
      </c>
      <c r="J55" s="34">
        <v>2888</v>
      </c>
      <c r="K55" s="34">
        <v>2859</v>
      </c>
      <c r="L55" s="34">
        <v>2702</v>
      </c>
      <c r="M55" s="204"/>
      <c r="N55" s="204"/>
      <c r="O55" s="204"/>
      <c r="P55" s="204"/>
      <c r="Q55" s="204"/>
      <c r="R55" s="26"/>
    </row>
    <row r="56" spans="1:18" outlineLevel="2" x14ac:dyDescent="0.2">
      <c r="B56" s="35" t="s">
        <v>35</v>
      </c>
      <c r="C56" s="31"/>
      <c r="D56" s="31"/>
      <c r="E56" s="31"/>
      <c r="F56" s="18"/>
      <c r="G56" s="36">
        <v>5.39</v>
      </c>
      <c r="H56" s="36">
        <v>7.57</v>
      </c>
      <c r="I56" s="36">
        <v>6.43</v>
      </c>
      <c r="J56" s="36">
        <v>10.09</v>
      </c>
      <c r="K56" s="36">
        <v>13.77</v>
      </c>
      <c r="L56" s="36">
        <v>8.59</v>
      </c>
      <c r="M56" s="204"/>
      <c r="N56" s="204"/>
      <c r="O56" s="204"/>
      <c r="P56" s="204"/>
      <c r="Q56" s="204"/>
    </row>
    <row r="57" spans="1:18" outlineLevel="2" x14ac:dyDescent="0.2">
      <c r="B57" s="33" t="s">
        <v>31</v>
      </c>
      <c r="C57" s="31"/>
      <c r="D57" s="31"/>
      <c r="E57" s="31"/>
      <c r="F57" s="18"/>
      <c r="G57" s="38" t="s">
        <v>32</v>
      </c>
      <c r="H57" s="39">
        <f>(H56-G56)/G56</f>
        <v>0.40445269016697599</v>
      </c>
      <c r="I57" s="39">
        <f t="shared" ref="I57:L57" si="13">(I56-H56)/H56</f>
        <v>-0.15059445178335543</v>
      </c>
      <c r="J57" s="39">
        <f t="shared" si="13"/>
        <v>0.56920684292379475</v>
      </c>
      <c r="K57" s="39">
        <f t="shared" si="13"/>
        <v>0.36471754212091179</v>
      </c>
      <c r="L57" s="39">
        <f t="shared" si="13"/>
        <v>-0.37618010167029775</v>
      </c>
      <c r="M57" s="204"/>
      <c r="N57" s="204"/>
      <c r="O57" s="204"/>
      <c r="P57" s="204"/>
      <c r="Q57" s="204"/>
    </row>
    <row r="58" spans="1:18" outlineLevel="1" x14ac:dyDescent="0.2">
      <c r="B58" s="31"/>
      <c r="C58" s="31"/>
      <c r="D58" s="31"/>
      <c r="E58" s="31"/>
      <c r="F58" s="18"/>
      <c r="G58" s="18"/>
      <c r="H58" s="18"/>
      <c r="I58" s="18"/>
      <c r="J58" s="18"/>
      <c r="K58" s="18"/>
      <c r="L58" s="18"/>
      <c r="M58" s="279"/>
      <c r="N58" s="279"/>
      <c r="O58" s="279"/>
      <c r="P58" s="279"/>
      <c r="Q58" s="279"/>
    </row>
    <row r="59" spans="1:18" ht="15" outlineLevel="1" x14ac:dyDescent="0.25">
      <c r="B59" s="424" t="s">
        <v>143</v>
      </c>
      <c r="C59" s="424"/>
      <c r="D59" s="424"/>
      <c r="E59" s="424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8" outlineLevel="1" x14ac:dyDescent="0.2">
      <c r="B60" s="31"/>
      <c r="C60" s="31"/>
      <c r="D60" s="31"/>
      <c r="E60" s="31"/>
      <c r="F60" s="18"/>
    </row>
    <row r="61" spans="1:18" outlineLevel="1" x14ac:dyDescent="0.2">
      <c r="B61" s="31" t="s">
        <v>165</v>
      </c>
      <c r="C61" s="31"/>
      <c r="D61" s="31"/>
      <c r="E61" s="31"/>
      <c r="F61" s="18"/>
      <c r="G61" s="88">
        <f>G32-G34</f>
        <v>35199</v>
      </c>
      <c r="H61" s="88">
        <f t="shared" ref="H61:Q61" si="14">H32-H34</f>
        <v>46483</v>
      </c>
      <c r="I61" s="88">
        <f t="shared" si="14"/>
        <v>57927</v>
      </c>
      <c r="J61" s="88">
        <f t="shared" si="14"/>
        <v>69273</v>
      </c>
      <c r="K61" s="88">
        <f t="shared" si="14"/>
        <v>95280</v>
      </c>
      <c r="L61" s="88">
        <f t="shared" si="14"/>
        <v>91360</v>
      </c>
      <c r="M61" s="88">
        <f>M32-M34</f>
        <v>105939.27649999998</v>
      </c>
      <c r="N61" s="88">
        <f t="shared" si="14"/>
        <v>118651.98968</v>
      </c>
      <c r="O61" s="88">
        <f t="shared" si="14"/>
        <v>131703.7085448</v>
      </c>
      <c r="P61" s="88">
        <f t="shared" si="14"/>
        <v>144874.07939928002</v>
      </c>
      <c r="Q61" s="88">
        <f t="shared" si="14"/>
        <v>157912.74654521522</v>
      </c>
    </row>
    <row r="62" spans="1:18" outlineLevel="1" x14ac:dyDescent="0.2">
      <c r="B62" s="31" t="s">
        <v>144</v>
      </c>
      <c r="C62" s="31"/>
      <c r="D62" s="31"/>
      <c r="E62" s="31"/>
      <c r="F62" s="18"/>
      <c r="G62" s="99">
        <f t="shared" ref="G62:Q62" si="15">(G32-G34)/G32</f>
        <v>0.86584015939783043</v>
      </c>
      <c r="H62" s="99">
        <f t="shared" si="15"/>
        <v>0.8324617643898421</v>
      </c>
      <c r="I62" s="99">
        <f t="shared" si="15"/>
        <v>0.81936998741106415</v>
      </c>
      <c r="J62" s="99">
        <f t="shared" si="15"/>
        <v>0.80582795323678236</v>
      </c>
      <c r="K62" s="99">
        <f t="shared" si="15"/>
        <v>0.80794376277251567</v>
      </c>
      <c r="L62" s="99">
        <f t="shared" si="15"/>
        <v>0.78347297378418479</v>
      </c>
      <c r="M62" s="100">
        <f t="shared" si="15"/>
        <v>0.78999999999999992</v>
      </c>
      <c r="N62" s="100">
        <f t="shared" si="15"/>
        <v>0.79</v>
      </c>
      <c r="O62" s="100">
        <f t="shared" si="15"/>
        <v>0.78999999999999992</v>
      </c>
      <c r="P62" s="100">
        <f t="shared" si="15"/>
        <v>0.79</v>
      </c>
      <c r="Q62" s="100">
        <f t="shared" si="15"/>
        <v>0.79</v>
      </c>
    </row>
    <row r="63" spans="1:18" outlineLevel="1" x14ac:dyDescent="0.2">
      <c r="B63" s="31" t="s">
        <v>147</v>
      </c>
      <c r="C63" s="31"/>
      <c r="D63" s="31"/>
      <c r="E63" s="31"/>
      <c r="F63" s="18"/>
      <c r="G63" s="101">
        <f>G65+'Fixed Assets'!G13+'Intangible Asset '!E30</f>
        <v>23228</v>
      </c>
      <c r="H63" s="101">
        <f>H65+'Fixed Assets'!H13+'Intangible Asset '!F30</f>
        <v>29228</v>
      </c>
      <c r="I63" s="101">
        <f>I65+'Fixed Assets'!I13+'Intangible Asset '!G30</f>
        <v>29727</v>
      </c>
      <c r="J63" s="101">
        <f>J65+'Fixed Assets'!J13+'Intangible Asset '!H30</f>
        <v>39533</v>
      </c>
      <c r="K63" s="101">
        <f>K65+'Fixed Assets'!K13+'Intangible Asset '!I30</f>
        <v>54720</v>
      </c>
      <c r="L63" s="285">
        <f>L65+'Fixed Assets'!L13+'Intangible Asset '!J30</f>
        <v>37630</v>
      </c>
      <c r="M63" s="283">
        <f>M65+M150</f>
        <v>52840.111999999994</v>
      </c>
      <c r="N63" s="283">
        <f t="shared" ref="N63:Q63" si="16">N65+N150</f>
        <v>59135.565440000006</v>
      </c>
      <c r="O63" s="283">
        <f t="shared" si="16"/>
        <v>65583.617638400014</v>
      </c>
      <c r="P63" s="283">
        <f t="shared" si="16"/>
        <v>72094.679402239984</v>
      </c>
      <c r="Q63" s="283">
        <f t="shared" si="16"/>
        <v>78562.240548441609</v>
      </c>
    </row>
    <row r="64" spans="1:18" outlineLevel="1" x14ac:dyDescent="0.2">
      <c r="B64" s="75" t="s">
        <v>164</v>
      </c>
      <c r="C64" s="280"/>
      <c r="D64" s="31"/>
      <c r="E64" s="31"/>
      <c r="F64" s="18"/>
      <c r="G64" s="279"/>
      <c r="H64" s="99">
        <f>(H63-G63)/G63</f>
        <v>0.25830893748923711</v>
      </c>
      <c r="I64" s="99">
        <f t="shared" ref="I64:M64" si="17">(I63-H63)/H63</f>
        <v>1.7072670042425072E-2</v>
      </c>
      <c r="J64" s="99">
        <f t="shared" si="17"/>
        <v>0.32986846974131262</v>
      </c>
      <c r="K64" s="99">
        <f t="shared" si="17"/>
        <v>0.3841600688032783</v>
      </c>
      <c r="L64" s="99">
        <f t="shared" si="17"/>
        <v>-0.3123172514619883</v>
      </c>
      <c r="M64" s="99">
        <f t="shared" si="17"/>
        <v>0.40420175391974472</v>
      </c>
      <c r="N64" s="100">
        <f>(N63-M63)/M63</f>
        <v>0.11914156124423077</v>
      </c>
      <c r="O64" s="100">
        <f t="shared" ref="O64:Q64" si="18">(O63-N63)/N63</f>
        <v>0.10903848048840112</v>
      </c>
      <c r="P64" s="100">
        <f t="shared" si="18"/>
        <v>9.9278783304379115E-2</v>
      </c>
      <c r="Q64" s="100">
        <f t="shared" si="18"/>
        <v>8.970927119485432E-2</v>
      </c>
    </row>
    <row r="65" spans="2:17" outlineLevel="1" x14ac:dyDescent="0.2">
      <c r="B65" s="31" t="s">
        <v>145</v>
      </c>
      <c r="C65" s="31"/>
      <c r="D65" s="31"/>
      <c r="E65" s="31"/>
      <c r="F65" s="18"/>
      <c r="G65" s="101">
        <f>G39</f>
        <v>20203</v>
      </c>
      <c r="H65" s="101">
        <f t="shared" ref="H65:Q65" si="19">H39</f>
        <v>24913</v>
      </c>
      <c r="I65" s="101">
        <f t="shared" si="19"/>
        <v>23986</v>
      </c>
      <c r="J65" s="101">
        <f t="shared" si="19"/>
        <v>32671</v>
      </c>
      <c r="K65" s="101">
        <f t="shared" si="19"/>
        <v>46753</v>
      </c>
      <c r="L65" s="101">
        <f t="shared" si="19"/>
        <v>28944</v>
      </c>
      <c r="M65" s="102">
        <f t="shared" si="19"/>
        <v>42912.111999999994</v>
      </c>
      <c r="N65" s="102">
        <f t="shared" si="19"/>
        <v>48061.565440000006</v>
      </c>
      <c r="O65" s="102">
        <f t="shared" si="19"/>
        <v>53348.337638400015</v>
      </c>
      <c r="P65" s="102">
        <f t="shared" si="19"/>
        <v>58683.171402239983</v>
      </c>
      <c r="Q65" s="102">
        <f t="shared" si="19"/>
        <v>63964.656828441599</v>
      </c>
    </row>
    <row r="66" spans="2:17" outlineLevel="1" x14ac:dyDescent="0.2">
      <c r="B66" s="31" t="s">
        <v>146</v>
      </c>
      <c r="C66" s="31"/>
      <c r="D66" s="31"/>
      <c r="E66" s="31"/>
      <c r="F66" s="18"/>
      <c r="G66" s="99">
        <f>G65/G32</f>
        <v>0.49696209381841439</v>
      </c>
      <c r="H66" s="99">
        <f t="shared" ref="H66:L66" si="20">H65/H32</f>
        <v>0.44616569361366809</v>
      </c>
      <c r="I66" s="99">
        <f t="shared" si="20"/>
        <v>0.33927889443682191</v>
      </c>
      <c r="J66" s="99">
        <f t="shared" si="20"/>
        <v>0.3800500203571221</v>
      </c>
      <c r="K66" s="99">
        <f t="shared" si="20"/>
        <v>0.39645040660058173</v>
      </c>
      <c r="L66" s="99">
        <f t="shared" si="20"/>
        <v>0.24821411726367604</v>
      </c>
      <c r="M66" s="100">
        <f>M65/M32</f>
        <v>0.32</v>
      </c>
      <c r="N66" s="100">
        <f t="shared" ref="N66" si="21">N65/N32</f>
        <v>0.32000000000000006</v>
      </c>
      <c r="O66" s="100">
        <f t="shared" ref="O66" si="22">O65/O32</f>
        <v>0.32000000000000006</v>
      </c>
      <c r="P66" s="100">
        <f t="shared" ref="P66" si="23">P65/P32</f>
        <v>0.3199999999999999</v>
      </c>
      <c r="Q66" s="100">
        <f t="shared" ref="Q66" si="24">Q65/Q32</f>
        <v>0.31999999999999995</v>
      </c>
    </row>
    <row r="67" spans="2:17" outlineLevel="1" x14ac:dyDescent="0.2">
      <c r="B67" s="31" t="s">
        <v>166</v>
      </c>
      <c r="C67" s="31"/>
      <c r="D67" s="31"/>
      <c r="E67" s="31"/>
      <c r="F67" s="18"/>
      <c r="G67" s="99">
        <f>G47/G32</f>
        <v>0.39195139350109465</v>
      </c>
      <c r="H67" s="99">
        <f t="shared" ref="H67:Q67" si="25">H47/H32</f>
        <v>0.39600272216053584</v>
      </c>
      <c r="I67" s="99">
        <f t="shared" si="25"/>
        <v>0.26146795479298979</v>
      </c>
      <c r="J67" s="99">
        <f t="shared" si="25"/>
        <v>0.3390449601582039</v>
      </c>
      <c r="K67" s="99">
        <f t="shared" si="25"/>
        <v>0.33384494059985248</v>
      </c>
      <c r="L67" s="99">
        <f t="shared" si="25"/>
        <v>0.19895548371051977</v>
      </c>
      <c r="M67" s="100">
        <f t="shared" si="25"/>
        <v>0.25264002747942121</v>
      </c>
      <c r="N67" s="100">
        <f t="shared" si="25"/>
        <v>0.2521804855436528</v>
      </c>
      <c r="O67" s="100">
        <f t="shared" si="25"/>
        <v>0.25292068440195731</v>
      </c>
      <c r="P67" s="100">
        <f t="shared" si="25"/>
        <v>0.25415463080579881</v>
      </c>
      <c r="Q67" s="100">
        <f t="shared" si="25"/>
        <v>0.25581877008970377</v>
      </c>
    </row>
    <row r="68" spans="2:17" x14ac:dyDescent="0.2">
      <c r="B68" s="31"/>
      <c r="C68" s="31"/>
      <c r="D68" s="31"/>
      <c r="E68" s="31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</row>
    <row r="69" spans="2:17" ht="20.25" x14ac:dyDescent="0.3">
      <c r="B69" s="409" t="s">
        <v>36</v>
      </c>
      <c r="C69" s="409"/>
      <c r="D69" s="409"/>
      <c r="E69" s="409"/>
      <c r="F69" s="409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2:17" outlineLevel="3" x14ac:dyDescent="0.2">
      <c r="B70" s="95" t="s">
        <v>149</v>
      </c>
      <c r="C70" s="31"/>
      <c r="D70" s="31"/>
      <c r="E70" s="31"/>
    </row>
    <row r="71" spans="2:17" outlineLevel="3" x14ac:dyDescent="0.2">
      <c r="B71" s="31"/>
      <c r="C71" s="31"/>
      <c r="D71" s="31"/>
      <c r="E71" s="31"/>
    </row>
    <row r="72" spans="2:17" ht="15" outlineLevel="3" x14ac:dyDescent="0.25">
      <c r="B72" s="31"/>
      <c r="C72" s="31"/>
      <c r="D72" s="31"/>
      <c r="E72" s="31"/>
      <c r="F72" s="419" t="s">
        <v>67</v>
      </c>
      <c r="G72" s="420"/>
      <c r="H72" s="420"/>
      <c r="I72" s="420"/>
      <c r="J72" s="420"/>
      <c r="K72" s="420"/>
      <c r="L72" s="420"/>
      <c r="M72" s="420"/>
      <c r="N72" s="420"/>
      <c r="O72" s="420"/>
      <c r="P72" s="420"/>
      <c r="Q72" s="421"/>
    </row>
    <row r="73" spans="2:17" ht="15" outlineLevel="3" x14ac:dyDescent="0.25">
      <c r="B73" s="31"/>
      <c r="C73" s="31"/>
      <c r="D73" s="31"/>
      <c r="E73" s="31"/>
      <c r="F73" s="281"/>
      <c r="G73" s="265">
        <v>2017</v>
      </c>
      <c r="H73" s="265">
        <v>2018</v>
      </c>
      <c r="I73" s="265">
        <v>2019</v>
      </c>
      <c r="J73" s="266">
        <v>2020</v>
      </c>
      <c r="K73" s="266">
        <v>2021</v>
      </c>
      <c r="L73" s="266">
        <v>2022</v>
      </c>
      <c r="M73" s="267" t="s">
        <v>15</v>
      </c>
      <c r="N73" s="268" t="s">
        <v>16</v>
      </c>
      <c r="O73" s="267" t="s">
        <v>17</v>
      </c>
      <c r="P73" s="268" t="s">
        <v>18</v>
      </c>
      <c r="Q73" s="269" t="s">
        <v>19</v>
      </c>
    </row>
    <row r="74" spans="2:17" outlineLevel="3" x14ac:dyDescent="0.2">
      <c r="B74" s="31"/>
      <c r="C74" s="31"/>
      <c r="D74" s="31"/>
      <c r="E74" s="31"/>
      <c r="F74" s="270" t="s">
        <v>69</v>
      </c>
      <c r="G74" s="44">
        <f t="shared" ref="G74:L74" si="26">(G89/G32)*365</f>
        <v>52.362187292450749</v>
      </c>
      <c r="H74" s="44">
        <f t="shared" si="26"/>
        <v>49.594451807013144</v>
      </c>
      <c r="I74" s="44">
        <f t="shared" si="26"/>
        <v>49.140274693409907</v>
      </c>
      <c r="J74" s="44">
        <f t="shared" si="26"/>
        <v>48.127435584249405</v>
      </c>
      <c r="K74" s="44">
        <f t="shared" si="26"/>
        <v>43.451865105275203</v>
      </c>
      <c r="L74" s="44">
        <f t="shared" si="26"/>
        <v>42.150177087531837</v>
      </c>
      <c r="M74" s="43">
        <v>43</v>
      </c>
      <c r="N74" s="43">
        <v>43</v>
      </c>
      <c r="O74" s="43">
        <v>43</v>
      </c>
      <c r="P74" s="43">
        <v>43</v>
      </c>
      <c r="Q74" s="271">
        <v>43</v>
      </c>
    </row>
    <row r="75" spans="2:17" outlineLevel="3" x14ac:dyDescent="0.2">
      <c r="B75" s="31"/>
      <c r="C75" s="31"/>
      <c r="D75" s="31"/>
      <c r="E75" s="31"/>
      <c r="F75" s="270" t="s">
        <v>70</v>
      </c>
      <c r="G75" s="28">
        <f t="shared" ref="G75:L75" si="27">G88/G32</f>
        <v>0.82729441861609232</v>
      </c>
      <c r="H75" s="28">
        <f t="shared" si="27"/>
        <v>0.5568788280382535</v>
      </c>
      <c r="I75" s="28">
        <f t="shared" si="27"/>
        <v>0.50604693268455525</v>
      </c>
      <c r="J75" s="28">
        <f t="shared" si="27"/>
        <v>0.51623335078229515</v>
      </c>
      <c r="K75" s="28">
        <f t="shared" si="27"/>
        <v>0.26623646431327325</v>
      </c>
      <c r="L75" s="28">
        <f t="shared" si="27"/>
        <v>0.22345616547607819</v>
      </c>
      <c r="M75" s="24">
        <v>0.22</v>
      </c>
      <c r="N75" s="24">
        <v>0.22</v>
      </c>
      <c r="O75" s="24">
        <v>0.22</v>
      </c>
      <c r="P75" s="24">
        <v>0.22</v>
      </c>
      <c r="Q75" s="30">
        <v>0.22</v>
      </c>
    </row>
    <row r="76" spans="2:17" outlineLevel="3" x14ac:dyDescent="0.2">
      <c r="B76" s="31"/>
      <c r="C76" s="31"/>
      <c r="D76" s="31"/>
      <c r="E76" s="31"/>
      <c r="F76" s="270" t="s">
        <v>71</v>
      </c>
      <c r="G76" s="49">
        <f t="shared" ref="G76:L76" si="28">G90/G32</f>
        <v>2.5090399232528964E-2</v>
      </c>
      <c r="H76" s="49">
        <f t="shared" si="28"/>
        <v>3.1860023639815181E-2</v>
      </c>
      <c r="I76" s="49">
        <f t="shared" si="28"/>
        <v>2.6196302530517562E-2</v>
      </c>
      <c r="J76" s="49">
        <f t="shared" si="28"/>
        <v>2.7697318676205434E-2</v>
      </c>
      <c r="K76" s="49">
        <f t="shared" si="28"/>
        <v>3.9252431547795709E-2</v>
      </c>
      <c r="L76" s="49">
        <f t="shared" si="28"/>
        <v>4.5836942260031384E-2</v>
      </c>
      <c r="M76" s="24">
        <v>0.04</v>
      </c>
      <c r="N76" s="24">
        <v>0.04</v>
      </c>
      <c r="O76" s="24">
        <v>0.04</v>
      </c>
      <c r="P76" s="24">
        <v>0.04</v>
      </c>
      <c r="Q76" s="30">
        <v>0.04</v>
      </c>
    </row>
    <row r="77" spans="2:17" outlineLevel="3" x14ac:dyDescent="0.2">
      <c r="B77" s="31"/>
      <c r="C77" s="31"/>
      <c r="D77" s="31"/>
      <c r="E77" s="31"/>
      <c r="F77" s="270" t="s">
        <v>72</v>
      </c>
      <c r="G77" s="28">
        <f t="shared" ref="G77:L77" si="29">G102/G32</f>
        <v>9.3474036356480453E-3</v>
      </c>
      <c r="H77" s="28">
        <f t="shared" si="29"/>
        <v>1.4685339732798453E-2</v>
      </c>
      <c r="I77" s="28">
        <f t="shared" si="29"/>
        <v>1.9279460231693E-2</v>
      </c>
      <c r="J77" s="28">
        <f t="shared" si="29"/>
        <v>1.5483045425463851E-2</v>
      </c>
      <c r="K77" s="28">
        <f t="shared" si="29"/>
        <v>3.4622527113771846E-2</v>
      </c>
      <c r="L77" s="28">
        <f t="shared" si="29"/>
        <v>4.2792580332564382E-2</v>
      </c>
      <c r="M77" s="24">
        <v>0.02</v>
      </c>
      <c r="N77" s="24">
        <v>0.02</v>
      </c>
      <c r="O77" s="24">
        <v>0.02</v>
      </c>
      <c r="P77" s="24">
        <v>0.02</v>
      </c>
      <c r="Q77" s="30">
        <v>0.02</v>
      </c>
    </row>
    <row r="78" spans="2:17" outlineLevel="3" x14ac:dyDescent="0.2">
      <c r="B78" s="31"/>
      <c r="C78" s="31"/>
      <c r="D78" s="31"/>
      <c r="E78" s="31"/>
      <c r="F78" s="270" t="s">
        <v>73</v>
      </c>
      <c r="G78" s="28">
        <f t="shared" ref="G78:L78" si="30">G103/G32</f>
        <v>9.5933879418493104E-3</v>
      </c>
      <c r="H78" s="28">
        <f t="shared" si="30"/>
        <v>9.6887424334682476E-3</v>
      </c>
      <c r="I78" s="28">
        <f t="shared" si="30"/>
        <v>1.2532356394189287E-2</v>
      </c>
      <c r="J78" s="28">
        <f t="shared" si="30"/>
        <v>1.2714476821962426E-2</v>
      </c>
      <c r="K78" s="28">
        <f t="shared" si="30"/>
        <v>8.920621730023998E-3</v>
      </c>
      <c r="L78" s="28">
        <f t="shared" si="30"/>
        <v>9.5790204872694216E-3</v>
      </c>
      <c r="M78" s="24">
        <v>0.01</v>
      </c>
      <c r="N78" s="24">
        <v>0.01</v>
      </c>
      <c r="O78" s="24">
        <v>0.01</v>
      </c>
      <c r="P78" s="24">
        <v>0.01</v>
      </c>
      <c r="Q78" s="30">
        <v>0.01</v>
      </c>
    </row>
    <row r="79" spans="2:17" outlineLevel="3" x14ac:dyDescent="0.2">
      <c r="B79" s="31"/>
      <c r="C79" s="31"/>
      <c r="D79" s="31"/>
      <c r="E79" s="31"/>
      <c r="F79" s="272" t="s">
        <v>74</v>
      </c>
      <c r="G79" s="51">
        <f>G106/G32</f>
        <v>2.4106462007723907E-3</v>
      </c>
      <c r="H79" s="28">
        <f>H105/H32</f>
        <v>9.8660410473154478E-2</v>
      </c>
      <c r="I79" s="28">
        <f>I105/I32</f>
        <v>0.16599007030001273</v>
      </c>
      <c r="J79" s="28">
        <f>J105/J32</f>
        <v>0.12972721456406677</v>
      </c>
      <c r="K79" s="28">
        <f>K105/K32</f>
        <v>0.12136115798488921</v>
      </c>
      <c r="L79" s="28">
        <f>L105/L32</f>
        <v>0.16767144903052081</v>
      </c>
      <c r="M79" s="24">
        <v>0.14000000000000001</v>
      </c>
      <c r="N79" s="24">
        <v>0.14000000000000001</v>
      </c>
      <c r="O79" s="24">
        <v>0.14000000000000001</v>
      </c>
      <c r="P79" s="24">
        <v>0.14000000000000001</v>
      </c>
      <c r="Q79" s="30">
        <v>0.14000000000000001</v>
      </c>
    </row>
    <row r="80" spans="2:17" outlineLevel="3" x14ac:dyDescent="0.2">
      <c r="B80" s="31"/>
      <c r="C80" s="31"/>
      <c r="D80" s="31"/>
      <c r="E80" s="31"/>
      <c r="F80" s="272" t="s">
        <v>220</v>
      </c>
      <c r="G80" s="335">
        <f>(G103/G34)*365</f>
        <v>26.1001100110011</v>
      </c>
      <c r="H80" s="335">
        <f t="shared" ref="H80:L80" si="31">(H103/H34)*365</f>
        <v>21.10796365579904</v>
      </c>
      <c r="I80" s="335">
        <f t="shared" si="31"/>
        <v>25.324197337509787</v>
      </c>
      <c r="J80" s="335">
        <f t="shared" si="31"/>
        <v>23.900371435418165</v>
      </c>
      <c r="K80" s="335">
        <f t="shared" si="31"/>
        <v>16.953507881142656</v>
      </c>
      <c r="L80" s="335">
        <f t="shared" si="31"/>
        <v>16.147372173155372</v>
      </c>
      <c r="M80" s="339">
        <v>22</v>
      </c>
      <c r="N80" s="339">
        <v>22</v>
      </c>
      <c r="O80" s="339">
        <v>22</v>
      </c>
      <c r="P80" s="339">
        <v>22</v>
      </c>
      <c r="Q80" s="339">
        <v>22</v>
      </c>
    </row>
    <row r="81" spans="2:21" outlineLevel="3" x14ac:dyDescent="0.2">
      <c r="B81" s="31"/>
      <c r="C81" s="31"/>
      <c r="D81" s="31"/>
      <c r="E81" s="31"/>
      <c r="F81" s="273" t="s">
        <v>219</v>
      </c>
      <c r="G81" s="336">
        <f>(G102/G34)*365</f>
        <v>25.43087642097543</v>
      </c>
      <c r="H81" s="336">
        <f t="shared" ref="H81:L81" si="32">(H102/H34)*365</f>
        <v>31.993586317477288</v>
      </c>
      <c r="I81" s="336">
        <f t="shared" si="32"/>
        <v>38.958104933437745</v>
      </c>
      <c r="J81" s="336">
        <f t="shared" si="32"/>
        <v>29.10466091540858</v>
      </c>
      <c r="K81" s="336">
        <f t="shared" si="32"/>
        <v>65.799593801050818</v>
      </c>
      <c r="L81" s="336">
        <f t="shared" si="32"/>
        <v>72.135530120004759</v>
      </c>
      <c r="M81" s="337">
        <v>40</v>
      </c>
      <c r="N81" s="337">
        <f t="shared" ref="N81:Q81" si="33">M81</f>
        <v>40</v>
      </c>
      <c r="O81" s="337">
        <f t="shared" si="33"/>
        <v>40</v>
      </c>
      <c r="P81" s="337">
        <f t="shared" si="33"/>
        <v>40</v>
      </c>
      <c r="Q81" s="338">
        <f t="shared" si="33"/>
        <v>40</v>
      </c>
    </row>
    <row r="82" spans="2:21" outlineLevel="3" x14ac:dyDescent="0.2">
      <c r="B82" s="31"/>
      <c r="C82" s="31"/>
      <c r="D82" s="31"/>
      <c r="E82" s="31"/>
    </row>
    <row r="83" spans="2:21" outlineLevel="3" x14ac:dyDescent="0.2">
      <c r="B83" s="31"/>
      <c r="C83" s="31"/>
      <c r="D83" s="31"/>
      <c r="E83" s="31"/>
    </row>
    <row r="84" spans="2:21" outlineLevel="3" x14ac:dyDescent="0.2">
      <c r="B84" s="31"/>
      <c r="C84" s="31"/>
      <c r="D84" s="31"/>
      <c r="E84" s="31"/>
      <c r="G84" s="343">
        <v>2017</v>
      </c>
      <c r="H84" s="343">
        <v>2018</v>
      </c>
      <c r="I84" s="343">
        <v>2019</v>
      </c>
      <c r="J84" s="344">
        <v>2020</v>
      </c>
      <c r="K84" s="344">
        <v>2021</v>
      </c>
      <c r="L84" s="344">
        <v>2022</v>
      </c>
      <c r="M84" s="345" t="s">
        <v>15</v>
      </c>
      <c r="N84" s="346" t="s">
        <v>16</v>
      </c>
      <c r="O84" s="345" t="s">
        <v>17</v>
      </c>
      <c r="P84" s="346" t="s">
        <v>18</v>
      </c>
      <c r="Q84" s="345" t="s">
        <v>19</v>
      </c>
    </row>
    <row r="85" spans="2:21" outlineLevel="3" x14ac:dyDescent="0.2">
      <c r="B85" s="3" t="s">
        <v>37</v>
      </c>
      <c r="C85" s="31"/>
      <c r="D85" s="31"/>
      <c r="E85" s="31"/>
      <c r="G85" s="40"/>
      <c r="H85" s="93"/>
      <c r="I85" s="93"/>
      <c r="J85" s="40"/>
      <c r="K85" s="93"/>
    </row>
    <row r="86" spans="2:21" outlineLevel="3" x14ac:dyDescent="0.2">
      <c r="B86" s="2" t="s">
        <v>38</v>
      </c>
      <c r="C86" s="16"/>
      <c r="D86" s="16"/>
      <c r="G86" s="40"/>
      <c r="H86" s="93"/>
      <c r="I86" s="93"/>
      <c r="J86" s="40"/>
      <c r="K86" s="93"/>
    </row>
    <row r="87" spans="2:21" outlineLevel="3" x14ac:dyDescent="0.2">
      <c r="B87" s="2" t="s">
        <v>39</v>
      </c>
      <c r="C87" s="16"/>
      <c r="D87" s="16"/>
      <c r="G87" s="145">
        <v>8079</v>
      </c>
      <c r="H87" s="146">
        <v>10019</v>
      </c>
      <c r="I87" s="146">
        <v>19079</v>
      </c>
      <c r="J87" s="146">
        <v>17576</v>
      </c>
      <c r="K87" s="146">
        <v>16601</v>
      </c>
      <c r="L87" s="145">
        <v>14681</v>
      </c>
      <c r="M87" s="147">
        <f>L87+M177</f>
        <v>12868.493998041104</v>
      </c>
      <c r="N87" s="147">
        <f>M87+N177</f>
        <v>15733.458144248667</v>
      </c>
      <c r="O87" s="147">
        <f>N87+O177</f>
        <v>21513.182791412379</v>
      </c>
      <c r="P87" s="147">
        <f>O87+P177</f>
        <v>30500.56895188833</v>
      </c>
      <c r="Q87" s="147">
        <f>P87+Q177</f>
        <v>42975.830538988339</v>
      </c>
    </row>
    <row r="88" spans="2:21" outlineLevel="3" x14ac:dyDescent="0.2">
      <c r="B88" s="2" t="s">
        <v>40</v>
      </c>
      <c r="C88" s="16"/>
      <c r="D88" s="16"/>
      <c r="G88" s="138">
        <v>33632</v>
      </c>
      <c r="H88" s="139">
        <v>31095</v>
      </c>
      <c r="I88" s="139">
        <v>35776</v>
      </c>
      <c r="J88" s="139">
        <v>44378</v>
      </c>
      <c r="K88" s="139">
        <v>31397</v>
      </c>
      <c r="L88" s="138">
        <v>26057</v>
      </c>
      <c r="M88" s="148">
        <v>26057</v>
      </c>
      <c r="N88" s="148">
        <v>26057</v>
      </c>
      <c r="O88" s="148">
        <v>26057</v>
      </c>
      <c r="P88" s="148">
        <v>26057</v>
      </c>
      <c r="Q88" s="148">
        <v>26057</v>
      </c>
    </row>
    <row r="89" spans="2:21" outlineLevel="3" x14ac:dyDescent="0.2">
      <c r="B89" s="2" t="s">
        <v>63</v>
      </c>
      <c r="C89" s="16"/>
      <c r="D89" s="16"/>
      <c r="G89" s="138">
        <v>5832</v>
      </c>
      <c r="H89" s="139">
        <v>7587</v>
      </c>
      <c r="I89" s="139">
        <v>9518</v>
      </c>
      <c r="J89" s="139">
        <v>11335</v>
      </c>
      <c r="K89" s="139">
        <v>14039</v>
      </c>
      <c r="L89" s="138">
        <v>13466</v>
      </c>
      <c r="M89" s="149">
        <f>(M74*M32)/365</f>
        <v>15798.123424657531</v>
      </c>
      <c r="N89" s="149">
        <f>(N74*N32)/365</f>
        <v>17693.898235616438</v>
      </c>
      <c r="O89" s="149">
        <f>(O74*O32)/365</f>
        <v>19640.227041534246</v>
      </c>
      <c r="P89" s="149">
        <f>(P74*P32)/365</f>
        <v>21604.249745687674</v>
      </c>
      <c r="Q89" s="149">
        <f>(Q74*Q32)/365</f>
        <v>23548.632222799562</v>
      </c>
    </row>
    <row r="90" spans="2:21" outlineLevel="3" x14ac:dyDescent="0.2">
      <c r="B90" s="2" t="s">
        <v>41</v>
      </c>
      <c r="C90" s="16"/>
      <c r="D90" s="16"/>
      <c r="G90" s="138">
        <v>1020</v>
      </c>
      <c r="H90" s="139">
        <v>1779</v>
      </c>
      <c r="I90" s="139">
        <v>1852</v>
      </c>
      <c r="J90" s="139">
        <v>2381</v>
      </c>
      <c r="K90" s="139">
        <v>4629</v>
      </c>
      <c r="L90" s="138">
        <v>5345</v>
      </c>
      <c r="M90" s="150">
        <f>L90*(1+M21)</f>
        <v>6146.7499999999991</v>
      </c>
      <c r="N90" s="150">
        <f>M90*(1+N21)</f>
        <v>6884.36</v>
      </c>
      <c r="O90" s="150">
        <f>N90*(1+O21)</f>
        <v>7641.6396000000004</v>
      </c>
      <c r="P90" s="150">
        <f>O90*(1+P21)</f>
        <v>8405.8035600000003</v>
      </c>
      <c r="Q90" s="150">
        <f>P90*(1+Q21)</f>
        <v>9162.3258804000016</v>
      </c>
    </row>
    <row r="91" spans="2:21" s="14" customFormat="1" ht="15" outlineLevel="3" x14ac:dyDescent="0.25">
      <c r="B91" s="136" t="s">
        <v>151</v>
      </c>
      <c r="C91" s="134"/>
      <c r="D91" s="134"/>
      <c r="E91" s="135"/>
      <c r="F91" s="135"/>
      <c r="G91" s="151">
        <v>48563</v>
      </c>
      <c r="H91" s="152">
        <v>50480</v>
      </c>
      <c r="I91" s="152">
        <v>66225</v>
      </c>
      <c r="J91" s="152">
        <v>75670</v>
      </c>
      <c r="K91" s="152">
        <v>66666</v>
      </c>
      <c r="L91" s="151">
        <v>59549</v>
      </c>
      <c r="M91" s="153">
        <f>SUM(M87:M90)</f>
        <v>60870.367422698633</v>
      </c>
      <c r="N91" s="153">
        <f>SUM(N87:N90)</f>
        <v>66368.716379865102</v>
      </c>
      <c r="O91" s="153">
        <f>SUM(O87:O90)</f>
        <v>74852.049432946616</v>
      </c>
      <c r="P91" s="153">
        <f>SUM(P87:P90)</f>
        <v>86567.622257576004</v>
      </c>
      <c r="Q91" s="153">
        <f>SUM(Q87:Q90)</f>
        <v>101743.78864218791</v>
      </c>
      <c r="U91" s="89"/>
    </row>
    <row r="92" spans="2:21" outlineLevel="3" x14ac:dyDescent="0.2">
      <c r="B92" s="2" t="s">
        <v>65</v>
      </c>
      <c r="C92" s="16"/>
      <c r="D92" s="16"/>
      <c r="G92" s="138" t="s">
        <v>32</v>
      </c>
      <c r="H92" s="139" t="s">
        <v>32</v>
      </c>
      <c r="I92" s="139">
        <v>86</v>
      </c>
      <c r="J92" s="139">
        <v>6234</v>
      </c>
      <c r="K92" s="139">
        <v>6775</v>
      </c>
      <c r="L92" s="138">
        <v>6201</v>
      </c>
      <c r="M92" s="154">
        <v>6201</v>
      </c>
      <c r="N92" s="154">
        <v>6201</v>
      </c>
      <c r="O92" s="154">
        <v>6201</v>
      </c>
      <c r="P92" s="154">
        <v>6201</v>
      </c>
      <c r="Q92" s="154">
        <v>6201</v>
      </c>
      <c r="T92" s="23"/>
      <c r="U92" s="90"/>
    </row>
    <row r="93" spans="2:21" outlineLevel="3" x14ac:dyDescent="0.2">
      <c r="B93" s="2" t="s">
        <v>42</v>
      </c>
      <c r="C93" s="16"/>
      <c r="D93" s="16"/>
      <c r="G93" s="138">
        <v>13721</v>
      </c>
      <c r="H93" s="139">
        <v>24683</v>
      </c>
      <c r="I93" s="139">
        <v>35323</v>
      </c>
      <c r="J93" s="139">
        <v>45633</v>
      </c>
      <c r="K93" s="139">
        <v>57809</v>
      </c>
      <c r="L93" s="138">
        <v>79518</v>
      </c>
      <c r="M93" s="206">
        <f>'Fixed Assets'!M22</f>
        <v>97904.073499999999</v>
      </c>
      <c r="N93" s="206">
        <f>'Fixed Assets'!N22</f>
        <v>117745.51385999999</v>
      </c>
      <c r="O93" s="206">
        <f>'Fixed Assets'!O22</f>
        <v>138935.944884</v>
      </c>
      <c r="P93" s="206">
        <f>'Fixed Assets'!P22</f>
        <v>161328.49445723998</v>
      </c>
      <c r="Q93" s="206">
        <f>'Fixed Assets'!Q22</f>
        <v>184736.92572912719</v>
      </c>
    </row>
    <row r="94" spans="2:21" outlineLevel="3" x14ac:dyDescent="0.2">
      <c r="B94" s="2" t="s">
        <v>43</v>
      </c>
      <c r="C94" s="16"/>
      <c r="D94" s="16"/>
      <c r="G94" s="85" t="s">
        <v>32</v>
      </c>
      <c r="H94" s="140">
        <v>0</v>
      </c>
      <c r="I94" s="139">
        <v>9460</v>
      </c>
      <c r="J94" s="139">
        <v>9348</v>
      </c>
      <c r="K94" s="139">
        <v>12155</v>
      </c>
      <c r="L94" s="138">
        <v>12673</v>
      </c>
      <c r="M94" s="155">
        <v>12673</v>
      </c>
      <c r="N94" s="155">
        <v>12673</v>
      </c>
      <c r="O94" s="155">
        <v>12673</v>
      </c>
      <c r="P94" s="155">
        <v>12673</v>
      </c>
      <c r="Q94" s="155">
        <v>12673</v>
      </c>
    </row>
    <row r="95" spans="2:21" outlineLevel="3" x14ac:dyDescent="0.2">
      <c r="B95" s="2" t="s">
        <v>44</v>
      </c>
      <c r="C95" s="16"/>
      <c r="D95" s="16"/>
      <c r="G95" s="138">
        <v>1884</v>
      </c>
      <c r="H95" s="139">
        <v>1294</v>
      </c>
      <c r="I95" s="139">
        <v>894</v>
      </c>
      <c r="J95" s="139">
        <v>623</v>
      </c>
      <c r="K95" s="139">
        <v>634</v>
      </c>
      <c r="L95" s="138">
        <v>897</v>
      </c>
      <c r="M95" s="156">
        <f>L95+'Intangible Asset '!K27-M148</f>
        <v>744</v>
      </c>
      <c r="N95" s="156">
        <f>M95+'Intangible Asset '!L27-N148</f>
        <v>618</v>
      </c>
      <c r="O95" s="156">
        <f>N95+'Intangible Asset '!M27-O148</f>
        <v>535</v>
      </c>
      <c r="P95" s="156">
        <f>O95+'Intangible Asset '!N27-P148</f>
        <v>491</v>
      </c>
      <c r="Q95" s="156">
        <f>P95+'Intangible Asset '!O27-Q148</f>
        <v>464</v>
      </c>
    </row>
    <row r="96" spans="2:21" outlineLevel="3" x14ac:dyDescent="0.2">
      <c r="B96" s="2" t="s">
        <v>45</v>
      </c>
      <c r="C96" s="16"/>
      <c r="D96" s="16"/>
      <c r="G96" s="138">
        <v>18221</v>
      </c>
      <c r="H96" s="139">
        <v>18301</v>
      </c>
      <c r="I96" s="139">
        <v>18715</v>
      </c>
      <c r="J96" s="139">
        <v>19050</v>
      </c>
      <c r="K96" s="139">
        <v>19197</v>
      </c>
      <c r="L96" s="138">
        <v>20306</v>
      </c>
      <c r="M96" s="155">
        <v>20306</v>
      </c>
      <c r="N96" s="155">
        <v>20306</v>
      </c>
      <c r="O96" s="155">
        <v>20306</v>
      </c>
      <c r="P96" s="155">
        <v>20306</v>
      </c>
      <c r="Q96" s="155">
        <v>20306</v>
      </c>
    </row>
    <row r="97" spans="2:19" outlineLevel="3" x14ac:dyDescent="0.2">
      <c r="B97" s="2" t="s">
        <v>46</v>
      </c>
      <c r="C97" s="16"/>
      <c r="D97" s="16"/>
      <c r="G97" s="138">
        <v>2135</v>
      </c>
      <c r="H97" s="139">
        <v>2576</v>
      </c>
      <c r="I97" s="139">
        <v>2673</v>
      </c>
      <c r="J97" s="139">
        <v>2758</v>
      </c>
      <c r="K97" s="139">
        <v>2751</v>
      </c>
      <c r="L97" s="157">
        <v>6583</v>
      </c>
      <c r="M97" s="155">
        <v>6583</v>
      </c>
      <c r="N97" s="155">
        <v>6583</v>
      </c>
      <c r="O97" s="155">
        <v>6583</v>
      </c>
      <c r="P97" s="155">
        <v>6583</v>
      </c>
      <c r="Q97" s="155">
        <v>6583</v>
      </c>
    </row>
    <row r="98" spans="2:19" s="14" customFormat="1" ht="15" outlineLevel="3" x14ac:dyDescent="0.25">
      <c r="B98" s="137" t="s">
        <v>150</v>
      </c>
      <c r="C98" s="135"/>
      <c r="D98" s="135"/>
      <c r="E98" s="135"/>
      <c r="F98" s="135"/>
      <c r="G98" s="151">
        <v>84524</v>
      </c>
      <c r="H98" s="152">
        <v>97334</v>
      </c>
      <c r="I98" s="152">
        <v>133376</v>
      </c>
      <c r="J98" s="152">
        <v>159316</v>
      </c>
      <c r="K98" s="152">
        <v>165987</v>
      </c>
      <c r="L98" s="151">
        <v>185727</v>
      </c>
      <c r="M98" s="158">
        <f>SUM(M91:M97)</f>
        <v>205281.44092269865</v>
      </c>
      <c r="N98" s="158">
        <f>SUM(N91:N97)</f>
        <v>230495.23023986508</v>
      </c>
      <c r="O98" s="158">
        <f>SUM(O91:O97)</f>
        <v>260085.9943169466</v>
      </c>
      <c r="P98" s="158">
        <f>SUM(P91:P97)</f>
        <v>294150.11671481596</v>
      </c>
      <c r="Q98" s="158">
        <f>SUM(Q91:Q97)</f>
        <v>332707.71437131509</v>
      </c>
    </row>
    <row r="99" spans="2:19" outlineLevel="3" x14ac:dyDescent="0.2">
      <c r="B99" s="93"/>
      <c r="G99" s="63"/>
      <c r="H99" s="63"/>
      <c r="I99" s="63"/>
      <c r="J99" s="63"/>
      <c r="K99" s="15"/>
      <c r="L99" s="63"/>
      <c r="M99" s="63"/>
      <c r="N99" s="63"/>
      <c r="O99" s="63"/>
      <c r="P99" s="63"/>
      <c r="Q99" s="63"/>
    </row>
    <row r="100" spans="2:19" outlineLevel="3" x14ac:dyDescent="0.2">
      <c r="B100" s="3" t="s">
        <v>47</v>
      </c>
      <c r="G100" s="159"/>
      <c r="H100" s="15"/>
      <c r="I100" s="15"/>
      <c r="J100" s="63"/>
      <c r="K100" s="15"/>
      <c r="L100" s="159"/>
      <c r="M100" s="63"/>
      <c r="N100" s="63"/>
      <c r="O100" s="63"/>
      <c r="P100" s="63"/>
      <c r="Q100" s="63"/>
    </row>
    <row r="101" spans="2:19" outlineLevel="3" x14ac:dyDescent="0.2">
      <c r="B101" s="141" t="s">
        <v>48</v>
      </c>
      <c r="C101" s="16"/>
      <c r="D101" s="16"/>
      <c r="E101" s="16"/>
      <c r="G101" s="159"/>
      <c r="H101" s="63"/>
      <c r="I101" s="15"/>
      <c r="J101" s="63"/>
      <c r="K101" s="15"/>
      <c r="L101" s="159"/>
      <c r="M101" s="63"/>
      <c r="N101" s="63"/>
      <c r="O101" s="63"/>
      <c r="P101" s="63"/>
      <c r="Q101" s="63"/>
    </row>
    <row r="102" spans="2:19" s="144" customFormat="1" outlineLevel="3" x14ac:dyDescent="0.2">
      <c r="B102" s="142" t="s">
        <v>49</v>
      </c>
      <c r="C102" s="143"/>
      <c r="D102" s="143"/>
      <c r="E102" s="143"/>
      <c r="G102" s="145">
        <v>380</v>
      </c>
      <c r="H102" s="146">
        <v>820</v>
      </c>
      <c r="I102" s="146">
        <v>1363</v>
      </c>
      <c r="J102" s="146">
        <v>1331</v>
      </c>
      <c r="K102" s="146">
        <v>4083</v>
      </c>
      <c r="L102" s="145">
        <v>4990</v>
      </c>
      <c r="M102" s="160">
        <f>(M81*M34)/365</f>
        <v>3086.1450410958896</v>
      </c>
      <c r="N102" s="160">
        <f t="shared" ref="N102:Q102" si="34">(N81*N34)/365</f>
        <v>3456.4824460273971</v>
      </c>
      <c r="O102" s="160">
        <f t="shared" si="34"/>
        <v>3836.6955150904109</v>
      </c>
      <c r="P102" s="160">
        <f t="shared" si="34"/>
        <v>4220.3650665994519</v>
      </c>
      <c r="Q102" s="160">
        <f t="shared" si="34"/>
        <v>4600.1979225934037</v>
      </c>
    </row>
    <row r="103" spans="2:19" outlineLevel="3" x14ac:dyDescent="0.2">
      <c r="B103" s="2" t="s">
        <v>50</v>
      </c>
      <c r="C103" s="16"/>
      <c r="D103" s="16"/>
      <c r="E103" s="16"/>
      <c r="G103" s="145">
        <v>390</v>
      </c>
      <c r="H103" s="146">
        <v>541</v>
      </c>
      <c r="I103" s="146">
        <v>886</v>
      </c>
      <c r="J103" s="146">
        <v>1093</v>
      </c>
      <c r="K103" s="146">
        <v>1052</v>
      </c>
      <c r="L103" s="145">
        <v>1117</v>
      </c>
      <c r="M103" s="161">
        <f>(M80*M34)/365</f>
        <v>1697.3797726027394</v>
      </c>
      <c r="N103" s="161">
        <f t="shared" ref="N103:Q103" si="35">(N80*N34)/365</f>
        <v>1901.0653453150685</v>
      </c>
      <c r="O103" s="161">
        <f t="shared" si="35"/>
        <v>2110.1825332997259</v>
      </c>
      <c r="P103" s="161">
        <f t="shared" si="35"/>
        <v>2321.2007866296985</v>
      </c>
      <c r="Q103" s="161">
        <f t="shared" si="35"/>
        <v>2530.1088574263722</v>
      </c>
      <c r="S103" s="90"/>
    </row>
    <row r="104" spans="2:19" outlineLevel="3" x14ac:dyDescent="0.2">
      <c r="B104" s="2" t="s">
        <v>51</v>
      </c>
      <c r="C104" s="16"/>
      <c r="D104" s="16"/>
      <c r="E104" s="16"/>
      <c r="G104" s="170">
        <v>0</v>
      </c>
      <c r="H104" s="169">
        <v>0</v>
      </c>
      <c r="I104" s="146">
        <v>800</v>
      </c>
      <c r="J104" s="146">
        <v>1023</v>
      </c>
      <c r="K104" s="146">
        <v>1127</v>
      </c>
      <c r="L104" s="145">
        <v>1367</v>
      </c>
      <c r="M104" s="138">
        <v>1367</v>
      </c>
      <c r="N104" s="138">
        <v>1367</v>
      </c>
      <c r="O104" s="138">
        <v>1367</v>
      </c>
      <c r="P104" s="138">
        <v>1367</v>
      </c>
      <c r="Q104" s="138">
        <v>1367</v>
      </c>
      <c r="S104" s="23"/>
    </row>
    <row r="105" spans="2:19" outlineLevel="3" x14ac:dyDescent="0.2">
      <c r="B105" s="2" t="s">
        <v>52</v>
      </c>
      <c r="C105" s="16"/>
      <c r="D105" s="16"/>
      <c r="E105" s="16"/>
      <c r="G105" s="145">
        <v>2892</v>
      </c>
      <c r="H105" s="146">
        <v>5509</v>
      </c>
      <c r="I105" s="146">
        <v>11735</v>
      </c>
      <c r="J105" s="146">
        <v>11152</v>
      </c>
      <c r="K105" s="146">
        <v>14312</v>
      </c>
      <c r="L105" s="145">
        <v>19552</v>
      </c>
      <c r="M105" s="161">
        <f>L105*(1+M21)</f>
        <v>22484.799999999999</v>
      </c>
      <c r="N105" s="161">
        <f>M105*(1+N21)</f>
        <v>25182.976000000002</v>
      </c>
      <c r="O105" s="161">
        <f>N105*(1+O21)</f>
        <v>27953.103360000005</v>
      </c>
      <c r="P105" s="161">
        <f>O105*(1+P21)</f>
        <v>30748.413696000007</v>
      </c>
      <c r="Q105" s="161">
        <f>P105*(1+Q21)</f>
        <v>33515.770928640013</v>
      </c>
    </row>
    <row r="106" spans="2:19" outlineLevel="3" x14ac:dyDescent="0.2">
      <c r="B106" s="2" t="s">
        <v>53</v>
      </c>
      <c r="C106" s="16"/>
      <c r="D106" s="16"/>
      <c r="E106" s="16"/>
      <c r="G106" s="138">
        <v>98</v>
      </c>
      <c r="H106" s="139">
        <v>147</v>
      </c>
      <c r="I106" s="139">
        <v>269</v>
      </c>
      <c r="J106" s="139">
        <v>382</v>
      </c>
      <c r="K106" s="139">
        <v>561</v>
      </c>
      <c r="L106" s="162">
        <v>0</v>
      </c>
      <c r="M106" s="162">
        <v>0</v>
      </c>
      <c r="N106" s="162">
        <v>0</v>
      </c>
      <c r="O106" s="162">
        <v>0</v>
      </c>
      <c r="P106" s="162">
        <v>0</v>
      </c>
      <c r="Q106" s="162">
        <v>0</v>
      </c>
    </row>
    <row r="107" spans="2:19" s="14" customFormat="1" ht="15" outlineLevel="3" x14ac:dyDescent="0.25">
      <c r="B107" s="136" t="s">
        <v>152</v>
      </c>
      <c r="C107" s="134"/>
      <c r="D107" s="134"/>
      <c r="E107" s="134"/>
      <c r="F107" s="135"/>
      <c r="G107" s="172">
        <v>3760</v>
      </c>
      <c r="H107" s="173">
        <v>7017</v>
      </c>
      <c r="I107" s="173">
        <v>15053</v>
      </c>
      <c r="J107" s="173">
        <v>14981</v>
      </c>
      <c r="K107" s="173">
        <v>21135</v>
      </c>
      <c r="L107" s="173">
        <v>27026</v>
      </c>
      <c r="M107" s="174">
        <f>SUM(M102:M106)</f>
        <v>28635.324813698629</v>
      </c>
      <c r="N107" s="174">
        <f t="shared" ref="N107:Q107" si="36">SUM(N102:N106)</f>
        <v>31907.523791342468</v>
      </c>
      <c r="O107" s="174">
        <f t="shared" si="36"/>
        <v>35266.981408390144</v>
      </c>
      <c r="P107" s="174">
        <f t="shared" si="36"/>
        <v>38656.97954922916</v>
      </c>
      <c r="Q107" s="174">
        <f t="shared" si="36"/>
        <v>42013.077708659788</v>
      </c>
    </row>
    <row r="108" spans="2:19" outlineLevel="3" x14ac:dyDescent="0.2">
      <c r="B108" s="2" t="s">
        <v>54</v>
      </c>
      <c r="C108" s="16"/>
      <c r="D108" s="16"/>
      <c r="E108" s="16"/>
      <c r="G108" s="140">
        <v>0</v>
      </c>
      <c r="H108" s="140">
        <v>0</v>
      </c>
      <c r="I108" s="139">
        <v>9524</v>
      </c>
      <c r="J108" s="139">
        <v>9631</v>
      </c>
      <c r="K108" s="139">
        <v>12746</v>
      </c>
      <c r="L108" s="138">
        <v>15301</v>
      </c>
      <c r="M108" s="157">
        <v>15301</v>
      </c>
      <c r="N108" s="157">
        <v>15301</v>
      </c>
      <c r="O108" s="157">
        <v>15301</v>
      </c>
      <c r="P108" s="157">
        <v>15301</v>
      </c>
      <c r="Q108" s="157">
        <v>15301</v>
      </c>
    </row>
    <row r="109" spans="2:19" outlineLevel="3" x14ac:dyDescent="0.2">
      <c r="B109" s="2" t="s">
        <v>93</v>
      </c>
      <c r="C109" s="16"/>
      <c r="D109" s="16"/>
      <c r="E109" s="16"/>
      <c r="G109" s="162">
        <v>0</v>
      </c>
      <c r="H109" s="162">
        <v>0</v>
      </c>
      <c r="I109" s="162">
        <v>0</v>
      </c>
      <c r="J109" s="162">
        <v>0</v>
      </c>
      <c r="K109" s="162">
        <v>0</v>
      </c>
      <c r="L109" s="139">
        <v>9923</v>
      </c>
      <c r="M109" s="187">
        <v>9923</v>
      </c>
      <c r="N109" s="187">
        <v>9923</v>
      </c>
      <c r="O109" s="187">
        <v>9923</v>
      </c>
      <c r="P109" s="187">
        <v>9923</v>
      </c>
      <c r="Q109" s="187">
        <v>9923</v>
      </c>
    </row>
    <row r="110" spans="2:19" outlineLevel="3" x14ac:dyDescent="0.2">
      <c r="B110" s="2" t="s">
        <v>55</v>
      </c>
      <c r="C110" s="16"/>
      <c r="D110" s="16"/>
      <c r="E110" s="16"/>
      <c r="G110" s="138">
        <v>6417</v>
      </c>
      <c r="H110" s="139">
        <v>6190</v>
      </c>
      <c r="I110" s="139">
        <v>7745</v>
      </c>
      <c r="J110" s="139">
        <v>6414</v>
      </c>
      <c r="K110" s="139">
        <v>7227</v>
      </c>
      <c r="L110" s="138">
        <v>7764</v>
      </c>
      <c r="M110" s="157">
        <v>7764</v>
      </c>
      <c r="N110" s="157">
        <v>7764</v>
      </c>
      <c r="O110" s="157">
        <v>7764</v>
      </c>
      <c r="P110" s="157">
        <v>7764</v>
      </c>
      <c r="Q110" s="157">
        <v>7764</v>
      </c>
    </row>
    <row r="111" spans="2:19" outlineLevel="3" x14ac:dyDescent="0.2">
      <c r="B111" s="2" t="s">
        <v>110</v>
      </c>
      <c r="C111" s="16"/>
      <c r="D111" s="16"/>
      <c r="E111" s="16"/>
      <c r="G111" s="162">
        <v>0</v>
      </c>
      <c r="H111" s="162">
        <v>0</v>
      </c>
      <c r="I111" s="162">
        <v>0</v>
      </c>
      <c r="J111" s="162">
        <v>0</v>
      </c>
      <c r="K111" s="162">
        <v>0</v>
      </c>
      <c r="L111" s="162">
        <v>0</v>
      </c>
      <c r="M111" s="162">
        <f>M180</f>
        <v>0</v>
      </c>
      <c r="N111" s="162">
        <f t="shared" ref="N111:Q111" si="37">N180</f>
        <v>0</v>
      </c>
      <c r="O111" s="162">
        <f t="shared" si="37"/>
        <v>0</v>
      </c>
      <c r="P111" s="162">
        <f t="shared" si="37"/>
        <v>0</v>
      </c>
      <c r="Q111" s="162">
        <f t="shared" si="37"/>
        <v>0</v>
      </c>
    </row>
    <row r="112" spans="2:19" ht="15" outlineLevel="3" x14ac:dyDescent="0.25">
      <c r="B112" s="137" t="s">
        <v>56</v>
      </c>
      <c r="C112" s="135"/>
      <c r="D112" s="135"/>
      <c r="E112" s="135"/>
      <c r="F112" s="135"/>
      <c r="G112" s="151">
        <v>10177</v>
      </c>
      <c r="H112" s="152">
        <v>13207</v>
      </c>
      <c r="I112" s="152">
        <v>32322</v>
      </c>
      <c r="J112" s="152">
        <v>31026</v>
      </c>
      <c r="K112" s="152">
        <v>41108</v>
      </c>
      <c r="L112" s="151">
        <v>60014</v>
      </c>
      <c r="M112" s="175">
        <f>SUM(M107:M111)</f>
        <v>61623.324813698629</v>
      </c>
      <c r="N112" s="175">
        <f t="shared" ref="N112:Q112" si="38">SUM(N107:N111)</f>
        <v>64895.523791342464</v>
      </c>
      <c r="O112" s="175">
        <f t="shared" si="38"/>
        <v>68254.981408390144</v>
      </c>
      <c r="P112" s="175">
        <f t="shared" si="38"/>
        <v>71644.97954922916</v>
      </c>
      <c r="Q112" s="175">
        <f t="shared" si="38"/>
        <v>75001.077708659781</v>
      </c>
    </row>
    <row r="113" spans="2:17" ht="15" outlineLevel="3" x14ac:dyDescent="0.25">
      <c r="B113" s="129"/>
      <c r="C113" s="176"/>
      <c r="D113" s="176"/>
      <c r="E113" s="176"/>
      <c r="F113" s="176"/>
      <c r="G113" s="177"/>
      <c r="H113" s="178"/>
      <c r="I113" s="178"/>
      <c r="J113" s="178"/>
      <c r="K113" s="178"/>
      <c r="L113" s="177"/>
      <c r="M113" s="179"/>
      <c r="N113" s="179"/>
      <c r="O113" s="179"/>
      <c r="P113" s="179"/>
      <c r="Q113" s="179"/>
    </row>
    <row r="114" spans="2:17" outlineLevel="3" x14ac:dyDescent="0.2">
      <c r="B114" s="171" t="s">
        <v>57</v>
      </c>
      <c r="C114" s="16"/>
      <c r="D114" s="16"/>
      <c r="E114" s="16"/>
      <c r="G114" s="159"/>
      <c r="H114" s="63"/>
      <c r="I114" s="63"/>
      <c r="J114" s="15"/>
      <c r="K114" s="15"/>
      <c r="L114" s="159"/>
      <c r="M114" s="63"/>
      <c r="N114" s="63"/>
      <c r="O114" s="63"/>
      <c r="P114" s="63"/>
      <c r="Q114" s="63"/>
    </row>
    <row r="115" spans="2:17" outlineLevel="3" x14ac:dyDescent="0.2">
      <c r="B115" s="2" t="s">
        <v>64</v>
      </c>
      <c r="C115" s="16"/>
      <c r="D115" s="16"/>
      <c r="E115" s="16"/>
      <c r="G115" s="162">
        <v>0</v>
      </c>
      <c r="H115" s="140">
        <v>0</v>
      </c>
      <c r="I115" s="140">
        <v>0</v>
      </c>
      <c r="J115" s="140">
        <v>0</v>
      </c>
      <c r="K115" s="140">
        <v>0</v>
      </c>
      <c r="L115" s="162">
        <v>0</v>
      </c>
      <c r="M115" s="163">
        <v>0</v>
      </c>
      <c r="N115" s="163">
        <v>0</v>
      </c>
      <c r="O115" s="163">
        <v>0</v>
      </c>
      <c r="P115" s="163">
        <v>0</v>
      </c>
      <c r="Q115" s="163">
        <v>0</v>
      </c>
    </row>
    <row r="116" spans="2:17" outlineLevel="4" x14ac:dyDescent="0.2">
      <c r="B116" s="71" t="s">
        <v>113</v>
      </c>
      <c r="C116" s="16"/>
      <c r="D116" s="16"/>
      <c r="E116" s="16"/>
      <c r="G116" s="164">
        <v>38227</v>
      </c>
      <c r="H116" s="138">
        <v>40584</v>
      </c>
      <c r="I116" s="139">
        <v>42906</v>
      </c>
      <c r="J116" s="139">
        <v>45851</v>
      </c>
      <c r="K116" s="139">
        <v>50018</v>
      </c>
      <c r="L116" s="139">
        <v>55811</v>
      </c>
      <c r="M116" s="157">
        <f>L121</f>
        <v>64444</v>
      </c>
      <c r="N116" s="157">
        <f>M121</f>
        <v>76436</v>
      </c>
      <c r="O116" s="157">
        <f t="shared" ref="O116:Q116" si="39">N121</f>
        <v>88428</v>
      </c>
      <c r="P116" s="157">
        <f t="shared" si="39"/>
        <v>100420</v>
      </c>
      <c r="Q116" s="157">
        <f t="shared" si="39"/>
        <v>112412</v>
      </c>
    </row>
    <row r="117" spans="2:17" outlineLevel="4" x14ac:dyDescent="0.2">
      <c r="B117" s="71" t="s">
        <v>115</v>
      </c>
      <c r="C117" s="16"/>
      <c r="D117" s="16"/>
      <c r="E117" s="16"/>
      <c r="G117" s="63">
        <v>323</v>
      </c>
      <c r="H117" s="140">
        <v>0</v>
      </c>
      <c r="I117" s="140">
        <v>0</v>
      </c>
      <c r="J117" s="140">
        <v>0</v>
      </c>
      <c r="K117" s="140">
        <v>0</v>
      </c>
      <c r="L117" s="140">
        <v>0</v>
      </c>
      <c r="M117" s="165">
        <v>0</v>
      </c>
      <c r="N117" s="165">
        <v>0</v>
      </c>
      <c r="O117" s="165">
        <v>0</v>
      </c>
      <c r="P117" s="165">
        <v>0</v>
      </c>
      <c r="Q117" s="165">
        <v>0</v>
      </c>
    </row>
    <row r="118" spans="2:17" outlineLevel="4" x14ac:dyDescent="0.2">
      <c r="B118" s="71" t="s">
        <v>116</v>
      </c>
      <c r="C118" s="16"/>
      <c r="D118" s="16"/>
      <c r="E118" s="16"/>
      <c r="G118" s="63">
        <v>13</v>
      </c>
      <c r="H118" s="63">
        <v>15</v>
      </c>
      <c r="I118" s="63">
        <v>15</v>
      </c>
      <c r="J118" s="140">
        <v>0</v>
      </c>
      <c r="K118" s="140">
        <v>0</v>
      </c>
      <c r="L118" s="140">
        <v>0</v>
      </c>
      <c r="M118" s="165">
        <v>0</v>
      </c>
      <c r="N118" s="165">
        <v>0</v>
      </c>
      <c r="O118" s="165">
        <v>0</v>
      </c>
      <c r="P118" s="165">
        <v>0</v>
      </c>
      <c r="Q118" s="165">
        <v>0</v>
      </c>
    </row>
    <row r="119" spans="2:17" outlineLevel="4" x14ac:dyDescent="0.2">
      <c r="B119" s="71" t="s">
        <v>114</v>
      </c>
      <c r="C119" s="16"/>
      <c r="D119" s="16"/>
      <c r="E119" s="16"/>
      <c r="G119" s="166">
        <v>-1702</v>
      </c>
      <c r="H119" s="167">
        <v>-1845</v>
      </c>
      <c r="I119" s="167">
        <v>-1906</v>
      </c>
      <c r="J119" s="167">
        <v>-2369</v>
      </c>
      <c r="K119" s="167">
        <v>-3371</v>
      </c>
      <c r="L119" s="166">
        <v>-3359</v>
      </c>
      <c r="M119" s="165">
        <v>0</v>
      </c>
      <c r="N119" s="165">
        <v>0</v>
      </c>
      <c r="O119" s="165">
        <v>0</v>
      </c>
      <c r="P119" s="165">
        <v>0</v>
      </c>
      <c r="Q119" s="165">
        <v>0</v>
      </c>
    </row>
    <row r="120" spans="2:17" outlineLevel="4" x14ac:dyDescent="0.2">
      <c r="B120" s="71" t="s">
        <v>112</v>
      </c>
      <c r="C120" s="72"/>
      <c r="D120" s="16"/>
      <c r="E120" s="16"/>
      <c r="G120" s="164">
        <v>3723</v>
      </c>
      <c r="H120" s="164">
        <v>4152</v>
      </c>
      <c r="I120" s="167">
        <v>4836</v>
      </c>
      <c r="J120" s="167">
        <v>6536</v>
      </c>
      <c r="K120" s="167">
        <v>9164</v>
      </c>
      <c r="L120" s="164">
        <v>11992</v>
      </c>
      <c r="M120" s="168">
        <v>11992</v>
      </c>
      <c r="N120" s="168">
        <v>11992</v>
      </c>
      <c r="O120" s="168">
        <v>11992</v>
      </c>
      <c r="P120" s="168">
        <v>11992</v>
      </c>
      <c r="Q120" s="168">
        <v>11992</v>
      </c>
    </row>
    <row r="121" spans="2:17" outlineLevel="3" x14ac:dyDescent="0.2">
      <c r="B121" s="2" t="s">
        <v>58</v>
      </c>
      <c r="C121" s="16"/>
      <c r="D121" s="16"/>
      <c r="E121" s="16"/>
      <c r="G121" s="145">
        <v>40584</v>
      </c>
      <c r="H121" s="146">
        <v>42906</v>
      </c>
      <c r="I121" s="146">
        <v>45851</v>
      </c>
      <c r="J121" s="146">
        <v>50018</v>
      </c>
      <c r="K121" s="146">
        <v>55811</v>
      </c>
      <c r="L121" s="145">
        <v>64444</v>
      </c>
      <c r="M121" s="180">
        <f>SUM(M116:M120)</f>
        <v>76436</v>
      </c>
      <c r="N121" s="180">
        <f t="shared" ref="N121:Q121" si="40">SUM(N116:N120)</f>
        <v>88428</v>
      </c>
      <c r="O121" s="180">
        <f t="shared" si="40"/>
        <v>100420</v>
      </c>
      <c r="P121" s="180">
        <f t="shared" si="40"/>
        <v>112412</v>
      </c>
      <c r="Q121" s="180">
        <f t="shared" si="40"/>
        <v>124404</v>
      </c>
    </row>
    <row r="122" spans="2:17" outlineLevel="3" x14ac:dyDescent="0.2">
      <c r="B122" s="2" t="s">
        <v>59</v>
      </c>
      <c r="C122" s="16"/>
      <c r="D122" s="16"/>
      <c r="E122" s="16"/>
      <c r="G122" s="166">
        <v>-227</v>
      </c>
      <c r="H122" s="166">
        <v>-760</v>
      </c>
      <c r="I122" s="166">
        <v>-489</v>
      </c>
      <c r="J122" s="166">
        <v>927</v>
      </c>
      <c r="K122" s="166">
        <v>-693</v>
      </c>
      <c r="L122" s="166">
        <v>-3530</v>
      </c>
      <c r="M122" s="166">
        <v>-3530</v>
      </c>
      <c r="N122" s="166">
        <v>-3530</v>
      </c>
      <c r="O122" s="166">
        <v>-3530</v>
      </c>
      <c r="P122" s="166">
        <v>-3530</v>
      </c>
      <c r="Q122" s="166">
        <v>-3530</v>
      </c>
    </row>
    <row r="123" spans="2:17" outlineLevel="4" x14ac:dyDescent="0.2">
      <c r="B123" s="74" t="s">
        <v>117</v>
      </c>
      <c r="C123" s="75"/>
      <c r="D123" s="75"/>
      <c r="E123" s="16"/>
      <c r="G123" s="181">
        <v>21670</v>
      </c>
      <c r="H123" s="145">
        <v>33990</v>
      </c>
      <c r="I123" s="146">
        <v>41981</v>
      </c>
      <c r="J123" s="146">
        <v>55692</v>
      </c>
      <c r="K123" s="146">
        <v>77345</v>
      </c>
      <c r="L123" s="146">
        <v>69761</v>
      </c>
      <c r="M123" s="145">
        <f>L128</f>
        <v>64799</v>
      </c>
      <c r="N123" s="145">
        <f>M128</f>
        <v>70752.116108999995</v>
      </c>
      <c r="O123" s="145">
        <f>N128</f>
        <v>80701.706448522629</v>
      </c>
      <c r="P123" s="145">
        <f>O128</f>
        <v>94941.012908556469</v>
      </c>
      <c r="Q123" s="145">
        <f>P128</f>
        <v>113623.13716558684</v>
      </c>
    </row>
    <row r="124" spans="2:17" outlineLevel="4" x14ac:dyDescent="0.2">
      <c r="B124" s="74" t="s">
        <v>121</v>
      </c>
      <c r="C124" s="75"/>
      <c r="D124" s="75"/>
      <c r="E124" s="16"/>
      <c r="G124" s="182">
        <v>0</v>
      </c>
      <c r="H124" s="183">
        <v>172</v>
      </c>
      <c r="I124" s="182">
        <v>0</v>
      </c>
      <c r="J124" s="182">
        <v>0</v>
      </c>
      <c r="K124" s="182">
        <v>0</v>
      </c>
      <c r="L124" s="182">
        <v>0</v>
      </c>
      <c r="M124" s="182">
        <v>0</v>
      </c>
      <c r="N124" s="182">
        <v>0</v>
      </c>
      <c r="O124" s="182">
        <v>0</v>
      </c>
      <c r="P124" s="182">
        <v>0</v>
      </c>
      <c r="Q124" s="182">
        <v>0</v>
      </c>
    </row>
    <row r="125" spans="2:17" outlineLevel="4" x14ac:dyDescent="0.2">
      <c r="B125" s="74" t="s">
        <v>118</v>
      </c>
      <c r="C125" s="75"/>
      <c r="D125" s="75"/>
      <c r="E125" s="16"/>
      <c r="G125" s="184">
        <v>-1544</v>
      </c>
      <c r="H125" s="185">
        <v>-1363</v>
      </c>
      <c r="I125" s="185">
        <v>-675</v>
      </c>
      <c r="J125" s="185">
        <v>-1195</v>
      </c>
      <c r="K125" s="185">
        <v>-2144</v>
      </c>
      <c r="L125" s="184">
        <v>-236</v>
      </c>
      <c r="M125" s="182">
        <v>0</v>
      </c>
      <c r="N125" s="182">
        <v>0</v>
      </c>
      <c r="O125" s="182">
        <v>0</v>
      </c>
      <c r="P125" s="182">
        <v>0</v>
      </c>
      <c r="Q125" s="182">
        <v>0</v>
      </c>
    </row>
    <row r="126" spans="2:17" outlineLevel="4" x14ac:dyDescent="0.2">
      <c r="B126" s="74" t="s">
        <v>119</v>
      </c>
      <c r="C126" s="75"/>
      <c r="D126" s="75"/>
      <c r="E126" s="16"/>
      <c r="G126" s="184">
        <v>-2070</v>
      </c>
      <c r="H126" s="185">
        <v>-12930</v>
      </c>
      <c r="I126" s="185">
        <v>-4099</v>
      </c>
      <c r="J126" s="185">
        <v>-6298</v>
      </c>
      <c r="K126" s="185">
        <v>-44810</v>
      </c>
      <c r="L126" s="184">
        <v>-27926</v>
      </c>
      <c r="M126" s="186">
        <f>L126</f>
        <v>-27926</v>
      </c>
      <c r="N126" s="186">
        <f t="shared" ref="N126:Q126" si="41">M126</f>
        <v>-27926</v>
      </c>
      <c r="O126" s="186">
        <f t="shared" si="41"/>
        <v>-27926</v>
      </c>
      <c r="P126" s="186">
        <f t="shared" si="41"/>
        <v>-27926</v>
      </c>
      <c r="Q126" s="186">
        <f t="shared" si="41"/>
        <v>-27926</v>
      </c>
    </row>
    <row r="127" spans="2:17" outlineLevel="4" x14ac:dyDescent="0.2">
      <c r="B127" s="74" t="s">
        <v>120</v>
      </c>
      <c r="C127" s="75"/>
      <c r="D127" s="75"/>
      <c r="E127" s="16"/>
      <c r="G127" s="184">
        <v>15934</v>
      </c>
      <c r="H127" s="185">
        <v>22112</v>
      </c>
      <c r="I127" s="181">
        <v>18485</v>
      </c>
      <c r="J127" s="185">
        <v>29146</v>
      </c>
      <c r="K127" s="185">
        <v>39370</v>
      </c>
      <c r="L127" s="184">
        <v>23200</v>
      </c>
      <c r="M127" s="184">
        <f>M47</f>
        <v>33879.116108999995</v>
      </c>
      <c r="N127" s="184">
        <f>N47</f>
        <v>37875.590339522634</v>
      </c>
      <c r="O127" s="184">
        <f>O47</f>
        <v>42165.306460033833</v>
      </c>
      <c r="P127" s="184">
        <f>P47</f>
        <v>46608.124257030373</v>
      </c>
      <c r="Q127" s="184">
        <f>Q47</f>
        <v>51135.499497068449</v>
      </c>
    </row>
    <row r="128" spans="2:17" outlineLevel="3" x14ac:dyDescent="0.2">
      <c r="B128" s="2" t="s">
        <v>60</v>
      </c>
      <c r="C128" s="16"/>
      <c r="D128" s="16"/>
      <c r="E128" s="16"/>
      <c r="G128" s="145">
        <v>33990</v>
      </c>
      <c r="H128" s="146">
        <v>41981</v>
      </c>
      <c r="I128" s="146">
        <v>55692</v>
      </c>
      <c r="J128" s="146">
        <v>77345</v>
      </c>
      <c r="K128" s="146">
        <v>69761</v>
      </c>
      <c r="L128" s="145">
        <v>64799</v>
      </c>
      <c r="M128" s="182">
        <f>SUM(M123:M127)</f>
        <v>70752.116108999995</v>
      </c>
      <c r="N128" s="182">
        <f>SUM(N123:N127)</f>
        <v>80701.706448522629</v>
      </c>
      <c r="O128" s="182">
        <f>SUM(O123:O127)</f>
        <v>94941.012908556469</v>
      </c>
      <c r="P128" s="182">
        <f>SUM(P123:P127)</f>
        <v>113623.13716558684</v>
      </c>
      <c r="Q128" s="182">
        <f>SUM(Q123:Q127)</f>
        <v>136832.63666265528</v>
      </c>
    </row>
    <row r="129" spans="2:17" ht="15" outlineLevel="3" x14ac:dyDescent="0.25">
      <c r="B129" s="192" t="s">
        <v>61</v>
      </c>
      <c r="C129" s="176"/>
      <c r="D129" s="176"/>
      <c r="E129" s="26"/>
      <c r="F129" s="26"/>
      <c r="G129" s="193">
        <v>74347</v>
      </c>
      <c r="H129" s="194">
        <v>84127</v>
      </c>
      <c r="I129" s="194">
        <v>101054</v>
      </c>
      <c r="J129" s="194">
        <v>128290</v>
      </c>
      <c r="K129" s="194">
        <v>124879</v>
      </c>
      <c r="L129" s="193">
        <v>125713</v>
      </c>
      <c r="M129" s="195">
        <f>M121+M122+M128</f>
        <v>143658.116109</v>
      </c>
      <c r="N129" s="195">
        <f>N121+N122+N128</f>
        <v>165599.70644852263</v>
      </c>
      <c r="O129" s="195">
        <f t="shared" ref="O129:Q129" si="42">O121+O122+O128</f>
        <v>191831.01290855647</v>
      </c>
      <c r="P129" s="195">
        <f t="shared" si="42"/>
        <v>222505.13716558684</v>
      </c>
      <c r="Q129" s="195">
        <f t="shared" si="42"/>
        <v>257706.63666265528</v>
      </c>
    </row>
    <row r="130" spans="2:17" ht="15.75" outlineLevel="3" thickBot="1" x14ac:dyDescent="0.3">
      <c r="B130" s="98" t="s">
        <v>62</v>
      </c>
      <c r="C130" s="188"/>
      <c r="D130" s="188"/>
      <c r="E130" s="188"/>
      <c r="F130" s="97"/>
      <c r="G130" s="189">
        <v>84524</v>
      </c>
      <c r="H130" s="190">
        <v>97334</v>
      </c>
      <c r="I130" s="190">
        <v>133376</v>
      </c>
      <c r="J130" s="190">
        <v>159316</v>
      </c>
      <c r="K130" s="190">
        <v>165987</v>
      </c>
      <c r="L130" s="189">
        <v>185727</v>
      </c>
      <c r="M130" s="191">
        <f>M112+M129</f>
        <v>205281.44092269862</v>
      </c>
      <c r="N130" s="191">
        <f>N112+N129</f>
        <v>230495.23023986508</v>
      </c>
      <c r="O130" s="191">
        <f t="shared" ref="O130:Q130" si="43">O112+O129</f>
        <v>260085.9943169466</v>
      </c>
      <c r="P130" s="191">
        <f t="shared" si="43"/>
        <v>294150.11671481602</v>
      </c>
      <c r="Q130" s="191">
        <f t="shared" si="43"/>
        <v>332707.71437131509</v>
      </c>
    </row>
    <row r="131" spans="2:17" ht="15" outlineLevel="3" thickTop="1" x14ac:dyDescent="0.2">
      <c r="H131" s="93"/>
      <c r="I131" s="93"/>
    </row>
    <row r="132" spans="2:17" ht="15" outlineLevel="3" x14ac:dyDescent="0.25">
      <c r="B132" s="245" t="s">
        <v>66</v>
      </c>
      <c r="G132" s="123">
        <f t="shared" ref="G132:Q132" si="44">G98 - G130</f>
        <v>0</v>
      </c>
      <c r="H132" s="124">
        <f t="shared" si="44"/>
        <v>0</v>
      </c>
      <c r="I132" s="124">
        <f t="shared" si="44"/>
        <v>0</v>
      </c>
      <c r="J132" s="124">
        <f t="shared" si="44"/>
        <v>0</v>
      </c>
      <c r="K132" s="124">
        <f t="shared" si="44"/>
        <v>0</v>
      </c>
      <c r="L132" s="124">
        <f t="shared" si="44"/>
        <v>0</v>
      </c>
      <c r="M132" s="124">
        <f t="shared" si="44"/>
        <v>0</v>
      </c>
      <c r="N132" s="124">
        <f t="shared" si="44"/>
        <v>0</v>
      </c>
      <c r="O132" s="124">
        <f t="shared" si="44"/>
        <v>0</v>
      </c>
      <c r="P132" s="124">
        <f t="shared" si="44"/>
        <v>0</v>
      </c>
      <c r="Q132" s="125">
        <f t="shared" si="44"/>
        <v>0</v>
      </c>
    </row>
    <row r="133" spans="2:17" outlineLevel="2" x14ac:dyDescent="0.2"/>
    <row r="134" spans="2:17" outlineLevel="2" x14ac:dyDescent="0.2"/>
    <row r="135" spans="2:17" ht="15" outlineLevel="2" x14ac:dyDescent="0.25">
      <c r="B135" s="424" t="s">
        <v>216</v>
      </c>
      <c r="C135" s="424"/>
      <c r="D135" s="424"/>
      <c r="E135" s="424"/>
    </row>
    <row r="136" spans="2:17" outlineLevel="2" x14ac:dyDescent="0.2"/>
    <row r="137" spans="2:17" ht="15" outlineLevel="2" x14ac:dyDescent="0.25">
      <c r="B137" s="31" t="s">
        <v>217</v>
      </c>
      <c r="G137" s="333">
        <f>(G89+G90) -(G102+G103+G105)</f>
        <v>3190</v>
      </c>
      <c r="H137" s="333">
        <f t="shared" ref="H137:Q137" si="45">(H89+H90) -(H102+H103+H105)</f>
        <v>2496</v>
      </c>
      <c r="I137" s="333">
        <f t="shared" si="45"/>
        <v>-2614</v>
      </c>
      <c r="J137" s="333">
        <f t="shared" si="45"/>
        <v>140</v>
      </c>
      <c r="K137" s="333">
        <f t="shared" si="45"/>
        <v>-779</v>
      </c>
      <c r="L137" s="333">
        <f>(L89+L90) -(L102+L103+L105)</f>
        <v>-6848</v>
      </c>
      <c r="M137" s="333">
        <f t="shared" si="45"/>
        <v>-5323.4513890410999</v>
      </c>
      <c r="N137" s="333">
        <f t="shared" si="45"/>
        <v>-5962.2655557260296</v>
      </c>
      <c r="O137" s="333">
        <f t="shared" si="45"/>
        <v>-6618.1147668558988</v>
      </c>
      <c r="P137" s="333">
        <f t="shared" si="45"/>
        <v>-7279.9262435414857</v>
      </c>
      <c r="Q137" s="333">
        <f t="shared" si="45"/>
        <v>-7935.119605460226</v>
      </c>
    </row>
    <row r="140" spans="2:17" ht="20.25" x14ac:dyDescent="0.3">
      <c r="B140" s="409" t="s">
        <v>75</v>
      </c>
      <c r="C140" s="409"/>
      <c r="D140" s="409"/>
      <c r="E140" s="409"/>
      <c r="F140" s="409"/>
    </row>
    <row r="141" spans="2:17" outlineLevel="4" x14ac:dyDescent="0.2">
      <c r="B141" s="95" t="s">
        <v>149</v>
      </c>
    </row>
    <row r="142" spans="2:17" outlineLevel="4" x14ac:dyDescent="0.2"/>
    <row r="143" spans="2:17" outlineLevel="4" x14ac:dyDescent="0.2">
      <c r="G143" s="343">
        <v>2017</v>
      </c>
      <c r="H143" s="343">
        <v>2018</v>
      </c>
      <c r="I143" s="343">
        <v>2019</v>
      </c>
      <c r="J143" s="344">
        <v>2020</v>
      </c>
      <c r="K143" s="344">
        <v>2021</v>
      </c>
      <c r="L143" s="344">
        <v>2022</v>
      </c>
      <c r="M143" s="345" t="s">
        <v>15</v>
      </c>
      <c r="N143" s="346" t="s">
        <v>16</v>
      </c>
      <c r="O143" s="345" t="s">
        <v>17</v>
      </c>
      <c r="P143" s="346" t="s">
        <v>18</v>
      </c>
      <c r="Q143" s="345" t="s">
        <v>19</v>
      </c>
    </row>
    <row r="144" spans="2:17" outlineLevel="4" x14ac:dyDescent="0.2"/>
    <row r="145" spans="2:18" outlineLevel="4" x14ac:dyDescent="0.2">
      <c r="B145" s="32" t="s">
        <v>76</v>
      </c>
      <c r="C145" s="32"/>
      <c r="D145" s="32"/>
      <c r="E145" s="32"/>
      <c r="G145" s="221"/>
      <c r="H145" s="221"/>
      <c r="I145" s="221"/>
      <c r="J145" s="221"/>
      <c r="K145" s="221"/>
      <c r="L145" s="221"/>
      <c r="R145" s="82"/>
    </row>
    <row r="146" spans="2:18" ht="15" outlineLevel="4" x14ac:dyDescent="0.25">
      <c r="B146" s="247" t="s">
        <v>12</v>
      </c>
      <c r="C146" s="247"/>
      <c r="D146" s="247"/>
      <c r="E146" s="247"/>
      <c r="F146" s="53"/>
      <c r="G146" s="200"/>
      <c r="H146" s="200"/>
      <c r="I146" s="200"/>
      <c r="J146" s="200"/>
      <c r="K146" s="200"/>
      <c r="L146" s="200"/>
      <c r="M146" s="219">
        <f>M47</f>
        <v>33879.116108999995</v>
      </c>
      <c r="N146" s="219">
        <f>N47</f>
        <v>37875.590339522634</v>
      </c>
      <c r="O146" s="219">
        <f>O47</f>
        <v>42165.306460033833</v>
      </c>
      <c r="P146" s="219">
        <f>P47</f>
        <v>46608.124257030373</v>
      </c>
      <c r="Q146" s="219">
        <f>Q47</f>
        <v>51135.499497068449</v>
      </c>
      <c r="R146" s="83"/>
    </row>
    <row r="147" spans="2:18" ht="15" outlineLevel="5" x14ac:dyDescent="0.25">
      <c r="B147" s="247" t="s">
        <v>89</v>
      </c>
      <c r="C147" s="247"/>
      <c r="D147" s="247"/>
      <c r="E147" s="247"/>
      <c r="F147" s="53"/>
      <c r="G147" s="200"/>
      <c r="H147" s="200"/>
      <c r="I147" s="200"/>
      <c r="J147" s="200"/>
      <c r="K147" s="200"/>
      <c r="L147" s="200"/>
      <c r="M147" s="219">
        <f>'Fixed Assets'!M13</f>
        <v>9775</v>
      </c>
      <c r="N147" s="219">
        <f>'Fixed Assets'!N13</f>
        <v>10948.000000000002</v>
      </c>
      <c r="O147" s="219">
        <f>'Fixed Assets'!O13</f>
        <v>12152.280000000002</v>
      </c>
      <c r="P147" s="219">
        <f>'Fixed Assets'!P13</f>
        <v>13367.508000000003</v>
      </c>
      <c r="Q147" s="219">
        <f>'Fixed Assets'!Q13</f>
        <v>14570.583720000004</v>
      </c>
      <c r="R147" s="84"/>
    </row>
    <row r="148" spans="2:18" ht="15" outlineLevel="5" x14ac:dyDescent="0.25">
      <c r="B148" s="247" t="s">
        <v>90</v>
      </c>
      <c r="C148" s="247"/>
      <c r="D148" s="247"/>
      <c r="E148" s="247"/>
      <c r="F148" s="53"/>
      <c r="G148" s="200"/>
      <c r="H148" s="200"/>
      <c r="I148" s="200"/>
      <c r="J148" s="200"/>
      <c r="K148" s="200"/>
      <c r="L148" s="200"/>
      <c r="M148" s="220">
        <f>'Intangible Asset '!K30</f>
        <v>153</v>
      </c>
      <c r="N148" s="220">
        <f>'Intangible Asset '!L30</f>
        <v>126</v>
      </c>
      <c r="O148" s="220">
        <f>'Intangible Asset '!M30</f>
        <v>83</v>
      </c>
      <c r="P148" s="220">
        <f>'Intangible Asset '!N30</f>
        <v>44</v>
      </c>
      <c r="Q148" s="220">
        <f>'Intangible Asset '!O30</f>
        <v>27</v>
      </c>
    </row>
    <row r="149" spans="2:18" outlineLevel="5" x14ac:dyDescent="0.2">
      <c r="B149" s="31"/>
      <c r="C149" s="31"/>
      <c r="D149" s="31"/>
      <c r="E149" s="31"/>
      <c r="G149" s="221"/>
      <c r="H149" s="221"/>
      <c r="I149" s="221"/>
      <c r="J149" s="221"/>
      <c r="K149" s="221"/>
      <c r="L149" s="221"/>
      <c r="M149" s="31"/>
      <c r="N149" s="31"/>
      <c r="O149" s="31"/>
      <c r="P149" s="31"/>
      <c r="Q149" s="31"/>
    </row>
    <row r="150" spans="2:18" ht="15" outlineLevel="4" x14ac:dyDescent="0.25">
      <c r="B150" s="247" t="s">
        <v>88</v>
      </c>
      <c r="C150" s="247"/>
      <c r="D150" s="247"/>
      <c r="E150" s="247"/>
      <c r="F150" s="16"/>
      <c r="G150" s="200"/>
      <c r="H150" s="200"/>
      <c r="I150" s="200"/>
      <c r="J150" s="200"/>
      <c r="K150" s="200"/>
      <c r="L150" s="200"/>
      <c r="M150" s="244">
        <f>SUM(M147:M148)</f>
        <v>9928</v>
      </c>
      <c r="N150" s="244">
        <f>SUM(N147:N148)</f>
        <v>11074.000000000002</v>
      </c>
      <c r="O150" s="244">
        <f>SUM(O147:O148)</f>
        <v>12235.280000000002</v>
      </c>
      <c r="P150" s="244">
        <f>SUM(P147:P148)</f>
        <v>13411.508000000003</v>
      </c>
      <c r="Q150" s="244">
        <f>SUM(Q147:Q148)</f>
        <v>14597.583720000004</v>
      </c>
      <c r="R150" s="85"/>
    </row>
    <row r="151" spans="2:18" outlineLevel="4" x14ac:dyDescent="0.2">
      <c r="B151" s="247" t="s">
        <v>140</v>
      </c>
      <c r="C151" s="247"/>
      <c r="D151" s="247"/>
      <c r="E151" s="247"/>
      <c r="F151" s="53"/>
      <c r="G151" s="222"/>
      <c r="H151" s="222"/>
      <c r="I151" s="222"/>
      <c r="J151" s="222"/>
      <c r="K151" s="223"/>
      <c r="L151" s="224"/>
      <c r="M151" s="133">
        <f>M120</f>
        <v>11992</v>
      </c>
      <c r="N151" s="133">
        <f>N120</f>
        <v>11992</v>
      </c>
      <c r="O151" s="133">
        <f>O120</f>
        <v>11992</v>
      </c>
      <c r="P151" s="133">
        <f>P120</f>
        <v>11992</v>
      </c>
      <c r="Q151" s="133">
        <f>Q120</f>
        <v>11992</v>
      </c>
    </row>
    <row r="152" spans="2:18" outlineLevel="4" x14ac:dyDescent="0.2">
      <c r="B152" s="247"/>
      <c r="C152" s="247"/>
      <c r="D152" s="247"/>
      <c r="E152" s="247"/>
      <c r="F152" s="53"/>
      <c r="G152" s="222"/>
      <c r="H152" s="222"/>
      <c r="I152" s="222"/>
      <c r="J152" s="222"/>
      <c r="K152" s="223"/>
      <c r="L152" s="224"/>
      <c r="M152" s="86"/>
      <c r="N152" s="86"/>
      <c r="O152" s="86"/>
      <c r="P152" s="86"/>
      <c r="Q152" s="86"/>
    </row>
    <row r="153" spans="2:18" outlineLevel="4" x14ac:dyDescent="0.2">
      <c r="B153" s="252" t="s">
        <v>78</v>
      </c>
      <c r="C153" s="247"/>
      <c r="D153" s="247"/>
      <c r="E153" s="247"/>
      <c r="F153" s="16"/>
      <c r="G153" s="221"/>
      <c r="H153" s="221"/>
      <c r="I153" s="221"/>
      <c r="J153" s="221"/>
      <c r="K153" s="221"/>
      <c r="L153" s="221"/>
      <c r="M153" s="31"/>
      <c r="N153" s="31"/>
      <c r="O153" s="31"/>
      <c r="P153" s="31"/>
      <c r="Q153" s="31"/>
    </row>
    <row r="154" spans="2:18" outlineLevel="4" x14ac:dyDescent="0.2">
      <c r="B154" s="247" t="s">
        <v>134</v>
      </c>
      <c r="C154" s="247"/>
      <c r="D154" s="247"/>
      <c r="E154" s="247"/>
      <c r="F154" s="16"/>
      <c r="G154" s="221"/>
      <c r="H154" s="221"/>
      <c r="I154" s="221"/>
      <c r="J154" s="221"/>
      <c r="K154" s="221"/>
      <c r="L154" s="221"/>
      <c r="M154" s="264">
        <f>M88-L88</f>
        <v>0</v>
      </c>
      <c r="N154" s="264">
        <f>N88-M88</f>
        <v>0</v>
      </c>
      <c r="O154" s="264">
        <f>O88-N88</f>
        <v>0</v>
      </c>
      <c r="P154" s="264">
        <f>P88-O88</f>
        <v>0</v>
      </c>
      <c r="Q154" s="264">
        <f>Q88-P88</f>
        <v>0</v>
      </c>
    </row>
    <row r="155" spans="2:18" ht="15" outlineLevel="4" x14ac:dyDescent="0.25">
      <c r="B155" s="247" t="s">
        <v>63</v>
      </c>
      <c r="C155" s="247"/>
      <c r="D155" s="247"/>
      <c r="E155" s="247"/>
      <c r="F155" s="16"/>
      <c r="G155" s="200"/>
      <c r="H155" s="200"/>
      <c r="I155" s="200"/>
      <c r="J155" s="200"/>
      <c r="K155" s="200"/>
      <c r="L155" s="200"/>
      <c r="M155" s="47">
        <f t="shared" ref="M155:Q156" si="46">-(M89-L89)</f>
        <v>-2332.1234246575314</v>
      </c>
      <c r="N155" s="47">
        <f t="shared" si="46"/>
        <v>-1895.7748109589065</v>
      </c>
      <c r="O155" s="47">
        <f t="shared" si="46"/>
        <v>-1946.3288059178085</v>
      </c>
      <c r="P155" s="47">
        <f t="shared" si="46"/>
        <v>-1964.0227041534272</v>
      </c>
      <c r="Q155" s="47">
        <f t="shared" si="46"/>
        <v>-1944.3824771118889</v>
      </c>
      <c r="R155" s="31"/>
    </row>
    <row r="156" spans="2:18" ht="15" outlineLevel="4" x14ac:dyDescent="0.25">
      <c r="B156" s="247" t="s">
        <v>41</v>
      </c>
      <c r="C156" s="247"/>
      <c r="D156" s="247"/>
      <c r="E156" s="247"/>
      <c r="F156" s="16"/>
      <c r="G156" s="200"/>
      <c r="H156" s="200"/>
      <c r="I156" s="200"/>
      <c r="J156" s="200"/>
      <c r="K156" s="200"/>
      <c r="L156" s="200"/>
      <c r="M156" s="88">
        <f t="shared" si="46"/>
        <v>-801.74999999999909</v>
      </c>
      <c r="N156" s="87">
        <f t="shared" si="46"/>
        <v>-737.61000000000058</v>
      </c>
      <c r="O156" s="87">
        <f t="shared" si="46"/>
        <v>-757.27960000000076</v>
      </c>
      <c r="P156" s="87">
        <f t="shared" si="46"/>
        <v>-764.16395999999986</v>
      </c>
      <c r="Q156" s="87">
        <f t="shared" si="46"/>
        <v>-756.52232040000126</v>
      </c>
    </row>
    <row r="157" spans="2:18" ht="15" outlineLevel="4" x14ac:dyDescent="0.25">
      <c r="B157" s="247" t="s">
        <v>65</v>
      </c>
      <c r="C157" s="247"/>
      <c r="D157" s="247"/>
      <c r="E157" s="247"/>
      <c r="F157" s="16"/>
      <c r="G157" s="200"/>
      <c r="H157" s="200"/>
      <c r="I157" s="200"/>
      <c r="J157" s="200"/>
      <c r="K157" s="200"/>
      <c r="L157" s="200"/>
      <c r="M157" s="264">
        <f>M92-L92</f>
        <v>0</v>
      </c>
      <c r="N157" s="264">
        <f t="shared" ref="N157:Q157" si="47">N92-M92</f>
        <v>0</v>
      </c>
      <c r="O157" s="264">
        <f t="shared" si="47"/>
        <v>0</v>
      </c>
      <c r="P157" s="264">
        <f t="shared" si="47"/>
        <v>0</v>
      </c>
      <c r="Q157" s="264">
        <f t="shared" si="47"/>
        <v>0</v>
      </c>
    </row>
    <row r="158" spans="2:18" ht="15" outlineLevel="4" x14ac:dyDescent="0.25">
      <c r="B158" s="247" t="s">
        <v>46</v>
      </c>
      <c r="C158" s="247"/>
      <c r="D158" s="247"/>
      <c r="E158" s="247"/>
      <c r="F158" s="16"/>
      <c r="G158" s="200"/>
      <c r="H158" s="200"/>
      <c r="I158" s="200"/>
      <c r="J158" s="200"/>
      <c r="K158" s="200"/>
      <c r="L158" s="200"/>
      <c r="M158" s="264">
        <f>M97-L97</f>
        <v>0</v>
      </c>
      <c r="N158" s="264">
        <f>N97-M97</f>
        <v>0</v>
      </c>
      <c r="O158" s="264">
        <f>O97-N97</f>
        <v>0</v>
      </c>
      <c r="P158" s="264">
        <f>P97-O97</f>
        <v>0</v>
      </c>
      <c r="Q158" s="264">
        <f>Q97-P97</f>
        <v>0</v>
      </c>
    </row>
    <row r="159" spans="2:18" ht="15" outlineLevel="4" x14ac:dyDescent="0.25">
      <c r="B159" s="247" t="s">
        <v>49</v>
      </c>
      <c r="C159" s="247"/>
      <c r="D159" s="247"/>
      <c r="E159" s="247"/>
      <c r="F159" s="16"/>
      <c r="G159" s="200"/>
      <c r="H159" s="200"/>
      <c r="I159" s="200"/>
      <c r="J159" s="200"/>
      <c r="K159" s="200"/>
      <c r="L159" s="200"/>
      <c r="M159" s="64">
        <f t="shared" ref="M159:Q160" si="48">M102-L102</f>
        <v>-1903.8549589041104</v>
      </c>
      <c r="N159" s="64">
        <f t="shared" si="48"/>
        <v>370.33740493150754</v>
      </c>
      <c r="O159" s="64">
        <f t="shared" si="48"/>
        <v>380.21306906301379</v>
      </c>
      <c r="P159" s="64">
        <f t="shared" si="48"/>
        <v>383.66955150904096</v>
      </c>
      <c r="Q159" s="64">
        <f t="shared" si="48"/>
        <v>379.83285599395185</v>
      </c>
    </row>
    <row r="160" spans="2:18" ht="15" outlineLevel="4" x14ac:dyDescent="0.25">
      <c r="B160" s="247" t="s">
        <v>50</v>
      </c>
      <c r="C160" s="247"/>
      <c r="D160" s="247"/>
      <c r="E160" s="247"/>
      <c r="F160" s="16"/>
      <c r="G160" s="200"/>
      <c r="H160" s="200"/>
      <c r="I160" s="200"/>
      <c r="J160" s="200"/>
      <c r="K160" s="200"/>
      <c r="L160" s="200"/>
      <c r="M160" s="205">
        <f t="shared" si="48"/>
        <v>580.37977260273942</v>
      </c>
      <c r="N160" s="205">
        <f t="shared" si="48"/>
        <v>203.68557271232908</v>
      </c>
      <c r="O160" s="205">
        <f t="shared" si="48"/>
        <v>209.11718798465745</v>
      </c>
      <c r="P160" s="205">
        <f t="shared" si="48"/>
        <v>211.01825332997259</v>
      </c>
      <c r="Q160" s="205">
        <f t="shared" si="48"/>
        <v>208.90807079667366</v>
      </c>
    </row>
    <row r="161" spans="2:18" ht="15" outlineLevel="4" x14ac:dyDescent="0.25">
      <c r="B161" s="247" t="s">
        <v>52</v>
      </c>
      <c r="C161" s="247"/>
      <c r="D161" s="247"/>
      <c r="E161" s="247"/>
      <c r="F161" s="16"/>
      <c r="G161" s="200"/>
      <c r="H161" s="200"/>
      <c r="I161" s="200"/>
      <c r="J161" s="200"/>
      <c r="K161" s="200"/>
      <c r="L161" s="200"/>
      <c r="M161" s="48">
        <f>M105-L105</f>
        <v>2932.7999999999993</v>
      </c>
      <c r="N161" s="48">
        <f>N105-M105</f>
        <v>2698.1760000000031</v>
      </c>
      <c r="O161" s="48">
        <f>O105-N105</f>
        <v>2770.1273600000022</v>
      </c>
      <c r="P161" s="48">
        <f>P105-O105</f>
        <v>2795.3103360000023</v>
      </c>
      <c r="Q161" s="48">
        <f>Q105-P105</f>
        <v>2767.3572326400063</v>
      </c>
    </row>
    <row r="162" spans="2:18" ht="15.75" outlineLevel="4" thickBot="1" x14ac:dyDescent="0.3">
      <c r="B162" s="98" t="s">
        <v>79</v>
      </c>
      <c r="C162" s="202"/>
      <c r="D162" s="202"/>
      <c r="E162" s="202"/>
      <c r="F162" s="97"/>
      <c r="G162" s="255"/>
      <c r="H162" s="255"/>
      <c r="I162" s="255"/>
      <c r="J162" s="255"/>
      <c r="K162" s="255"/>
      <c r="L162" s="255"/>
      <c r="M162" s="256">
        <f>SUM(M146,M150,M151,M155:M161)</f>
        <v>54274.567498041099</v>
      </c>
      <c r="N162" s="256">
        <f t="shared" ref="N162:Q162" si="49">SUM(N146,N150,N151,N155:N161)</f>
        <v>61580.40450620756</v>
      </c>
      <c r="O162" s="256">
        <f t="shared" si="49"/>
        <v>67048.435671163708</v>
      </c>
      <c r="P162" s="256">
        <f t="shared" si="49"/>
        <v>72673.443733715947</v>
      </c>
      <c r="Q162" s="256">
        <f t="shared" si="49"/>
        <v>78380.276578987206</v>
      </c>
      <c r="R162" s="14"/>
    </row>
    <row r="163" spans="2:18" ht="15.75" outlineLevel="4" thickTop="1" x14ac:dyDescent="0.25">
      <c r="B163" s="31"/>
      <c r="C163" s="31"/>
      <c r="D163" s="31"/>
      <c r="E163" s="31"/>
      <c r="G163" s="200"/>
      <c r="H163" s="200"/>
      <c r="I163" s="200"/>
      <c r="J163" s="200"/>
      <c r="K163" s="200"/>
      <c r="L163" s="200"/>
      <c r="M163" s="31"/>
      <c r="N163" s="31"/>
      <c r="O163" s="31"/>
      <c r="P163" s="31"/>
      <c r="Q163" s="31"/>
    </row>
    <row r="164" spans="2:18" ht="15" outlineLevel="4" x14ac:dyDescent="0.25">
      <c r="B164" s="3" t="s">
        <v>80</v>
      </c>
      <c r="C164" s="31"/>
      <c r="D164" s="31"/>
      <c r="E164" s="31"/>
      <c r="G164" s="200"/>
      <c r="H164" s="200"/>
      <c r="I164" s="200"/>
      <c r="J164" s="200"/>
      <c r="K164" s="200"/>
      <c r="L164" s="200"/>
      <c r="M164" s="31"/>
      <c r="N164" s="31"/>
      <c r="O164" s="31"/>
      <c r="P164" s="31"/>
      <c r="Q164" s="31"/>
    </row>
    <row r="165" spans="2:18" ht="15" outlineLevel="4" x14ac:dyDescent="0.25">
      <c r="B165" s="2" t="s">
        <v>81</v>
      </c>
      <c r="C165" s="31"/>
      <c r="D165" s="31"/>
      <c r="E165" s="31"/>
      <c r="G165" s="200"/>
      <c r="H165" s="200"/>
      <c r="I165" s="200"/>
      <c r="J165" s="200"/>
      <c r="K165" s="200"/>
      <c r="L165" s="200"/>
      <c r="M165" s="253">
        <f>-'Fixed Assets'!M20</f>
        <v>-28161.073499999995</v>
      </c>
      <c r="N165" s="253">
        <f>-'Fixed Assets'!N20</f>
        <v>-30789.440359999997</v>
      </c>
      <c r="O165" s="253">
        <f>-'Fixed Assets'!O20</f>
        <v>-33342.711023999997</v>
      </c>
      <c r="P165" s="253">
        <f>-'Fixed Assets'!P20</f>
        <v>-35760.057573239996</v>
      </c>
      <c r="Q165" s="253">
        <f>-'Fixed Assets'!Q20</f>
        <v>-37979.014991887198</v>
      </c>
      <c r="R165" s="56"/>
    </row>
    <row r="166" spans="2:18" ht="15" outlineLevel="4" x14ac:dyDescent="0.25">
      <c r="B166" s="2" t="s">
        <v>135</v>
      </c>
      <c r="C166" s="31"/>
      <c r="D166" s="31"/>
      <c r="E166" s="31"/>
      <c r="G166" s="200"/>
      <c r="H166" s="200"/>
      <c r="I166" s="200"/>
      <c r="J166" s="200"/>
      <c r="K166" s="200"/>
      <c r="L166" s="200"/>
      <c r="M166" s="253">
        <f>'Intangible Asset '!K27</f>
        <v>0</v>
      </c>
      <c r="N166" s="253">
        <f>'Intangible Asset '!L27</f>
        <v>0</v>
      </c>
      <c r="O166" s="253">
        <f>'Intangible Asset '!M27</f>
        <v>0</v>
      </c>
      <c r="P166" s="253">
        <f>'Intangible Asset '!N27</f>
        <v>0</v>
      </c>
      <c r="Q166" s="253">
        <f>'Intangible Asset '!O27</f>
        <v>0</v>
      </c>
      <c r="R166" s="56"/>
    </row>
    <row r="167" spans="2:18" ht="15.75" outlineLevel="4" thickBot="1" x14ac:dyDescent="0.3">
      <c r="B167" s="257" t="s">
        <v>82</v>
      </c>
      <c r="C167" s="202"/>
      <c r="D167" s="202"/>
      <c r="E167" s="202"/>
      <c r="F167" s="97"/>
      <c r="G167" s="255"/>
      <c r="H167" s="255"/>
      <c r="I167" s="255"/>
      <c r="J167" s="255"/>
      <c r="K167" s="255"/>
      <c r="L167" s="255"/>
      <c r="M167" s="258">
        <f>M165+M166</f>
        <v>-28161.073499999995</v>
      </c>
      <c r="N167" s="258">
        <f t="shared" ref="N167:Q167" si="50">N165+N166</f>
        <v>-30789.440359999997</v>
      </c>
      <c r="O167" s="258">
        <f t="shared" si="50"/>
        <v>-33342.711023999997</v>
      </c>
      <c r="P167" s="258">
        <f t="shared" si="50"/>
        <v>-35760.057573239996</v>
      </c>
      <c r="Q167" s="258">
        <f t="shared" si="50"/>
        <v>-37979.014991887198</v>
      </c>
    </row>
    <row r="168" spans="2:18" ht="15.75" outlineLevel="4" thickTop="1" x14ac:dyDescent="0.25">
      <c r="B168" s="31"/>
      <c r="C168" s="31"/>
      <c r="D168" s="31"/>
      <c r="E168" s="31"/>
      <c r="G168" s="200"/>
      <c r="H168" s="200"/>
      <c r="I168" s="200"/>
      <c r="J168" s="200"/>
      <c r="K168" s="200"/>
      <c r="L168" s="200"/>
      <c r="M168" s="31"/>
      <c r="N168" s="31"/>
      <c r="O168" s="31"/>
      <c r="P168" s="31"/>
      <c r="Q168" s="31"/>
    </row>
    <row r="169" spans="2:18" ht="15" outlineLevel="4" x14ac:dyDescent="0.25">
      <c r="B169" s="3" t="s">
        <v>83</v>
      </c>
      <c r="C169" s="31"/>
      <c r="D169" s="31"/>
      <c r="E169" s="31"/>
      <c r="G169" s="200"/>
      <c r="H169" s="200"/>
      <c r="I169" s="200"/>
      <c r="J169" s="200"/>
      <c r="K169" s="200"/>
      <c r="L169" s="200"/>
      <c r="M169" s="50"/>
      <c r="N169" s="50"/>
      <c r="O169" s="50"/>
      <c r="P169" s="50"/>
      <c r="Q169" s="50"/>
    </row>
    <row r="170" spans="2:18" ht="15" outlineLevel="4" x14ac:dyDescent="0.25">
      <c r="B170" s="2" t="s">
        <v>136</v>
      </c>
      <c r="C170" s="247"/>
      <c r="D170" s="247"/>
      <c r="E170" s="31"/>
      <c r="G170" s="200"/>
      <c r="H170" s="200"/>
      <c r="I170" s="200"/>
      <c r="J170" s="200"/>
      <c r="K170" s="200"/>
      <c r="L170" s="200"/>
      <c r="M170" s="263">
        <f>M109-L109</f>
        <v>0</v>
      </c>
      <c r="N170" s="263">
        <f>N109-M109</f>
        <v>0</v>
      </c>
      <c r="O170" s="263">
        <f>O109-N109</f>
        <v>0</v>
      </c>
      <c r="P170" s="263">
        <f>P109-O109</f>
        <v>0</v>
      </c>
      <c r="Q170" s="263">
        <f>Q109-P109</f>
        <v>0</v>
      </c>
    </row>
    <row r="171" spans="2:18" ht="15" outlineLevel="4" x14ac:dyDescent="0.25">
      <c r="B171" s="2" t="s">
        <v>137</v>
      </c>
      <c r="C171" s="31"/>
      <c r="D171" s="31"/>
      <c r="E171" s="31"/>
      <c r="G171" s="200"/>
      <c r="H171" s="200"/>
      <c r="I171" s="200"/>
      <c r="J171" s="200"/>
      <c r="K171" s="200"/>
      <c r="L171" s="200"/>
      <c r="M171" s="52">
        <f>M111-L111</f>
        <v>0</v>
      </c>
      <c r="N171" s="52">
        <f t="shared" ref="N171:Q171" si="51">N111-M111</f>
        <v>0</v>
      </c>
      <c r="O171" s="52">
        <f t="shared" si="51"/>
        <v>0</v>
      </c>
      <c r="P171" s="52">
        <f t="shared" si="51"/>
        <v>0</v>
      </c>
      <c r="Q171" s="52">
        <f t="shared" si="51"/>
        <v>0</v>
      </c>
    </row>
    <row r="172" spans="2:18" ht="15" outlineLevel="4" x14ac:dyDescent="0.25">
      <c r="B172" s="2" t="s">
        <v>55</v>
      </c>
      <c r="C172" s="31"/>
      <c r="D172" s="31"/>
      <c r="E172" s="31"/>
      <c r="G172" s="200"/>
      <c r="H172" s="200"/>
      <c r="I172" s="200"/>
      <c r="J172" s="200"/>
      <c r="K172" s="200"/>
      <c r="L172" s="200"/>
      <c r="M172" s="52">
        <f>M110-L110</f>
        <v>0</v>
      </c>
      <c r="N172" s="52">
        <f>N110-M110</f>
        <v>0</v>
      </c>
      <c r="O172" s="52">
        <f>O110-N110</f>
        <v>0</v>
      </c>
      <c r="P172" s="52">
        <f>P110-O110</f>
        <v>0</v>
      </c>
      <c r="Q172" s="52">
        <f>Q110-P110</f>
        <v>0</v>
      </c>
    </row>
    <row r="173" spans="2:18" ht="15" outlineLevel="4" x14ac:dyDescent="0.25">
      <c r="B173" s="2" t="s">
        <v>64</v>
      </c>
      <c r="C173" s="31"/>
      <c r="D173" s="31"/>
      <c r="E173" s="31"/>
      <c r="G173" s="200"/>
      <c r="H173" s="200"/>
      <c r="I173" s="200"/>
      <c r="J173" s="200"/>
      <c r="K173" s="200"/>
      <c r="L173" s="200"/>
      <c r="M173" s="52">
        <f>M115-L115</f>
        <v>0</v>
      </c>
      <c r="N173" s="52">
        <f>N115-M115</f>
        <v>0</v>
      </c>
      <c r="O173" s="52">
        <f>O115-N115</f>
        <v>0</v>
      </c>
      <c r="P173" s="52">
        <f>P115-O115</f>
        <v>0</v>
      </c>
      <c r="Q173" s="52">
        <f>Q115-P115</f>
        <v>0</v>
      </c>
    </row>
    <row r="174" spans="2:18" ht="15" outlineLevel="4" x14ac:dyDescent="0.25">
      <c r="B174" s="2" t="s">
        <v>139</v>
      </c>
      <c r="C174" s="31"/>
      <c r="D174" s="31"/>
      <c r="E174" s="31"/>
      <c r="G174" s="200"/>
      <c r="H174" s="200"/>
      <c r="I174" s="200"/>
      <c r="J174" s="200"/>
      <c r="K174" s="200"/>
      <c r="L174" s="200"/>
      <c r="M174" s="73">
        <f>M126</f>
        <v>-27926</v>
      </c>
      <c r="N174" s="73">
        <f t="shared" ref="N174:Q174" si="52">N126</f>
        <v>-27926</v>
      </c>
      <c r="O174" s="73">
        <f t="shared" si="52"/>
        <v>-27926</v>
      </c>
      <c r="P174" s="73">
        <f>P126</f>
        <v>-27926</v>
      </c>
      <c r="Q174" s="73">
        <f t="shared" si="52"/>
        <v>-27926</v>
      </c>
    </row>
    <row r="175" spans="2:18" ht="15.75" outlineLevel="4" thickBot="1" x14ac:dyDescent="0.3">
      <c r="B175" s="98" t="s">
        <v>84</v>
      </c>
      <c r="C175" s="202"/>
      <c r="D175" s="202"/>
      <c r="E175" s="202"/>
      <c r="F175" s="188"/>
      <c r="G175" s="259"/>
      <c r="H175" s="259"/>
      <c r="I175" s="259"/>
      <c r="J175" s="259"/>
      <c r="K175" s="259"/>
      <c r="L175" s="259"/>
      <c r="M175" s="258">
        <f>SUM(M170:M174)</f>
        <v>-27926</v>
      </c>
      <c r="N175" s="258">
        <f>SUM(N170:N174)</f>
        <v>-27926</v>
      </c>
      <c r="O175" s="258">
        <f>SUM(O170:O174)</f>
        <v>-27926</v>
      </c>
      <c r="P175" s="258">
        <f>SUM(P170:P174)</f>
        <v>-27926</v>
      </c>
      <c r="Q175" s="258">
        <f>SUM(Q170:Q174)</f>
        <v>-27926</v>
      </c>
    </row>
    <row r="176" spans="2:18" ht="15.75" outlineLevel="4" thickTop="1" x14ac:dyDescent="0.25">
      <c r="B176" s="31"/>
      <c r="C176" s="31"/>
      <c r="D176" s="31"/>
      <c r="E176" s="31"/>
      <c r="G176" s="200"/>
      <c r="H176" s="200"/>
      <c r="I176" s="200"/>
      <c r="J176" s="200"/>
      <c r="K176" s="200"/>
      <c r="L176" s="200"/>
      <c r="M176" s="31"/>
      <c r="N176" s="31"/>
      <c r="O176" s="31"/>
      <c r="P176" s="31"/>
      <c r="Q176" s="31"/>
    </row>
    <row r="177" spans="2:17" outlineLevel="4" x14ac:dyDescent="0.2">
      <c r="B177" s="171" t="s">
        <v>138</v>
      </c>
      <c r="C177" s="31"/>
      <c r="D177" s="31"/>
      <c r="E177" s="31"/>
      <c r="G177" s="221"/>
      <c r="H177" s="221"/>
      <c r="I177" s="221"/>
      <c r="J177" s="221"/>
      <c r="K177" s="221"/>
      <c r="L177" s="221"/>
      <c r="M177" s="254">
        <f>M162+M167+M175</f>
        <v>-1812.5060019588964</v>
      </c>
      <c r="N177" s="254">
        <f>N162+N167+N175</f>
        <v>2864.9641462075633</v>
      </c>
      <c r="O177" s="254">
        <f>O162+O167+O175</f>
        <v>5779.7246471637118</v>
      </c>
      <c r="P177" s="254">
        <f>P162+P167+P175</f>
        <v>8987.3861604759513</v>
      </c>
      <c r="Q177" s="254">
        <f>Q162+Q167+Q175</f>
        <v>12475.261587100009</v>
      </c>
    </row>
    <row r="178" spans="2:17" outlineLevel="4" x14ac:dyDescent="0.2">
      <c r="B178" s="31"/>
      <c r="C178" s="31"/>
      <c r="D178" s="31"/>
      <c r="E178" s="31"/>
      <c r="G178" s="221"/>
      <c r="H178" s="221"/>
      <c r="I178" s="221"/>
      <c r="J178" s="221"/>
      <c r="K178" s="221"/>
      <c r="L178" s="221"/>
      <c r="M178" s="31"/>
      <c r="N178" s="31"/>
      <c r="O178" s="31"/>
      <c r="P178" s="31"/>
      <c r="Q178" s="31"/>
    </row>
    <row r="179" spans="2:17" outlineLevel="4" x14ac:dyDescent="0.2">
      <c r="B179" s="33" t="s">
        <v>141</v>
      </c>
      <c r="C179" s="33"/>
      <c r="D179" s="33"/>
      <c r="E179" s="31"/>
      <c r="G179" s="221"/>
      <c r="H179" s="221"/>
      <c r="I179" s="221"/>
      <c r="J179" s="221"/>
      <c r="K179" s="221"/>
      <c r="L179" s="221"/>
      <c r="M179" s="260">
        <f>SUM(L87,M162,M167,M170,M172:M174)</f>
        <v>12868.4939980411</v>
      </c>
      <c r="N179" s="261">
        <f>SUM(M87,N162,N167,N170,N172:N174)</f>
        <v>15733.458144248667</v>
      </c>
      <c r="O179" s="261">
        <f>SUM(N87,O162,O167,O170,O172:O174)</f>
        <v>21513.182791412379</v>
      </c>
      <c r="P179" s="261">
        <f>SUM(O87,P162,P167,P170,P172:P174)</f>
        <v>30500.568951888323</v>
      </c>
      <c r="Q179" s="261">
        <f>SUM(P87,Q162,Q167,Q170,Q172:Q174)</f>
        <v>42975.830538988346</v>
      </c>
    </row>
    <row r="180" spans="2:17" outlineLevel="4" x14ac:dyDescent="0.2">
      <c r="B180" s="33" t="s">
        <v>142</v>
      </c>
      <c r="C180" s="33"/>
      <c r="D180" s="33"/>
      <c r="E180" s="31"/>
      <c r="G180" s="221"/>
      <c r="H180" s="221"/>
      <c r="I180" s="221"/>
      <c r="J180" s="221"/>
      <c r="K180" s="221"/>
      <c r="L180" s="221"/>
      <c r="M180" s="262">
        <f>-MIN(M179,L111)</f>
        <v>0</v>
      </c>
      <c r="N180" s="262">
        <f>-MIN(N179,M111)</f>
        <v>0</v>
      </c>
      <c r="O180" s="262">
        <f>-MIN(O179,N111)</f>
        <v>0</v>
      </c>
      <c r="P180" s="262">
        <f>-MIN(P179,O111)</f>
        <v>0</v>
      </c>
      <c r="Q180" s="262">
        <f>-MIN(Q179,P111)</f>
        <v>0</v>
      </c>
    </row>
    <row r="181" spans="2:17" outlineLevel="4" x14ac:dyDescent="0.2"/>
    <row r="182" spans="2:17" outlineLevel="2" x14ac:dyDescent="0.2"/>
    <row r="183" spans="2:17" outlineLevel="2" x14ac:dyDescent="0.2"/>
    <row r="184" spans="2:17" outlineLevel="2" x14ac:dyDescent="0.2"/>
    <row r="185" spans="2:17" outlineLevel="2" x14ac:dyDescent="0.2"/>
    <row r="186" spans="2:17" outlineLevel="2" x14ac:dyDescent="0.2"/>
    <row r="187" spans="2:17" outlineLevel="2" x14ac:dyDescent="0.2"/>
  </sheetData>
  <mergeCells count="13">
    <mergeCell ref="B2:E6"/>
    <mergeCell ref="B8:D8"/>
    <mergeCell ref="B7:D7"/>
    <mergeCell ref="B9:D9"/>
    <mergeCell ref="B135:E135"/>
    <mergeCell ref="B140:F140"/>
    <mergeCell ref="F72:Q72"/>
    <mergeCell ref="B69:F69"/>
    <mergeCell ref="B11:R13"/>
    <mergeCell ref="F19:Q19"/>
    <mergeCell ref="B16:F16"/>
    <mergeCell ref="B49:E49"/>
    <mergeCell ref="B59:E59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DB4C-54CB-478E-BC28-829962072E09}">
  <dimension ref="A1:R23"/>
  <sheetViews>
    <sheetView showGridLines="0" workbookViewId="0">
      <selection activeCell="O38" sqref="O38"/>
    </sheetView>
  </sheetViews>
  <sheetFormatPr defaultRowHeight="14.25" x14ac:dyDescent="0.2"/>
  <cols>
    <col min="1" max="5" width="9.140625" style="12"/>
    <col min="6" max="6" width="13.28515625" style="12" customWidth="1"/>
    <col min="7" max="10" width="9.140625" style="12"/>
    <col min="11" max="11" width="7.7109375" style="12" bestFit="1" customWidth="1"/>
    <col min="12" max="12" width="10.28515625" style="12" bestFit="1" customWidth="1"/>
    <col min="13" max="17" width="10.85546875" style="12" bestFit="1" customWidth="1"/>
    <col min="18" max="16384" width="9.140625" style="12"/>
  </cols>
  <sheetData>
    <row r="1" spans="1:18" x14ac:dyDescent="0.2">
      <c r="A1" s="425" t="s">
        <v>153</v>
      </c>
      <c r="B1" s="425"/>
      <c r="C1" s="425"/>
      <c r="D1" s="425"/>
      <c r="E1" s="425"/>
      <c r="F1" s="425"/>
      <c r="G1" s="425"/>
      <c r="H1" s="425"/>
      <c r="I1" s="425"/>
      <c r="J1" s="425"/>
    </row>
    <row r="2" spans="1:18" x14ac:dyDescent="0.2">
      <c r="A2" s="425"/>
      <c r="B2" s="425"/>
      <c r="C2" s="425"/>
      <c r="D2" s="425"/>
      <c r="E2" s="425"/>
      <c r="F2" s="425"/>
      <c r="G2" s="425"/>
      <c r="H2" s="425"/>
      <c r="I2" s="425"/>
      <c r="J2" s="425"/>
    </row>
    <row r="3" spans="1:18" x14ac:dyDescent="0.2">
      <c r="A3" s="426"/>
      <c r="B3" s="426"/>
      <c r="C3" s="426"/>
      <c r="D3" s="426"/>
      <c r="E3" s="426"/>
      <c r="F3" s="426"/>
      <c r="G3" s="426"/>
      <c r="H3" s="426"/>
      <c r="I3" s="426"/>
      <c r="J3" s="426"/>
    </row>
    <row r="10" spans="1:18" ht="15" x14ac:dyDescent="0.25">
      <c r="E10" s="427" t="s">
        <v>154</v>
      </c>
      <c r="F10" s="428"/>
      <c r="G10" s="428"/>
      <c r="H10" s="428"/>
      <c r="I10" s="428"/>
      <c r="J10" s="428"/>
      <c r="K10" s="428"/>
      <c r="L10" s="428"/>
      <c r="M10" s="428"/>
      <c r="N10" s="428"/>
      <c r="O10" s="428"/>
      <c r="P10" s="428"/>
      <c r="Q10" s="428"/>
      <c r="R10" s="290"/>
    </row>
    <row r="11" spans="1:18" x14ac:dyDescent="0.2">
      <c r="E11" s="207"/>
      <c r="F11" s="208"/>
      <c r="G11" s="213">
        <v>2017</v>
      </c>
      <c r="H11" s="213">
        <v>2018</v>
      </c>
      <c r="I11" s="213">
        <v>2019</v>
      </c>
      <c r="J11" s="213">
        <v>2020</v>
      </c>
      <c r="K11" s="213">
        <v>2021</v>
      </c>
      <c r="L11" s="213">
        <v>2022</v>
      </c>
      <c r="M11" s="213" t="s">
        <v>15</v>
      </c>
      <c r="N11" s="213" t="s">
        <v>16</v>
      </c>
      <c r="O11" s="213" t="s">
        <v>17</v>
      </c>
      <c r="P11" s="213" t="s">
        <v>18</v>
      </c>
      <c r="Q11" s="214" t="s">
        <v>19</v>
      </c>
    </row>
    <row r="12" spans="1:18" x14ac:dyDescent="0.2">
      <c r="C12" s="26"/>
      <c r="D12" s="26"/>
      <c r="E12" s="217" t="s">
        <v>156</v>
      </c>
      <c r="F12" s="215"/>
      <c r="G12" s="76">
        <f>ABS('Fixed Assets'!G20)/'Financial Statements '!G32</f>
        <v>0.16562123336531129</v>
      </c>
      <c r="H12" s="76">
        <f>ABS('Fixed Assets'!H20)/'Financial Statements '!H32</f>
        <v>0.24920305168523227</v>
      </c>
      <c r="I12" s="76">
        <f>ABS('Fixed Assets'!I20)/'Financial Statements '!I32</f>
        <v>0.21361585357228738</v>
      </c>
      <c r="J12" s="76">
        <f>ABS('Fixed Assets'!J20)/'Financial Statements '!J32</f>
        <v>0.17638573838189961</v>
      </c>
      <c r="K12" s="76">
        <f>ABS('Fixed Assets'!K20)/'Financial Statements '!K32</f>
        <v>0.15848519024158603</v>
      </c>
      <c r="L12" s="76">
        <f>ABS('Fixed Assets'!L20)/'Financial Statements '!L32</f>
        <v>0.26954180209074774</v>
      </c>
      <c r="M12" s="55">
        <v>0.21</v>
      </c>
      <c r="N12" s="341">
        <f>M12-0.005</f>
        <v>0.20499999999999999</v>
      </c>
      <c r="O12" s="341">
        <f t="shared" ref="O12:Q12" si="0">N12-0.005</f>
        <v>0.19999999999999998</v>
      </c>
      <c r="P12" s="341">
        <f t="shared" si="0"/>
        <v>0.19499999999999998</v>
      </c>
      <c r="Q12" s="342">
        <f t="shared" si="0"/>
        <v>0.18999999999999997</v>
      </c>
    </row>
    <row r="13" spans="1:18" ht="15" x14ac:dyDescent="0.25">
      <c r="E13" s="218" t="s">
        <v>155</v>
      </c>
      <c r="F13" s="216"/>
      <c r="G13" s="209">
        <v>2330</v>
      </c>
      <c r="H13" s="209">
        <v>3675</v>
      </c>
      <c r="I13" s="209">
        <v>5180</v>
      </c>
      <c r="J13" s="209">
        <v>6390</v>
      </c>
      <c r="K13" s="209">
        <v>7560</v>
      </c>
      <c r="L13" s="210">
        <v>8500</v>
      </c>
      <c r="M13" s="211">
        <f>L13*(1+'Financial Statements '!M21)</f>
        <v>9775</v>
      </c>
      <c r="N13" s="211">
        <f>M13*(1+'Financial Statements '!N21)</f>
        <v>10948.000000000002</v>
      </c>
      <c r="O13" s="211">
        <f>N13*(1+'Financial Statements '!O21)</f>
        <v>12152.280000000002</v>
      </c>
      <c r="P13" s="211">
        <f>O13*(1+'Financial Statements '!P21)</f>
        <v>13367.508000000003</v>
      </c>
      <c r="Q13" s="212">
        <f>P13*(1+'Financial Statements '!Q21)</f>
        <v>14570.583720000004</v>
      </c>
    </row>
    <row r="19" spans="2:17" x14ac:dyDescent="0.2">
      <c r="B19" s="31" t="s">
        <v>158</v>
      </c>
      <c r="C19" s="31"/>
      <c r="D19" s="31"/>
      <c r="E19" s="31"/>
      <c r="F19" s="31"/>
      <c r="G19" s="204"/>
      <c r="H19" s="204"/>
      <c r="I19" s="204"/>
      <c r="J19" s="204"/>
      <c r="K19" s="204"/>
      <c r="L19" s="204"/>
      <c r="M19" s="138">
        <v>79518</v>
      </c>
      <c r="N19" s="47">
        <f>M22</f>
        <v>97904.073499999999</v>
      </c>
      <c r="O19" s="47">
        <f t="shared" ref="O19:Q19" si="1">N22</f>
        <v>117745.51385999999</v>
      </c>
      <c r="P19" s="47">
        <f t="shared" si="1"/>
        <v>138935.944884</v>
      </c>
      <c r="Q19" s="47">
        <f t="shared" si="1"/>
        <v>161328.49445723998</v>
      </c>
    </row>
    <row r="20" spans="2:17" x14ac:dyDescent="0.2">
      <c r="B20" s="201" t="s">
        <v>157</v>
      </c>
      <c r="C20" s="31"/>
      <c r="D20" s="31"/>
      <c r="E20" s="31"/>
      <c r="F20" s="31"/>
      <c r="G20" s="34">
        <v>6733</v>
      </c>
      <c r="H20" s="34">
        <v>13915</v>
      </c>
      <c r="I20" s="34">
        <v>15102</v>
      </c>
      <c r="J20" s="34">
        <v>15163</v>
      </c>
      <c r="K20" s="34">
        <v>18690</v>
      </c>
      <c r="L20" s="34">
        <v>31431</v>
      </c>
      <c r="M20" s="197">
        <f>'Fixed Assets'!M12*'Financial Statements '!M32</f>
        <v>28161.073499999995</v>
      </c>
      <c r="N20" s="196">
        <f>'Fixed Assets'!N12*'Financial Statements '!N32</f>
        <v>30789.440359999997</v>
      </c>
      <c r="O20" s="196">
        <f>'Fixed Assets'!O12*'Financial Statements '!O32</f>
        <v>33342.711023999997</v>
      </c>
      <c r="P20" s="196">
        <f>'Fixed Assets'!P12*'Financial Statements '!P32</f>
        <v>35760.057573239996</v>
      </c>
      <c r="Q20" s="196">
        <f>'Fixed Assets'!Q12*'Financial Statements '!Q32</f>
        <v>37979.014991887198</v>
      </c>
    </row>
    <row r="21" spans="2:17" x14ac:dyDescent="0.2">
      <c r="B21" s="31" t="s">
        <v>89</v>
      </c>
      <c r="C21" s="31"/>
      <c r="D21" s="31"/>
      <c r="E21" s="31"/>
      <c r="F21" s="31"/>
      <c r="G21" s="204"/>
      <c r="H21" s="204"/>
      <c r="I21" s="204"/>
      <c r="J21" s="204"/>
      <c r="K21" s="204"/>
      <c r="L21" s="204"/>
      <c r="M21" s="205">
        <f>-M13</f>
        <v>-9775</v>
      </c>
      <c r="N21" s="205">
        <f>-N13</f>
        <v>-10948.000000000002</v>
      </c>
      <c r="O21" s="205">
        <f>-O13</f>
        <v>-12152.280000000002</v>
      </c>
      <c r="P21" s="205">
        <f>-P13</f>
        <v>-13367.508000000003</v>
      </c>
      <c r="Q21" s="205">
        <f>-Q13</f>
        <v>-14570.583720000004</v>
      </c>
    </row>
    <row r="22" spans="2:17" ht="15" thickBot="1" x14ac:dyDescent="0.25">
      <c r="B22" s="202" t="s">
        <v>159</v>
      </c>
      <c r="C22" s="202"/>
      <c r="D22" s="202"/>
      <c r="E22" s="202"/>
      <c r="F22" s="202"/>
      <c r="G22" s="198">
        <v>13721</v>
      </c>
      <c r="H22" s="199">
        <v>24683</v>
      </c>
      <c r="I22" s="199">
        <v>35323</v>
      </c>
      <c r="J22" s="199">
        <v>45633</v>
      </c>
      <c r="K22" s="199">
        <v>57809</v>
      </c>
      <c r="L22" s="198">
        <v>79518</v>
      </c>
      <c r="M22" s="203">
        <f>SUM(M19:M21)</f>
        <v>97904.073499999999</v>
      </c>
      <c r="N22" s="203">
        <f t="shared" ref="N22:Q22" si="2">SUM(N19:N21)</f>
        <v>117745.51385999999</v>
      </c>
      <c r="O22" s="203">
        <f t="shared" si="2"/>
        <v>138935.944884</v>
      </c>
      <c r="P22" s="203">
        <f t="shared" si="2"/>
        <v>161328.49445723998</v>
      </c>
      <c r="Q22" s="203">
        <f t="shared" si="2"/>
        <v>184736.92572912719</v>
      </c>
    </row>
    <row r="23" spans="2:17" ht="15" thickTop="1" x14ac:dyDescent="0.2"/>
  </sheetData>
  <mergeCells count="2">
    <mergeCell ref="A1:J3"/>
    <mergeCell ref="E10:Q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0926-2307-41E4-83BF-08A6DB594837}">
  <dimension ref="A1:V30"/>
  <sheetViews>
    <sheetView showGridLines="0" tabSelected="1" topLeftCell="A2" workbookViewId="0">
      <selection activeCell="U20" sqref="U20"/>
    </sheetView>
  </sheetViews>
  <sheetFormatPr defaultRowHeight="15" x14ac:dyDescent="0.25"/>
  <cols>
    <col min="2" max="2" width="39.28515625" bestFit="1" customWidth="1"/>
    <col min="4" max="4" width="14.42578125" customWidth="1"/>
  </cols>
  <sheetData>
    <row r="1" spans="1:22" x14ac:dyDescent="0.25">
      <c r="A1" s="429" t="s">
        <v>122</v>
      </c>
      <c r="B1" s="429"/>
      <c r="C1" s="429"/>
      <c r="D1" s="429"/>
      <c r="E1" s="429"/>
      <c r="F1" s="429"/>
      <c r="G1" s="429"/>
      <c r="H1" s="429"/>
      <c r="I1" s="429"/>
      <c r="J1" s="429"/>
    </row>
    <row r="2" spans="1:22" x14ac:dyDescent="0.25">
      <c r="A2" s="429"/>
      <c r="B2" s="429"/>
      <c r="C2" s="429"/>
      <c r="D2" s="429"/>
      <c r="E2" s="429"/>
      <c r="F2" s="429"/>
      <c r="G2" s="429"/>
      <c r="H2" s="429"/>
      <c r="I2" s="429"/>
      <c r="J2" s="429"/>
    </row>
    <row r="3" spans="1:22" ht="15.75" thickBot="1" x14ac:dyDescent="0.3">
      <c r="A3" s="430"/>
      <c r="B3" s="430"/>
      <c r="C3" s="430"/>
      <c r="D3" s="430"/>
      <c r="E3" s="430"/>
      <c r="F3" s="430"/>
      <c r="G3" s="430"/>
      <c r="H3" s="430"/>
      <c r="I3" s="430"/>
      <c r="J3" s="430"/>
    </row>
    <row r="7" spans="1:22" x14ac:dyDescent="0.25">
      <c r="C7" s="431" t="s">
        <v>167</v>
      </c>
      <c r="D7" s="432"/>
      <c r="E7" s="432"/>
      <c r="F7" s="432"/>
      <c r="G7" s="432"/>
      <c r="H7" s="432"/>
      <c r="I7" s="432"/>
      <c r="J7" s="432"/>
      <c r="K7" s="432"/>
      <c r="L7" s="432"/>
      <c r="M7" s="432"/>
      <c r="N7" s="432"/>
      <c r="O7" s="433"/>
    </row>
    <row r="8" spans="1:22" x14ac:dyDescent="0.25">
      <c r="C8" s="294"/>
      <c r="D8" s="295"/>
      <c r="E8" s="291">
        <v>2017</v>
      </c>
      <c r="F8" s="291">
        <v>2018</v>
      </c>
      <c r="G8" s="291">
        <v>2019</v>
      </c>
      <c r="H8" s="291">
        <v>2020</v>
      </c>
      <c r="I8" s="291">
        <v>2021</v>
      </c>
      <c r="J8" s="291">
        <v>2022</v>
      </c>
      <c r="K8" s="291" t="s">
        <v>15</v>
      </c>
      <c r="L8" s="291" t="s">
        <v>16</v>
      </c>
      <c r="M8" s="291" t="s">
        <v>17</v>
      </c>
      <c r="N8" s="291" t="s">
        <v>18</v>
      </c>
      <c r="O8" s="292" t="s">
        <v>19</v>
      </c>
    </row>
    <row r="9" spans="1:22" x14ac:dyDescent="0.25">
      <c r="C9" s="218" t="s">
        <v>91</v>
      </c>
      <c r="D9" s="293"/>
      <c r="E9" s="287">
        <f>'Intangible Asset '!E27/'Financial Statements '!G32</f>
        <v>0</v>
      </c>
      <c r="F9" s="287">
        <f>'Intangible Asset '!F27/'Financial Statements '!H32</f>
        <v>0</v>
      </c>
      <c r="G9" s="287">
        <f>'Intangible Asset '!G27/'Financial Statements '!I32</f>
        <v>5.7993974284623105E-4</v>
      </c>
      <c r="H9" s="287">
        <f>'Intangible Asset '!H27/'Financial Statements '!J32</f>
        <v>1.0120397836328738E-3</v>
      </c>
      <c r="I9" s="287">
        <f>'Intangible Asset '!I27/'Financial Statements '!K32</f>
        <v>2.8830906732016723E-4</v>
      </c>
      <c r="J9" s="287">
        <f>'Intangible Asset '!J27/'Financial Statements '!L32</f>
        <v>1.4064094538157432E-3</v>
      </c>
      <c r="K9" s="288">
        <v>0</v>
      </c>
      <c r="L9" s="288">
        <v>0</v>
      </c>
      <c r="M9" s="288">
        <v>0</v>
      </c>
      <c r="N9" s="288">
        <v>0</v>
      </c>
      <c r="O9" s="289">
        <v>0</v>
      </c>
    </row>
    <row r="11" spans="1:22" x14ac:dyDescent="0.25"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spans="1:22" x14ac:dyDescent="0.25">
      <c r="B12" s="31" t="s">
        <v>123</v>
      </c>
      <c r="C12" s="31"/>
      <c r="D12" s="31"/>
      <c r="E12" s="31">
        <v>261</v>
      </c>
      <c r="F12" s="31">
        <v>131</v>
      </c>
      <c r="G12" s="31">
        <v>172</v>
      </c>
      <c r="H12" s="31">
        <v>209</v>
      </c>
      <c r="I12" s="31">
        <v>243</v>
      </c>
      <c r="J12" s="31">
        <v>363</v>
      </c>
      <c r="K12" s="52">
        <f>K9*'Financial Statements '!M32</f>
        <v>0</v>
      </c>
      <c r="L12" s="52">
        <f>L9*'Financial Statements '!N32</f>
        <v>0</v>
      </c>
      <c r="M12" s="52">
        <f>M9*'Financial Statements '!O32</f>
        <v>0</v>
      </c>
      <c r="N12" s="52">
        <f>N9*'Financial Statements '!P32</f>
        <v>0</v>
      </c>
      <c r="O12" s="52">
        <f>O9*'Financial Statements '!Q32</f>
        <v>0</v>
      </c>
    </row>
    <row r="13" spans="1:22" x14ac:dyDescent="0.25">
      <c r="B13" s="31" t="s">
        <v>129</v>
      </c>
      <c r="C13" s="31"/>
      <c r="D13" s="31"/>
      <c r="E13" s="31">
        <v>1085</v>
      </c>
      <c r="F13" s="31">
        <v>796</v>
      </c>
      <c r="G13" s="31">
        <v>506</v>
      </c>
      <c r="H13" s="31">
        <v>217</v>
      </c>
      <c r="I13" s="42">
        <v>0</v>
      </c>
      <c r="J13" s="4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</row>
    <row r="14" spans="1:22" x14ac:dyDescent="0.25">
      <c r="B14" s="31" t="s">
        <v>124</v>
      </c>
      <c r="C14" s="31"/>
      <c r="D14" s="31"/>
      <c r="E14" s="31">
        <v>286</v>
      </c>
      <c r="F14" s="31">
        <v>240</v>
      </c>
      <c r="G14" s="31">
        <v>180</v>
      </c>
      <c r="H14" s="31">
        <v>128</v>
      </c>
      <c r="I14" s="31">
        <v>105</v>
      </c>
      <c r="J14" s="31">
        <v>91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</row>
    <row r="15" spans="1:22" x14ac:dyDescent="0.25">
      <c r="B15" s="31" t="s">
        <v>125</v>
      </c>
      <c r="C15" s="31"/>
      <c r="D15" s="31"/>
      <c r="E15" s="31">
        <v>223</v>
      </c>
      <c r="F15" s="31">
        <v>112</v>
      </c>
      <c r="G15" s="31">
        <v>31</v>
      </c>
      <c r="H15" s="31">
        <v>14</v>
      </c>
      <c r="I15" s="31">
        <v>11</v>
      </c>
      <c r="J15" s="31">
        <v>8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</row>
    <row r="16" spans="1:22" s="78" customFormat="1" x14ac:dyDescent="0.25">
      <c r="B16" s="248" t="s">
        <v>126</v>
      </c>
      <c r="C16" s="248"/>
      <c r="D16" s="248"/>
      <c r="E16" s="248">
        <v>28</v>
      </c>
      <c r="F16" s="248">
        <v>15</v>
      </c>
      <c r="G16" s="248">
        <v>5</v>
      </c>
      <c r="H16" s="248">
        <v>55</v>
      </c>
      <c r="I16" s="248">
        <v>9</v>
      </c>
      <c r="J16" s="248">
        <v>53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/>
      <c r="Q16"/>
      <c r="R16"/>
      <c r="S16"/>
      <c r="T16"/>
      <c r="U16"/>
      <c r="V16"/>
    </row>
    <row r="17" spans="2:15" x14ac:dyDescent="0.25">
      <c r="B17" s="32" t="s">
        <v>127</v>
      </c>
      <c r="C17" s="32"/>
      <c r="D17" s="32"/>
      <c r="E17" s="48">
        <v>1884</v>
      </c>
      <c r="F17" s="296">
        <v>1294</v>
      </c>
      <c r="G17" s="31">
        <v>894</v>
      </c>
      <c r="H17" s="296">
        <v>623</v>
      </c>
      <c r="I17" s="31">
        <v>368</v>
      </c>
      <c r="J17" s="31">
        <v>515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</row>
    <row r="18" spans="2:15" x14ac:dyDescent="0.25">
      <c r="B18" s="248" t="s">
        <v>128</v>
      </c>
      <c r="C18" s="248"/>
      <c r="D18" s="248"/>
      <c r="E18" s="248">
        <v>0</v>
      </c>
      <c r="F18" s="248">
        <v>0</v>
      </c>
      <c r="G18" s="248">
        <v>0</v>
      </c>
      <c r="H18" s="248">
        <v>0</v>
      </c>
      <c r="I18" s="248">
        <v>266</v>
      </c>
      <c r="J18" s="248">
        <v>382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</row>
    <row r="19" spans="2:15" s="77" customFormat="1" ht="15.75" thickBot="1" x14ac:dyDescent="0.3">
      <c r="B19" s="202" t="s">
        <v>133</v>
      </c>
      <c r="C19" s="202"/>
      <c r="D19" s="202"/>
      <c r="E19" s="256">
        <v>1884</v>
      </c>
      <c r="F19" s="297">
        <v>1294</v>
      </c>
      <c r="G19" s="202">
        <v>894</v>
      </c>
      <c r="H19" s="202">
        <v>623</v>
      </c>
      <c r="I19" s="202">
        <v>634</v>
      </c>
      <c r="J19" s="202">
        <v>897</v>
      </c>
      <c r="K19" s="80">
        <f>J19-K30+K27</f>
        <v>744</v>
      </c>
      <c r="L19" s="80">
        <f t="shared" ref="L19:O19" si="0">K19-L30+L27</f>
        <v>618</v>
      </c>
      <c r="M19" s="80">
        <f t="shared" si="0"/>
        <v>535</v>
      </c>
      <c r="N19" s="80">
        <f t="shared" si="0"/>
        <v>491</v>
      </c>
      <c r="O19" s="80">
        <f t="shared" si="0"/>
        <v>464</v>
      </c>
    </row>
    <row r="20" spans="2:15" ht="15.75" thickTop="1" x14ac:dyDescent="0.25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2:15" x14ac:dyDescent="0.25">
      <c r="B21" s="298" t="s">
        <v>130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2:15" x14ac:dyDescent="0.25">
      <c r="B22" s="247" t="s">
        <v>123</v>
      </c>
      <c r="C22" s="247"/>
      <c r="D22" s="31"/>
      <c r="E22" s="31">
        <v>0</v>
      </c>
      <c r="F22" s="31">
        <f>MAX(0,(F12-E12))</f>
        <v>0</v>
      </c>
      <c r="G22" s="31">
        <f t="shared" ref="G22:J22" si="1">MAX(0,(G12-F12))</f>
        <v>41</v>
      </c>
      <c r="H22" s="31">
        <f t="shared" si="1"/>
        <v>37</v>
      </c>
      <c r="I22" s="31">
        <f t="shared" si="1"/>
        <v>34</v>
      </c>
      <c r="J22" s="31">
        <f t="shared" si="1"/>
        <v>120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</row>
    <row r="23" spans="2:15" x14ac:dyDescent="0.25">
      <c r="B23" s="247" t="s">
        <v>129</v>
      </c>
      <c r="C23" s="247"/>
      <c r="D23" s="31"/>
      <c r="E23" s="31">
        <v>0</v>
      </c>
      <c r="F23" s="31">
        <f>MAX(0,(F13-E13))</f>
        <v>0</v>
      </c>
      <c r="G23" s="31">
        <f t="shared" ref="G23:J23" si="2">MAX(0,(G13-F13))</f>
        <v>0</v>
      </c>
      <c r="H23" s="31">
        <f t="shared" si="2"/>
        <v>0</v>
      </c>
      <c r="I23" s="31">
        <f t="shared" si="2"/>
        <v>0</v>
      </c>
      <c r="J23" s="31">
        <f t="shared" si="2"/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</row>
    <row r="24" spans="2:15" x14ac:dyDescent="0.25">
      <c r="B24" s="247" t="s">
        <v>124</v>
      </c>
      <c r="C24" s="247"/>
      <c r="D24" s="31"/>
      <c r="E24" s="31">
        <v>0</v>
      </c>
      <c r="F24" s="31">
        <f>MAX(0,(F14-E14))</f>
        <v>0</v>
      </c>
      <c r="G24" s="31">
        <f t="shared" ref="G24:J24" si="3">MAX(0,(G14-F14))</f>
        <v>0</v>
      </c>
      <c r="H24" s="31">
        <f t="shared" si="3"/>
        <v>0</v>
      </c>
      <c r="I24" s="31">
        <f t="shared" si="3"/>
        <v>0</v>
      </c>
      <c r="J24" s="31">
        <f t="shared" si="3"/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</row>
    <row r="25" spans="2:15" x14ac:dyDescent="0.25">
      <c r="B25" s="247" t="s">
        <v>125</v>
      </c>
      <c r="C25" s="247"/>
      <c r="D25" s="31"/>
      <c r="E25" s="31">
        <v>0</v>
      </c>
      <c r="F25" s="31">
        <f>MAX(0,(F15-E15))</f>
        <v>0</v>
      </c>
      <c r="G25" s="31">
        <f t="shared" ref="G25:J25" si="4">MAX(0,(G15-F15))</f>
        <v>0</v>
      </c>
      <c r="H25" s="31">
        <f t="shared" si="4"/>
        <v>0</v>
      </c>
      <c r="I25" s="31">
        <f t="shared" si="4"/>
        <v>0</v>
      </c>
      <c r="J25" s="31">
        <f t="shared" si="4"/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</row>
    <row r="26" spans="2:15" x14ac:dyDescent="0.25">
      <c r="B26" s="299" t="s">
        <v>126</v>
      </c>
      <c r="C26" s="299"/>
      <c r="D26" s="248"/>
      <c r="E26" s="248">
        <v>0</v>
      </c>
      <c r="F26" s="248">
        <f>MAX(0,(F16-E16))</f>
        <v>0</v>
      </c>
      <c r="G26" s="248">
        <f t="shared" ref="G26:J26" si="5">MAX(0,(G16-F16))</f>
        <v>0</v>
      </c>
      <c r="H26" s="248">
        <f t="shared" si="5"/>
        <v>50</v>
      </c>
      <c r="I26" s="248">
        <f t="shared" si="5"/>
        <v>0</v>
      </c>
      <c r="J26" s="248">
        <f t="shared" si="5"/>
        <v>44</v>
      </c>
      <c r="K26" s="79">
        <v>0</v>
      </c>
      <c r="L26" s="79">
        <v>0</v>
      </c>
      <c r="M26" s="79">
        <v>0</v>
      </c>
      <c r="N26" s="79">
        <v>0</v>
      </c>
      <c r="O26" s="79">
        <v>0</v>
      </c>
    </row>
    <row r="27" spans="2:15" ht="15.75" thickBot="1" x14ac:dyDescent="0.3">
      <c r="B27" s="300" t="s">
        <v>131</v>
      </c>
      <c r="C27" s="251"/>
      <c r="D27" s="251"/>
      <c r="E27" s="251">
        <f>SUM(E22:E26)</f>
        <v>0</v>
      </c>
      <c r="F27" s="251">
        <f>SUM(F22:F26)</f>
        <v>0</v>
      </c>
      <c r="G27" s="251">
        <f t="shared" ref="G27:J27" si="6">SUM(G22:G26)</f>
        <v>41</v>
      </c>
      <c r="H27" s="251">
        <f t="shared" si="6"/>
        <v>87</v>
      </c>
      <c r="I27" s="251">
        <f t="shared" si="6"/>
        <v>34</v>
      </c>
      <c r="J27" s="251">
        <f t="shared" si="6"/>
        <v>164</v>
      </c>
      <c r="K27" s="81">
        <v>0</v>
      </c>
      <c r="L27" s="81">
        <v>0</v>
      </c>
      <c r="M27" s="81">
        <v>0</v>
      </c>
      <c r="N27" s="81">
        <v>0</v>
      </c>
      <c r="O27" s="81">
        <v>0</v>
      </c>
    </row>
    <row r="28" spans="2:15" ht="15.75" thickTop="1" x14ac:dyDescent="0.25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2:15" x14ac:dyDescent="0.25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2:15" x14ac:dyDescent="0.25">
      <c r="B30" s="31" t="s">
        <v>132</v>
      </c>
      <c r="C30" s="31"/>
      <c r="D30" s="31"/>
      <c r="E30" s="61">
        <v>695</v>
      </c>
      <c r="F30" s="61">
        <v>640</v>
      </c>
      <c r="G30" s="61">
        <v>561</v>
      </c>
      <c r="H30" s="61">
        <v>472</v>
      </c>
      <c r="I30" s="62">
        <v>407</v>
      </c>
      <c r="J30" s="36">
        <v>186</v>
      </c>
      <c r="K30" s="91">
        <v>153</v>
      </c>
      <c r="L30" s="91">
        <v>126</v>
      </c>
      <c r="M30" s="91">
        <v>83</v>
      </c>
      <c r="N30" s="91">
        <v>44</v>
      </c>
      <c r="O30" s="91">
        <v>27</v>
      </c>
    </row>
  </sheetData>
  <mergeCells count="2">
    <mergeCell ref="A1:J3"/>
    <mergeCell ref="C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F798-4C07-4689-9631-3C286FFCABE1}">
  <sheetPr>
    <tabColor rgb="FFFFC000"/>
  </sheetPr>
  <dimension ref="A1"/>
  <sheetViews>
    <sheetView showGridLines="0" showRowColHeaders="0"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554E-BD09-4127-B0A5-3FDC439E8FB5}">
  <dimension ref="B1:M27"/>
  <sheetViews>
    <sheetView workbookViewId="0">
      <selection activeCell="O33" sqref="O33:O34"/>
    </sheetView>
  </sheetViews>
  <sheetFormatPr defaultRowHeight="15" x14ac:dyDescent="0.25"/>
  <cols>
    <col min="2" max="2" width="35.7109375" bestFit="1" customWidth="1"/>
    <col min="3" max="6" width="11.5703125" bestFit="1" customWidth="1"/>
    <col min="7" max="8" width="12.5703125" bestFit="1" customWidth="1"/>
    <col min="9" max="9" width="2.42578125" customWidth="1"/>
    <col min="10" max="10" width="8.42578125" customWidth="1"/>
  </cols>
  <sheetData>
    <row r="1" spans="2:13" x14ac:dyDescent="0.25">
      <c r="B1" s="434" t="s">
        <v>218</v>
      </c>
      <c r="C1" s="434"/>
      <c r="D1" s="434"/>
      <c r="E1" s="434"/>
      <c r="F1" s="434"/>
      <c r="G1" s="434"/>
      <c r="H1" s="434"/>
      <c r="I1" s="434"/>
      <c r="J1" s="434"/>
      <c r="K1" s="434"/>
      <c r="L1" s="434"/>
      <c r="M1" s="434"/>
    </row>
    <row r="2" spans="2:13" x14ac:dyDescent="0.25">
      <c r="B2" s="434"/>
      <c r="C2" s="434"/>
      <c r="D2" s="434"/>
      <c r="E2" s="434"/>
      <c r="F2" s="434"/>
      <c r="G2" s="434"/>
      <c r="H2" s="434"/>
      <c r="I2" s="434"/>
      <c r="J2" s="434"/>
      <c r="K2" s="434"/>
      <c r="L2" s="434"/>
      <c r="M2" s="434"/>
    </row>
    <row r="3" spans="2:13" ht="15.75" thickBot="1" x14ac:dyDescent="0.3">
      <c r="B3" s="435"/>
      <c r="C3" s="435"/>
      <c r="D3" s="435"/>
      <c r="E3" s="435"/>
      <c r="F3" s="435"/>
      <c r="G3" s="435"/>
      <c r="H3" s="435"/>
      <c r="I3" s="435"/>
      <c r="J3" s="435"/>
      <c r="K3" s="435"/>
      <c r="L3" s="435"/>
      <c r="M3" s="435"/>
    </row>
    <row r="6" spans="2:13" ht="21" x14ac:dyDescent="0.35">
      <c r="B6" s="1" t="s">
        <v>13</v>
      </c>
    </row>
    <row r="7" spans="2:13" x14ac:dyDescent="0.25">
      <c r="C7">
        <v>0</v>
      </c>
      <c r="D7">
        <v>1</v>
      </c>
      <c r="E7">
        <v>2</v>
      </c>
      <c r="F7">
        <v>3</v>
      </c>
      <c r="G7">
        <v>4</v>
      </c>
      <c r="H7">
        <v>5</v>
      </c>
      <c r="J7" s="9" t="s">
        <v>21</v>
      </c>
      <c r="K7" s="9" t="s">
        <v>22</v>
      </c>
      <c r="L7" s="9" t="s">
        <v>23</v>
      </c>
    </row>
    <row r="8" spans="2:13" x14ac:dyDescent="0.25">
      <c r="B8" s="21" t="s">
        <v>1</v>
      </c>
      <c r="C8" s="19" cm="1">
        <f t="array" ref="C8:H8">'Financial Statements '!G32:L32</f>
        <v>40653</v>
      </c>
      <c r="D8" s="19">
        <v>55838</v>
      </c>
      <c r="E8" s="19">
        <v>70697</v>
      </c>
      <c r="F8" s="19">
        <v>85965</v>
      </c>
      <c r="G8" s="19">
        <v>117929</v>
      </c>
      <c r="H8" s="19">
        <v>116609</v>
      </c>
      <c r="J8" s="7"/>
      <c r="K8" s="4"/>
      <c r="L8" s="4">
        <f>(H8/C8)^(1/$H$7) -1</f>
        <v>0.23460460975922981</v>
      </c>
    </row>
    <row r="9" spans="2:13" x14ac:dyDescent="0.25">
      <c r="B9" s="6" t="s">
        <v>20</v>
      </c>
      <c r="C9" s="8" cm="1">
        <f t="array" ref="C9:H9">'Financial Statements '!G21:L21</f>
        <v>0.47090961719371877</v>
      </c>
      <c r="D9" s="8">
        <v>0.37352716896661992</v>
      </c>
      <c r="E9" s="8">
        <v>0.26610910132884413</v>
      </c>
      <c r="F9" s="8">
        <v>0.21596390228722576</v>
      </c>
      <c r="G9" s="8">
        <v>0.37182574303495608</v>
      </c>
      <c r="H9" s="8">
        <v>-1.1193175554782962E-2</v>
      </c>
      <c r="J9" s="7">
        <f>AVERAGE(_xlfn.ANCHORARRAY(C9))</f>
        <v>0.28119039287609693</v>
      </c>
      <c r="K9" s="5">
        <f>_xlfn.STDEV.S(_xlfn.ANCHORARRAY(C9))</f>
        <v>0.16894041701768053</v>
      </c>
    </row>
    <row r="10" spans="2:13" x14ac:dyDescent="0.25">
      <c r="B10" s="21" t="str">
        <f>'Financial Statements '!B35</f>
        <v>Research and development</v>
      </c>
      <c r="C10" s="22">
        <f>'Financial Statements '!G35</f>
        <v>7754</v>
      </c>
      <c r="D10" s="22">
        <f>'Financial Statements '!H35</f>
        <v>10273</v>
      </c>
      <c r="E10" s="22">
        <f>'Financial Statements '!I35</f>
        <v>13600</v>
      </c>
      <c r="F10" s="22">
        <f>'Financial Statements '!J35</f>
        <v>18447</v>
      </c>
      <c r="G10" s="22">
        <f>'Financial Statements '!K35</f>
        <v>24655</v>
      </c>
      <c r="H10" s="22">
        <f>'Financial Statements '!L35</f>
        <v>35338</v>
      </c>
      <c r="J10" s="7"/>
      <c r="K10" s="5"/>
      <c r="L10" s="4">
        <f>(H10/C10)^(1/$H$7) -1</f>
        <v>0.3543884263660404</v>
      </c>
    </row>
    <row r="11" spans="2:13" x14ac:dyDescent="0.25">
      <c r="B11" t="str">
        <f>'Financial Statements '!F22</f>
        <v>% Cost of Revenue</v>
      </c>
      <c r="C11" s="11" cm="1">
        <f t="array" ref="C11:H11">'Financial Statements '!G22:L22</f>
        <v>0.13415984060216959</v>
      </c>
      <c r="D11" s="8">
        <v>0.16753823561015796</v>
      </c>
      <c r="E11" s="8">
        <v>0.18063001258893588</v>
      </c>
      <c r="F11" s="8">
        <v>0.19417204676321759</v>
      </c>
      <c r="G11" s="8">
        <v>0.19205623722748433</v>
      </c>
      <c r="H11" s="8">
        <v>0.21652702621581524</v>
      </c>
      <c r="J11" s="10">
        <f>AVERAGE(_xlfn.ANCHORARRAY(C11))</f>
        <v>0.18084723316796344</v>
      </c>
      <c r="K11" s="4">
        <f>_xlfn.STDEV.S(_xlfn.ANCHORARRAY(C11))</f>
        <v>2.8046851112587624E-2</v>
      </c>
    </row>
    <row r="12" spans="2:13" x14ac:dyDescent="0.25">
      <c r="B12" s="4" t="str">
        <f>'Financial Statements '!F23</f>
        <v>% R&amp;D of Revenue</v>
      </c>
      <c r="C12" s="20">
        <f>'Financial Statements '!G23</f>
        <v>0.19073623102846038</v>
      </c>
      <c r="D12" s="20">
        <f>'Financial Statements '!H23</f>
        <v>0.18397865253053475</v>
      </c>
      <c r="E12" s="20">
        <f>'Financial Statements '!I23</f>
        <v>0.19237025616362788</v>
      </c>
      <c r="F12" s="20">
        <f>'Financial Statements '!J23</f>
        <v>0.21458733205374281</v>
      </c>
      <c r="G12" s="20">
        <f>'Financial Statements '!K23</f>
        <v>0.20906647219937419</v>
      </c>
      <c r="H12" s="20">
        <f>'Financial Statements '!L23</f>
        <v>0.30304693462768739</v>
      </c>
      <c r="J12" s="10">
        <f>AVERAGE(C12:H12)</f>
        <v>0.21563097976723788</v>
      </c>
      <c r="K12" s="4">
        <f>_xlfn.STDEV.S(C12:H12)</f>
        <v>4.4381101205698659E-2</v>
      </c>
    </row>
    <row r="13" spans="2:13" x14ac:dyDescent="0.25">
      <c r="B13" t="str">
        <f>'Financial Statements '!F24</f>
        <v>% M&amp;S of Revenue</v>
      </c>
      <c r="C13" s="20">
        <f>'Financial Statements '!G24</f>
        <v>0.1162275846800974</v>
      </c>
      <c r="D13" s="20">
        <f>'Financial Statements '!H24</f>
        <v>0.14051362871163006</v>
      </c>
      <c r="E13" s="20">
        <f>'Financial Statements '!I24</f>
        <v>0.139694753667058</v>
      </c>
      <c r="F13" s="20">
        <f>'Financial Statements '!J24</f>
        <v>0.13483394404699586</v>
      </c>
      <c r="G13" s="20">
        <f>'Financial Statements '!K24</f>
        <v>0.11908012448167965</v>
      </c>
      <c r="H13" s="20">
        <f>'Financial Statements '!L24</f>
        <v>0.13088183587887728</v>
      </c>
      <c r="J13" s="10">
        <f>AVERAGE(C13:H13)</f>
        <v>0.13020531191105636</v>
      </c>
      <c r="K13" s="4">
        <f>_xlfn.STDEV.S(C13:H13)</f>
        <v>1.0366672311906831E-2</v>
      </c>
    </row>
    <row r="14" spans="2:13" x14ac:dyDescent="0.25">
      <c r="B14" s="4" t="str">
        <f>'Financial Statements '!F25</f>
        <v>% G&amp;A of Revenue</v>
      </c>
      <c r="C14" s="20">
        <f>'Financial Statements '!G25</f>
        <v>6.1914249870858237E-2</v>
      </c>
      <c r="D14" s="20">
        <f>'Financial Statements '!H25</f>
        <v>6.1803789534009099E-2</v>
      </c>
      <c r="E14" s="20">
        <f>'Financial Statements '!I25</f>
        <v>0.14802608314355631</v>
      </c>
      <c r="F14" s="20">
        <f>'Financial Statements '!J25</f>
        <v>7.6356656778921658E-2</v>
      </c>
      <c r="G14" s="20">
        <f>'Financial Statements '!K25</f>
        <v>8.3346759490880107E-2</v>
      </c>
      <c r="H14" s="20">
        <f>'Financial Statements '!L25</f>
        <v>0.10133008601394404</v>
      </c>
      <c r="J14" s="10">
        <f>AVERAGE(C14:H14)</f>
        <v>8.8796270805361566E-2</v>
      </c>
      <c r="K14" s="4">
        <f>_xlfn.STDEV.S(C14:H14)</f>
        <v>3.2560545016020584E-2</v>
      </c>
    </row>
    <row r="17" spans="2:12" ht="21" x14ac:dyDescent="0.35">
      <c r="B17" s="1" t="s">
        <v>36</v>
      </c>
    </row>
    <row r="18" spans="2:12" x14ac:dyDescent="0.25">
      <c r="B18" s="6" t="s">
        <v>68</v>
      </c>
      <c r="C18" s="45">
        <f>'Financial Statements '!G74</f>
        <v>52.362187292450749</v>
      </c>
      <c r="D18" s="45">
        <f>'Financial Statements '!H74</f>
        <v>49.594451807013144</v>
      </c>
      <c r="E18" s="45">
        <f>'Financial Statements '!I74</f>
        <v>49.140274693409907</v>
      </c>
      <c r="F18" s="45">
        <f>'Financial Statements '!J74</f>
        <v>48.127435584249405</v>
      </c>
      <c r="G18" s="45">
        <f>'Financial Statements '!K74</f>
        <v>43.451865105275203</v>
      </c>
      <c r="H18" s="45">
        <f>'Financial Statements '!L74</f>
        <v>42.150177087531837</v>
      </c>
      <c r="J18" s="45">
        <f>AVERAGE(C18:H18)</f>
        <v>47.471065261655042</v>
      </c>
      <c r="K18" s="46">
        <f>_xlfn.STDEV.S(C18:H18)</f>
        <v>3.901659855168127</v>
      </c>
      <c r="L18" s="4">
        <f>(H18/C18)^(1/$H$7) -1</f>
        <v>-4.2461323656659999E-2</v>
      </c>
    </row>
    <row r="19" spans="2:12" x14ac:dyDescent="0.25">
      <c r="B19" s="6" t="str">
        <f>'Financial Statements '!B88</f>
        <v>Marketable securities</v>
      </c>
      <c r="C19" s="45">
        <f>'Financial Statements '!G88</f>
        <v>33632</v>
      </c>
      <c r="D19" s="45">
        <f>'Financial Statements '!H88</f>
        <v>31095</v>
      </c>
      <c r="E19" s="45">
        <f>'Financial Statements '!I88</f>
        <v>35776</v>
      </c>
      <c r="F19" s="45">
        <f>'Financial Statements '!J88</f>
        <v>44378</v>
      </c>
      <c r="G19" s="45">
        <f>'Financial Statements '!K88</f>
        <v>31397</v>
      </c>
      <c r="H19" s="45">
        <f>'Financial Statements '!L88</f>
        <v>26057</v>
      </c>
      <c r="J19" s="45"/>
      <c r="K19" s="46"/>
      <c r="L19" s="4">
        <f>(H19/C19)^(1/$H$7) -1</f>
        <v>-4.9757733676390692E-2</v>
      </c>
    </row>
    <row r="20" spans="2:12" x14ac:dyDescent="0.25">
      <c r="B20" s="4" t="str">
        <f>'Financial Statements '!F75</f>
        <v>Marketable Securiters % Rev</v>
      </c>
      <c r="C20" s="4">
        <f>'Financial Statements '!G75</f>
        <v>0.82729441861609232</v>
      </c>
      <c r="D20" s="4">
        <f>'Financial Statements '!H75</f>
        <v>0.5568788280382535</v>
      </c>
      <c r="E20" s="4">
        <f>'Financial Statements '!I75</f>
        <v>0.50604693268455525</v>
      </c>
      <c r="F20" s="4">
        <f>'Financial Statements '!J75</f>
        <v>0.51623335078229515</v>
      </c>
      <c r="G20" s="4">
        <f>'Financial Statements '!K75</f>
        <v>0.26623646431327325</v>
      </c>
      <c r="H20" s="4">
        <f>'Financial Statements '!L75</f>
        <v>0.22345616547607819</v>
      </c>
      <c r="J20" s="10">
        <f>AVERAGE(C20:H20)</f>
        <v>0.48269102665175806</v>
      </c>
      <c r="K20" s="4">
        <f>_xlfn.STDEV.S(C20:H20)</f>
        <v>0.21908044380477956</v>
      </c>
    </row>
    <row r="21" spans="2:12" x14ac:dyDescent="0.25">
      <c r="B21" s="4" t="str">
        <f>'Financial Statements '!F77</f>
        <v>Accounts Payable % Rev</v>
      </c>
      <c r="C21" s="4">
        <f>'Financial Statements '!G77</f>
        <v>9.3474036356480453E-3</v>
      </c>
      <c r="D21" s="4">
        <f>'Financial Statements '!H77</f>
        <v>1.4685339732798453E-2</v>
      </c>
      <c r="E21" s="4">
        <f>'Financial Statements '!I77</f>
        <v>1.9279460231693E-2</v>
      </c>
      <c r="F21" s="4">
        <f>'Financial Statements '!J77</f>
        <v>1.5483045425463851E-2</v>
      </c>
      <c r="G21" s="4">
        <f>'Financial Statements '!K77</f>
        <v>3.4622527113771846E-2</v>
      </c>
      <c r="H21" s="4">
        <f>'Financial Statements '!L77</f>
        <v>4.2792580332564382E-2</v>
      </c>
      <c r="J21" s="10">
        <f>AVERAGE(C21:H21)</f>
        <v>2.2701726078656597E-2</v>
      </c>
      <c r="K21" s="4">
        <f>_xlfn.STDEV.S(C21:H21)</f>
        <v>1.3055033924341554E-2</v>
      </c>
    </row>
    <row r="22" spans="2:12" x14ac:dyDescent="0.25">
      <c r="B22" s="6" t="s">
        <v>221</v>
      </c>
      <c r="C22" s="334">
        <f>'Financial Statements '!G81</f>
        <v>25.43087642097543</v>
      </c>
      <c r="D22" s="334">
        <f>'Financial Statements '!H81</f>
        <v>31.993586317477288</v>
      </c>
      <c r="E22" s="334">
        <f>'Financial Statements '!I81</f>
        <v>38.958104933437745</v>
      </c>
      <c r="F22" s="334">
        <f>'Financial Statements '!J81</f>
        <v>29.10466091540858</v>
      </c>
      <c r="G22" s="334">
        <f>'Financial Statements '!K81</f>
        <v>65.799593801050818</v>
      </c>
      <c r="H22" s="334">
        <f>'Financial Statements '!L81</f>
        <v>72.135530120004759</v>
      </c>
      <c r="J22" s="334">
        <f>AVERAGE(C22:H22)</f>
        <v>43.903725418059103</v>
      </c>
      <c r="K22" s="46">
        <f>_xlfn.STDEV.S(C22:H22)</f>
        <v>20.015158678211264</v>
      </c>
    </row>
    <row r="23" spans="2:12" x14ac:dyDescent="0.25">
      <c r="B23" t="s">
        <v>222</v>
      </c>
      <c r="C23" s="45">
        <f>'Financial Statements '!G80</f>
        <v>26.1001100110011</v>
      </c>
      <c r="D23" s="45">
        <f>'Financial Statements '!H80</f>
        <v>21.10796365579904</v>
      </c>
      <c r="E23" s="45">
        <f>'Financial Statements '!I80</f>
        <v>25.324197337509787</v>
      </c>
      <c r="F23" s="45">
        <f>'Financial Statements '!J80</f>
        <v>23.900371435418165</v>
      </c>
      <c r="G23" s="45">
        <f>'Financial Statements '!K80</f>
        <v>16.953507881142656</v>
      </c>
      <c r="H23" s="45">
        <f>'Financial Statements '!L80</f>
        <v>16.147372173155372</v>
      </c>
      <c r="J23" s="334">
        <f>AVERAGE(C23:H23)</f>
        <v>21.588920415671023</v>
      </c>
      <c r="K23" s="46">
        <f>_xlfn.STDEV.S(C23:H23)</f>
        <v>4.2655538236032164</v>
      </c>
    </row>
    <row r="26" spans="2:12" ht="21" x14ac:dyDescent="0.35">
      <c r="B26" s="1" t="s">
        <v>75</v>
      </c>
    </row>
    <row r="27" spans="2:12" x14ac:dyDescent="0.25">
      <c r="B27" t="str">
        <f>'Fixed Assets'!E12</f>
        <v>Capex % of Rev</v>
      </c>
      <c r="C27" s="10" cm="1">
        <f t="array" ref="C27:H27">'Fixed Assets'!G12:L12</f>
        <v>0.16562123336531129</v>
      </c>
      <c r="D27" s="4">
        <v>0.24920305168523227</v>
      </c>
      <c r="E27" s="4">
        <v>0.21361585357228738</v>
      </c>
      <c r="F27" s="4">
        <v>0.17638573838189961</v>
      </c>
      <c r="G27" s="4">
        <v>0.15848519024158603</v>
      </c>
      <c r="H27" s="4">
        <v>0.26954180209074774</v>
      </c>
      <c r="J27" s="10">
        <f>AVERAGE(_xlfn.ANCHORARRAY(C27))</f>
        <v>0.20547547822284407</v>
      </c>
      <c r="K27" s="4">
        <f>_xlfn.STDEV.S(_xlfn.ANCHORARRAY(C27))</f>
        <v>4.631527006814283E-2</v>
      </c>
    </row>
  </sheetData>
  <mergeCells count="1">
    <mergeCell ref="B1:M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2FFC-A0E2-4F6B-944C-0A1283B9924B}">
  <dimension ref="A1:G18"/>
  <sheetViews>
    <sheetView workbookViewId="0">
      <selection activeCell="I13" sqref="I13"/>
    </sheetView>
  </sheetViews>
  <sheetFormatPr defaultColWidth="21.7109375" defaultRowHeight="12.75" outlineLevelCol="7" x14ac:dyDescent="0.25"/>
  <cols>
    <col min="1" max="1" width="3" style="65" customWidth="1" outlineLevel="7"/>
    <col min="2" max="2" width="14" style="65" customWidth="1" outlineLevel="7"/>
    <col min="3" max="3" width="6" style="65" customWidth="1" outlineLevel="7"/>
    <col min="4" max="4" width="14" style="65" customWidth="1" outlineLevel="7"/>
    <col min="5" max="5" width="22" style="65" customWidth="1" outlineLevel="7"/>
    <col min="6" max="6" width="24" style="65" customWidth="1" outlineLevel="7"/>
    <col min="7" max="7" width="21" style="65" customWidth="1" outlineLevel="7"/>
    <col min="8" max="16384" width="21.7109375" style="65"/>
  </cols>
  <sheetData>
    <row r="1" spans="1:7" x14ac:dyDescent="0.25">
      <c r="A1" s="438" t="s">
        <v>108</v>
      </c>
      <c r="B1" s="439"/>
      <c r="C1" s="439"/>
      <c r="D1" s="439"/>
      <c r="E1" s="439"/>
      <c r="F1" s="439"/>
      <c r="G1" s="439"/>
    </row>
    <row r="2" spans="1:7" x14ac:dyDescent="0.25">
      <c r="A2" s="438" t="s">
        <v>92</v>
      </c>
      <c r="B2" s="439"/>
      <c r="C2" s="439"/>
      <c r="D2" s="439"/>
      <c r="E2" s="439"/>
      <c r="F2" s="439"/>
      <c r="G2" s="439"/>
    </row>
    <row r="3" spans="1:7" x14ac:dyDescent="0.25">
      <c r="A3" s="438" t="s">
        <v>107</v>
      </c>
      <c r="B3" s="439"/>
      <c r="C3" s="439"/>
      <c r="D3" s="439"/>
      <c r="E3" s="439"/>
      <c r="F3" s="439"/>
      <c r="G3" s="439"/>
    </row>
    <row r="4" spans="1:7" x14ac:dyDescent="0.25">
      <c r="A4" s="438" t="s">
        <v>106</v>
      </c>
      <c r="B4" s="439"/>
      <c r="C4" s="439"/>
      <c r="D4" s="439"/>
      <c r="E4" s="439"/>
      <c r="F4" s="439"/>
      <c r="G4" s="439"/>
    </row>
    <row r="5" spans="1:7" x14ac:dyDescent="0.25">
      <c r="A5" s="438" t="s">
        <v>105</v>
      </c>
      <c r="B5" s="439"/>
      <c r="C5" s="439"/>
      <c r="D5" s="439"/>
      <c r="E5" s="439"/>
      <c r="F5" s="439"/>
      <c r="G5" s="439"/>
    </row>
    <row r="6" spans="1:7" x14ac:dyDescent="0.25">
      <c r="A6" s="438" t="s">
        <v>104</v>
      </c>
      <c r="B6" s="439"/>
      <c r="C6" s="439"/>
      <c r="D6" s="439"/>
      <c r="E6" s="439"/>
      <c r="F6" s="439"/>
      <c r="G6" s="439"/>
    </row>
    <row r="7" spans="1:7" x14ac:dyDescent="0.25">
      <c r="A7" s="438" t="s">
        <v>103</v>
      </c>
      <c r="B7" s="439"/>
      <c r="C7" s="439"/>
      <c r="D7" s="439"/>
      <c r="E7" s="439"/>
      <c r="F7" s="439"/>
      <c r="G7" s="439"/>
    </row>
    <row r="8" spans="1:7" x14ac:dyDescent="0.25">
      <c r="A8" s="440" t="s">
        <v>102</v>
      </c>
      <c r="B8" s="439"/>
      <c r="C8" s="439"/>
      <c r="D8" s="439"/>
      <c r="E8" s="439"/>
      <c r="F8" s="439"/>
      <c r="G8" s="439"/>
    </row>
    <row r="9" spans="1:7" x14ac:dyDescent="0.25">
      <c r="A9" s="438" t="s">
        <v>92</v>
      </c>
      <c r="B9" s="439"/>
      <c r="C9" s="439"/>
      <c r="D9" s="439"/>
      <c r="E9" s="439"/>
      <c r="F9" s="439"/>
      <c r="G9" s="439"/>
    </row>
    <row r="10" spans="1:7" x14ac:dyDescent="0.25">
      <c r="B10" s="67" t="s">
        <v>92</v>
      </c>
      <c r="C10" s="67" t="s">
        <v>92</v>
      </c>
      <c r="D10" s="67" t="s">
        <v>101</v>
      </c>
      <c r="E10" s="67" t="s">
        <v>100</v>
      </c>
      <c r="F10" s="67" t="s">
        <v>99</v>
      </c>
      <c r="G10" s="67" t="s">
        <v>98</v>
      </c>
    </row>
    <row r="11" spans="1:7" x14ac:dyDescent="0.25">
      <c r="B11" s="67">
        <v>2027</v>
      </c>
      <c r="C11" s="67" t="s">
        <v>97</v>
      </c>
      <c r="D11" s="67">
        <v>2027</v>
      </c>
      <c r="E11" s="69">
        <v>3.5000000000000003E-2</v>
      </c>
      <c r="F11" s="69">
        <v>3.6299999999999999E-2</v>
      </c>
      <c r="G11" s="66">
        <v>2750</v>
      </c>
    </row>
    <row r="12" spans="1:7" x14ac:dyDescent="0.25">
      <c r="B12" s="67">
        <v>2032</v>
      </c>
      <c r="C12" s="67" t="s">
        <v>97</v>
      </c>
      <c r="D12" s="67">
        <v>2032</v>
      </c>
      <c r="E12" s="69">
        <v>3.85E-2</v>
      </c>
      <c r="F12" s="69">
        <v>3.9199999999999999E-2</v>
      </c>
      <c r="G12" s="68">
        <v>3000</v>
      </c>
    </row>
    <row r="13" spans="1:7" x14ac:dyDescent="0.25">
      <c r="B13" s="67">
        <v>2052</v>
      </c>
      <c r="C13" s="67" t="s">
        <v>97</v>
      </c>
      <c r="D13" s="67">
        <v>2052</v>
      </c>
      <c r="E13" s="69">
        <v>4.4500000000000005E-2</v>
      </c>
      <c r="F13" s="69">
        <v>4.5100000000000001E-2</v>
      </c>
      <c r="G13" s="68">
        <v>2750</v>
      </c>
    </row>
    <row r="14" spans="1:7" x14ac:dyDescent="0.25">
      <c r="B14" s="67">
        <v>2062</v>
      </c>
      <c r="C14" s="67" t="s">
        <v>97</v>
      </c>
      <c r="D14" s="67">
        <v>2062</v>
      </c>
      <c r="E14" s="69">
        <v>4.6500000000000007E-2</v>
      </c>
      <c r="F14" s="69">
        <v>4.7100000000000003E-2</v>
      </c>
      <c r="G14" s="68">
        <v>1500</v>
      </c>
    </row>
    <row r="15" spans="1:7" x14ac:dyDescent="0.25">
      <c r="B15" s="436" t="s">
        <v>96</v>
      </c>
      <c r="C15" s="437" t="s">
        <v>92</v>
      </c>
      <c r="D15" s="67" t="s">
        <v>92</v>
      </c>
      <c r="E15" s="67" t="s">
        <v>92</v>
      </c>
      <c r="F15" s="67" t="s">
        <v>92</v>
      </c>
      <c r="G15" s="68">
        <v>10000</v>
      </c>
    </row>
    <row r="16" spans="1:7" x14ac:dyDescent="0.25">
      <c r="B16" s="436" t="s">
        <v>95</v>
      </c>
      <c r="C16" s="437" t="s">
        <v>92</v>
      </c>
      <c r="D16" s="67" t="s">
        <v>92</v>
      </c>
      <c r="E16" s="67" t="s">
        <v>92</v>
      </c>
      <c r="F16" s="67" t="s">
        <v>92</v>
      </c>
      <c r="G16" s="68">
        <v>-77</v>
      </c>
    </row>
    <row r="17" spans="2:7" x14ac:dyDescent="0.25">
      <c r="B17" s="67" t="s">
        <v>94</v>
      </c>
    </row>
    <row r="18" spans="2:7" x14ac:dyDescent="0.25">
      <c r="B18" s="436" t="s">
        <v>93</v>
      </c>
      <c r="C18" s="437" t="s">
        <v>92</v>
      </c>
      <c r="D18" s="67" t="s">
        <v>92</v>
      </c>
      <c r="E18" s="67" t="s">
        <v>92</v>
      </c>
      <c r="F18" s="67" t="s">
        <v>92</v>
      </c>
      <c r="G18" s="66">
        <v>9923</v>
      </c>
    </row>
  </sheetData>
  <mergeCells count="12">
    <mergeCell ref="A1:G1"/>
    <mergeCell ref="A2:G2"/>
    <mergeCell ref="A3:G3"/>
    <mergeCell ref="A4:G4"/>
    <mergeCell ref="A5:G5"/>
    <mergeCell ref="B16:C16"/>
    <mergeCell ref="B18:C18"/>
    <mergeCell ref="A6:G6"/>
    <mergeCell ref="A7:G7"/>
    <mergeCell ref="A8:G8"/>
    <mergeCell ref="A9:G9"/>
    <mergeCell ref="B15:C15"/>
  </mergeCells>
  <hyperlinks>
    <hyperlink ref="A8" location="Table_Of_Contents!A1" display="Table Of Contents" xr:uid="{0783464B-6DD9-4508-A6D5-619FD16E74D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DCF Model ---&gt;</vt:lpstr>
      <vt:lpstr>DCF</vt:lpstr>
      <vt:lpstr>WACC</vt:lpstr>
      <vt:lpstr>Cost of Equity Beta Regression</vt:lpstr>
      <vt:lpstr>Financial Data --&gt;</vt:lpstr>
      <vt:lpstr>Financial Statements </vt:lpstr>
      <vt:lpstr>Fixed Assets</vt:lpstr>
      <vt:lpstr>Intangible Asset </vt:lpstr>
      <vt:lpstr> MISC --&gt;</vt:lpstr>
      <vt:lpstr>Trend Analysis</vt:lpstr>
      <vt:lpstr>Long Term 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calvinjr tull</dc:creator>
  <cp:lastModifiedBy>calvinjr tull</cp:lastModifiedBy>
  <dcterms:created xsi:type="dcterms:W3CDTF">2015-06-05T18:17:20Z</dcterms:created>
  <dcterms:modified xsi:type="dcterms:W3CDTF">2023-10-24T02:58:59Z</dcterms:modified>
</cp:coreProperties>
</file>