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issuser\Desktop\"/>
    </mc:Choice>
  </mc:AlternateContent>
  <bookViews>
    <workbookView xWindow="0" yWindow="0" windowWidth="30720" windowHeight="13665" tabRatio="847" firstSheet="2" activeTab="2"/>
  </bookViews>
  <sheets>
    <sheet name="工业抵岸前部分" sheetId="1" state="hidden" r:id="rId1"/>
    <sheet name="工业国内部分" sheetId="2" state="hidden" r:id="rId2"/>
    <sheet name="工业国产" sheetId="3" r:id="rId3"/>
    <sheet name="部件抵岸前部分" sheetId="4" state="hidden" r:id="rId4"/>
    <sheet name="部件国内部分" sheetId="5" state="hidden" r:id="rId5"/>
    <sheet name="部件国产" sheetId="6" state="hidden" r:id="rId6"/>
    <sheet name="苏州抵岸前部分" sheetId="7" state="hidden" r:id="rId7"/>
    <sheet name="苏州国内部分" sheetId="8" state="hidden" r:id="rId8"/>
    <sheet name="苏州国产" sheetId="9" state="hidden" r:id="rId9"/>
  </sheets>
  <calcPr calcId="152511"/>
</workbook>
</file>

<file path=xl/calcChain.xml><?xml version="1.0" encoding="utf-8"?>
<calcChain xmlns="http://schemas.openxmlformats.org/spreadsheetml/2006/main">
  <c r="C15" i="9" l="1"/>
  <c r="F6" i="9"/>
  <c r="F5" i="9"/>
  <c r="F4" i="9"/>
  <c r="C15" i="8"/>
  <c r="F8" i="7"/>
  <c r="F5" i="7"/>
  <c r="F4" i="7"/>
  <c r="F7" i="7" s="1"/>
  <c r="C15" i="6"/>
  <c r="F6" i="6"/>
  <c r="F5" i="6"/>
  <c r="F4" i="6"/>
  <c r="C15" i="5"/>
  <c r="F8" i="4"/>
  <c r="F7" i="4"/>
  <c r="F5" i="4"/>
  <c r="F4" i="4"/>
  <c r="F6" i="3"/>
  <c r="F5" i="3"/>
  <c r="F4" i="3"/>
  <c r="F7" i="3" s="1"/>
  <c r="F3" i="3"/>
  <c r="C15" i="2"/>
  <c r="F8" i="1"/>
  <c r="F5" i="1"/>
  <c r="F4" i="1"/>
  <c r="F7" i="1" s="1"/>
  <c r="F13" i="7" l="1"/>
  <c r="F9" i="7"/>
  <c r="F14" i="7" s="1"/>
  <c r="F3" i="8" s="1"/>
  <c r="F12" i="7"/>
  <c r="F11" i="7"/>
  <c r="F10" i="7"/>
  <c r="F13" i="3"/>
  <c r="F9" i="3"/>
  <c r="F10" i="3"/>
  <c r="F12" i="3"/>
  <c r="F8" i="3"/>
  <c r="F14" i="3"/>
  <c r="F11" i="3"/>
  <c r="F11" i="1"/>
  <c r="F12" i="1" s="1"/>
  <c r="F10" i="1"/>
  <c r="F13" i="1"/>
  <c r="F9" i="1"/>
  <c r="F14" i="1" s="1"/>
  <c r="F3" i="2" s="1"/>
  <c r="F7" i="6"/>
  <c r="F9" i="4"/>
  <c r="F13" i="4"/>
  <c r="F7" i="9"/>
  <c r="F11" i="4"/>
  <c r="F10" i="4"/>
  <c r="F12" i="4" s="1"/>
  <c r="F4" i="2" l="1"/>
  <c r="F6" i="2"/>
  <c r="F5" i="2"/>
  <c r="F14" i="4"/>
  <c r="F3" i="5" s="1"/>
  <c r="F5" i="8"/>
  <c r="F4" i="8"/>
  <c r="F6" i="8"/>
  <c r="F12" i="9"/>
  <c r="F8" i="9"/>
  <c r="F11" i="9"/>
  <c r="F14" i="9"/>
  <c r="F10" i="9"/>
  <c r="F13" i="9"/>
  <c r="F9" i="9"/>
  <c r="F16" i="3"/>
  <c r="F13" i="6"/>
  <c r="F9" i="6"/>
  <c r="F12" i="6"/>
  <c r="F8" i="6"/>
  <c r="F14" i="6"/>
  <c r="F11" i="6"/>
  <c r="F10" i="6"/>
  <c r="F15" i="6" l="1"/>
  <c r="F6" i="5"/>
  <c r="F7" i="5"/>
  <c r="F5" i="5"/>
  <c r="F4" i="5"/>
  <c r="F7" i="2"/>
  <c r="F7" i="8"/>
  <c r="F19" i="3"/>
  <c r="F17" i="3"/>
  <c r="F18" i="3" s="1"/>
  <c r="F15" i="9"/>
  <c r="F22" i="3" l="1"/>
  <c r="F18" i="9"/>
  <c r="F16" i="9"/>
  <c r="F17" i="9" s="1"/>
  <c r="F19" i="9" s="1"/>
  <c r="F13" i="8"/>
  <c r="F9" i="8"/>
  <c r="F12" i="8"/>
  <c r="F8" i="8"/>
  <c r="F11" i="8"/>
  <c r="F14" i="8"/>
  <c r="F10" i="8"/>
  <c r="F14" i="5"/>
  <c r="F10" i="5"/>
  <c r="F11" i="5"/>
  <c r="F13" i="5"/>
  <c r="F9" i="5"/>
  <c r="F12" i="5"/>
  <c r="F8" i="5"/>
  <c r="F11" i="2"/>
  <c r="F12" i="2"/>
  <c r="F8" i="2"/>
  <c r="F14" i="2"/>
  <c r="F10" i="2"/>
  <c r="F13" i="2"/>
  <c r="F9" i="2"/>
  <c r="F18" i="6"/>
  <c r="F17" i="6"/>
  <c r="F16" i="6"/>
  <c r="F19" i="6" l="1"/>
  <c r="F15" i="2"/>
  <c r="F15" i="8"/>
  <c r="F15" i="5"/>
  <c r="F18" i="5" l="1"/>
  <c r="F17" i="5"/>
  <c r="F16" i="5"/>
  <c r="F18" i="8"/>
  <c r="F16" i="8"/>
  <c r="F17" i="8" s="1"/>
  <c r="F19" i="8" s="1"/>
  <c r="F18" i="2"/>
  <c r="F16" i="2"/>
  <c r="F17" i="2" s="1"/>
  <c r="F19" i="2" s="1"/>
  <c r="F19" i="5" l="1"/>
</calcChain>
</file>

<file path=xl/sharedStrings.xml><?xml version="1.0" encoding="utf-8"?>
<sst xmlns="http://schemas.openxmlformats.org/spreadsheetml/2006/main" count="670" uniqueCount="176">
  <si>
    <t>1600T冲床(序号38) SE4T-1600-65-250(抵岸前部分)</t>
  </si>
  <si>
    <r>
      <rPr>
        <b/>
        <sz val="10"/>
        <rFont val="宋体"/>
        <family val="3"/>
        <charset val="134"/>
      </rPr>
      <t>序号</t>
    </r>
  </si>
  <si>
    <r>
      <rPr>
        <b/>
        <sz val="10"/>
        <rFont val="宋体"/>
        <family val="3"/>
        <charset val="134"/>
      </rPr>
      <t>项目名称</t>
    </r>
  </si>
  <si>
    <r>
      <rPr>
        <b/>
        <sz val="10"/>
        <rFont val="宋体"/>
        <family val="3"/>
        <charset val="134"/>
      </rPr>
      <t>标准</t>
    </r>
    <r>
      <rPr>
        <b/>
        <sz val="10"/>
        <rFont val="Arial Narrow"/>
        <family val="2"/>
      </rPr>
      <t>(</t>
    </r>
    <r>
      <rPr>
        <b/>
        <sz val="10"/>
        <rFont val="宋体"/>
        <family val="3"/>
        <charset val="134"/>
      </rPr>
      <t>费率</t>
    </r>
    <r>
      <rPr>
        <b/>
        <sz val="10"/>
        <rFont val="Arial Narrow"/>
        <family val="2"/>
      </rPr>
      <t>)</t>
    </r>
  </si>
  <si>
    <r>
      <rPr>
        <b/>
        <sz val="10"/>
        <rFont val="宋体"/>
        <family val="3"/>
        <charset val="134"/>
      </rPr>
      <t>计算基数</t>
    </r>
  </si>
  <si>
    <r>
      <rPr>
        <b/>
        <sz val="10"/>
        <rFont val="宋体"/>
        <family val="3"/>
        <charset val="134"/>
      </rPr>
      <t>计算公式</t>
    </r>
  </si>
  <si>
    <r>
      <rPr>
        <b/>
        <sz val="10"/>
        <rFont val="宋体"/>
        <family val="3"/>
        <charset val="134"/>
      </rPr>
      <t>金额</t>
    </r>
  </si>
  <si>
    <r>
      <rPr>
        <b/>
        <sz val="10"/>
        <rFont val="宋体"/>
        <family val="3"/>
        <charset val="134"/>
      </rPr>
      <t>计算依据</t>
    </r>
  </si>
  <si>
    <t>A</t>
  </si>
  <si>
    <r>
      <rPr>
        <sz val="10"/>
        <rFont val="宋体"/>
        <family val="3"/>
        <charset val="134"/>
      </rPr>
      <t>离岸价原币</t>
    </r>
    <r>
      <rPr>
        <sz val="10"/>
        <rFont val="Arial Narrow"/>
        <family val="2"/>
      </rPr>
      <t>(FOB)</t>
    </r>
  </si>
  <si>
    <t>电话询价或查询报价（美元）</t>
  </si>
  <si>
    <t>B</t>
  </si>
  <si>
    <t>国际运费</t>
  </si>
  <si>
    <r>
      <rPr>
        <sz val="10"/>
        <rFont val="Arial Narrow"/>
        <family val="2"/>
      </rPr>
      <t>B=A×</t>
    </r>
    <r>
      <rPr>
        <sz val="10"/>
        <rFont val="宋体"/>
        <family val="3"/>
        <charset val="134"/>
      </rPr>
      <t>费率</t>
    </r>
  </si>
  <si>
    <t>远洋5-8%</t>
  </si>
  <si>
    <t>近洋3-4%</t>
  </si>
  <si>
    <t>C</t>
  </si>
  <si>
    <t>运输保险费</t>
  </si>
  <si>
    <t>A+B</t>
  </si>
  <si>
    <t>C=(A+B)÷(1-0.4%)×0.4%</t>
  </si>
  <si>
    <t>D</t>
  </si>
  <si>
    <t>基准日美元汇率</t>
  </si>
  <si>
    <t>基准日中国人民银行公告的中间价</t>
  </si>
  <si>
    <t>E</t>
  </si>
  <si>
    <t>到岸价(CIF)</t>
  </si>
  <si>
    <r>
      <rPr>
        <sz val="10"/>
        <rFont val="Arial Narrow"/>
        <family val="2"/>
      </rPr>
      <t>F=(A+B+C)×</t>
    </r>
    <r>
      <rPr>
        <sz val="10"/>
        <rFont val="宋体"/>
        <family val="3"/>
        <charset val="134"/>
      </rPr>
      <t>费率</t>
    </r>
  </si>
  <si>
    <t>F</t>
  </si>
  <si>
    <t>银行财务费</t>
  </si>
  <si>
    <r>
      <rPr>
        <sz val="10"/>
        <rFont val="Arial Narrow"/>
        <family val="2"/>
      </rPr>
      <t>E=A×D×</t>
    </r>
    <r>
      <rPr>
        <sz val="10"/>
        <rFont val="宋体"/>
        <family val="3"/>
        <charset val="134"/>
      </rPr>
      <t>费率</t>
    </r>
  </si>
  <si>
    <t>参考机械计[1995]1041号文</t>
  </si>
  <si>
    <t>G</t>
  </si>
  <si>
    <t>外贸手续费</t>
  </si>
  <si>
    <r>
      <rPr>
        <sz val="10"/>
        <rFont val="Arial Narrow"/>
        <family val="2"/>
      </rPr>
      <t>G=E×</t>
    </r>
    <r>
      <rPr>
        <sz val="10"/>
        <rFont val="宋体"/>
        <family val="3"/>
        <charset val="134"/>
      </rPr>
      <t>费率</t>
    </r>
  </si>
  <si>
    <r>
      <rPr>
        <sz val="10"/>
        <rFont val="宋体"/>
        <family val="3"/>
        <charset val="134"/>
      </rPr>
      <t>参考机械计</t>
    </r>
    <r>
      <rPr>
        <sz val="10"/>
        <rFont val="Arial Narrow"/>
        <family val="2"/>
      </rPr>
      <t>[1995]1041</t>
    </r>
    <r>
      <rPr>
        <sz val="10"/>
        <rFont val="宋体"/>
        <family val="3"/>
        <charset val="134"/>
      </rPr>
      <t>号文</t>
    </r>
  </si>
  <si>
    <t>H</t>
  </si>
  <si>
    <t>关税</t>
  </si>
  <si>
    <r>
      <rPr>
        <sz val="10"/>
        <rFont val="Arial Narrow"/>
        <family val="2"/>
      </rPr>
      <t>H=E×</t>
    </r>
    <r>
      <rPr>
        <sz val="10"/>
        <rFont val="宋体"/>
        <family val="3"/>
        <charset val="134"/>
      </rPr>
      <t>费率</t>
    </r>
  </si>
  <si>
    <r>
      <rPr>
        <sz val="10"/>
        <rFont val="Arial Narrow"/>
        <family val="2"/>
      </rPr>
      <t>2017</t>
    </r>
    <r>
      <rPr>
        <sz val="10"/>
        <rFont val="宋体"/>
        <family val="3"/>
        <charset val="134"/>
      </rPr>
      <t>年税则</t>
    </r>
  </si>
  <si>
    <t>I</t>
  </si>
  <si>
    <t>消费税</t>
  </si>
  <si>
    <r>
      <rPr>
        <sz val="10"/>
        <rFont val="Arial Narrow"/>
        <family val="2"/>
      </rPr>
      <t>I=(E+H)×</t>
    </r>
    <r>
      <rPr>
        <sz val="10"/>
        <rFont val="宋体"/>
        <family val="3"/>
        <charset val="134"/>
      </rPr>
      <t>费率</t>
    </r>
  </si>
  <si>
    <t>J</t>
  </si>
  <si>
    <t>增值税</t>
  </si>
  <si>
    <r>
      <rPr>
        <sz val="10"/>
        <rFont val="Arial Narrow"/>
        <family val="2"/>
      </rPr>
      <t>J=(E+H+I)×</t>
    </r>
    <r>
      <rPr>
        <sz val="10"/>
        <rFont val="宋体"/>
        <family val="3"/>
        <charset val="134"/>
      </rPr>
      <t>费率</t>
    </r>
  </si>
  <si>
    <t>中国增值税暂行条例</t>
  </si>
  <si>
    <t>K</t>
  </si>
  <si>
    <t>商检费</t>
  </si>
  <si>
    <r>
      <rPr>
        <sz val="10"/>
        <rFont val="Arial Narrow"/>
        <family val="2"/>
      </rPr>
      <t>J=E×</t>
    </r>
    <r>
      <rPr>
        <sz val="10"/>
        <rFont val="宋体"/>
        <family val="3"/>
        <charset val="134"/>
      </rPr>
      <t>费率</t>
    </r>
  </si>
  <si>
    <t>L</t>
  </si>
  <si>
    <r>
      <rPr>
        <sz val="10"/>
        <rFont val="宋体"/>
        <family val="3"/>
        <charset val="134"/>
      </rPr>
      <t>进口设备</t>
    </r>
    <r>
      <rPr>
        <sz val="10"/>
        <rFont val="Arial Narrow"/>
        <family val="2"/>
      </rPr>
      <t>(</t>
    </r>
    <r>
      <rPr>
        <sz val="10"/>
        <rFont val="宋体"/>
        <family val="3"/>
        <charset val="134"/>
      </rPr>
      <t>抵岸价</t>
    </r>
    <r>
      <rPr>
        <sz val="10"/>
        <rFont val="Arial Narrow"/>
        <family val="2"/>
      </rPr>
      <t>)</t>
    </r>
  </si>
  <si>
    <r>
      <rPr>
        <sz val="10"/>
        <rFont val="Arial Narrow"/>
        <family val="2"/>
      </rPr>
      <t>K=(E+F+G+H+I+J+K)×</t>
    </r>
    <r>
      <rPr>
        <sz val="10"/>
        <rFont val="宋体"/>
        <family val="3"/>
        <charset val="134"/>
      </rPr>
      <t>费率</t>
    </r>
  </si>
  <si>
    <t>大连港交货</t>
  </si>
  <si>
    <t>1600T冲床(序号38) SE4T-1600-65-250(国内部分)</t>
  </si>
  <si>
    <r>
      <rPr>
        <sz val="10"/>
        <rFont val="宋体"/>
        <family val="3"/>
        <charset val="134"/>
      </rPr>
      <t>设备购置价</t>
    </r>
  </si>
  <si>
    <t>进口设备(抵岸价)</t>
  </si>
  <si>
    <r>
      <rPr>
        <sz val="10"/>
        <rFont val="宋体"/>
        <family val="3"/>
        <charset val="134"/>
      </rPr>
      <t>运杂费</t>
    </r>
  </si>
  <si>
    <r>
      <rPr>
        <sz val="10"/>
        <rFont val="宋体"/>
        <family val="3"/>
        <charset val="134"/>
      </rPr>
      <t>设备基础费</t>
    </r>
  </si>
  <si>
    <r>
      <rPr>
        <sz val="10"/>
        <rFont val="Arial Narrow"/>
        <family val="2"/>
      </rPr>
      <t>C=A×</t>
    </r>
    <r>
      <rPr>
        <sz val="10"/>
        <rFont val="宋体"/>
        <family val="3"/>
        <charset val="134"/>
      </rPr>
      <t>费率</t>
    </r>
  </si>
  <si>
    <r>
      <rPr>
        <sz val="10"/>
        <rFont val="宋体"/>
        <family val="3"/>
        <charset val="134"/>
      </rPr>
      <t>安装调试费</t>
    </r>
  </si>
  <si>
    <r>
      <rPr>
        <sz val="10"/>
        <rFont val="Arial Narrow"/>
        <family val="2"/>
      </rPr>
      <t>D=A×</t>
    </r>
    <r>
      <rPr>
        <sz val="10"/>
        <rFont val="宋体"/>
        <family val="3"/>
        <charset val="134"/>
      </rPr>
      <t>费率</t>
    </r>
  </si>
  <si>
    <r>
      <rPr>
        <b/>
        <sz val="10"/>
        <rFont val="宋体"/>
        <family val="3"/>
        <charset val="134"/>
      </rPr>
      <t>小计</t>
    </r>
  </si>
  <si>
    <t>E=A+B+C+D</t>
  </si>
  <si>
    <t>建设单位管理费</t>
  </si>
  <si>
    <r>
      <rPr>
        <sz val="10"/>
        <rFont val="Arial Narrow"/>
        <family val="2"/>
      </rPr>
      <t>F=E×</t>
    </r>
    <r>
      <rPr>
        <sz val="10"/>
        <rFont val="宋体"/>
        <family val="3"/>
        <charset val="134"/>
      </rPr>
      <t>费率</t>
    </r>
  </si>
  <si>
    <t>财政部 财建[2016]504号</t>
  </si>
  <si>
    <t>工程监理费</t>
  </si>
  <si>
    <t>发改价格(2007)670号</t>
  </si>
  <si>
    <t>环境评价费</t>
  </si>
  <si>
    <t>计委环保总局计价格(2002)125号</t>
  </si>
  <si>
    <t>可行性研究费</t>
  </si>
  <si>
    <r>
      <rPr>
        <sz val="10"/>
        <rFont val="Arial Narrow"/>
        <family val="2"/>
      </rPr>
      <t>I=E×</t>
    </r>
    <r>
      <rPr>
        <sz val="10"/>
        <rFont val="宋体"/>
        <family val="3"/>
        <charset val="134"/>
      </rPr>
      <t>费率</t>
    </r>
  </si>
  <si>
    <t>计委计价格(1999)1283号</t>
  </si>
  <si>
    <t>勘察费设计费</t>
  </si>
  <si>
    <t>计委建设部计价(2002)10号</t>
  </si>
  <si>
    <t>招投标代理费</t>
  </si>
  <si>
    <r>
      <rPr>
        <sz val="10"/>
        <rFont val="Arial Narrow"/>
        <family val="2"/>
      </rPr>
      <t>K=E×</t>
    </r>
    <r>
      <rPr>
        <sz val="10"/>
        <rFont val="宋体"/>
        <family val="3"/>
        <charset val="134"/>
      </rPr>
      <t>费率</t>
    </r>
  </si>
  <si>
    <t>计价格(2002)1980号</t>
  </si>
  <si>
    <t>联合试运转费</t>
  </si>
  <si>
    <r>
      <rPr>
        <sz val="10"/>
        <rFont val="Arial Narrow"/>
        <family val="2"/>
      </rPr>
      <t>L=E×</t>
    </r>
    <r>
      <rPr>
        <sz val="10"/>
        <rFont val="宋体"/>
        <family val="3"/>
        <charset val="134"/>
      </rPr>
      <t>费率</t>
    </r>
  </si>
  <si>
    <t>M</t>
  </si>
  <si>
    <t>M=F+G+…+K+L</t>
  </si>
  <si>
    <t>N</t>
  </si>
  <si>
    <r>
      <rPr>
        <sz val="10"/>
        <rFont val="宋体"/>
        <family val="3"/>
        <charset val="134"/>
      </rPr>
      <t>资金成本</t>
    </r>
  </si>
  <si>
    <r>
      <rPr>
        <sz val="10"/>
        <rFont val="Arial Narrow"/>
        <family val="2"/>
      </rPr>
      <t>N=(E+M)×</t>
    </r>
    <r>
      <rPr>
        <sz val="10"/>
        <rFont val="宋体"/>
        <family val="3"/>
        <charset val="134"/>
      </rPr>
      <t>合理工期</t>
    </r>
    <r>
      <rPr>
        <sz val="10"/>
        <rFont val="Arial Narrow"/>
        <family val="2"/>
      </rPr>
      <t>×</t>
    </r>
    <r>
      <rPr>
        <sz val="10"/>
        <rFont val="宋体"/>
        <family val="3"/>
        <charset val="134"/>
      </rPr>
      <t>利率</t>
    </r>
    <r>
      <rPr>
        <sz val="10"/>
        <rFont val="Arial Narrow"/>
        <family val="2"/>
      </rPr>
      <t>/2</t>
    </r>
  </si>
  <si>
    <t>按整体工程建设规模合理工期1年及对应商贷利率确定</t>
  </si>
  <si>
    <r>
      <rPr>
        <b/>
        <sz val="10"/>
        <rFont val="宋体"/>
        <family val="3"/>
        <charset val="134"/>
      </rPr>
      <t>重置全价</t>
    </r>
    <r>
      <rPr>
        <b/>
        <sz val="10"/>
        <rFont val="Arial Narrow"/>
        <family val="2"/>
      </rPr>
      <t>(</t>
    </r>
    <r>
      <rPr>
        <b/>
        <sz val="10"/>
        <rFont val="宋体"/>
        <family val="3"/>
        <charset val="134"/>
      </rPr>
      <t>取整</t>
    </r>
    <r>
      <rPr>
        <b/>
        <sz val="10"/>
        <rFont val="Arial Narrow"/>
        <family val="2"/>
      </rPr>
      <t>)</t>
    </r>
  </si>
  <si>
    <t>O=E+M+N</t>
  </si>
  <si>
    <t>含增值税</t>
  </si>
  <si>
    <t>P</t>
  </si>
  <si>
    <r>
      <rPr>
        <sz val="10"/>
        <rFont val="Arial Narrow"/>
        <family val="2"/>
      </rPr>
      <t>A</t>
    </r>
    <r>
      <rPr>
        <sz val="10"/>
        <rFont val="宋体"/>
        <family val="3"/>
        <charset val="134"/>
      </rPr>
      <t>、</t>
    </r>
    <r>
      <rPr>
        <sz val="10"/>
        <rFont val="Arial Narrow"/>
        <family val="2"/>
      </rPr>
      <t>B</t>
    </r>
  </si>
  <si>
    <t>Q</t>
  </si>
  <si>
    <t>Q=O-P</t>
  </si>
  <si>
    <t>不含增值税</t>
  </si>
  <si>
    <r>
      <rPr>
        <b/>
        <sz val="10"/>
        <rFont val="宋体"/>
        <family val="3"/>
        <charset val="134"/>
      </rPr>
      <t>标准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费率</t>
    </r>
    <r>
      <rPr>
        <b/>
        <sz val="10"/>
        <rFont val="Times New Roman"/>
        <family val="1"/>
      </rPr>
      <t>%)</t>
    </r>
  </si>
  <si>
    <r>
      <rPr>
        <sz val="10"/>
        <rFont val="宋体"/>
        <family val="3"/>
        <charset val="134"/>
      </rPr>
      <t>进口设备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抵岸价</t>
    </r>
    <r>
      <rPr>
        <sz val="10"/>
        <rFont val="Times New Roman"/>
        <family val="1"/>
      </rPr>
      <t>)</t>
    </r>
  </si>
  <si>
    <t>设备购置价（不含税）</t>
  </si>
  <si>
    <r>
      <rPr>
        <sz val="10"/>
        <rFont val="Times New Roman"/>
        <family val="1"/>
      </rPr>
      <t>C=A×</t>
    </r>
    <r>
      <rPr>
        <sz val="10"/>
        <rFont val="宋体"/>
        <family val="3"/>
        <charset val="134"/>
      </rPr>
      <t>费率</t>
    </r>
  </si>
  <si>
    <r>
      <rPr>
        <sz val="10"/>
        <rFont val="Arial Narrow"/>
        <family val="2"/>
      </rPr>
      <t>参考机械计</t>
    </r>
    <r>
      <rPr>
        <sz val="10"/>
        <rFont val="Times New Roman"/>
        <family val="1"/>
      </rPr>
      <t>[1995]1041</t>
    </r>
    <r>
      <rPr>
        <sz val="10"/>
        <rFont val="Arial Narrow"/>
        <family val="2"/>
      </rPr>
      <t>号文</t>
    </r>
  </si>
  <si>
    <r>
      <rPr>
        <sz val="10"/>
        <rFont val="Times New Roman"/>
        <family val="1"/>
      </rPr>
      <t>D=A×</t>
    </r>
    <r>
      <rPr>
        <sz val="10"/>
        <rFont val="宋体"/>
        <family val="3"/>
        <charset val="134"/>
      </rPr>
      <t>费率</t>
    </r>
  </si>
  <si>
    <r>
      <rPr>
        <sz val="10"/>
        <rFont val="Times New Roman"/>
        <family val="1"/>
      </rPr>
      <t>E=A×</t>
    </r>
    <r>
      <rPr>
        <sz val="10"/>
        <rFont val="宋体"/>
        <family val="3"/>
        <charset val="134"/>
      </rPr>
      <t>费率</t>
    </r>
  </si>
  <si>
    <t>F=A+C+D+E</t>
  </si>
  <si>
    <r>
      <rPr>
        <sz val="10"/>
        <color indexed="8"/>
        <rFont val="仿宋_GB2312"/>
        <charset val="134"/>
      </rPr>
      <t>建设单位管理费</t>
    </r>
  </si>
  <si>
    <r>
      <rPr>
        <sz val="10"/>
        <rFont val="Times New Roman"/>
        <family val="1"/>
      </rPr>
      <t>G=F×</t>
    </r>
    <r>
      <rPr>
        <sz val="10"/>
        <rFont val="宋体"/>
        <family val="3"/>
        <charset val="134"/>
      </rPr>
      <t>费率</t>
    </r>
  </si>
  <si>
    <r>
      <rPr>
        <sz val="10"/>
        <color indexed="8"/>
        <rFont val="仿宋_GB2312"/>
        <charset val="134"/>
      </rPr>
      <t>财政部</t>
    </r>
    <r>
      <rPr>
        <sz val="10"/>
        <color indexed="8"/>
        <rFont val="Times New Roman"/>
        <family val="1"/>
      </rPr>
      <t xml:space="preserve"> </t>
    </r>
    <r>
      <rPr>
        <sz val="10"/>
        <color indexed="8"/>
        <rFont val="仿宋_GB2312"/>
        <charset val="134"/>
      </rPr>
      <t>财建</t>
    </r>
    <r>
      <rPr>
        <sz val="10"/>
        <color indexed="8"/>
        <rFont val="Times New Roman"/>
        <family val="1"/>
      </rPr>
      <t>[2016]504</t>
    </r>
    <r>
      <rPr>
        <sz val="10"/>
        <color indexed="8"/>
        <rFont val="仿宋_GB2312"/>
        <charset val="134"/>
      </rPr>
      <t>号</t>
    </r>
  </si>
  <si>
    <r>
      <rPr>
        <sz val="10"/>
        <color indexed="8"/>
        <rFont val="仿宋_GB2312"/>
        <charset val="134"/>
      </rPr>
      <t>工程监理费</t>
    </r>
  </si>
  <si>
    <r>
      <rPr>
        <sz val="10"/>
        <rFont val="Times New Roman"/>
        <family val="1"/>
      </rPr>
      <t>H=F×</t>
    </r>
    <r>
      <rPr>
        <sz val="10"/>
        <rFont val="宋体"/>
        <family val="3"/>
        <charset val="134"/>
      </rPr>
      <t>费率</t>
    </r>
  </si>
  <si>
    <r>
      <rPr>
        <sz val="10"/>
        <color indexed="8"/>
        <rFont val="仿宋_GB2312"/>
        <charset val="134"/>
      </rPr>
      <t>发改价格</t>
    </r>
    <r>
      <rPr>
        <sz val="10"/>
        <color indexed="8"/>
        <rFont val="Times New Roman"/>
        <family val="1"/>
      </rPr>
      <t>(2007)670</t>
    </r>
    <r>
      <rPr>
        <sz val="10"/>
        <color indexed="8"/>
        <rFont val="仿宋_GB2312"/>
        <charset val="134"/>
      </rPr>
      <t>号</t>
    </r>
  </si>
  <si>
    <r>
      <rPr>
        <sz val="10"/>
        <color indexed="8"/>
        <rFont val="仿宋_GB2312"/>
        <charset val="134"/>
      </rPr>
      <t>环境评价费</t>
    </r>
  </si>
  <si>
    <r>
      <rPr>
        <sz val="10"/>
        <rFont val="Times New Roman"/>
        <family val="1"/>
      </rPr>
      <t>I=F×</t>
    </r>
    <r>
      <rPr>
        <sz val="10"/>
        <rFont val="宋体"/>
        <family val="3"/>
        <charset val="134"/>
      </rPr>
      <t>费率</t>
    </r>
  </si>
  <si>
    <r>
      <rPr>
        <sz val="10"/>
        <color indexed="8"/>
        <rFont val="仿宋_GB2312"/>
        <charset val="134"/>
      </rPr>
      <t>计委环保总局计价格</t>
    </r>
    <r>
      <rPr>
        <sz val="10"/>
        <color indexed="8"/>
        <rFont val="Times New Roman"/>
        <family val="1"/>
      </rPr>
      <t>(2002)125</t>
    </r>
    <r>
      <rPr>
        <sz val="10"/>
        <color indexed="8"/>
        <rFont val="仿宋_GB2312"/>
        <charset val="134"/>
      </rPr>
      <t>号</t>
    </r>
  </si>
  <si>
    <r>
      <rPr>
        <sz val="10"/>
        <color indexed="8"/>
        <rFont val="仿宋_GB2312"/>
        <charset val="134"/>
      </rPr>
      <t>可行性研究费</t>
    </r>
  </si>
  <si>
    <r>
      <rPr>
        <sz val="10"/>
        <rFont val="Times New Roman"/>
        <family val="1"/>
      </rPr>
      <t>J=F×</t>
    </r>
    <r>
      <rPr>
        <sz val="10"/>
        <rFont val="宋体"/>
        <family val="3"/>
        <charset val="134"/>
      </rPr>
      <t>费率</t>
    </r>
  </si>
  <si>
    <r>
      <rPr>
        <sz val="10"/>
        <color indexed="8"/>
        <rFont val="仿宋_GB2312"/>
        <charset val="134"/>
      </rPr>
      <t>计委计价格</t>
    </r>
    <r>
      <rPr>
        <sz val="10"/>
        <color indexed="8"/>
        <rFont val="Times New Roman"/>
        <family val="1"/>
      </rPr>
      <t>(1999)1283</t>
    </r>
    <r>
      <rPr>
        <sz val="10"/>
        <color indexed="8"/>
        <rFont val="仿宋_GB2312"/>
        <charset val="134"/>
      </rPr>
      <t>号</t>
    </r>
  </si>
  <si>
    <r>
      <rPr>
        <sz val="10"/>
        <color indexed="8"/>
        <rFont val="仿宋_GB2312"/>
        <charset val="134"/>
      </rPr>
      <t>勘察费设计费</t>
    </r>
  </si>
  <si>
    <r>
      <rPr>
        <sz val="10"/>
        <rFont val="Times New Roman"/>
        <family val="1"/>
      </rPr>
      <t>K=F×</t>
    </r>
    <r>
      <rPr>
        <sz val="10"/>
        <rFont val="宋体"/>
        <family val="3"/>
        <charset val="134"/>
      </rPr>
      <t>费率</t>
    </r>
  </si>
  <si>
    <r>
      <rPr>
        <sz val="10"/>
        <color indexed="8"/>
        <rFont val="仿宋_GB2312"/>
        <charset val="134"/>
      </rPr>
      <t>计委建设部计价</t>
    </r>
    <r>
      <rPr>
        <sz val="10"/>
        <color indexed="8"/>
        <rFont val="Times New Roman"/>
        <family val="1"/>
      </rPr>
      <t>(2002)10</t>
    </r>
    <r>
      <rPr>
        <sz val="10"/>
        <color indexed="8"/>
        <rFont val="仿宋_GB2312"/>
        <charset val="134"/>
      </rPr>
      <t>号</t>
    </r>
  </si>
  <si>
    <r>
      <rPr>
        <sz val="10"/>
        <color indexed="8"/>
        <rFont val="仿宋_GB2312"/>
        <charset val="134"/>
      </rPr>
      <t>招投标代理费</t>
    </r>
  </si>
  <si>
    <r>
      <rPr>
        <sz val="10"/>
        <rFont val="Times New Roman"/>
        <family val="1"/>
      </rPr>
      <t>L=F×</t>
    </r>
    <r>
      <rPr>
        <sz val="10"/>
        <rFont val="宋体"/>
        <family val="3"/>
        <charset val="134"/>
      </rPr>
      <t>费率</t>
    </r>
  </si>
  <si>
    <r>
      <rPr>
        <sz val="10"/>
        <color indexed="8"/>
        <rFont val="仿宋_GB2312"/>
        <charset val="134"/>
      </rPr>
      <t>计价格</t>
    </r>
    <r>
      <rPr>
        <sz val="10"/>
        <color indexed="8"/>
        <rFont val="Times New Roman"/>
        <family val="1"/>
      </rPr>
      <t>(2002)1980</t>
    </r>
    <r>
      <rPr>
        <sz val="10"/>
        <color indexed="8"/>
        <rFont val="仿宋_GB2312"/>
        <charset val="134"/>
      </rPr>
      <t>号</t>
    </r>
  </si>
  <si>
    <r>
      <rPr>
        <sz val="10"/>
        <rFont val="宋体"/>
        <family val="3"/>
        <charset val="134"/>
      </rPr>
      <t>联合试运转费</t>
    </r>
  </si>
  <si>
    <r>
      <rPr>
        <sz val="10"/>
        <rFont val="Times New Roman"/>
        <family val="1"/>
      </rPr>
      <t>M=F×</t>
    </r>
    <r>
      <rPr>
        <sz val="10"/>
        <rFont val="宋体"/>
        <family val="3"/>
        <charset val="134"/>
      </rPr>
      <t>费率</t>
    </r>
  </si>
  <si>
    <t>其他费</t>
  </si>
  <si>
    <t>O</t>
  </si>
  <si>
    <t>O=G+H+…+L+M+N</t>
  </si>
  <si>
    <r>
      <rPr>
        <sz val="10"/>
        <rFont val="Times New Roman"/>
        <family val="1"/>
      </rPr>
      <t>P=(F+O)×</t>
    </r>
    <r>
      <rPr>
        <sz val="10"/>
        <rFont val="宋体"/>
        <family val="3"/>
        <charset val="134"/>
      </rPr>
      <t>合理工期</t>
    </r>
    <r>
      <rPr>
        <sz val="10"/>
        <rFont val="Times New Roman"/>
        <family val="1"/>
      </rPr>
      <t>×</t>
    </r>
    <r>
      <rPr>
        <sz val="10"/>
        <rFont val="宋体"/>
        <family val="3"/>
        <charset val="134"/>
      </rPr>
      <t>利率</t>
    </r>
    <r>
      <rPr>
        <sz val="10"/>
        <rFont val="Times New Roman"/>
        <family val="1"/>
      </rPr>
      <t>/2</t>
    </r>
  </si>
  <si>
    <r>
      <rPr>
        <sz val="10"/>
        <rFont val="宋体"/>
        <family val="3"/>
        <charset val="134"/>
      </rPr>
      <t>按整体工程建设规模合理工期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年及对应商贷利率确定</t>
    </r>
  </si>
  <si>
    <r>
      <rPr>
        <b/>
        <sz val="10"/>
        <rFont val="宋体"/>
        <family val="3"/>
        <charset val="134"/>
      </rPr>
      <t>重置全价</t>
    </r>
    <r>
      <rPr>
        <b/>
        <sz val="10"/>
        <rFont val="Times New Roman"/>
        <family val="1"/>
      </rPr>
      <t>(</t>
    </r>
    <r>
      <rPr>
        <b/>
        <sz val="10"/>
        <rFont val="宋体"/>
        <family val="3"/>
        <charset val="134"/>
      </rPr>
      <t>取整</t>
    </r>
    <r>
      <rPr>
        <b/>
        <sz val="10"/>
        <rFont val="Times New Roman"/>
        <family val="1"/>
      </rPr>
      <t>)</t>
    </r>
  </si>
  <si>
    <t>Q=F+O+P</t>
  </si>
  <si>
    <r>
      <rPr>
        <sz val="10"/>
        <rFont val="宋体"/>
        <family val="3"/>
        <charset val="134"/>
      </rPr>
      <t>含增值税</t>
    </r>
  </si>
  <si>
    <t>R</t>
  </si>
  <si>
    <r>
      <rPr>
        <sz val="10"/>
        <rFont val="Arial Narrow"/>
        <family val="2"/>
      </rPr>
      <t>增值税</t>
    </r>
  </si>
  <si>
    <t>S</t>
  </si>
  <si>
    <t>交通运输业增值税率</t>
  </si>
  <si>
    <t>T</t>
  </si>
  <si>
    <t>服务业增值税率</t>
  </si>
  <si>
    <t>U</t>
  </si>
  <si>
    <t>U=Q-R</t>
  </si>
  <si>
    <t>3000T数控冲压机床(序号361) LHS-3000-3500*1800(抵岸前部分)</t>
  </si>
  <si>
    <t>序号360</t>
  </si>
  <si>
    <t>注塑机</t>
  </si>
  <si>
    <t>CLF-1600TR</t>
  </si>
  <si>
    <t>3000T数控冲压机床(序号361) LHS-3000-3500*1800(国内部分)</t>
  </si>
  <si>
    <t>水切割机器人工作站(序号352)  BBET-2015</t>
  </si>
  <si>
    <t>序号</t>
  </si>
  <si>
    <t>项目名称</t>
  </si>
  <si>
    <t>标准(费率)</t>
  </si>
  <si>
    <t>计算基数</t>
  </si>
  <si>
    <t>计算公式</t>
  </si>
  <si>
    <t>金额</t>
  </si>
  <si>
    <t>计算依据</t>
  </si>
  <si>
    <t>设备购置价</t>
  </si>
  <si>
    <t>合同价或电话询价</t>
  </si>
  <si>
    <t>运杂费</t>
  </si>
  <si>
    <t>B=A×费率</t>
  </si>
  <si>
    <t>设备基础费</t>
  </si>
  <si>
    <t>C=A×费率</t>
  </si>
  <si>
    <t>安装调试费</t>
  </si>
  <si>
    <t>D=A×费率</t>
  </si>
  <si>
    <t>小计</t>
  </si>
  <si>
    <t>F=E×费率</t>
  </si>
  <si>
    <t>G=E×费率</t>
  </si>
  <si>
    <t>H=E×费率</t>
  </si>
  <si>
    <t>I=E×费率</t>
  </si>
  <si>
    <t>J=E×费率</t>
  </si>
  <si>
    <t>K=E×费率</t>
  </si>
  <si>
    <t>L=E×费率</t>
  </si>
  <si>
    <t>财企[2012]16号</t>
  </si>
  <si>
    <t>资金成本</t>
  </si>
  <si>
    <t>N=(E+M)×合理工期×利率/2</t>
  </si>
  <si>
    <t>重置全价(取整)</t>
  </si>
  <si>
    <r>
      <rPr>
        <sz val="9"/>
        <rFont val="Arial Narrow"/>
        <family val="2"/>
      </rPr>
      <t>A</t>
    </r>
    <r>
      <rPr>
        <sz val="9"/>
        <rFont val="宋体"/>
        <family val="3"/>
        <charset val="134"/>
      </rPr>
      <t>、</t>
    </r>
    <r>
      <rPr>
        <sz val="9"/>
        <rFont val="Arial Narrow"/>
        <family val="2"/>
      </rPr>
      <t>B</t>
    </r>
  </si>
  <si>
    <r>
      <rPr>
        <b/>
        <sz val="9"/>
        <rFont val="宋体"/>
        <family val="3"/>
        <charset val="134"/>
      </rPr>
      <t>重置全价</t>
    </r>
    <r>
      <rPr>
        <b/>
        <sz val="9"/>
        <rFont val="Arial Narrow"/>
        <family val="2"/>
      </rPr>
      <t>(</t>
    </r>
    <r>
      <rPr>
        <b/>
        <sz val="9"/>
        <rFont val="宋体"/>
        <family val="3"/>
        <charset val="134"/>
      </rPr>
      <t>取整</t>
    </r>
    <r>
      <rPr>
        <b/>
        <sz val="9"/>
        <rFont val="Arial Narrow"/>
        <family val="2"/>
      </rPr>
      <t>)</t>
    </r>
  </si>
  <si>
    <t>2500T注塑机(序号36) CLF-2500TWII(抵岸前部分)</t>
  </si>
  <si>
    <t>上海港交货</t>
  </si>
  <si>
    <t>2500T注塑机(序号36) CLF-2500TWII(国内部分)</t>
  </si>
  <si>
    <t>链板输送机(序号205)  800mm*125P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</si>
</sst>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8" formatCode="0.0%"/>
    <numFmt numFmtId="179" formatCode="#,##0.00_ "/>
    <numFmt numFmtId="180" formatCode="0.0000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仿宋_GB2312"/>
      <charset val="134"/>
    </font>
    <font>
      <sz val="10"/>
      <name val="宋体"/>
      <family val="3"/>
      <charset val="134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name val="Arial Narrow"/>
      <family val="2"/>
    </font>
    <font>
      <sz val="10"/>
      <color indexed="8"/>
      <name val="Arial Narrow"/>
      <family val="2"/>
    </font>
    <font>
      <sz val="11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b/>
      <sz val="9"/>
      <name val="宋体"/>
      <family val="3"/>
      <charset val="134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justify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justify"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/>
    </xf>
    <xf numFmtId="10" fontId="6" fillId="0" borderId="1" xfId="2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justify" vertical="center"/>
    </xf>
    <xf numFmtId="0" fontId="5" fillId="2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justify" vertical="center"/>
    </xf>
    <xf numFmtId="10" fontId="7" fillId="0" borderId="3" xfId="0" applyNumberFormat="1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justify" vertical="center"/>
    </xf>
    <xf numFmtId="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justify" vertical="center"/>
    </xf>
    <xf numFmtId="0" fontId="9" fillId="0" borderId="1" xfId="0" applyFont="1" applyFill="1" applyBorder="1" applyAlignment="1">
      <alignment horizontal="right" vertical="center"/>
    </xf>
    <xf numFmtId="4" fontId="3" fillId="0" borderId="1" xfId="0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center" vertical="center" wrapText="1"/>
    </xf>
    <xf numFmtId="0" fontId="0" fillId="0" borderId="0" xfId="0" applyFill="1" applyAlignment="1"/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justify" vertical="center"/>
    </xf>
    <xf numFmtId="0" fontId="7" fillId="0" borderId="5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right" vertical="center"/>
    </xf>
    <xf numFmtId="43" fontId="13" fillId="0" borderId="0" xfId="1" applyNumberFormat="1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justify" vertical="center" wrapText="1"/>
    </xf>
    <xf numFmtId="0" fontId="7" fillId="0" borderId="2" xfId="0" applyFont="1" applyFill="1" applyBorder="1" applyAlignment="1">
      <alignment horizontal="justify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7" xfId="0" applyNumberFormat="1" applyFont="1" applyFill="1" applyBorder="1" applyAlignment="1">
      <alignment horizontal="center" vertical="center"/>
    </xf>
    <xf numFmtId="179" fontId="7" fillId="0" borderId="1" xfId="1" applyNumberFormat="1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justify" vertical="center" wrapText="1"/>
    </xf>
    <xf numFmtId="9" fontId="7" fillId="0" borderId="7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justify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justify" vertical="center"/>
    </xf>
    <xf numFmtId="179" fontId="12" fillId="0" borderId="1" xfId="1" applyNumberFormat="1" applyFont="1" applyFill="1" applyBorder="1" applyAlignment="1">
      <alignment horizontal="right" vertical="center"/>
    </xf>
    <xf numFmtId="0" fontId="12" fillId="0" borderId="1" xfId="0" applyFont="1" applyFill="1" applyBorder="1" applyAlignment="1">
      <alignment horizontal="justify" vertical="center" wrapText="1"/>
    </xf>
    <xf numFmtId="0" fontId="11" fillId="0" borderId="0" xfId="0" applyFont="1" applyFill="1" applyAlignment="1"/>
    <xf numFmtId="10" fontId="12" fillId="0" borderId="3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justify" vertical="center" wrapText="1"/>
    </xf>
    <xf numFmtId="0" fontId="12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center" vertical="center" wrapText="1"/>
    </xf>
    <xf numFmtId="9" fontId="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justify" vertical="center"/>
    </xf>
    <xf numFmtId="0" fontId="10" fillId="0" borderId="0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10" fontId="13" fillId="0" borderId="1" xfId="2" applyNumberFormat="1" applyFont="1" applyBorder="1" applyAlignment="1">
      <alignment horizontal="center" vertical="center"/>
    </xf>
    <xf numFmtId="0" fontId="7" fillId="0" borderId="6" xfId="0" applyFont="1" applyFill="1" applyBorder="1" applyAlignment="1">
      <alignment horizontal="justify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justify" vertical="center"/>
    </xf>
    <xf numFmtId="10" fontId="13" fillId="0" borderId="15" xfId="2" applyNumberFormat="1" applyFont="1" applyBorder="1" applyAlignment="1">
      <alignment horizontal="center" vertical="center"/>
    </xf>
    <xf numFmtId="10" fontId="7" fillId="0" borderId="16" xfId="0" applyNumberFormat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justify" vertical="center"/>
    </xf>
    <xf numFmtId="179" fontId="7" fillId="0" borderId="15" xfId="1" applyNumberFormat="1" applyFont="1" applyFill="1" applyBorder="1" applyAlignment="1">
      <alignment horizontal="right" vertical="center"/>
    </xf>
    <xf numFmtId="0" fontId="7" fillId="0" borderId="17" xfId="0" applyFont="1" applyFill="1" applyBorder="1" applyAlignment="1">
      <alignment horizontal="justify" vertical="center"/>
    </xf>
    <xf numFmtId="0" fontId="7" fillId="0" borderId="6" xfId="0" applyFont="1" applyFill="1" applyBorder="1" applyAlignment="1">
      <alignment horizontal="justify" vertical="center" wrapText="1"/>
    </xf>
    <xf numFmtId="0" fontId="7" fillId="0" borderId="17" xfId="0" applyFont="1" applyFill="1" applyBorder="1" applyAlignment="1">
      <alignment horizontal="justify" vertical="center" wrapText="1"/>
    </xf>
    <xf numFmtId="0" fontId="0" fillId="3" borderId="0" xfId="0" applyFill="1" applyAlignment="1"/>
    <xf numFmtId="0" fontId="14" fillId="0" borderId="0" xfId="0" applyFont="1" applyAlignment="1"/>
    <xf numFmtId="0" fontId="15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justify" vertical="center"/>
    </xf>
    <xf numFmtId="0" fontId="16" fillId="4" borderId="5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horizontal="right" vertical="center"/>
    </xf>
    <xf numFmtId="179" fontId="16" fillId="0" borderId="1" xfId="1" applyNumberFormat="1" applyFont="1" applyFill="1" applyBorder="1" applyAlignment="1">
      <alignment horizontal="right" vertical="center"/>
    </xf>
    <xf numFmtId="0" fontId="16" fillId="0" borderId="1" xfId="0" applyFont="1" applyFill="1" applyBorder="1" applyAlignment="1">
      <alignment horizontal="justify" vertical="center" wrapText="1"/>
    </xf>
    <xf numFmtId="0" fontId="6" fillId="4" borderId="2" xfId="0" applyFont="1" applyFill="1" applyBorder="1" applyAlignment="1">
      <alignment horizontal="justify" vertical="center"/>
    </xf>
    <xf numFmtId="0" fontId="17" fillId="0" borderId="1" xfId="0" applyFont="1" applyBorder="1" applyAlignment="1">
      <alignment horizontal="center"/>
    </xf>
    <xf numFmtId="0" fontId="16" fillId="4" borderId="7" xfId="0" applyFont="1" applyFill="1" applyBorder="1" applyAlignment="1">
      <alignment horizontal="right" vertical="center"/>
    </xf>
    <xf numFmtId="179" fontId="16" fillId="4" borderId="1" xfId="1" applyNumberFormat="1" applyFont="1" applyFill="1" applyBorder="1" applyAlignment="1">
      <alignment horizontal="right" vertical="center"/>
    </xf>
    <xf numFmtId="0" fontId="16" fillId="4" borderId="2" xfId="0" applyFont="1" applyFill="1" applyBorder="1" applyAlignment="1">
      <alignment horizontal="justify" vertical="center"/>
    </xf>
    <xf numFmtId="10" fontId="16" fillId="4" borderId="7" xfId="0" applyNumberFormat="1" applyFont="1" applyFill="1" applyBorder="1" applyAlignment="1">
      <alignment horizontal="center" vertical="center"/>
    </xf>
    <xf numFmtId="9" fontId="16" fillId="4" borderId="7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justify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justify" vertical="center"/>
    </xf>
    <xf numFmtId="179" fontId="15" fillId="4" borderId="1" xfId="1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justify" vertical="center" wrapText="1"/>
    </xf>
    <xf numFmtId="0" fontId="18" fillId="4" borderId="1" xfId="0" applyFont="1" applyFill="1" applyBorder="1" applyAlignment="1">
      <alignment horizontal="justify" vertical="center"/>
    </xf>
    <xf numFmtId="0" fontId="18" fillId="0" borderId="1" xfId="0" applyFont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10" fontId="16" fillId="0" borderId="1" xfId="0" applyNumberFormat="1" applyFont="1" applyFill="1" applyBorder="1" applyAlignment="1">
      <alignment horizontal="center" vertical="center"/>
    </xf>
    <xf numFmtId="9" fontId="16" fillId="0" borderId="7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justify" vertical="center"/>
    </xf>
    <xf numFmtId="10" fontId="15" fillId="4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9" fontId="16" fillId="0" borderId="1" xfId="0" applyNumberFormat="1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justify" vertical="center"/>
    </xf>
    <xf numFmtId="0" fontId="11" fillId="0" borderId="8" xfId="0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7"/>
  <sheetViews>
    <sheetView workbookViewId="0">
      <selection activeCell="C23" sqref="C23"/>
    </sheetView>
  </sheetViews>
  <sheetFormatPr defaultColWidth="9.5" defaultRowHeight="13.5"/>
  <cols>
    <col min="1" max="1" width="9.5" style="1"/>
    <col min="2" max="2" width="14.375" style="1" customWidth="1"/>
    <col min="3" max="4" width="9.5" style="1"/>
    <col min="5" max="5" width="17" style="1" customWidth="1"/>
    <col min="6" max="6" width="13.375" style="1" customWidth="1"/>
    <col min="7" max="7" width="19.875" style="1" customWidth="1"/>
    <col min="8" max="8" width="16.75" style="1" customWidth="1"/>
    <col min="9" max="16384" width="9.5" style="1"/>
  </cols>
  <sheetData>
    <row r="1" spans="1:9" ht="23.45" customHeight="1">
      <c r="A1" s="111" t="s">
        <v>0</v>
      </c>
      <c r="B1" s="111"/>
      <c r="C1" s="111"/>
      <c r="D1" s="111"/>
      <c r="E1" s="111"/>
      <c r="F1" s="111"/>
      <c r="G1" s="111"/>
    </row>
    <row r="2" spans="1:9">
      <c r="A2" s="61" t="s">
        <v>1</v>
      </c>
      <c r="B2" s="62" t="s">
        <v>2</v>
      </c>
      <c r="C2" s="62" t="s">
        <v>3</v>
      </c>
      <c r="D2" s="62" t="s">
        <v>4</v>
      </c>
      <c r="E2" s="62" t="s">
        <v>5</v>
      </c>
      <c r="F2" s="62" t="s">
        <v>6</v>
      </c>
      <c r="G2" s="63" t="s">
        <v>7</v>
      </c>
    </row>
    <row r="3" spans="1:9" ht="24">
      <c r="A3" s="64" t="s">
        <v>8</v>
      </c>
      <c r="B3" s="38" t="s">
        <v>9</v>
      </c>
      <c r="C3" s="39"/>
      <c r="D3" s="40"/>
      <c r="E3" s="38"/>
      <c r="F3" s="46">
        <v>2550000</v>
      </c>
      <c r="G3" s="65" t="s">
        <v>10</v>
      </c>
    </row>
    <row r="4" spans="1:9">
      <c r="A4" s="64" t="s">
        <v>11</v>
      </c>
      <c r="B4" s="20" t="s">
        <v>12</v>
      </c>
      <c r="C4" s="44">
        <v>0.03</v>
      </c>
      <c r="D4" s="45" t="s">
        <v>8</v>
      </c>
      <c r="E4" s="38" t="s">
        <v>13</v>
      </c>
      <c r="F4" s="46">
        <f>ROUND($F$3*C4,0)</f>
        <v>76500</v>
      </c>
      <c r="G4" s="65"/>
      <c r="H4" s="66" t="s">
        <v>14</v>
      </c>
      <c r="I4" s="66" t="s">
        <v>15</v>
      </c>
    </row>
    <row r="5" spans="1:9">
      <c r="A5" s="64" t="s">
        <v>16</v>
      </c>
      <c r="B5" s="20" t="s">
        <v>17</v>
      </c>
      <c r="C5" s="44">
        <v>4.0000000000000001E-3</v>
      </c>
      <c r="D5" s="48" t="s">
        <v>18</v>
      </c>
      <c r="E5" s="38" t="s">
        <v>19</v>
      </c>
      <c r="F5" s="46">
        <f>ROUND(($F$3+$F$3*C4)/(1-C5)*C5,0)</f>
        <v>10548</v>
      </c>
      <c r="G5" s="65"/>
      <c r="H5" s="34"/>
    </row>
    <row r="6" spans="1:9" ht="24">
      <c r="A6" s="64" t="s">
        <v>20</v>
      </c>
      <c r="B6" s="20" t="s">
        <v>21</v>
      </c>
      <c r="C6" s="67">
        <v>6.3392999999999997</v>
      </c>
      <c r="D6" s="48"/>
      <c r="E6" s="38"/>
      <c r="F6" s="46"/>
      <c r="G6" s="65" t="s">
        <v>22</v>
      </c>
    </row>
    <row r="7" spans="1:9">
      <c r="A7" s="64" t="s">
        <v>23</v>
      </c>
      <c r="B7" s="20" t="s">
        <v>24</v>
      </c>
      <c r="C7" s="44"/>
      <c r="D7" s="48"/>
      <c r="E7" s="38" t="s">
        <v>25</v>
      </c>
      <c r="F7" s="46">
        <f>ROUND((F3+F4+F5)*C6,0)</f>
        <v>16717038</v>
      </c>
      <c r="G7" s="65"/>
    </row>
    <row r="8" spans="1:9" ht="24">
      <c r="A8" s="64" t="s">
        <v>26</v>
      </c>
      <c r="B8" s="20" t="s">
        <v>27</v>
      </c>
      <c r="C8" s="44">
        <v>1.5E-3</v>
      </c>
      <c r="D8" s="48" t="s">
        <v>8</v>
      </c>
      <c r="E8" s="38" t="s">
        <v>28</v>
      </c>
      <c r="F8" s="46">
        <f>ROUND($F$3*C6*C8,0)</f>
        <v>24248</v>
      </c>
      <c r="G8" s="65" t="s">
        <v>29</v>
      </c>
    </row>
    <row r="9" spans="1:9">
      <c r="A9" s="64" t="s">
        <v>30</v>
      </c>
      <c r="B9" s="20" t="s">
        <v>31</v>
      </c>
      <c r="C9" s="68">
        <v>0.01</v>
      </c>
      <c r="D9" s="48" t="s">
        <v>26</v>
      </c>
      <c r="E9" s="38" t="s">
        <v>32</v>
      </c>
      <c r="F9" s="46">
        <f>ROUND($F$7*C9,0)</f>
        <v>167170</v>
      </c>
      <c r="G9" s="65" t="s">
        <v>33</v>
      </c>
    </row>
    <row r="10" spans="1:9">
      <c r="A10" s="64" t="s">
        <v>34</v>
      </c>
      <c r="B10" s="20" t="s">
        <v>35</v>
      </c>
      <c r="C10" s="68">
        <v>0.1</v>
      </c>
      <c r="D10" s="45" t="s">
        <v>26</v>
      </c>
      <c r="E10" s="38" t="s">
        <v>36</v>
      </c>
      <c r="F10" s="46">
        <f>ROUND($F$7*C10,0)</f>
        <v>1671704</v>
      </c>
      <c r="G10" s="69" t="s">
        <v>37</v>
      </c>
    </row>
    <row r="11" spans="1:9">
      <c r="A11" s="64" t="s">
        <v>38</v>
      </c>
      <c r="B11" s="20" t="s">
        <v>39</v>
      </c>
      <c r="C11" s="68">
        <v>0</v>
      </c>
      <c r="D11" s="45" t="s">
        <v>26</v>
      </c>
      <c r="E11" s="38" t="s">
        <v>40</v>
      </c>
      <c r="F11" s="46">
        <f>ROUND(($F$7+$H$10)/(1-C11)*C11,0)</f>
        <v>0</v>
      </c>
      <c r="G11" s="69"/>
    </row>
    <row r="12" spans="1:9">
      <c r="A12" s="64" t="s">
        <v>41</v>
      </c>
      <c r="B12" s="20" t="s">
        <v>42</v>
      </c>
      <c r="C12" s="68">
        <v>0.17</v>
      </c>
      <c r="D12" s="45" t="s">
        <v>26</v>
      </c>
      <c r="E12" s="38" t="s">
        <v>43</v>
      </c>
      <c r="F12" s="46">
        <f>ROUND((F7+F10+F11)*C12,0)</f>
        <v>3126086</v>
      </c>
      <c r="G12" s="65" t="s">
        <v>44</v>
      </c>
    </row>
    <row r="13" spans="1:9">
      <c r="A13" s="64" t="s">
        <v>45</v>
      </c>
      <c r="B13" s="20" t="s">
        <v>46</v>
      </c>
      <c r="C13" s="68">
        <v>3.0000000000000001E-3</v>
      </c>
      <c r="D13" s="45" t="s">
        <v>26</v>
      </c>
      <c r="E13" s="38" t="s">
        <v>47</v>
      </c>
      <c r="F13" s="46">
        <f>ROUND($F$7*C13,0)</f>
        <v>50151</v>
      </c>
      <c r="G13" s="69"/>
    </row>
    <row r="14" spans="1:9" ht="24.75">
      <c r="A14" s="70" t="s">
        <v>48</v>
      </c>
      <c r="B14" s="71" t="s">
        <v>49</v>
      </c>
      <c r="C14" s="72"/>
      <c r="D14" s="73"/>
      <c r="E14" s="74" t="s">
        <v>50</v>
      </c>
      <c r="F14" s="75">
        <f>ROUND(SUM(F7:F12),-3)</f>
        <v>21706000</v>
      </c>
      <c r="G14" s="76"/>
    </row>
    <row r="17" spans="7:7">
      <c r="G17" s="1" t="s">
        <v>51</v>
      </c>
    </row>
  </sheetData>
  <mergeCells count="1">
    <mergeCell ref="A1:G1"/>
  </mergeCells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9"/>
  <sheetViews>
    <sheetView workbookViewId="0">
      <selection activeCell="B22" sqref="B22"/>
    </sheetView>
  </sheetViews>
  <sheetFormatPr defaultColWidth="9.5" defaultRowHeight="13.5"/>
  <cols>
    <col min="1" max="1" width="6.875" style="34" customWidth="1"/>
    <col min="2" max="2" width="12.125" style="34" customWidth="1"/>
    <col min="3" max="3" width="9.375" style="34" customWidth="1"/>
    <col min="4" max="4" width="5.875" style="34" customWidth="1"/>
    <col min="5" max="5" width="9.75" style="34" customWidth="1"/>
    <col min="6" max="6" width="12" style="34" customWidth="1"/>
    <col min="7" max="7" width="23.25" style="34" customWidth="1"/>
    <col min="8" max="8" width="9.5" style="34"/>
    <col min="9" max="9" width="11.5" style="34" customWidth="1"/>
    <col min="10" max="16384" width="9.5" style="34"/>
  </cols>
  <sheetData>
    <row r="1" spans="1:8" ht="27.95" customHeight="1">
      <c r="A1" s="112" t="s">
        <v>52</v>
      </c>
      <c r="B1" s="113"/>
      <c r="C1" s="113"/>
      <c r="D1" s="113"/>
      <c r="E1" s="113"/>
      <c r="F1" s="113"/>
      <c r="G1" s="113"/>
    </row>
    <row r="2" spans="1:8">
      <c r="A2" s="35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35" t="s">
        <v>7</v>
      </c>
    </row>
    <row r="3" spans="1:8">
      <c r="A3" s="37" t="s">
        <v>8</v>
      </c>
      <c r="B3" s="38" t="s">
        <v>53</v>
      </c>
      <c r="C3" s="39"/>
      <c r="D3" s="40"/>
      <c r="E3" s="38"/>
      <c r="F3" s="41">
        <f>工业抵岸前部分!F14</f>
        <v>21706000</v>
      </c>
      <c r="G3" s="42" t="s">
        <v>54</v>
      </c>
    </row>
    <row r="4" spans="1:8">
      <c r="A4" s="37" t="s">
        <v>11</v>
      </c>
      <c r="B4" s="43" t="s">
        <v>55</v>
      </c>
      <c r="C4" s="44">
        <v>0.01</v>
      </c>
      <c r="D4" s="45" t="s">
        <v>8</v>
      </c>
      <c r="E4" s="38" t="s">
        <v>13</v>
      </c>
      <c r="F4" s="46">
        <f>ROUND($F$3*C4,0)</f>
        <v>217060</v>
      </c>
      <c r="G4" s="47" t="s">
        <v>29</v>
      </c>
    </row>
    <row r="5" spans="1:8">
      <c r="A5" s="37" t="s">
        <v>16</v>
      </c>
      <c r="B5" s="43" t="s">
        <v>56</v>
      </c>
      <c r="C5" s="44">
        <v>0.02</v>
      </c>
      <c r="D5" s="48" t="s">
        <v>8</v>
      </c>
      <c r="E5" s="38" t="s">
        <v>57</v>
      </c>
      <c r="F5" s="46">
        <f>ROUND($F$3*C5,0)</f>
        <v>434120</v>
      </c>
      <c r="G5" s="47" t="s">
        <v>29</v>
      </c>
    </row>
    <row r="6" spans="1:8">
      <c r="A6" s="37" t="s">
        <v>20</v>
      </c>
      <c r="B6" s="43" t="s">
        <v>58</v>
      </c>
      <c r="C6" s="44">
        <v>0.05</v>
      </c>
      <c r="D6" s="48" t="s">
        <v>8</v>
      </c>
      <c r="E6" s="38" t="s">
        <v>59</v>
      </c>
      <c r="F6" s="46">
        <f>ROUND($F$3*C6,0)</f>
        <v>1085300</v>
      </c>
      <c r="G6" s="47" t="s">
        <v>29</v>
      </c>
    </row>
    <row r="7" spans="1:8">
      <c r="A7" s="35" t="s">
        <v>23</v>
      </c>
      <c r="B7" s="49" t="s">
        <v>60</v>
      </c>
      <c r="C7" s="35"/>
      <c r="D7" s="50"/>
      <c r="E7" s="51" t="s">
        <v>61</v>
      </c>
      <c r="F7" s="52">
        <f>SUM(F3:F6)</f>
        <v>23442480</v>
      </c>
      <c r="G7" s="53"/>
    </row>
    <row r="8" spans="1:8" ht="14.25">
      <c r="A8" s="37" t="s">
        <v>26</v>
      </c>
      <c r="B8" s="15" t="s">
        <v>62</v>
      </c>
      <c r="C8" s="16">
        <v>1.0699999999999999E-2</v>
      </c>
      <c r="D8" s="48" t="s">
        <v>23</v>
      </c>
      <c r="E8" s="38" t="s">
        <v>63</v>
      </c>
      <c r="F8" s="46">
        <f t="shared" ref="F8:F14" si="0">ROUND($F$7*C8,0)</f>
        <v>250835</v>
      </c>
      <c r="G8" s="17" t="s">
        <v>64</v>
      </c>
      <c r="H8" s="54"/>
    </row>
    <row r="9" spans="1:8">
      <c r="A9" s="37" t="s">
        <v>30</v>
      </c>
      <c r="B9" s="15" t="s">
        <v>65</v>
      </c>
      <c r="C9" s="16">
        <v>1.7000000000000001E-2</v>
      </c>
      <c r="D9" s="45" t="s">
        <v>23</v>
      </c>
      <c r="E9" s="38" t="s">
        <v>32</v>
      </c>
      <c r="F9" s="46">
        <f t="shared" si="0"/>
        <v>398522</v>
      </c>
      <c r="G9" s="17" t="s">
        <v>66</v>
      </c>
    </row>
    <row r="10" spans="1:8" ht="24">
      <c r="A10" s="37" t="s">
        <v>34</v>
      </c>
      <c r="B10" s="15" t="s">
        <v>67</v>
      </c>
      <c r="C10" s="16">
        <v>6.9999999999999999E-4</v>
      </c>
      <c r="D10" s="45" t="s">
        <v>23</v>
      </c>
      <c r="E10" s="38" t="s">
        <v>36</v>
      </c>
      <c r="F10" s="46">
        <f t="shared" si="0"/>
        <v>16410</v>
      </c>
      <c r="G10" s="17" t="s">
        <v>68</v>
      </c>
    </row>
    <row r="11" spans="1:8">
      <c r="A11" s="37" t="s">
        <v>38</v>
      </c>
      <c r="B11" s="18" t="s">
        <v>69</v>
      </c>
      <c r="C11" s="16">
        <v>3.0000000000000001E-3</v>
      </c>
      <c r="D11" s="45" t="s">
        <v>23</v>
      </c>
      <c r="E11" s="38" t="s">
        <v>70</v>
      </c>
      <c r="F11" s="46">
        <f t="shared" si="0"/>
        <v>70327</v>
      </c>
      <c r="G11" s="19" t="s">
        <v>71</v>
      </c>
    </row>
    <row r="12" spans="1:8">
      <c r="A12" s="37" t="s">
        <v>41</v>
      </c>
      <c r="B12" s="15" t="s">
        <v>72</v>
      </c>
      <c r="C12" s="16">
        <v>3.1E-2</v>
      </c>
      <c r="D12" s="45" t="s">
        <v>23</v>
      </c>
      <c r="E12" s="38" t="s">
        <v>47</v>
      </c>
      <c r="F12" s="46">
        <f t="shared" si="0"/>
        <v>726717</v>
      </c>
      <c r="G12" s="17" t="s">
        <v>73</v>
      </c>
    </row>
    <row r="13" spans="1:8">
      <c r="A13" s="37" t="s">
        <v>45</v>
      </c>
      <c r="B13" s="15" t="s">
        <v>74</v>
      </c>
      <c r="C13" s="16">
        <v>1E-3</v>
      </c>
      <c r="D13" s="45" t="s">
        <v>23</v>
      </c>
      <c r="E13" s="38" t="s">
        <v>75</v>
      </c>
      <c r="F13" s="46">
        <f t="shared" si="0"/>
        <v>23442</v>
      </c>
      <c r="G13" s="17" t="s">
        <v>76</v>
      </c>
    </row>
    <row r="14" spans="1:8">
      <c r="A14" s="37" t="s">
        <v>48</v>
      </c>
      <c r="B14" s="20" t="s">
        <v>77</v>
      </c>
      <c r="C14" s="21"/>
      <c r="D14" s="45" t="s">
        <v>23</v>
      </c>
      <c r="E14" s="38" t="s">
        <v>78</v>
      </c>
      <c r="F14" s="46">
        <f t="shared" si="0"/>
        <v>0</v>
      </c>
      <c r="G14" s="47"/>
    </row>
    <row r="15" spans="1:8" ht="25.5">
      <c r="A15" s="35" t="s">
        <v>79</v>
      </c>
      <c r="B15" s="51" t="s">
        <v>60</v>
      </c>
      <c r="C15" s="55">
        <f>SUM(C8:C14)</f>
        <v>6.3399999999999998E-2</v>
      </c>
      <c r="D15" s="35"/>
      <c r="E15" s="51" t="s">
        <v>80</v>
      </c>
      <c r="F15" s="52">
        <f>SUM(F8:F14)</f>
        <v>1486253</v>
      </c>
      <c r="G15" s="53"/>
    </row>
    <row r="16" spans="1:8" ht="38.25">
      <c r="A16" s="35" t="s">
        <v>81</v>
      </c>
      <c r="B16" s="38" t="s">
        <v>82</v>
      </c>
      <c r="C16" s="44">
        <v>4.3499999999999997E-2</v>
      </c>
      <c r="D16" s="44"/>
      <c r="E16" s="38" t="s">
        <v>83</v>
      </c>
      <c r="F16" s="46">
        <f>ROUND((F7+F15)*1*C16/2,0)</f>
        <v>542200</v>
      </c>
      <c r="G16" s="56" t="s">
        <v>84</v>
      </c>
    </row>
    <row r="17" spans="1:7">
      <c r="A17" s="37">
        <v>0</v>
      </c>
      <c r="B17" s="51" t="s">
        <v>85</v>
      </c>
      <c r="C17" s="57"/>
      <c r="D17" s="35"/>
      <c r="E17" s="51" t="s">
        <v>86</v>
      </c>
      <c r="F17" s="52">
        <f>ROUND(F7+F15+F16,0)</f>
        <v>25470933</v>
      </c>
      <c r="G17" s="58" t="s">
        <v>87</v>
      </c>
    </row>
    <row r="18" spans="1:7">
      <c r="A18" s="37" t="s">
        <v>88</v>
      </c>
      <c r="B18" s="38" t="s">
        <v>42</v>
      </c>
      <c r="C18" s="59"/>
      <c r="D18" s="37" t="s">
        <v>89</v>
      </c>
      <c r="E18" s="38"/>
      <c r="F18" s="46">
        <f>ROUND(F3/1.17*17%+(F4+F6)/1.11*11%+(F15-F8)/1.06*6%,0)</f>
        <v>3352855</v>
      </c>
      <c r="G18" s="47"/>
    </row>
    <row r="19" spans="1:7">
      <c r="A19" s="35" t="s">
        <v>90</v>
      </c>
      <c r="B19" s="51" t="s">
        <v>85</v>
      </c>
      <c r="C19" s="57"/>
      <c r="D19" s="35"/>
      <c r="E19" s="51" t="s">
        <v>91</v>
      </c>
      <c r="F19" s="52">
        <f>ROUND(F17-F18,-1)</f>
        <v>22118080</v>
      </c>
      <c r="G19" s="58" t="s">
        <v>92</v>
      </c>
    </row>
  </sheetData>
  <mergeCells count="1">
    <mergeCell ref="A1:G1"/>
  </mergeCells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2"/>
  <sheetViews>
    <sheetView tabSelected="1" workbookViewId="0">
      <selection activeCell="F22" sqref="F22"/>
    </sheetView>
  </sheetViews>
  <sheetFormatPr defaultColWidth="8.75" defaultRowHeight="15"/>
  <cols>
    <col min="1" max="1" width="8.75" style="80"/>
    <col min="2" max="2" width="14.5" style="80" customWidth="1"/>
    <col min="3" max="3" width="13.5" style="80" customWidth="1"/>
    <col min="4" max="4" width="9.5" style="80" customWidth="1"/>
    <col min="5" max="5" width="15.875" style="80" customWidth="1"/>
    <col min="6" max="6" width="15.625" style="80" customWidth="1"/>
    <col min="7" max="7" width="24.5" style="80" customWidth="1"/>
    <col min="8" max="16384" width="8.75" style="80"/>
  </cols>
  <sheetData>
    <row r="1" spans="1:7">
      <c r="A1" s="81" t="s">
        <v>1</v>
      </c>
      <c r="B1" s="81" t="s">
        <v>2</v>
      </c>
      <c r="C1" s="81" t="s">
        <v>93</v>
      </c>
      <c r="D1" s="81" t="s">
        <v>4</v>
      </c>
      <c r="E1" s="81" t="s">
        <v>5</v>
      </c>
      <c r="F1" s="81" t="s">
        <v>6</v>
      </c>
      <c r="G1" s="81" t="s">
        <v>7</v>
      </c>
    </row>
    <row r="2" spans="1:7">
      <c r="A2" s="82" t="s">
        <v>8</v>
      </c>
      <c r="B2" s="83" t="s">
        <v>53</v>
      </c>
      <c r="C2" s="84"/>
      <c r="D2" s="85"/>
      <c r="E2" s="83"/>
      <c r="F2" s="86">
        <v>456444</v>
      </c>
      <c r="G2" s="87" t="s">
        <v>94</v>
      </c>
    </row>
    <row r="3" spans="1:7" ht="24">
      <c r="A3" s="82" t="s">
        <v>11</v>
      </c>
      <c r="B3" s="88" t="s">
        <v>95</v>
      </c>
      <c r="C3" s="89">
        <v>13</v>
      </c>
      <c r="D3" s="90"/>
      <c r="E3" s="83"/>
      <c r="F3" s="91">
        <f>F2/(1+C3/100)</f>
        <v>403932.74336283188</v>
      </c>
      <c r="G3" s="87"/>
    </row>
    <row r="4" spans="1:7">
      <c r="A4" s="82" t="s">
        <v>16</v>
      </c>
      <c r="B4" s="92" t="s">
        <v>55</v>
      </c>
      <c r="C4" s="89">
        <v>1</v>
      </c>
      <c r="D4" s="93" t="s">
        <v>8</v>
      </c>
      <c r="E4" s="83" t="s">
        <v>96</v>
      </c>
      <c r="F4" s="91">
        <f>ROUND(F2*C4/100,0)</f>
        <v>4564</v>
      </c>
      <c r="G4" s="87" t="s">
        <v>97</v>
      </c>
    </row>
    <row r="5" spans="1:7">
      <c r="A5" s="82" t="s">
        <v>20</v>
      </c>
      <c r="B5" s="92" t="s">
        <v>56</v>
      </c>
      <c r="C5" s="89">
        <v>2</v>
      </c>
      <c r="D5" s="94" t="s">
        <v>8</v>
      </c>
      <c r="E5" s="83" t="s">
        <v>98</v>
      </c>
      <c r="F5" s="91">
        <f>ROUND(F2*C5/100,0)</f>
        <v>9129</v>
      </c>
      <c r="G5" s="87" t="s">
        <v>97</v>
      </c>
    </row>
    <row r="6" spans="1:7">
      <c r="A6" s="82" t="s">
        <v>23</v>
      </c>
      <c r="B6" s="92" t="s">
        <v>58</v>
      </c>
      <c r="C6" s="89">
        <v>5</v>
      </c>
      <c r="D6" s="94" t="s">
        <v>8</v>
      </c>
      <c r="E6" s="83" t="s">
        <v>99</v>
      </c>
      <c r="F6" s="91">
        <f>ROUND(F2*C6/100,0)</f>
        <v>22822</v>
      </c>
      <c r="G6" s="87" t="s">
        <v>97</v>
      </c>
    </row>
    <row r="7" spans="1:7">
      <c r="A7" s="81" t="s">
        <v>26</v>
      </c>
      <c r="B7" s="95" t="s">
        <v>60</v>
      </c>
      <c r="C7" s="81"/>
      <c r="D7" s="96"/>
      <c r="E7" s="97" t="s">
        <v>100</v>
      </c>
      <c r="F7" s="98">
        <f>SUM(F2+F4+F5+F6)</f>
        <v>492959</v>
      </c>
      <c r="G7" s="99"/>
    </row>
    <row r="8" spans="1:7">
      <c r="A8" s="82" t="s">
        <v>30</v>
      </c>
      <c r="B8" s="100" t="s">
        <v>101</v>
      </c>
      <c r="C8" s="89">
        <v>1.07</v>
      </c>
      <c r="D8" s="94" t="s">
        <v>26</v>
      </c>
      <c r="E8" s="83" t="s">
        <v>102</v>
      </c>
      <c r="F8" s="91">
        <f>ROUND(F7*C8/100,0)</f>
        <v>5275</v>
      </c>
      <c r="G8" s="101" t="s">
        <v>103</v>
      </c>
    </row>
    <row r="9" spans="1:7">
      <c r="A9" s="82" t="s">
        <v>34</v>
      </c>
      <c r="B9" s="100" t="s">
        <v>104</v>
      </c>
      <c r="C9" s="89">
        <v>1.7</v>
      </c>
      <c r="D9" s="94" t="s">
        <v>26</v>
      </c>
      <c r="E9" s="83" t="s">
        <v>105</v>
      </c>
      <c r="F9" s="91">
        <f>ROUND(F7*C9/100,0)</f>
        <v>8380</v>
      </c>
      <c r="G9" s="101" t="s">
        <v>106</v>
      </c>
    </row>
    <row r="10" spans="1:7">
      <c r="A10" s="82" t="s">
        <v>38</v>
      </c>
      <c r="B10" s="100" t="s">
        <v>107</v>
      </c>
      <c r="C10" s="89">
        <v>7.0000000000000007E-2</v>
      </c>
      <c r="D10" s="94" t="s">
        <v>26</v>
      </c>
      <c r="E10" s="83" t="s">
        <v>108</v>
      </c>
      <c r="F10" s="91">
        <f>ROUND(F7*C10/100,0)</f>
        <v>345</v>
      </c>
      <c r="G10" s="101" t="s">
        <v>109</v>
      </c>
    </row>
    <row r="11" spans="1:7">
      <c r="A11" s="82" t="s">
        <v>41</v>
      </c>
      <c r="B11" s="100" t="s">
        <v>110</v>
      </c>
      <c r="C11" s="89">
        <v>0.3</v>
      </c>
      <c r="D11" s="94" t="s">
        <v>26</v>
      </c>
      <c r="E11" s="83" t="s">
        <v>111</v>
      </c>
      <c r="F11" s="91">
        <f>ROUND(F7*C11/100,0)</f>
        <v>1479</v>
      </c>
      <c r="G11" s="102" t="s">
        <v>112</v>
      </c>
    </row>
    <row r="12" spans="1:7">
      <c r="A12" s="82" t="s">
        <v>45</v>
      </c>
      <c r="B12" s="100" t="s">
        <v>113</v>
      </c>
      <c r="C12" s="89">
        <v>3.1</v>
      </c>
      <c r="D12" s="94" t="s">
        <v>26</v>
      </c>
      <c r="E12" s="83" t="s">
        <v>114</v>
      </c>
      <c r="F12" s="91">
        <f>ROUND(F7*C12/100,0)</f>
        <v>15282</v>
      </c>
      <c r="G12" s="101" t="s">
        <v>115</v>
      </c>
    </row>
    <row r="13" spans="1:7">
      <c r="A13" s="82" t="s">
        <v>48</v>
      </c>
      <c r="B13" s="100" t="s">
        <v>116</v>
      </c>
      <c r="C13" s="89">
        <v>0.1</v>
      </c>
      <c r="D13" s="94" t="s">
        <v>26</v>
      </c>
      <c r="E13" s="83" t="s">
        <v>117</v>
      </c>
      <c r="F13" s="91">
        <f>ROUND(F7*C13/100,0)</f>
        <v>493</v>
      </c>
      <c r="G13" s="101" t="s">
        <v>118</v>
      </c>
    </row>
    <row r="14" spans="1:7">
      <c r="A14" s="82" t="s">
        <v>79</v>
      </c>
      <c r="B14" s="92" t="s">
        <v>119</v>
      </c>
      <c r="C14" s="116">
        <v>1</v>
      </c>
      <c r="D14" s="94" t="s">
        <v>26</v>
      </c>
      <c r="E14" s="83" t="s">
        <v>120</v>
      </c>
      <c r="F14" s="91">
        <f>ROUND(F7*C14/100,0)</f>
        <v>4930</v>
      </c>
      <c r="G14" s="87"/>
    </row>
    <row r="15" spans="1:7">
      <c r="A15" s="81" t="s">
        <v>81</v>
      </c>
      <c r="B15" s="20" t="s">
        <v>121</v>
      </c>
      <c r="C15" s="103"/>
      <c r="D15" s="104"/>
      <c r="E15" s="105"/>
      <c r="F15" s="86">
        <v>34</v>
      </c>
      <c r="G15" s="87"/>
    </row>
    <row r="16" spans="1:7">
      <c r="A16" s="81" t="s">
        <v>122</v>
      </c>
      <c r="B16" s="97" t="s">
        <v>60</v>
      </c>
      <c r="C16" s="106"/>
      <c r="D16" s="96"/>
      <c r="E16" s="97" t="s">
        <v>123</v>
      </c>
      <c r="F16" s="98">
        <f>SUM(F8:F15)</f>
        <v>36218</v>
      </c>
      <c r="G16" s="99"/>
    </row>
    <row r="17" spans="1:7" ht="25.5">
      <c r="A17" s="82" t="s">
        <v>88</v>
      </c>
      <c r="B17" s="83" t="s">
        <v>82</v>
      </c>
      <c r="C17" s="89">
        <v>4.3499999999999996</v>
      </c>
      <c r="D17" s="93"/>
      <c r="E17" s="83" t="s">
        <v>124</v>
      </c>
      <c r="F17" s="91">
        <f>ROUND((F7+F16)*1*C17/100/2,0)</f>
        <v>11510</v>
      </c>
      <c r="G17" s="87" t="s">
        <v>125</v>
      </c>
    </row>
    <row r="18" spans="1:7">
      <c r="A18" s="82" t="s">
        <v>90</v>
      </c>
      <c r="B18" s="97" t="s">
        <v>126</v>
      </c>
      <c r="C18" s="81"/>
      <c r="D18" s="96"/>
      <c r="E18" s="97" t="s">
        <v>127</v>
      </c>
      <c r="F18" s="98">
        <f>ROUND(F7+F16+F17,0)</f>
        <v>540687</v>
      </c>
      <c r="G18" s="107" t="s">
        <v>128</v>
      </c>
    </row>
    <row r="19" spans="1:7" ht="39" customHeight="1">
      <c r="A19" s="81" t="s">
        <v>129</v>
      </c>
      <c r="B19" s="83" t="s">
        <v>130</v>
      </c>
      <c r="C19" s="108"/>
      <c r="D19" s="109"/>
      <c r="E19" s="83"/>
      <c r="F19" s="91">
        <f>ROUND(F2-F3+(F4+F6)/(1+C20/100)*C20/100+(F16-F8)/(1+C21/100)*C21/100,0)</f>
        <v>56524</v>
      </c>
      <c r="G19" s="87"/>
    </row>
    <row r="20" spans="1:7" ht="39" customHeight="1">
      <c r="A20" s="81" t="s">
        <v>131</v>
      </c>
      <c r="B20" s="110" t="s">
        <v>132</v>
      </c>
      <c r="C20" s="89">
        <v>9</v>
      </c>
      <c r="D20" s="109"/>
      <c r="E20" s="83"/>
      <c r="F20" s="91">
        <v>453</v>
      </c>
      <c r="G20" s="87"/>
    </row>
    <row r="21" spans="1:7" ht="39" customHeight="1">
      <c r="A21" s="81" t="s">
        <v>133</v>
      </c>
      <c r="B21" s="110" t="s">
        <v>134</v>
      </c>
      <c r="C21" s="89">
        <v>6</v>
      </c>
      <c r="D21" s="109"/>
      <c r="E21" s="83"/>
      <c r="F21" s="91">
        <v>4543</v>
      </c>
      <c r="G21" s="87"/>
    </row>
    <row r="22" spans="1:7">
      <c r="A22" s="81" t="s">
        <v>135</v>
      </c>
      <c r="B22" s="97" t="s">
        <v>126</v>
      </c>
      <c r="C22" s="81"/>
      <c r="D22" s="96"/>
      <c r="E22" s="97" t="s">
        <v>136</v>
      </c>
      <c r="F22" s="98">
        <f>ROUND(F18-F19,-1)</f>
        <v>484160</v>
      </c>
      <c r="G22" s="58" t="s">
        <v>92</v>
      </c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7"/>
  <sheetViews>
    <sheetView workbookViewId="0">
      <selection activeCell="B24" sqref="B24"/>
    </sheetView>
  </sheetViews>
  <sheetFormatPr defaultColWidth="9.5" defaultRowHeight="13.5"/>
  <cols>
    <col min="1" max="1" width="9.5" style="1"/>
    <col min="2" max="2" width="13.25" style="1" customWidth="1"/>
    <col min="3" max="4" width="9.5" style="1"/>
    <col min="5" max="5" width="17" style="1" customWidth="1"/>
    <col min="6" max="6" width="13.375" style="1" customWidth="1"/>
    <col min="7" max="7" width="19.875" style="1" customWidth="1"/>
    <col min="8" max="8" width="16.75" style="1" customWidth="1"/>
    <col min="9" max="12" width="9.5" style="1"/>
    <col min="13" max="13" width="12.5" style="1" customWidth="1"/>
    <col min="14" max="16384" width="9.5" style="1"/>
  </cols>
  <sheetData>
    <row r="1" spans="1:13" ht="23.45" customHeight="1">
      <c r="A1" s="111" t="s">
        <v>137</v>
      </c>
      <c r="B1" s="111"/>
      <c r="C1" s="111"/>
      <c r="D1" s="111"/>
      <c r="E1" s="111"/>
      <c r="F1" s="111"/>
      <c r="G1" s="111"/>
    </row>
    <row r="2" spans="1:13">
      <c r="A2" s="61" t="s">
        <v>1</v>
      </c>
      <c r="B2" s="62" t="s">
        <v>2</v>
      </c>
      <c r="C2" s="62" t="s">
        <v>3</v>
      </c>
      <c r="D2" s="62" t="s">
        <v>4</v>
      </c>
      <c r="E2" s="62" t="s">
        <v>5</v>
      </c>
      <c r="F2" s="62" t="s">
        <v>6</v>
      </c>
      <c r="G2" s="63" t="s">
        <v>7</v>
      </c>
    </row>
    <row r="3" spans="1:13" ht="24">
      <c r="A3" s="64" t="s">
        <v>8</v>
      </c>
      <c r="B3" s="38" t="s">
        <v>9</v>
      </c>
      <c r="C3" s="39"/>
      <c r="D3" s="40"/>
      <c r="E3" s="38"/>
      <c r="F3" s="46">
        <v>990000</v>
      </c>
      <c r="G3" s="42" t="s">
        <v>10</v>
      </c>
    </row>
    <row r="4" spans="1:13">
      <c r="A4" s="64" t="s">
        <v>11</v>
      </c>
      <c r="B4" s="20" t="s">
        <v>12</v>
      </c>
      <c r="C4" s="44">
        <v>0.03</v>
      </c>
      <c r="D4" s="45" t="s">
        <v>8</v>
      </c>
      <c r="E4" s="38" t="s">
        <v>13</v>
      </c>
      <c r="F4" s="46">
        <f>ROUND($F$3*C4,0)</f>
        <v>29700</v>
      </c>
      <c r="G4" s="42"/>
      <c r="H4" s="66" t="s">
        <v>14</v>
      </c>
      <c r="I4" s="66" t="s">
        <v>15</v>
      </c>
    </row>
    <row r="5" spans="1:13">
      <c r="A5" s="64" t="s">
        <v>16</v>
      </c>
      <c r="B5" s="20" t="s">
        <v>17</v>
      </c>
      <c r="C5" s="44">
        <v>4.0000000000000001E-3</v>
      </c>
      <c r="D5" s="48" t="s">
        <v>18</v>
      </c>
      <c r="E5" s="38" t="s">
        <v>19</v>
      </c>
      <c r="F5" s="46">
        <f>ROUND(($F$3+$F$3*C4)/(1-C5)*C5,0)</f>
        <v>4095</v>
      </c>
      <c r="G5" s="42"/>
      <c r="H5" s="34"/>
    </row>
    <row r="6" spans="1:13" ht="24">
      <c r="A6" s="64" t="s">
        <v>20</v>
      </c>
      <c r="B6" s="20" t="s">
        <v>21</v>
      </c>
      <c r="C6" s="67">
        <v>6.3392999999999997</v>
      </c>
      <c r="D6" s="48"/>
      <c r="E6" s="38"/>
      <c r="F6" s="46"/>
      <c r="G6" s="42" t="s">
        <v>22</v>
      </c>
      <c r="K6" s="79" t="s">
        <v>138</v>
      </c>
      <c r="L6" s="79" t="s">
        <v>139</v>
      </c>
      <c r="M6" s="79" t="s">
        <v>140</v>
      </c>
    </row>
    <row r="7" spans="1:13">
      <c r="A7" s="64" t="s">
        <v>23</v>
      </c>
      <c r="B7" s="20" t="s">
        <v>24</v>
      </c>
      <c r="C7" s="44"/>
      <c r="D7" s="48"/>
      <c r="E7" s="38" t="s">
        <v>25</v>
      </c>
      <c r="F7" s="46">
        <f>ROUND((F3+F4+F5)*C6,0)</f>
        <v>6490144</v>
      </c>
      <c r="G7" s="42"/>
    </row>
    <row r="8" spans="1:13" ht="24">
      <c r="A8" s="64" t="s">
        <v>26</v>
      </c>
      <c r="B8" s="20" t="s">
        <v>27</v>
      </c>
      <c r="C8" s="44">
        <v>1.5E-3</v>
      </c>
      <c r="D8" s="48" t="s">
        <v>8</v>
      </c>
      <c r="E8" s="38" t="s">
        <v>28</v>
      </c>
      <c r="F8" s="46">
        <f>ROUND($F$3*C6*C8,0)</f>
        <v>9414</v>
      </c>
      <c r="G8" s="42" t="s">
        <v>29</v>
      </c>
    </row>
    <row r="9" spans="1:13">
      <c r="A9" s="64" t="s">
        <v>30</v>
      </c>
      <c r="B9" s="20" t="s">
        <v>31</v>
      </c>
      <c r="C9" s="68">
        <v>0.01</v>
      </c>
      <c r="D9" s="48" t="s">
        <v>26</v>
      </c>
      <c r="E9" s="38" t="s">
        <v>32</v>
      </c>
      <c r="F9" s="46">
        <f>ROUND($F$7*C9,0)</f>
        <v>64901</v>
      </c>
      <c r="G9" s="42" t="s">
        <v>33</v>
      </c>
    </row>
    <row r="10" spans="1:13">
      <c r="A10" s="64" t="s">
        <v>34</v>
      </c>
      <c r="B10" s="20" t="s">
        <v>35</v>
      </c>
      <c r="C10" s="68">
        <v>0.1</v>
      </c>
      <c r="D10" s="45" t="s">
        <v>26</v>
      </c>
      <c r="E10" s="38" t="s">
        <v>36</v>
      </c>
      <c r="F10" s="46">
        <f>ROUND($F$7*C10,0)</f>
        <v>649014</v>
      </c>
      <c r="G10" s="77" t="s">
        <v>37</v>
      </c>
    </row>
    <row r="11" spans="1:13">
      <c r="A11" s="64" t="s">
        <v>38</v>
      </c>
      <c r="B11" s="20" t="s">
        <v>39</v>
      </c>
      <c r="C11" s="68">
        <v>0</v>
      </c>
      <c r="D11" s="45" t="s">
        <v>26</v>
      </c>
      <c r="E11" s="38" t="s">
        <v>40</v>
      </c>
      <c r="F11" s="46">
        <f>ROUND(($F$7+$H$10)/(1-C11)*C11,0)</f>
        <v>0</v>
      </c>
      <c r="G11" s="77"/>
    </row>
    <row r="12" spans="1:13">
      <c r="A12" s="64" t="s">
        <v>41</v>
      </c>
      <c r="B12" s="20" t="s">
        <v>42</v>
      </c>
      <c r="C12" s="68">
        <v>0.17</v>
      </c>
      <c r="D12" s="45" t="s">
        <v>26</v>
      </c>
      <c r="E12" s="38" t="s">
        <v>43</v>
      </c>
      <c r="F12" s="46">
        <f>ROUND((F7+F10+F11)*C12,0)</f>
        <v>1213657</v>
      </c>
      <c r="G12" s="42" t="s">
        <v>44</v>
      </c>
    </row>
    <row r="13" spans="1:13">
      <c r="A13" s="64" t="s">
        <v>45</v>
      </c>
      <c r="B13" s="20" t="s">
        <v>46</v>
      </c>
      <c r="C13" s="68">
        <v>3.0000000000000001E-3</v>
      </c>
      <c r="D13" s="45" t="s">
        <v>26</v>
      </c>
      <c r="E13" s="38" t="s">
        <v>47</v>
      </c>
      <c r="F13" s="46">
        <f>ROUND($F$7*C13,0)</f>
        <v>19470</v>
      </c>
      <c r="G13" s="77"/>
    </row>
    <row r="14" spans="1:13" ht="24.75">
      <c r="A14" s="70" t="s">
        <v>48</v>
      </c>
      <c r="B14" s="71" t="s">
        <v>49</v>
      </c>
      <c r="C14" s="72"/>
      <c r="D14" s="73"/>
      <c r="E14" s="74" t="s">
        <v>50</v>
      </c>
      <c r="F14" s="75">
        <f>ROUND(SUM(F7:F12),-3)</f>
        <v>8427000</v>
      </c>
      <c r="G14" s="78"/>
    </row>
    <row r="17" spans="7:7">
      <c r="G17" s="1" t="s">
        <v>51</v>
      </c>
    </row>
  </sheetData>
  <mergeCells count="1">
    <mergeCell ref="A1:G1"/>
  </mergeCells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9"/>
  <sheetViews>
    <sheetView topLeftCell="A6" workbookViewId="0">
      <selection activeCell="F19" sqref="F19"/>
    </sheetView>
  </sheetViews>
  <sheetFormatPr defaultColWidth="9.5" defaultRowHeight="13.5"/>
  <cols>
    <col min="1" max="1" width="6.875" style="34" customWidth="1"/>
    <col min="2" max="2" width="12.875" style="34" customWidth="1"/>
    <col min="3" max="3" width="9.375" style="34" customWidth="1"/>
    <col min="4" max="4" width="9.5" style="34" customWidth="1"/>
    <col min="5" max="5" width="14.125" style="34" customWidth="1"/>
    <col min="6" max="6" width="11.5" style="34" customWidth="1"/>
    <col min="7" max="7" width="27.75" style="34" customWidth="1"/>
    <col min="8" max="8" width="9.5" style="34"/>
    <col min="9" max="9" width="11.5" style="34" customWidth="1"/>
    <col min="10" max="16384" width="9.5" style="34"/>
  </cols>
  <sheetData>
    <row r="1" spans="1:8" ht="27.95" customHeight="1">
      <c r="A1" s="112" t="s">
        <v>141</v>
      </c>
      <c r="B1" s="113"/>
      <c r="C1" s="113"/>
      <c r="D1" s="113"/>
      <c r="E1" s="113"/>
      <c r="F1" s="113"/>
      <c r="G1" s="113"/>
    </row>
    <row r="2" spans="1:8">
      <c r="A2" s="35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36" t="s">
        <v>7</v>
      </c>
    </row>
    <row r="3" spans="1:8">
      <c r="A3" s="37" t="s">
        <v>8</v>
      </c>
      <c r="B3" s="38" t="s">
        <v>53</v>
      </c>
      <c r="C3" s="39"/>
      <c r="D3" s="40"/>
      <c r="E3" s="38"/>
      <c r="F3" s="41">
        <f>部件抵岸前部分!F14</f>
        <v>8427000</v>
      </c>
      <c r="G3" s="42" t="s">
        <v>54</v>
      </c>
    </row>
    <row r="4" spans="1:8">
      <c r="A4" s="37" t="s">
        <v>11</v>
      </c>
      <c r="B4" s="43" t="s">
        <v>55</v>
      </c>
      <c r="C4" s="44">
        <v>0.01</v>
      </c>
      <c r="D4" s="45" t="s">
        <v>8</v>
      </c>
      <c r="E4" s="38" t="s">
        <v>13</v>
      </c>
      <c r="F4" s="46">
        <f>ROUND($F$3*C4,0)</f>
        <v>84270</v>
      </c>
      <c r="G4" s="47" t="s">
        <v>29</v>
      </c>
    </row>
    <row r="5" spans="1:8">
      <c r="A5" s="37" t="s">
        <v>16</v>
      </c>
      <c r="B5" s="43" t="s">
        <v>56</v>
      </c>
      <c r="C5" s="44">
        <v>0.02</v>
      </c>
      <c r="D5" s="48" t="s">
        <v>8</v>
      </c>
      <c r="E5" s="38" t="s">
        <v>57</v>
      </c>
      <c r="F5" s="46">
        <f>ROUND($F$3*C5,0)</f>
        <v>168540</v>
      </c>
      <c r="G5" s="47" t="s">
        <v>29</v>
      </c>
    </row>
    <row r="6" spans="1:8">
      <c r="A6" s="37" t="s">
        <v>20</v>
      </c>
      <c r="B6" s="43" t="s">
        <v>58</v>
      </c>
      <c r="C6" s="44">
        <v>0.05</v>
      </c>
      <c r="D6" s="48" t="s">
        <v>8</v>
      </c>
      <c r="E6" s="38" t="s">
        <v>59</v>
      </c>
      <c r="F6" s="46">
        <f>ROUND($F$3*C6,0)</f>
        <v>421350</v>
      </c>
      <c r="G6" s="47" t="s">
        <v>29</v>
      </c>
    </row>
    <row r="7" spans="1:8">
      <c r="A7" s="35" t="s">
        <v>23</v>
      </c>
      <c r="B7" s="49" t="s">
        <v>60</v>
      </c>
      <c r="C7" s="35"/>
      <c r="D7" s="50"/>
      <c r="E7" s="51" t="s">
        <v>61</v>
      </c>
      <c r="F7" s="52">
        <f>SUM(F3:F6)</f>
        <v>9101160</v>
      </c>
      <c r="G7" s="53"/>
    </row>
    <row r="8" spans="1:8" ht="14.25">
      <c r="A8" s="37" t="s">
        <v>26</v>
      </c>
      <c r="B8" s="15" t="s">
        <v>62</v>
      </c>
      <c r="C8" s="16">
        <v>1.1599999999999999E-2</v>
      </c>
      <c r="D8" s="48" t="s">
        <v>23</v>
      </c>
      <c r="E8" s="38" t="s">
        <v>63</v>
      </c>
      <c r="F8" s="46">
        <f t="shared" ref="F8:F14" si="0">ROUND($F$7*C8,0)</f>
        <v>105573</v>
      </c>
      <c r="G8" s="17" t="s">
        <v>64</v>
      </c>
      <c r="H8" s="54"/>
    </row>
    <row r="9" spans="1:8">
      <c r="A9" s="37" t="s">
        <v>30</v>
      </c>
      <c r="B9" s="15" t="s">
        <v>65</v>
      </c>
      <c r="C9" s="16">
        <v>1.9E-2</v>
      </c>
      <c r="D9" s="45" t="s">
        <v>23</v>
      </c>
      <c r="E9" s="38" t="s">
        <v>32</v>
      </c>
      <c r="F9" s="46">
        <f t="shared" si="0"/>
        <v>172922</v>
      </c>
      <c r="G9" s="17" t="s">
        <v>66</v>
      </c>
    </row>
    <row r="10" spans="1:8">
      <c r="A10" s="37" t="s">
        <v>34</v>
      </c>
      <c r="B10" s="15" t="s">
        <v>67</v>
      </c>
      <c r="C10" s="16">
        <v>1E-3</v>
      </c>
      <c r="D10" s="45" t="s">
        <v>23</v>
      </c>
      <c r="E10" s="38" t="s">
        <v>36</v>
      </c>
      <c r="F10" s="46">
        <f t="shared" si="0"/>
        <v>9101</v>
      </c>
      <c r="G10" s="17" t="s">
        <v>68</v>
      </c>
    </row>
    <row r="11" spans="1:8">
      <c r="A11" s="37" t="s">
        <v>38</v>
      </c>
      <c r="B11" s="18" t="s">
        <v>69</v>
      </c>
      <c r="C11" s="16">
        <v>4.0000000000000001E-3</v>
      </c>
      <c r="D11" s="45" t="s">
        <v>23</v>
      </c>
      <c r="E11" s="38" t="s">
        <v>70</v>
      </c>
      <c r="F11" s="46">
        <f t="shared" si="0"/>
        <v>36405</v>
      </c>
      <c r="G11" s="19" t="s">
        <v>71</v>
      </c>
    </row>
    <row r="12" spans="1:8">
      <c r="A12" s="37" t="s">
        <v>41</v>
      </c>
      <c r="B12" s="15" t="s">
        <v>72</v>
      </c>
      <c r="C12" s="16">
        <v>3.3000000000000002E-2</v>
      </c>
      <c r="D12" s="45" t="s">
        <v>23</v>
      </c>
      <c r="E12" s="38" t="s">
        <v>47</v>
      </c>
      <c r="F12" s="46">
        <f t="shared" si="0"/>
        <v>300338</v>
      </c>
      <c r="G12" s="17" t="s">
        <v>73</v>
      </c>
    </row>
    <row r="13" spans="1:8">
      <c r="A13" s="37" t="s">
        <v>45</v>
      </c>
      <c r="B13" s="15" t="s">
        <v>74</v>
      </c>
      <c r="C13" s="16">
        <v>1.5E-3</v>
      </c>
      <c r="D13" s="45" t="s">
        <v>23</v>
      </c>
      <c r="E13" s="38" t="s">
        <v>75</v>
      </c>
      <c r="F13" s="46">
        <f t="shared" si="0"/>
        <v>13652</v>
      </c>
      <c r="G13" s="17" t="s">
        <v>76</v>
      </c>
    </row>
    <row r="14" spans="1:8">
      <c r="A14" s="37" t="s">
        <v>48</v>
      </c>
      <c r="B14" s="20" t="s">
        <v>77</v>
      </c>
      <c r="C14" s="21"/>
      <c r="D14" s="45" t="s">
        <v>23</v>
      </c>
      <c r="E14" s="38" t="s">
        <v>78</v>
      </c>
      <c r="F14" s="46">
        <f t="shared" si="0"/>
        <v>0</v>
      </c>
      <c r="G14" s="47"/>
    </row>
    <row r="15" spans="1:8">
      <c r="A15" s="35" t="s">
        <v>79</v>
      </c>
      <c r="B15" s="51" t="s">
        <v>60</v>
      </c>
      <c r="C15" s="55">
        <f>SUM(C8:C14)</f>
        <v>7.0099999999999996E-2</v>
      </c>
      <c r="D15" s="35"/>
      <c r="E15" s="51" t="s">
        <v>80</v>
      </c>
      <c r="F15" s="52">
        <f>SUM(F8:F14)</f>
        <v>637991</v>
      </c>
      <c r="G15" s="53"/>
    </row>
    <row r="16" spans="1:8" ht="25.5">
      <c r="A16" s="35" t="s">
        <v>81</v>
      </c>
      <c r="B16" s="38" t="s">
        <v>82</v>
      </c>
      <c r="C16" s="44">
        <v>4.3499999999999997E-2</v>
      </c>
      <c r="D16" s="44"/>
      <c r="E16" s="38" t="s">
        <v>83</v>
      </c>
      <c r="F16" s="46">
        <f>ROUND((F7+F15)*1*C16/2,0)</f>
        <v>211827</v>
      </c>
      <c r="G16" s="56" t="s">
        <v>84</v>
      </c>
    </row>
    <row r="17" spans="1:7">
      <c r="A17" s="37">
        <v>0</v>
      </c>
      <c r="B17" s="51" t="s">
        <v>85</v>
      </c>
      <c r="C17" s="57"/>
      <c r="D17" s="35"/>
      <c r="E17" s="51" t="s">
        <v>86</v>
      </c>
      <c r="F17" s="52">
        <f>ROUND(F7+F15+F16,0)</f>
        <v>9950978</v>
      </c>
      <c r="G17" s="58" t="s">
        <v>87</v>
      </c>
    </row>
    <row r="18" spans="1:7">
      <c r="A18" s="37" t="s">
        <v>88</v>
      </c>
      <c r="B18" s="38" t="s">
        <v>42</v>
      </c>
      <c r="C18" s="59"/>
      <c r="D18" s="37" t="s">
        <v>89</v>
      </c>
      <c r="E18" s="38"/>
      <c r="F18" s="46">
        <f>ROUND(F3/1.17*17%+(F4+F6)/1.11*11%+(F15-F8)/1.06*6%,0)</f>
        <v>1304679</v>
      </c>
      <c r="G18" s="47"/>
    </row>
    <row r="19" spans="1:7">
      <c r="A19" s="35" t="s">
        <v>90</v>
      </c>
      <c r="B19" s="51" t="s">
        <v>85</v>
      </c>
      <c r="C19" s="57"/>
      <c r="D19" s="35"/>
      <c r="E19" s="51" t="s">
        <v>91</v>
      </c>
      <c r="F19" s="52">
        <f>ROUND(F17-F18,-1)</f>
        <v>8646300</v>
      </c>
      <c r="G19" s="58" t="s">
        <v>92</v>
      </c>
    </row>
  </sheetData>
  <mergeCells count="1">
    <mergeCell ref="A1:G1"/>
  </mergeCells>
  <phoneticPr fontId="2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9"/>
  <sheetViews>
    <sheetView workbookViewId="0">
      <selection activeCell="I17" sqref="I17"/>
    </sheetView>
  </sheetViews>
  <sheetFormatPr defaultColWidth="8.75" defaultRowHeight="13.5"/>
  <cols>
    <col min="1" max="1" width="8.75" style="1"/>
    <col min="2" max="2" width="18.875" style="1" customWidth="1"/>
    <col min="3" max="3" width="12" style="1" customWidth="1"/>
    <col min="4" max="4" width="12.875" style="1" customWidth="1"/>
    <col min="5" max="5" width="16.5" style="1" customWidth="1"/>
    <col min="6" max="6" width="18.5" style="1" customWidth="1"/>
    <col min="7" max="7" width="24.5" style="1" customWidth="1"/>
    <col min="8" max="16384" width="8.75" style="1"/>
  </cols>
  <sheetData>
    <row r="1" spans="1:7" ht="28.5" customHeight="1">
      <c r="A1" s="114" t="s">
        <v>142</v>
      </c>
      <c r="B1" s="115"/>
      <c r="C1" s="115"/>
      <c r="D1" s="115"/>
      <c r="E1" s="115"/>
      <c r="F1" s="115"/>
      <c r="G1" s="115"/>
    </row>
    <row r="2" spans="1:7">
      <c r="A2" s="2" t="s">
        <v>143</v>
      </c>
      <c r="B2" s="2" t="s">
        <v>144</v>
      </c>
      <c r="C2" s="2" t="s">
        <v>145</v>
      </c>
      <c r="D2" s="2" t="s">
        <v>146</v>
      </c>
      <c r="E2" s="2" t="s">
        <v>147</v>
      </c>
      <c r="F2" s="2" t="s">
        <v>148</v>
      </c>
      <c r="G2" s="3" t="s">
        <v>149</v>
      </c>
    </row>
    <row r="3" spans="1:7">
      <c r="A3" s="4" t="s">
        <v>8</v>
      </c>
      <c r="B3" s="5" t="s">
        <v>150</v>
      </c>
      <c r="C3" s="6"/>
      <c r="D3" s="6"/>
      <c r="E3" s="5"/>
      <c r="F3" s="7">
        <v>1500000</v>
      </c>
      <c r="G3" s="8" t="s">
        <v>151</v>
      </c>
    </row>
    <row r="4" spans="1:7">
      <c r="A4" s="4" t="s">
        <v>11</v>
      </c>
      <c r="B4" s="5" t="s">
        <v>152</v>
      </c>
      <c r="C4" s="9">
        <v>0</v>
      </c>
      <c r="D4" s="4" t="s">
        <v>8</v>
      </c>
      <c r="E4" s="5" t="s">
        <v>153</v>
      </c>
      <c r="F4" s="7">
        <f>F3*C4</f>
        <v>0</v>
      </c>
      <c r="G4" s="10" t="s">
        <v>29</v>
      </c>
    </row>
    <row r="5" spans="1:7">
      <c r="A5" s="4" t="s">
        <v>16</v>
      </c>
      <c r="B5" s="5" t="s">
        <v>154</v>
      </c>
      <c r="C5" s="9">
        <v>0</v>
      </c>
      <c r="D5" s="4" t="s">
        <v>8</v>
      </c>
      <c r="E5" s="5" t="s">
        <v>155</v>
      </c>
      <c r="F5" s="7">
        <f>F3*C5</f>
        <v>0</v>
      </c>
      <c r="G5" s="10" t="s">
        <v>29</v>
      </c>
    </row>
    <row r="6" spans="1:7">
      <c r="A6" s="4" t="s">
        <v>20</v>
      </c>
      <c r="B6" s="5" t="s">
        <v>156</v>
      </c>
      <c r="C6" s="11">
        <v>0.05</v>
      </c>
      <c r="D6" s="4" t="s">
        <v>8</v>
      </c>
      <c r="E6" s="5" t="s">
        <v>157</v>
      </c>
      <c r="F6" s="7">
        <f>F3*C6</f>
        <v>75000</v>
      </c>
      <c r="G6" s="10" t="s">
        <v>29</v>
      </c>
    </row>
    <row r="7" spans="1:7">
      <c r="A7" s="2" t="s">
        <v>23</v>
      </c>
      <c r="B7" s="12" t="s">
        <v>158</v>
      </c>
      <c r="C7" s="2"/>
      <c r="D7" s="2"/>
      <c r="E7" s="12" t="s">
        <v>61</v>
      </c>
      <c r="F7" s="13">
        <f>F3+F4+F5+F6</f>
        <v>1575000</v>
      </c>
      <c r="G7" s="14"/>
    </row>
    <row r="8" spans="1:7">
      <c r="A8" s="4" t="s">
        <v>26</v>
      </c>
      <c r="B8" s="15" t="s">
        <v>62</v>
      </c>
      <c r="C8" s="16">
        <v>1.1599999999999999E-2</v>
      </c>
      <c r="D8" s="4" t="s">
        <v>23</v>
      </c>
      <c r="E8" s="5" t="s">
        <v>159</v>
      </c>
      <c r="F8" s="7">
        <f>ROUND($F$7*C8,0)</f>
        <v>18270</v>
      </c>
      <c r="G8" s="17" t="s">
        <v>64</v>
      </c>
    </row>
    <row r="9" spans="1:7">
      <c r="A9" s="4" t="s">
        <v>30</v>
      </c>
      <c r="B9" s="15" t="s">
        <v>65</v>
      </c>
      <c r="C9" s="16">
        <v>1.9E-2</v>
      </c>
      <c r="D9" s="4" t="s">
        <v>23</v>
      </c>
      <c r="E9" s="5" t="s">
        <v>160</v>
      </c>
      <c r="F9" s="7">
        <f t="shared" ref="F9:F14" si="0">ROUND($F$7*C9,0)</f>
        <v>29925</v>
      </c>
      <c r="G9" s="17" t="s">
        <v>66</v>
      </c>
    </row>
    <row r="10" spans="1:7" ht="24">
      <c r="A10" s="4" t="s">
        <v>34</v>
      </c>
      <c r="B10" s="15" t="s">
        <v>67</v>
      </c>
      <c r="C10" s="16">
        <v>1E-3</v>
      </c>
      <c r="D10" s="4" t="s">
        <v>23</v>
      </c>
      <c r="E10" s="5" t="s">
        <v>161</v>
      </c>
      <c r="F10" s="7">
        <f t="shared" si="0"/>
        <v>1575</v>
      </c>
      <c r="G10" s="17" t="s">
        <v>68</v>
      </c>
    </row>
    <row r="11" spans="1:7">
      <c r="A11" s="4" t="s">
        <v>38</v>
      </c>
      <c r="B11" s="18" t="s">
        <v>69</v>
      </c>
      <c r="C11" s="16">
        <v>4.0000000000000001E-3</v>
      </c>
      <c r="D11" s="4" t="s">
        <v>23</v>
      </c>
      <c r="E11" s="5" t="s">
        <v>162</v>
      </c>
      <c r="F11" s="7">
        <f t="shared" si="0"/>
        <v>6300</v>
      </c>
      <c r="G11" s="19" t="s">
        <v>71</v>
      </c>
    </row>
    <row r="12" spans="1:7">
      <c r="A12" s="4" t="s">
        <v>41</v>
      </c>
      <c r="B12" s="15" t="s">
        <v>72</v>
      </c>
      <c r="C12" s="16">
        <v>3.3000000000000002E-2</v>
      </c>
      <c r="D12" s="4" t="s">
        <v>23</v>
      </c>
      <c r="E12" s="5" t="s">
        <v>163</v>
      </c>
      <c r="F12" s="7">
        <f t="shared" si="0"/>
        <v>51975</v>
      </c>
      <c r="G12" s="17" t="s">
        <v>73</v>
      </c>
    </row>
    <row r="13" spans="1:7">
      <c r="A13" s="4" t="s">
        <v>45</v>
      </c>
      <c r="B13" s="15" t="s">
        <v>74</v>
      </c>
      <c r="C13" s="16">
        <v>1.5E-3</v>
      </c>
      <c r="D13" s="4" t="s">
        <v>23</v>
      </c>
      <c r="E13" s="5" t="s">
        <v>164</v>
      </c>
      <c r="F13" s="7">
        <f t="shared" si="0"/>
        <v>2363</v>
      </c>
      <c r="G13" s="17" t="s">
        <v>76</v>
      </c>
    </row>
    <row r="14" spans="1:7">
      <c r="A14" s="4" t="s">
        <v>48</v>
      </c>
      <c r="B14" s="20" t="s">
        <v>77</v>
      </c>
      <c r="C14" s="21"/>
      <c r="D14" s="4" t="s">
        <v>23</v>
      </c>
      <c r="E14" s="5" t="s">
        <v>165</v>
      </c>
      <c r="F14" s="7">
        <f t="shared" si="0"/>
        <v>0</v>
      </c>
      <c r="G14" s="10" t="s">
        <v>166</v>
      </c>
    </row>
    <row r="15" spans="1:7">
      <c r="A15" s="2" t="s">
        <v>79</v>
      </c>
      <c r="B15" s="12" t="s">
        <v>158</v>
      </c>
      <c r="C15" s="22">
        <f>SUM(C8:C14)</f>
        <v>7.0099999999999996E-2</v>
      </c>
      <c r="D15" s="2"/>
      <c r="E15" s="12" t="s">
        <v>80</v>
      </c>
      <c r="F15" s="13">
        <f>ROUND(SUM(F8:F14),0)</f>
        <v>110408</v>
      </c>
      <c r="G15" s="14"/>
    </row>
    <row r="16" spans="1:7" ht="24">
      <c r="A16" s="2" t="s">
        <v>81</v>
      </c>
      <c r="B16" s="5" t="s">
        <v>167</v>
      </c>
      <c r="C16" s="23">
        <v>4.3499999999999997E-2</v>
      </c>
      <c r="D16" s="4"/>
      <c r="E16" s="5" t="s">
        <v>168</v>
      </c>
      <c r="F16" s="13">
        <f>ROUND((F7+F15)*C16*1/2,0)</f>
        <v>36658</v>
      </c>
      <c r="G16" s="10" t="s">
        <v>84</v>
      </c>
    </row>
    <row r="17" spans="1:7">
      <c r="A17" s="4" t="s">
        <v>122</v>
      </c>
      <c r="B17" s="12" t="s">
        <v>169</v>
      </c>
      <c r="C17" s="24"/>
      <c r="D17" s="2"/>
      <c r="E17" s="12" t="s">
        <v>86</v>
      </c>
      <c r="F17" s="13">
        <f>ROUND((F7+F15+F16),0)</f>
        <v>1722066</v>
      </c>
      <c r="G17" s="8" t="s">
        <v>87</v>
      </c>
    </row>
    <row r="18" spans="1:7">
      <c r="A18" s="25" t="s">
        <v>88</v>
      </c>
      <c r="B18" s="26" t="s">
        <v>42</v>
      </c>
      <c r="C18" s="27"/>
      <c r="D18" s="25" t="s">
        <v>170</v>
      </c>
      <c r="E18" s="26"/>
      <c r="F18" s="13">
        <f>ROUND(F3/1.17*17%+(F4+F6)/1.11*11%+(F15-F8)/1.06*6%,0)</f>
        <v>230597</v>
      </c>
      <c r="G18" s="28"/>
    </row>
    <row r="19" spans="1:7">
      <c r="A19" s="29" t="s">
        <v>90</v>
      </c>
      <c r="B19" s="30" t="s">
        <v>171</v>
      </c>
      <c r="C19" s="31"/>
      <c r="D19" s="29"/>
      <c r="E19" s="12" t="s">
        <v>91</v>
      </c>
      <c r="F19" s="32">
        <f>ROUND(F17-F18,-1)</f>
        <v>1491470</v>
      </c>
      <c r="G19" s="33" t="s">
        <v>92</v>
      </c>
    </row>
  </sheetData>
  <mergeCells count="1">
    <mergeCell ref="A1:G1"/>
  </mergeCells>
  <phoneticPr fontId="2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17"/>
  <sheetViews>
    <sheetView workbookViewId="0">
      <selection activeCell="G18" sqref="G18"/>
    </sheetView>
  </sheetViews>
  <sheetFormatPr defaultColWidth="9.5" defaultRowHeight="13.5"/>
  <cols>
    <col min="1" max="1" width="9.5" style="1"/>
    <col min="2" max="2" width="13.25" style="1" customWidth="1"/>
    <col min="3" max="4" width="9.5" style="1"/>
    <col min="5" max="5" width="17" style="1" customWidth="1"/>
    <col min="6" max="6" width="13.375" style="1" customWidth="1"/>
    <col min="7" max="7" width="19.875" style="1" customWidth="1"/>
    <col min="8" max="8" width="16.75" style="1" customWidth="1"/>
    <col min="9" max="16384" width="9.5" style="1"/>
  </cols>
  <sheetData>
    <row r="1" spans="1:9" ht="23.45" customHeight="1">
      <c r="A1" s="111" t="s">
        <v>172</v>
      </c>
      <c r="B1" s="111"/>
      <c r="C1" s="111"/>
      <c r="D1" s="111"/>
      <c r="E1" s="111"/>
      <c r="F1" s="111"/>
      <c r="G1" s="111"/>
    </row>
    <row r="2" spans="1:9">
      <c r="A2" s="61" t="s">
        <v>1</v>
      </c>
      <c r="B2" s="62" t="s">
        <v>2</v>
      </c>
      <c r="C2" s="62" t="s">
        <v>3</v>
      </c>
      <c r="D2" s="62" t="s">
        <v>4</v>
      </c>
      <c r="E2" s="62" t="s">
        <v>5</v>
      </c>
      <c r="F2" s="62" t="s">
        <v>6</v>
      </c>
      <c r="G2" s="63" t="s">
        <v>7</v>
      </c>
    </row>
    <row r="3" spans="1:9" ht="24">
      <c r="A3" s="64" t="s">
        <v>8</v>
      </c>
      <c r="B3" s="38" t="s">
        <v>9</v>
      </c>
      <c r="C3" s="39"/>
      <c r="D3" s="40"/>
      <c r="E3" s="38"/>
      <c r="F3" s="46">
        <v>550000</v>
      </c>
      <c r="G3" s="65" t="s">
        <v>10</v>
      </c>
    </row>
    <row r="4" spans="1:9">
      <c r="A4" s="64" t="s">
        <v>11</v>
      </c>
      <c r="B4" s="20" t="s">
        <v>12</v>
      </c>
      <c r="C4" s="44">
        <v>0.03</v>
      </c>
      <c r="D4" s="45" t="s">
        <v>8</v>
      </c>
      <c r="E4" s="38" t="s">
        <v>13</v>
      </c>
      <c r="F4" s="46">
        <f>ROUND($F$3*C4,0)</f>
        <v>16500</v>
      </c>
      <c r="G4" s="65"/>
      <c r="H4" s="66" t="s">
        <v>14</v>
      </c>
      <c r="I4" s="66" t="s">
        <v>15</v>
      </c>
    </row>
    <row r="5" spans="1:9">
      <c r="A5" s="64" t="s">
        <v>16</v>
      </c>
      <c r="B5" s="20" t="s">
        <v>17</v>
      </c>
      <c r="C5" s="44">
        <v>4.0000000000000001E-3</v>
      </c>
      <c r="D5" s="48" t="s">
        <v>18</v>
      </c>
      <c r="E5" s="38" t="s">
        <v>19</v>
      </c>
      <c r="F5" s="46">
        <f>ROUND(($F$3+$F$3*C4)/(1-C5)*C5,0)</f>
        <v>2275</v>
      </c>
      <c r="G5" s="65"/>
      <c r="H5" s="34"/>
    </row>
    <row r="6" spans="1:9" ht="24">
      <c r="A6" s="64" t="s">
        <v>20</v>
      </c>
      <c r="B6" s="20" t="s">
        <v>21</v>
      </c>
      <c r="C6" s="67">
        <v>6.3392999999999997</v>
      </c>
      <c r="D6" s="48"/>
      <c r="E6" s="38"/>
      <c r="F6" s="46"/>
      <c r="G6" s="65" t="s">
        <v>22</v>
      </c>
    </row>
    <row r="7" spans="1:9">
      <c r="A7" s="64" t="s">
        <v>23</v>
      </c>
      <c r="B7" s="20" t="s">
        <v>24</v>
      </c>
      <c r="C7" s="44"/>
      <c r="D7" s="48"/>
      <c r="E7" s="38" t="s">
        <v>25</v>
      </c>
      <c r="F7" s="46">
        <f>ROUND((F3+F4+F5)*C6,0)</f>
        <v>3605635</v>
      </c>
      <c r="G7" s="65"/>
    </row>
    <row r="8" spans="1:9" ht="24">
      <c r="A8" s="64" t="s">
        <v>26</v>
      </c>
      <c r="B8" s="20" t="s">
        <v>27</v>
      </c>
      <c r="C8" s="44">
        <v>1.5E-3</v>
      </c>
      <c r="D8" s="48" t="s">
        <v>8</v>
      </c>
      <c r="E8" s="38" t="s">
        <v>28</v>
      </c>
      <c r="F8" s="46">
        <f>ROUND($F$3*C6*C8,0)</f>
        <v>5230</v>
      </c>
      <c r="G8" s="65" t="s">
        <v>29</v>
      </c>
    </row>
    <row r="9" spans="1:9">
      <c r="A9" s="64" t="s">
        <v>30</v>
      </c>
      <c r="B9" s="20" t="s">
        <v>31</v>
      </c>
      <c r="C9" s="68">
        <v>0.01</v>
      </c>
      <c r="D9" s="48" t="s">
        <v>26</v>
      </c>
      <c r="E9" s="38" t="s">
        <v>32</v>
      </c>
      <c r="F9" s="46">
        <f>ROUND($F$7*C9,0)</f>
        <v>36056</v>
      </c>
      <c r="G9" s="65" t="s">
        <v>33</v>
      </c>
    </row>
    <row r="10" spans="1:9">
      <c r="A10" s="64" t="s">
        <v>34</v>
      </c>
      <c r="B10" s="20" t="s">
        <v>35</v>
      </c>
      <c r="C10" s="68">
        <v>0.1</v>
      </c>
      <c r="D10" s="45" t="s">
        <v>26</v>
      </c>
      <c r="E10" s="38" t="s">
        <v>36</v>
      </c>
      <c r="F10" s="46">
        <f>ROUND($F$7*C10,0)</f>
        <v>360564</v>
      </c>
      <c r="G10" s="69" t="s">
        <v>37</v>
      </c>
    </row>
    <row r="11" spans="1:9">
      <c r="A11" s="64" t="s">
        <v>38</v>
      </c>
      <c r="B11" s="20" t="s">
        <v>39</v>
      </c>
      <c r="C11" s="68">
        <v>0</v>
      </c>
      <c r="D11" s="45" t="s">
        <v>26</v>
      </c>
      <c r="E11" s="38" t="s">
        <v>40</v>
      </c>
      <c r="F11" s="46">
        <f>ROUND(($F$7+$H$10)/(1-C11)*C11,0)</f>
        <v>0</v>
      </c>
      <c r="G11" s="69"/>
    </row>
    <row r="12" spans="1:9">
      <c r="A12" s="64" t="s">
        <v>41</v>
      </c>
      <c r="B12" s="20" t="s">
        <v>42</v>
      </c>
      <c r="C12" s="68">
        <v>0.17</v>
      </c>
      <c r="D12" s="45" t="s">
        <v>26</v>
      </c>
      <c r="E12" s="38" t="s">
        <v>43</v>
      </c>
      <c r="F12" s="46">
        <f>ROUND((F7+F10+F11)*C12,0)</f>
        <v>674254</v>
      </c>
      <c r="G12" s="65" t="s">
        <v>44</v>
      </c>
    </row>
    <row r="13" spans="1:9">
      <c r="A13" s="64" t="s">
        <v>45</v>
      </c>
      <c r="B13" s="20" t="s">
        <v>46</v>
      </c>
      <c r="C13" s="68">
        <v>3.0000000000000001E-3</v>
      </c>
      <c r="D13" s="45" t="s">
        <v>26</v>
      </c>
      <c r="E13" s="38" t="s">
        <v>47</v>
      </c>
      <c r="F13" s="46">
        <f>ROUND($F$7*C13,0)</f>
        <v>10817</v>
      </c>
      <c r="G13" s="69"/>
    </row>
    <row r="14" spans="1:9" ht="24.75">
      <c r="A14" s="70" t="s">
        <v>48</v>
      </c>
      <c r="B14" s="71" t="s">
        <v>49</v>
      </c>
      <c r="C14" s="72"/>
      <c r="D14" s="73"/>
      <c r="E14" s="74" t="s">
        <v>50</v>
      </c>
      <c r="F14" s="75">
        <f>ROUND(SUM(F7:F12),-3)</f>
        <v>4682000</v>
      </c>
      <c r="G14" s="76"/>
    </row>
    <row r="17" spans="7:7">
      <c r="G17" s="60" t="s">
        <v>173</v>
      </c>
    </row>
  </sheetData>
  <mergeCells count="1">
    <mergeCell ref="A1:G1"/>
  </mergeCells>
  <phoneticPr fontId="22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22"/>
  <sheetViews>
    <sheetView workbookViewId="0">
      <selection activeCell="I21" sqref="I21"/>
    </sheetView>
  </sheetViews>
  <sheetFormatPr defaultColWidth="9.5" defaultRowHeight="13.5"/>
  <cols>
    <col min="1" max="1" width="6.875" style="34" customWidth="1"/>
    <col min="2" max="2" width="14" style="34" customWidth="1"/>
    <col min="3" max="3" width="9.375" style="34" customWidth="1"/>
    <col min="4" max="4" width="9.5" style="34" customWidth="1"/>
    <col min="5" max="5" width="11.5" style="34" customWidth="1"/>
    <col min="6" max="6" width="12.625" style="34" customWidth="1"/>
    <col min="7" max="7" width="27.75" style="34" customWidth="1"/>
    <col min="8" max="8" width="9.5" style="34"/>
    <col min="9" max="9" width="11.5" style="34" customWidth="1"/>
    <col min="10" max="16384" width="9.5" style="34"/>
  </cols>
  <sheetData>
    <row r="1" spans="1:8" ht="27.95" customHeight="1">
      <c r="A1" s="112" t="s">
        <v>174</v>
      </c>
      <c r="B1" s="113"/>
      <c r="C1" s="113"/>
      <c r="D1" s="113"/>
      <c r="E1" s="113"/>
      <c r="F1" s="113"/>
      <c r="G1" s="113"/>
    </row>
    <row r="2" spans="1:8">
      <c r="A2" s="35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36" t="s">
        <v>7</v>
      </c>
    </row>
    <row r="3" spans="1:8">
      <c r="A3" s="37" t="s">
        <v>8</v>
      </c>
      <c r="B3" s="38" t="s">
        <v>53</v>
      </c>
      <c r="C3" s="39"/>
      <c r="D3" s="40"/>
      <c r="E3" s="38"/>
      <c r="F3" s="41">
        <f>苏州抵岸前部分!F14</f>
        <v>4682000</v>
      </c>
      <c r="G3" s="42" t="s">
        <v>54</v>
      </c>
    </row>
    <row r="4" spans="1:8">
      <c r="A4" s="37" t="s">
        <v>11</v>
      </c>
      <c r="B4" s="43" t="s">
        <v>55</v>
      </c>
      <c r="C4" s="44">
        <v>0.01</v>
      </c>
      <c r="D4" s="45" t="s">
        <v>8</v>
      </c>
      <c r="E4" s="38" t="s">
        <v>13</v>
      </c>
      <c r="F4" s="46">
        <f>ROUND($F$3*C4,0)</f>
        <v>46820</v>
      </c>
      <c r="G4" s="47" t="s">
        <v>29</v>
      </c>
    </row>
    <row r="5" spans="1:8">
      <c r="A5" s="37" t="s">
        <v>16</v>
      </c>
      <c r="B5" s="43" t="s">
        <v>56</v>
      </c>
      <c r="C5" s="44">
        <v>0.02</v>
      </c>
      <c r="D5" s="48" t="s">
        <v>8</v>
      </c>
      <c r="E5" s="38" t="s">
        <v>57</v>
      </c>
      <c r="F5" s="46">
        <f>ROUND($F$3*C5,0)</f>
        <v>93640</v>
      </c>
      <c r="G5" s="47" t="s">
        <v>29</v>
      </c>
    </row>
    <row r="6" spans="1:8">
      <c r="A6" s="37" t="s">
        <v>20</v>
      </c>
      <c r="B6" s="43" t="s">
        <v>58</v>
      </c>
      <c r="C6" s="44">
        <v>0.05</v>
      </c>
      <c r="D6" s="48" t="s">
        <v>8</v>
      </c>
      <c r="E6" s="38" t="s">
        <v>59</v>
      </c>
      <c r="F6" s="46">
        <f>ROUND($F$3*C6,0)</f>
        <v>234100</v>
      </c>
      <c r="G6" s="47" t="s">
        <v>29</v>
      </c>
    </row>
    <row r="7" spans="1:8">
      <c r="A7" s="35" t="s">
        <v>23</v>
      </c>
      <c r="B7" s="49" t="s">
        <v>60</v>
      </c>
      <c r="C7" s="35"/>
      <c r="D7" s="50"/>
      <c r="E7" s="51" t="s">
        <v>61</v>
      </c>
      <c r="F7" s="52">
        <f>SUM(F3:F6)</f>
        <v>5056560</v>
      </c>
      <c r="G7" s="53"/>
    </row>
    <row r="8" spans="1:8" ht="14.25">
      <c r="A8" s="37" t="s">
        <v>26</v>
      </c>
      <c r="B8" s="15" t="s">
        <v>62</v>
      </c>
      <c r="C8" s="16">
        <v>1.2699999999999999E-2</v>
      </c>
      <c r="D8" s="48" t="s">
        <v>23</v>
      </c>
      <c r="E8" s="38" t="s">
        <v>63</v>
      </c>
      <c r="F8" s="46">
        <f t="shared" ref="F8:F14" si="0">ROUND($F$7*C8,0)</f>
        <v>64218</v>
      </c>
      <c r="G8" s="17" t="s">
        <v>64</v>
      </c>
      <c r="H8" s="54"/>
    </row>
    <row r="9" spans="1:8">
      <c r="A9" s="37" t="s">
        <v>30</v>
      </c>
      <c r="B9" s="15" t="s">
        <v>65</v>
      </c>
      <c r="C9" s="16">
        <v>0.02</v>
      </c>
      <c r="D9" s="45" t="s">
        <v>23</v>
      </c>
      <c r="E9" s="38" t="s">
        <v>32</v>
      </c>
      <c r="F9" s="46">
        <f t="shared" si="0"/>
        <v>101131</v>
      </c>
      <c r="G9" s="17" t="s">
        <v>66</v>
      </c>
    </row>
    <row r="10" spans="1:8">
      <c r="A10" s="37" t="s">
        <v>34</v>
      </c>
      <c r="B10" s="15" t="s">
        <v>67</v>
      </c>
      <c r="C10" s="16">
        <v>1.2999999999999999E-3</v>
      </c>
      <c r="D10" s="45" t="s">
        <v>23</v>
      </c>
      <c r="E10" s="38" t="s">
        <v>36</v>
      </c>
      <c r="F10" s="46">
        <f t="shared" si="0"/>
        <v>6574</v>
      </c>
      <c r="G10" s="17" t="s">
        <v>68</v>
      </c>
    </row>
    <row r="11" spans="1:8">
      <c r="A11" s="37" t="s">
        <v>38</v>
      </c>
      <c r="B11" s="18" t="s">
        <v>69</v>
      </c>
      <c r="C11" s="16">
        <v>5.0000000000000001E-3</v>
      </c>
      <c r="D11" s="45" t="s">
        <v>23</v>
      </c>
      <c r="E11" s="38" t="s">
        <v>70</v>
      </c>
      <c r="F11" s="46">
        <f t="shared" si="0"/>
        <v>25283</v>
      </c>
      <c r="G11" s="19" t="s">
        <v>71</v>
      </c>
    </row>
    <row r="12" spans="1:8">
      <c r="A12" s="37" t="s">
        <v>41</v>
      </c>
      <c r="B12" s="15" t="s">
        <v>72</v>
      </c>
      <c r="C12" s="16">
        <v>3.5000000000000003E-2</v>
      </c>
      <c r="D12" s="45" t="s">
        <v>23</v>
      </c>
      <c r="E12" s="38" t="s">
        <v>47</v>
      </c>
      <c r="F12" s="46">
        <f t="shared" si="0"/>
        <v>176980</v>
      </c>
      <c r="G12" s="17" t="s">
        <v>73</v>
      </c>
    </row>
    <row r="13" spans="1:8">
      <c r="A13" s="37" t="s">
        <v>45</v>
      </c>
      <c r="B13" s="15" t="s">
        <v>74</v>
      </c>
      <c r="C13" s="16">
        <v>2.2000000000000001E-3</v>
      </c>
      <c r="D13" s="45" t="s">
        <v>23</v>
      </c>
      <c r="E13" s="38" t="s">
        <v>75</v>
      </c>
      <c r="F13" s="46">
        <f t="shared" si="0"/>
        <v>11124</v>
      </c>
      <c r="G13" s="17" t="s">
        <v>76</v>
      </c>
    </row>
    <row r="14" spans="1:8">
      <c r="A14" s="37" t="s">
        <v>48</v>
      </c>
      <c r="B14" s="20" t="s">
        <v>77</v>
      </c>
      <c r="C14" s="21"/>
      <c r="D14" s="45" t="s">
        <v>23</v>
      </c>
      <c r="E14" s="38" t="s">
        <v>78</v>
      </c>
      <c r="F14" s="46">
        <f t="shared" si="0"/>
        <v>0</v>
      </c>
      <c r="G14" s="47"/>
    </row>
    <row r="15" spans="1:8">
      <c r="A15" s="35" t="s">
        <v>79</v>
      </c>
      <c r="B15" s="51" t="s">
        <v>60</v>
      </c>
      <c r="C15" s="55">
        <f>SUM(C8:C14)</f>
        <v>7.6200000000000004E-2</v>
      </c>
      <c r="D15" s="35"/>
      <c r="E15" s="51" t="s">
        <v>80</v>
      </c>
      <c r="F15" s="52">
        <f>SUM(F8:F14)</f>
        <v>385310</v>
      </c>
      <c r="G15" s="53"/>
    </row>
    <row r="16" spans="1:8" ht="25.5">
      <c r="A16" s="35" t="s">
        <v>81</v>
      </c>
      <c r="B16" s="38" t="s">
        <v>82</v>
      </c>
      <c r="C16" s="44">
        <v>4.3499999999999997E-2</v>
      </c>
      <c r="D16" s="44"/>
      <c r="E16" s="38" t="s">
        <v>83</v>
      </c>
      <c r="F16" s="46">
        <f>ROUND((F7+F15)*1*C16/2,0)</f>
        <v>118361</v>
      </c>
      <c r="G16" s="56" t="s">
        <v>84</v>
      </c>
    </row>
    <row r="17" spans="1:7">
      <c r="A17" s="37">
        <v>0</v>
      </c>
      <c r="B17" s="51" t="s">
        <v>85</v>
      </c>
      <c r="C17" s="57"/>
      <c r="D17" s="35"/>
      <c r="E17" s="51" t="s">
        <v>86</v>
      </c>
      <c r="F17" s="52">
        <f>ROUND(F7+F15+F16,0)</f>
        <v>5560231</v>
      </c>
      <c r="G17" s="58" t="s">
        <v>87</v>
      </c>
    </row>
    <row r="18" spans="1:7">
      <c r="A18" s="37" t="s">
        <v>88</v>
      </c>
      <c r="B18" s="38" t="s">
        <v>42</v>
      </c>
      <c r="C18" s="59"/>
      <c r="D18" s="37" t="s">
        <v>89</v>
      </c>
      <c r="E18" s="38"/>
      <c r="F18" s="46">
        <f>ROUND(F3/1.17*17%+(F4+F6)/1.11*11%+(F15-F8)/1.06*6%,0)</f>
        <v>726305</v>
      </c>
      <c r="G18" s="47"/>
    </row>
    <row r="19" spans="1:7">
      <c r="A19" s="35" t="s">
        <v>90</v>
      </c>
      <c r="B19" s="51" t="s">
        <v>85</v>
      </c>
      <c r="C19" s="57"/>
      <c r="D19" s="35"/>
      <c r="E19" s="51" t="s">
        <v>91</v>
      </c>
      <c r="F19" s="52">
        <f>ROUND(F17-F18,-1)</f>
        <v>4833930</v>
      </c>
      <c r="G19" s="58" t="s">
        <v>92</v>
      </c>
    </row>
    <row r="22" spans="1:7">
      <c r="G22" s="60"/>
    </row>
  </sheetData>
  <mergeCells count="1">
    <mergeCell ref="A1:G1"/>
  </mergeCells>
  <phoneticPr fontId="2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9"/>
  <sheetViews>
    <sheetView workbookViewId="0">
      <selection activeCell="J18" sqref="J18"/>
    </sheetView>
  </sheetViews>
  <sheetFormatPr defaultColWidth="8.75" defaultRowHeight="13.5"/>
  <cols>
    <col min="1" max="1" width="7.375" style="1" customWidth="1"/>
    <col min="2" max="2" width="15.625" style="1" customWidth="1"/>
    <col min="3" max="3" width="9.375" style="1" customWidth="1"/>
    <col min="4" max="4" width="9.125" style="1" customWidth="1"/>
    <col min="5" max="5" width="14.375" style="1" customWidth="1"/>
    <col min="6" max="6" width="15.125" style="1" customWidth="1"/>
    <col min="7" max="7" width="24.5" style="1" customWidth="1"/>
    <col min="8" max="16384" width="8.75" style="1"/>
  </cols>
  <sheetData>
    <row r="1" spans="1:7" ht="28.5" customHeight="1">
      <c r="A1" s="114" t="s">
        <v>175</v>
      </c>
      <c r="B1" s="115"/>
      <c r="C1" s="115"/>
      <c r="D1" s="115"/>
      <c r="E1" s="115"/>
      <c r="F1" s="115"/>
      <c r="G1" s="115"/>
    </row>
    <row r="2" spans="1:7">
      <c r="A2" s="2" t="s">
        <v>143</v>
      </c>
      <c r="B2" s="2" t="s">
        <v>144</v>
      </c>
      <c r="C2" s="2" t="s">
        <v>145</v>
      </c>
      <c r="D2" s="2" t="s">
        <v>146</v>
      </c>
      <c r="E2" s="2" t="s">
        <v>147</v>
      </c>
      <c r="F2" s="2" t="s">
        <v>148</v>
      </c>
      <c r="G2" s="3" t="s">
        <v>149</v>
      </c>
    </row>
    <row r="3" spans="1:7">
      <c r="A3" s="4" t="s">
        <v>8</v>
      </c>
      <c r="B3" s="5" t="s">
        <v>150</v>
      </c>
      <c r="C3" s="6"/>
      <c r="D3" s="6"/>
      <c r="E3" s="5"/>
      <c r="F3" s="7">
        <v>1150000</v>
      </c>
      <c r="G3" s="8" t="s">
        <v>151</v>
      </c>
    </row>
    <row r="4" spans="1:7">
      <c r="A4" s="4" t="s">
        <v>11</v>
      </c>
      <c r="B4" s="5" t="s">
        <v>152</v>
      </c>
      <c r="C4" s="9">
        <v>0</v>
      </c>
      <c r="D4" s="4" t="s">
        <v>8</v>
      </c>
      <c r="E4" s="5" t="s">
        <v>153</v>
      </c>
      <c r="F4" s="7">
        <f>F3*C4</f>
        <v>0</v>
      </c>
      <c r="G4" s="10" t="s">
        <v>29</v>
      </c>
    </row>
    <row r="5" spans="1:7">
      <c r="A5" s="4" t="s">
        <v>16</v>
      </c>
      <c r="B5" s="5" t="s">
        <v>154</v>
      </c>
      <c r="C5" s="9">
        <v>0</v>
      </c>
      <c r="D5" s="4" t="s">
        <v>8</v>
      </c>
      <c r="E5" s="5" t="s">
        <v>155</v>
      </c>
      <c r="F5" s="7">
        <f>F3*C5</f>
        <v>0</v>
      </c>
      <c r="G5" s="10" t="s">
        <v>29</v>
      </c>
    </row>
    <row r="6" spans="1:7">
      <c r="A6" s="4" t="s">
        <v>20</v>
      </c>
      <c r="B6" s="5" t="s">
        <v>156</v>
      </c>
      <c r="C6" s="11">
        <v>0.05</v>
      </c>
      <c r="D6" s="4" t="s">
        <v>8</v>
      </c>
      <c r="E6" s="5" t="s">
        <v>157</v>
      </c>
      <c r="F6" s="7">
        <f>F3*C6</f>
        <v>57500</v>
      </c>
      <c r="G6" s="10" t="s">
        <v>29</v>
      </c>
    </row>
    <row r="7" spans="1:7">
      <c r="A7" s="2" t="s">
        <v>23</v>
      </c>
      <c r="B7" s="12" t="s">
        <v>158</v>
      </c>
      <c r="C7" s="2"/>
      <c r="D7" s="2"/>
      <c r="E7" s="12" t="s">
        <v>61</v>
      </c>
      <c r="F7" s="13">
        <f>F3+F4+F5+F6</f>
        <v>1207500</v>
      </c>
      <c r="G7" s="14"/>
    </row>
    <row r="8" spans="1:7">
      <c r="A8" s="4" t="s">
        <v>26</v>
      </c>
      <c r="B8" s="15" t="s">
        <v>62</v>
      </c>
      <c r="C8" s="16">
        <v>1.2699999999999999E-2</v>
      </c>
      <c r="D8" s="4" t="s">
        <v>23</v>
      </c>
      <c r="E8" s="5" t="s">
        <v>159</v>
      </c>
      <c r="F8" s="7">
        <f>ROUND($F$7*C8,0)</f>
        <v>15335</v>
      </c>
      <c r="G8" s="17" t="s">
        <v>64</v>
      </c>
    </row>
    <row r="9" spans="1:7">
      <c r="A9" s="4" t="s">
        <v>30</v>
      </c>
      <c r="B9" s="15" t="s">
        <v>65</v>
      </c>
      <c r="C9" s="16">
        <v>0.02</v>
      </c>
      <c r="D9" s="4" t="s">
        <v>23</v>
      </c>
      <c r="E9" s="5" t="s">
        <v>160</v>
      </c>
      <c r="F9" s="7">
        <f t="shared" ref="F9:F14" si="0">ROUND($F$7*C9,0)</f>
        <v>24150</v>
      </c>
      <c r="G9" s="17" t="s">
        <v>66</v>
      </c>
    </row>
    <row r="10" spans="1:7" ht="24">
      <c r="A10" s="4" t="s">
        <v>34</v>
      </c>
      <c r="B10" s="15" t="s">
        <v>67</v>
      </c>
      <c r="C10" s="16">
        <v>1.2999999999999999E-3</v>
      </c>
      <c r="D10" s="4" t="s">
        <v>23</v>
      </c>
      <c r="E10" s="5" t="s">
        <v>161</v>
      </c>
      <c r="F10" s="7">
        <f t="shared" si="0"/>
        <v>1570</v>
      </c>
      <c r="G10" s="17" t="s">
        <v>68</v>
      </c>
    </row>
    <row r="11" spans="1:7">
      <c r="A11" s="4" t="s">
        <v>38</v>
      </c>
      <c r="B11" s="18" t="s">
        <v>69</v>
      </c>
      <c r="C11" s="16">
        <v>5.0000000000000001E-3</v>
      </c>
      <c r="D11" s="4" t="s">
        <v>23</v>
      </c>
      <c r="E11" s="5" t="s">
        <v>162</v>
      </c>
      <c r="F11" s="7">
        <f t="shared" si="0"/>
        <v>6038</v>
      </c>
      <c r="G11" s="19" t="s">
        <v>71</v>
      </c>
    </row>
    <row r="12" spans="1:7">
      <c r="A12" s="4" t="s">
        <v>41</v>
      </c>
      <c r="B12" s="15" t="s">
        <v>72</v>
      </c>
      <c r="C12" s="16">
        <v>3.5000000000000003E-2</v>
      </c>
      <c r="D12" s="4" t="s">
        <v>23</v>
      </c>
      <c r="E12" s="5" t="s">
        <v>163</v>
      </c>
      <c r="F12" s="7">
        <f t="shared" si="0"/>
        <v>42263</v>
      </c>
      <c r="G12" s="17" t="s">
        <v>73</v>
      </c>
    </row>
    <row r="13" spans="1:7">
      <c r="A13" s="4" t="s">
        <v>45</v>
      </c>
      <c r="B13" s="15" t="s">
        <v>74</v>
      </c>
      <c r="C13" s="16">
        <v>2.2000000000000001E-3</v>
      </c>
      <c r="D13" s="4" t="s">
        <v>23</v>
      </c>
      <c r="E13" s="5" t="s">
        <v>164</v>
      </c>
      <c r="F13" s="7">
        <f t="shared" si="0"/>
        <v>2657</v>
      </c>
      <c r="G13" s="17" t="s">
        <v>76</v>
      </c>
    </row>
    <row r="14" spans="1:7">
      <c r="A14" s="4" t="s">
        <v>48</v>
      </c>
      <c r="B14" s="20" t="s">
        <v>77</v>
      </c>
      <c r="C14" s="21"/>
      <c r="D14" s="4" t="s">
        <v>23</v>
      </c>
      <c r="E14" s="5" t="s">
        <v>165</v>
      </c>
      <c r="F14" s="7">
        <f t="shared" si="0"/>
        <v>0</v>
      </c>
      <c r="G14" s="10"/>
    </row>
    <row r="15" spans="1:7">
      <c r="A15" s="2" t="s">
        <v>79</v>
      </c>
      <c r="B15" s="12" t="s">
        <v>158</v>
      </c>
      <c r="C15" s="22">
        <f>SUM(C8:C14)</f>
        <v>7.6200000000000004E-2</v>
      </c>
      <c r="D15" s="2"/>
      <c r="E15" s="12" t="s">
        <v>80</v>
      </c>
      <c r="F15" s="13">
        <f>ROUND(SUM(F8:F14),0)</f>
        <v>92013</v>
      </c>
      <c r="G15" s="14"/>
    </row>
    <row r="16" spans="1:7" ht="24">
      <c r="A16" s="2" t="s">
        <v>81</v>
      </c>
      <c r="B16" s="5" t="s">
        <v>167</v>
      </c>
      <c r="C16" s="23">
        <v>4.3499999999999997E-2</v>
      </c>
      <c r="D16" s="4"/>
      <c r="E16" s="5" t="s">
        <v>168</v>
      </c>
      <c r="F16" s="13">
        <f>ROUND((F7+F15)*C16*1/2,0)</f>
        <v>28264</v>
      </c>
      <c r="G16" s="10" t="s">
        <v>84</v>
      </c>
    </row>
    <row r="17" spans="1:7">
      <c r="A17" s="4" t="s">
        <v>122</v>
      </c>
      <c r="B17" s="12" t="s">
        <v>169</v>
      </c>
      <c r="C17" s="24"/>
      <c r="D17" s="2"/>
      <c r="E17" s="12" t="s">
        <v>86</v>
      </c>
      <c r="F17" s="13">
        <f>ROUND((F7+F15+F16),-1)</f>
        <v>1327780</v>
      </c>
      <c r="G17" s="8" t="s">
        <v>87</v>
      </c>
    </row>
    <row r="18" spans="1:7">
      <c r="A18" s="25" t="s">
        <v>88</v>
      </c>
      <c r="B18" s="26" t="s">
        <v>42</v>
      </c>
      <c r="C18" s="27"/>
      <c r="D18" s="25" t="s">
        <v>170</v>
      </c>
      <c r="E18" s="26"/>
      <c r="F18" s="13">
        <f>ROUND(F3/1.17*17%+(F4+F6)/1.11*11%+(F15-F8)/1.06*6%,0)</f>
        <v>177132</v>
      </c>
      <c r="G18" s="28"/>
    </row>
    <row r="19" spans="1:7">
      <c r="A19" s="29" t="s">
        <v>90</v>
      </c>
      <c r="B19" s="30" t="s">
        <v>171</v>
      </c>
      <c r="C19" s="31"/>
      <c r="D19" s="29"/>
      <c r="E19" s="12" t="s">
        <v>91</v>
      </c>
      <c r="F19" s="32">
        <f>ROUND(F17-F18,-1)</f>
        <v>1150650</v>
      </c>
      <c r="G19" s="33" t="s">
        <v>92</v>
      </c>
    </row>
  </sheetData>
  <mergeCells count="1">
    <mergeCell ref="A1:G1"/>
  </mergeCells>
  <phoneticPr fontId="2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工业抵岸前部分</vt:lpstr>
      <vt:lpstr>工业国内部分</vt:lpstr>
      <vt:lpstr>工业国产</vt:lpstr>
      <vt:lpstr>部件抵岸前部分</vt:lpstr>
      <vt:lpstr>部件国内部分</vt:lpstr>
      <vt:lpstr>部件国产</vt:lpstr>
      <vt:lpstr>苏州抵岸前部分</vt:lpstr>
      <vt:lpstr>苏州国内部分</vt:lpstr>
      <vt:lpstr>苏州国产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issuser</cp:lastModifiedBy>
  <dcterms:created xsi:type="dcterms:W3CDTF">2018-05-21T12:29:00Z</dcterms:created>
  <dcterms:modified xsi:type="dcterms:W3CDTF">2019-09-16T08:16:25Z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