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825" yWindow="105" windowWidth="5565" windowHeight="7815" activeTab="2"/>
  </bookViews>
  <sheets>
    <sheet name="Instruções" sheetId="12" r:id="rId1"/>
    <sheet name="Parâmetros" sheetId="9" r:id="rId2"/>
    <sheet name="Simulador" sheetId="10" r:id="rId3"/>
    <sheet name="Calculadora" sheetId="5" state="hidden" r:id="rId4"/>
    <sheet name="Dados Proposta" sheetId="7" r:id="rId5"/>
    <sheet name="Proposta" sheetId="8" r:id="rId6"/>
    <sheet name="Impressão" sheetId="11" r:id="rId7"/>
  </sheets>
  <definedNames>
    <definedName name="_xlnm.Print_Area" localSheetId="5">Proposta!$A$1:$A$81</definedName>
    <definedName name="Ordem">'Dados Proposta'!$X$17:$X$26</definedName>
    <definedName name="Ordenar_Dados">Simulador!$I$3:$J$10</definedName>
    <definedName name="Ordenar_Relação">Simulador!$I$3:$I$10</definedName>
    <definedName name="Produtos">'Dados Proposta'!$X$17:$Y$26</definedName>
    <definedName name="Resultado_Dados">Simulador!$M$3:$Q$12</definedName>
    <definedName name="Resultado_Ordem">Simulador!$M$3:$M$12</definedName>
  </definedNames>
  <calcPr calcId="125725"/>
</workbook>
</file>

<file path=xl/calcChain.xml><?xml version="1.0" encoding="utf-8"?>
<calcChain xmlns="http://schemas.openxmlformats.org/spreadsheetml/2006/main">
  <c r="U16" i="7"/>
  <c r="J45" i="11"/>
  <c r="B45" s="1"/>
  <c r="L27"/>
  <c r="L28"/>
  <c r="L23"/>
  <c r="L24"/>
  <c r="L25"/>
  <c r="L26"/>
  <c r="L22"/>
  <c r="O15"/>
  <c r="O16"/>
  <c r="O17"/>
  <c r="O18"/>
  <c r="O14"/>
  <c r="L15"/>
  <c r="L16"/>
  <c r="L17"/>
  <c r="L18"/>
  <c r="L14"/>
  <c r="J29"/>
  <c r="J28"/>
  <c r="J27"/>
  <c r="J25"/>
  <c r="J24"/>
  <c r="J23"/>
  <c r="I16"/>
  <c r="I17"/>
  <c r="I18"/>
  <c r="I20"/>
  <c r="I21"/>
  <c r="I13"/>
  <c r="J14"/>
  <c r="J15"/>
  <c r="J16"/>
  <c r="J17"/>
  <c r="J18"/>
  <c r="J19"/>
  <c r="J20"/>
  <c r="J21"/>
  <c r="J13"/>
  <c r="J12"/>
  <c r="J11"/>
  <c r="C27"/>
  <c r="C28"/>
  <c r="C29"/>
  <c r="C26"/>
  <c r="C25"/>
  <c r="C21"/>
  <c r="C20"/>
  <c r="C19"/>
  <c r="C17"/>
  <c r="C18"/>
  <c r="C16"/>
  <c r="C15"/>
  <c r="C14"/>
  <c r="C13"/>
  <c r="C12"/>
  <c r="C11"/>
  <c r="I8"/>
  <c r="I7"/>
  <c r="I6"/>
  <c r="I5"/>
  <c r="I4"/>
  <c r="I3"/>
  <c r="C8"/>
  <c r="C7"/>
  <c r="C6"/>
  <c r="C5"/>
  <c r="C4"/>
  <c r="C3"/>
  <c r="AE28" i="5"/>
  <c r="AE29"/>
  <c r="AE30"/>
  <c r="AE31"/>
  <c r="AE32"/>
  <c r="AE33"/>
  <c r="AE34"/>
  <c r="AR26" i="7" s="1"/>
  <c r="AE27" i="5"/>
  <c r="AA28"/>
  <c r="AL25" i="7" s="1"/>
  <c r="AA29" i="5"/>
  <c r="AA30"/>
  <c r="AN25" i="7" s="1"/>
  <c r="AA31" i="5"/>
  <c r="AA32"/>
  <c r="Y59" s="1"/>
  <c r="AA33"/>
  <c r="AA34"/>
  <c r="AR25" i="7" s="1"/>
  <c r="AA27" i="5"/>
  <c r="AK25" i="7" s="1"/>
  <c r="W28" i="5"/>
  <c r="AL24" i="7" s="1"/>
  <c r="W29" i="5"/>
  <c r="W30"/>
  <c r="AN24" i="7" s="1"/>
  <c r="W31" i="5"/>
  <c r="W32"/>
  <c r="AP24" i="7" s="1"/>
  <c r="W33" i="5"/>
  <c r="W34"/>
  <c r="AR24" i="7" s="1"/>
  <c r="W27" i="5"/>
  <c r="S27"/>
  <c r="AK23" i="7" s="1"/>
  <c r="AD28" i="5"/>
  <c r="AD29"/>
  <c r="AD30"/>
  <c r="AD31"/>
  <c r="AD32"/>
  <c r="AD33"/>
  <c r="AD34"/>
  <c r="AD27"/>
  <c r="Z28"/>
  <c r="Z29"/>
  <c r="Z30"/>
  <c r="Z31"/>
  <c r="Z32"/>
  <c r="Z33"/>
  <c r="Z34"/>
  <c r="Z27"/>
  <c r="V28"/>
  <c r="V29"/>
  <c r="V30"/>
  <c r="V31"/>
  <c r="V32"/>
  <c r="V33"/>
  <c r="V34"/>
  <c r="V27"/>
  <c r="R27"/>
  <c r="AD26"/>
  <c r="Z26"/>
  <c r="V26"/>
  <c r="AE24"/>
  <c r="AE25"/>
  <c r="AI26" i="7" s="1"/>
  <c r="AE26" i="5"/>
  <c r="AE23"/>
  <c r="AG26" i="7" s="1"/>
  <c r="AA24" i="5"/>
  <c r="AA25"/>
  <c r="AI25" i="7" s="1"/>
  <c r="AA26" i="5"/>
  <c r="AA23"/>
  <c r="AG25" i="7" s="1"/>
  <c r="W24" i="5"/>
  <c r="W25"/>
  <c r="AI24" i="7" s="1"/>
  <c r="W26" i="5"/>
  <c r="W23"/>
  <c r="AG24" i="7" s="1"/>
  <c r="R34" i="5"/>
  <c r="R28"/>
  <c r="R29"/>
  <c r="R30"/>
  <c r="R31"/>
  <c r="R32"/>
  <c r="R33"/>
  <c r="R26"/>
  <c r="S28"/>
  <c r="S29"/>
  <c r="AM23" i="7" s="1"/>
  <c r="S30" i="5"/>
  <c r="S31"/>
  <c r="AO23" i="7" s="1"/>
  <c r="S32" i="5"/>
  <c r="S33"/>
  <c r="AQ23" i="7" s="1"/>
  <c r="S34" i="5"/>
  <c r="S24"/>
  <c r="AH23" i="7" s="1"/>
  <c r="S25" i="5"/>
  <c r="S26"/>
  <c r="AJ23" i="7" s="1"/>
  <c r="S23" i="5"/>
  <c r="AE22"/>
  <c r="AC50" s="1"/>
  <c r="AA22"/>
  <c r="W22"/>
  <c r="U50" s="1"/>
  <c r="S22"/>
  <c r="O22"/>
  <c r="M50" s="1"/>
  <c r="K22"/>
  <c r="AE21"/>
  <c r="AF26" i="7" s="1"/>
  <c r="AA21" i="5"/>
  <c r="W21"/>
  <c r="AF24" i="7" s="1"/>
  <c r="S21" i="5"/>
  <c r="O21"/>
  <c r="AF22" i="7" s="1"/>
  <c r="K21" i="5"/>
  <c r="G21"/>
  <c r="AF20" i="7" s="1"/>
  <c r="AE20" i="5"/>
  <c r="AA20"/>
  <c r="Y49" s="1"/>
  <c r="W20"/>
  <c r="S20"/>
  <c r="O20"/>
  <c r="K20"/>
  <c r="G20"/>
  <c r="AE19"/>
  <c r="AE26" i="7" s="1"/>
  <c r="AA19" i="5"/>
  <c r="W19"/>
  <c r="AE24" i="7" s="1"/>
  <c r="S19" i="5"/>
  <c r="O19"/>
  <c r="AE22" i="7" s="1"/>
  <c r="K19" i="5"/>
  <c r="G19"/>
  <c r="AE20" i="7" s="1"/>
  <c r="AE18" i="5"/>
  <c r="AA18"/>
  <c r="AD25" i="7" s="1"/>
  <c r="W18" i="5"/>
  <c r="S18"/>
  <c r="AC23" i="7" s="1"/>
  <c r="O18" i="5"/>
  <c r="K18"/>
  <c r="AC18" i="7" s="1"/>
  <c r="AD22" i="5"/>
  <c r="Z22"/>
  <c r="V22"/>
  <c r="R22"/>
  <c r="AD19"/>
  <c r="Z19"/>
  <c r="Y74" s="1"/>
  <c r="V19"/>
  <c r="R19"/>
  <c r="Q74" s="1"/>
  <c r="N19"/>
  <c r="N22"/>
  <c r="J22"/>
  <c r="J19"/>
  <c r="F22"/>
  <c r="F19"/>
  <c r="G22"/>
  <c r="G18"/>
  <c r="AC17" i="7" s="1"/>
  <c r="AE17" i="5"/>
  <c r="AA17"/>
  <c r="AB25" i="7" s="1"/>
  <c r="W17" i="5"/>
  <c r="S17"/>
  <c r="AB23" i="7" s="1"/>
  <c r="O17" i="5"/>
  <c r="K17"/>
  <c r="AB21" i="7" s="1"/>
  <c r="G17" i="5"/>
  <c r="AA8"/>
  <c r="AA5"/>
  <c r="AG6"/>
  <c r="AG7"/>
  <c r="AG8"/>
  <c r="AG9"/>
  <c r="AG10"/>
  <c r="AG11"/>
  <c r="AG12"/>
  <c r="AG13"/>
  <c r="AG5"/>
  <c r="AF5"/>
  <c r="AF6"/>
  <c r="AF7"/>
  <c r="AF8"/>
  <c r="AF9"/>
  <c r="AE6"/>
  <c r="AE7"/>
  <c r="AE8"/>
  <c r="AE9"/>
  <c r="AE5"/>
  <c r="AA7"/>
  <c r="AA4"/>
  <c r="AA10"/>
  <c r="W7"/>
  <c r="W8"/>
  <c r="W9"/>
  <c r="W11"/>
  <c r="W4"/>
  <c r="S10"/>
  <c r="S7"/>
  <c r="S8"/>
  <c r="S9"/>
  <c r="S6"/>
  <c r="S5"/>
  <c r="S4"/>
  <c r="M5"/>
  <c r="M6"/>
  <c r="M7"/>
  <c r="M8"/>
  <c r="M9"/>
  <c r="M10"/>
  <c r="M4"/>
  <c r="K11"/>
  <c r="J11"/>
  <c r="K10"/>
  <c r="K9"/>
  <c r="K8"/>
  <c r="K7"/>
  <c r="K6"/>
  <c r="K5"/>
  <c r="K4"/>
  <c r="G10"/>
  <c r="G8"/>
  <c r="G7"/>
  <c r="G5"/>
  <c r="G4"/>
  <c r="C13" i="7"/>
  <c r="A62" i="8" s="1"/>
  <c r="C12" i="7"/>
  <c r="C11"/>
  <c r="C10"/>
  <c r="C9"/>
  <c r="C8"/>
  <c r="C7"/>
  <c r="C6"/>
  <c r="W9" s="1"/>
  <c r="A13" i="8" s="1"/>
  <c r="C5" i="7"/>
  <c r="C4"/>
  <c r="C3"/>
  <c r="C2"/>
  <c r="W2" s="1"/>
  <c r="A2" i="8" s="1"/>
  <c r="A49" i="11"/>
  <c r="L31"/>
  <c r="M4" i="10"/>
  <c r="M5" s="1"/>
  <c r="M6" s="1"/>
  <c r="M7" s="1"/>
  <c r="M8" s="1"/>
  <c r="M9" s="1"/>
  <c r="M10" s="1"/>
  <c r="M11" s="1"/>
  <c r="M12" s="1"/>
  <c r="B1" i="9"/>
  <c r="Q50" i="5"/>
  <c r="I50"/>
  <c r="E50"/>
  <c r="E49"/>
  <c r="Y50"/>
  <c r="C16" i="9"/>
  <c r="B18" i="11" s="1"/>
  <c r="I22" i="9"/>
  <c r="W10" i="5" s="1"/>
  <c r="U34" i="7" s="1"/>
  <c r="I14" i="9"/>
  <c r="AA9" i="5" s="1"/>
  <c r="I18" i="9"/>
  <c r="W6" i="5" s="1"/>
  <c r="I17" i="9"/>
  <c r="W5" i="5" s="1"/>
  <c r="F65"/>
  <c r="T46" i="7"/>
  <c r="T47"/>
  <c r="T48"/>
  <c r="T49"/>
  <c r="T45"/>
  <c r="T51"/>
  <c r="W52"/>
  <c r="W51" s="1"/>
  <c r="A55" i="8" s="1"/>
  <c r="W42" i="7"/>
  <c r="A46" i="8" s="1"/>
  <c r="W41" i="7"/>
  <c r="A45" i="8" s="1"/>
  <c r="W40" i="7"/>
  <c r="A44" i="8" s="1"/>
  <c r="W39" i="7"/>
  <c r="A43" i="8" s="1"/>
  <c r="A4"/>
  <c r="W4" i="7"/>
  <c r="A5" i="8" s="1"/>
  <c r="A58"/>
  <c r="A15"/>
  <c r="W7" i="7"/>
  <c r="A8" i="8" s="1"/>
  <c r="W5" i="7"/>
  <c r="A3" i="8" s="1"/>
  <c r="U46" i="7"/>
  <c r="U47"/>
  <c r="U48"/>
  <c r="U49"/>
  <c r="U45"/>
  <c r="AE11" i="5"/>
  <c r="U37" i="7"/>
  <c r="AR23"/>
  <c r="A61" i="8"/>
  <c r="U19" i="7"/>
  <c r="U22"/>
  <c r="U20"/>
  <c r="U36"/>
  <c r="U35"/>
  <c r="U31"/>
  <c r="U33"/>
  <c r="AQ26"/>
  <c r="AQ25"/>
  <c r="AQ24"/>
  <c r="AP26"/>
  <c r="AP23"/>
  <c r="AO26"/>
  <c r="AO25"/>
  <c r="AO24"/>
  <c r="AN26"/>
  <c r="AN23"/>
  <c r="AM26"/>
  <c r="AM25"/>
  <c r="AM24"/>
  <c r="AL26"/>
  <c r="AL23"/>
  <c r="AK26"/>
  <c r="AK24"/>
  <c r="AJ26"/>
  <c r="AJ25"/>
  <c r="AJ24"/>
  <c r="U29"/>
  <c r="AI23"/>
  <c r="U27"/>
  <c r="AH26"/>
  <c r="AH25"/>
  <c r="AH24"/>
  <c r="U49" i="5"/>
  <c r="B51"/>
  <c r="U26" i="7"/>
  <c r="AG23"/>
  <c r="AF21"/>
  <c r="AF18"/>
  <c r="AF25"/>
  <c r="AF23"/>
  <c r="AE25"/>
  <c r="AE23"/>
  <c r="AE21"/>
  <c r="AE18"/>
  <c r="AD26"/>
  <c r="AC26"/>
  <c r="AD24"/>
  <c r="AC24"/>
  <c r="Y48" i="5"/>
  <c r="I48"/>
  <c r="AC22" i="7"/>
  <c r="AC19"/>
  <c r="X18"/>
  <c r="X19" s="1"/>
  <c r="X20" s="1"/>
  <c r="X21" s="1"/>
  <c r="X22" s="1"/>
  <c r="X23" s="1"/>
  <c r="X24" s="1"/>
  <c r="X25" s="1"/>
  <c r="X26" s="1"/>
  <c r="J8" i="5"/>
  <c r="G6" s="1"/>
  <c r="O4" s="1"/>
  <c r="O13" i="9" s="1"/>
  <c r="O22" i="11" s="1"/>
  <c r="AB26" i="7"/>
  <c r="AB24"/>
  <c r="AB22"/>
  <c r="AB20"/>
  <c r="AB19"/>
  <c r="AB17"/>
  <c r="Q59" i="5"/>
  <c r="R59" s="1"/>
  <c r="U59"/>
  <c r="V59" s="1"/>
  <c r="W59" s="1"/>
  <c r="U60"/>
  <c r="V60" s="1"/>
  <c r="W60" s="1"/>
  <c r="U74"/>
  <c r="G9"/>
  <c r="Z37" s="1"/>
  <c r="AE36"/>
  <c r="AD36"/>
  <c r="AC36"/>
  <c r="AA36"/>
  <c r="Z36"/>
  <c r="Y36"/>
  <c r="W36"/>
  <c r="V36"/>
  <c r="U36"/>
  <c r="AE65"/>
  <c r="AD65"/>
  <c r="AC65"/>
  <c r="AA65"/>
  <c r="Z65"/>
  <c r="Y65"/>
  <c r="W65"/>
  <c r="V65"/>
  <c r="U65"/>
  <c r="S65"/>
  <c r="R65"/>
  <c r="Q65"/>
  <c r="S36"/>
  <c r="R36"/>
  <c r="Q36"/>
  <c r="O65"/>
  <c r="N65"/>
  <c r="M65"/>
  <c r="K65"/>
  <c r="J65"/>
  <c r="I65"/>
  <c r="G65"/>
  <c r="E65"/>
  <c r="O36"/>
  <c r="N36"/>
  <c r="M36"/>
  <c r="K36"/>
  <c r="J36"/>
  <c r="I36"/>
  <c r="G36"/>
  <c r="F36"/>
  <c r="E36"/>
  <c r="W6" i="7" l="1"/>
  <c r="A7" i="8" s="1"/>
  <c r="I19" i="11"/>
  <c r="I15"/>
  <c r="I14"/>
  <c r="J26"/>
  <c r="Z59" i="5"/>
  <c r="AA59" s="1"/>
  <c r="U48"/>
  <c r="AE17" i="7"/>
  <c r="AF19"/>
  <c r="AB18"/>
  <c r="AC20"/>
  <c r="AF17"/>
  <c r="Q58" i="5"/>
  <c r="R58" s="1"/>
  <c r="S58" s="1"/>
  <c r="AC21" i="7"/>
  <c r="AD23"/>
  <c r="AE19"/>
  <c r="M48" i="5"/>
  <c r="AC25" i="7"/>
  <c r="AP25"/>
  <c r="AC61" i="5"/>
  <c r="AD61" s="1"/>
  <c r="AE61" s="1"/>
  <c r="V11"/>
  <c r="Z10"/>
  <c r="V5"/>
  <c r="V7"/>
  <c r="V10"/>
  <c r="V4"/>
  <c r="V9"/>
  <c r="V8"/>
  <c r="V6"/>
  <c r="D20" i="9"/>
  <c r="C23" i="11" s="1"/>
  <c r="D19" i="9"/>
  <c r="C22" i="11" s="1"/>
  <c r="AD5" i="5"/>
  <c r="N23" i="9" s="1"/>
  <c r="N14" i="11" s="1"/>
  <c r="S59" i="5"/>
  <c r="AD8"/>
  <c r="AD6"/>
  <c r="AD7"/>
  <c r="AD9"/>
  <c r="W45" i="7"/>
  <c r="A49" i="8" s="1"/>
  <c r="W48" i="7"/>
  <c r="W46"/>
  <c r="A51" i="8" s="1"/>
  <c r="W49" i="7"/>
  <c r="A53" i="8" s="1"/>
  <c r="W47" i="7"/>
  <c r="A52" i="8"/>
  <c r="W38" i="7"/>
  <c r="A56" i="8"/>
  <c r="A42"/>
  <c r="H24" i="9"/>
  <c r="H21" i="11" s="1"/>
  <c r="Q60" i="5"/>
  <c r="R60" s="1"/>
  <c r="S60" s="1"/>
  <c r="Y60"/>
  <c r="Z60" s="1"/>
  <c r="AA60" s="1"/>
  <c r="H23" i="9"/>
  <c r="H20" i="11" s="1"/>
  <c r="AC60" i="5"/>
  <c r="AD60" s="1"/>
  <c r="AE60" s="1"/>
  <c r="Q83"/>
  <c r="Z38"/>
  <c r="AA38" s="1"/>
  <c r="Q82"/>
  <c r="V82" s="1"/>
  <c r="Y82"/>
  <c r="U83"/>
  <c r="U82"/>
  <c r="V38"/>
  <c r="W38" s="1"/>
  <c r="Z39"/>
  <c r="AA39" s="1"/>
  <c r="V39"/>
  <c r="W39" s="1"/>
  <c r="R39"/>
  <c r="S39" s="1"/>
  <c r="R37"/>
  <c r="S37" s="1"/>
  <c r="AA37"/>
  <c r="V37"/>
  <c r="W37" s="1"/>
  <c r="R38"/>
  <c r="Q53"/>
  <c r="Q54"/>
  <c r="Q55"/>
  <c r="Q56"/>
  <c r="Q57"/>
  <c r="Q52"/>
  <c r="Y53"/>
  <c r="Z53" s="1"/>
  <c r="AA53" s="1"/>
  <c r="Y54"/>
  <c r="Z54" s="1"/>
  <c r="AA54" s="1"/>
  <c r="Y55"/>
  <c r="Z55" s="1"/>
  <c r="AA55" s="1"/>
  <c r="Y56"/>
  <c r="Z56" s="1"/>
  <c r="AA56" s="1"/>
  <c r="Y57"/>
  <c r="Z57" s="1"/>
  <c r="AA57" s="1"/>
  <c r="Y58"/>
  <c r="Z58" s="1"/>
  <c r="U53"/>
  <c r="U54"/>
  <c r="U55"/>
  <c r="U56"/>
  <c r="U57"/>
  <c r="U58"/>
  <c r="U80"/>
  <c r="V80" s="1"/>
  <c r="W80" s="1"/>
  <c r="U78"/>
  <c r="V78" s="1"/>
  <c r="W78" s="1"/>
  <c r="M49"/>
  <c r="I49"/>
  <c r="M11"/>
  <c r="Z49"/>
  <c r="AA49" s="1"/>
  <c r="Z48"/>
  <c r="Y80"/>
  <c r="Z80" s="1"/>
  <c r="AA80" s="1"/>
  <c r="B48"/>
  <c r="U32" i="7"/>
  <c r="R82" i="5" l="1"/>
  <c r="N24" i="9"/>
  <c r="N15" i="11" s="1"/>
  <c r="N26" i="9"/>
  <c r="N17" i="11" s="1"/>
  <c r="N25" i="9"/>
  <c r="N16" i="11" s="1"/>
  <c r="N27" i="9"/>
  <c r="N18" i="11" s="1"/>
  <c r="AC52" i="5"/>
  <c r="AD52" s="1"/>
  <c r="AE52" s="1"/>
  <c r="H16" i="9"/>
  <c r="H13" i="11" s="1"/>
  <c r="C14" i="10"/>
  <c r="D14"/>
  <c r="B14"/>
  <c r="U30" i="7"/>
  <c r="AC83" i="5"/>
  <c r="A50" i="8"/>
  <c r="AD11" i="5"/>
  <c r="AF11" s="1"/>
  <c r="Q61"/>
  <c r="R61" s="1"/>
  <c r="S61" s="1"/>
  <c r="Y61"/>
  <c r="U61"/>
  <c r="AC84"/>
  <c r="AD84" s="1"/>
  <c r="AE84" s="1"/>
  <c r="W44" i="7"/>
  <c r="A48" i="8" s="1"/>
  <c r="Y83" i="5"/>
  <c r="AC51"/>
  <c r="AD51" s="1"/>
  <c r="AE51" s="1"/>
  <c r="U51"/>
  <c r="V51" s="1"/>
  <c r="W51" s="1"/>
  <c r="Q51"/>
  <c r="R51" s="1"/>
  <c r="S51" s="1"/>
  <c r="Y51"/>
  <c r="Z51" s="1"/>
  <c r="AA51" s="1"/>
  <c r="Y52"/>
  <c r="U52"/>
  <c r="AD82"/>
  <c r="Z82"/>
  <c r="AE82"/>
  <c r="AA82"/>
  <c r="W82"/>
  <c r="S82"/>
  <c r="R83"/>
  <c r="AD83"/>
  <c r="Z83"/>
  <c r="V83"/>
  <c r="F49"/>
  <c r="G49" s="1"/>
  <c r="N48"/>
  <c r="O48" s="1"/>
  <c r="N49"/>
  <c r="O49" s="1"/>
  <c r="J48"/>
  <c r="K48" s="1"/>
  <c r="J49"/>
  <c r="K49" s="1"/>
  <c r="AA48"/>
  <c r="S38"/>
  <c r="AA58"/>
  <c r="Z52"/>
  <c r="V53"/>
  <c r="W53" s="1"/>
  <c r="V58"/>
  <c r="W58" s="1"/>
  <c r="V56"/>
  <c r="W56" s="1"/>
  <c r="V54"/>
  <c r="W54" s="1"/>
  <c r="R56"/>
  <c r="S56" s="1"/>
  <c r="R54"/>
  <c r="S54" s="1"/>
  <c r="V57"/>
  <c r="W57" s="1"/>
  <c r="V55"/>
  <c r="W55" s="1"/>
  <c r="R52"/>
  <c r="S52" s="1"/>
  <c r="R57"/>
  <c r="S57" s="1"/>
  <c r="R55"/>
  <c r="S55" s="1"/>
  <c r="R53"/>
  <c r="S53" s="1"/>
  <c r="V48"/>
  <c r="W48" s="1"/>
  <c r="V49"/>
  <c r="W49" s="1"/>
  <c r="H21" i="9"/>
  <c r="H18" i="11" s="1"/>
  <c r="H17" i="9"/>
  <c r="H14" i="11" s="1"/>
  <c r="H20" i="9"/>
  <c r="H17" i="11" s="1"/>
  <c r="Y78" i="5"/>
  <c r="Q81" l="1"/>
  <c r="R81" s="1"/>
  <c r="H22" i="9"/>
  <c r="H19" i="11" s="1"/>
  <c r="AC54" i="5"/>
  <c r="AD54" s="1"/>
  <c r="AE54" s="1"/>
  <c r="H18" i="9"/>
  <c r="H15" i="11" s="1"/>
  <c r="AC55" i="5"/>
  <c r="AD55" s="1"/>
  <c r="AE55" s="1"/>
  <c r="H19" i="9"/>
  <c r="H16" i="11" s="1"/>
  <c r="Q84" i="5"/>
  <c r="R84" s="1"/>
  <c r="S84" s="1"/>
  <c r="Y75"/>
  <c r="Q75"/>
  <c r="I75"/>
  <c r="AC75"/>
  <c r="U75"/>
  <c r="M75"/>
  <c r="E75"/>
  <c r="U84"/>
  <c r="V84" s="1"/>
  <c r="W84" s="1"/>
  <c r="V61"/>
  <c r="W61" s="1"/>
  <c r="Z61"/>
  <c r="AA61" s="1"/>
  <c r="Y84"/>
  <c r="Z84" s="1"/>
  <c r="AA84" s="1"/>
  <c r="Y76"/>
  <c r="Z76" s="1"/>
  <c r="AA76" s="1"/>
  <c r="AC53"/>
  <c r="AD53" s="1"/>
  <c r="AE53" s="1"/>
  <c r="U79"/>
  <c r="V79" s="1"/>
  <c r="W79" s="1"/>
  <c r="AC56"/>
  <c r="AD56" s="1"/>
  <c r="AE56" s="1"/>
  <c r="S81"/>
  <c r="AC58"/>
  <c r="Q80"/>
  <c r="AC57"/>
  <c r="AD57" s="1"/>
  <c r="AE57" s="1"/>
  <c r="Y81"/>
  <c r="AE83"/>
  <c r="AA83"/>
  <c r="W83"/>
  <c r="S83"/>
  <c r="AA52"/>
  <c r="Y79"/>
  <c r="Z78"/>
  <c r="AA78" s="1"/>
  <c r="Z79"/>
  <c r="AA79" s="1"/>
  <c r="V52"/>
  <c r="W52" s="1"/>
  <c r="M70"/>
  <c r="G11"/>
  <c r="D21" i="9" s="1"/>
  <c r="C24" i="11" s="1"/>
  <c r="Q76" i="5"/>
  <c r="R76" s="1"/>
  <c r="S76" s="1"/>
  <c r="U76"/>
  <c r="Y77"/>
  <c r="Q77"/>
  <c r="U77"/>
  <c r="Y70"/>
  <c r="I70"/>
  <c r="AC70"/>
  <c r="Q70"/>
  <c r="E70"/>
  <c r="O8"/>
  <c r="O18" i="9" s="1"/>
  <c r="O26" i="11" s="1"/>
  <c r="O6" i="5"/>
  <c r="O9"/>
  <c r="O19" i="9" s="1"/>
  <c r="O27" i="11" s="1"/>
  <c r="O5" i="5"/>
  <c r="O14" i="9" s="1"/>
  <c r="O23" i="11" s="1"/>
  <c r="O7" i="5"/>
  <c r="O10"/>
  <c r="O20" i="9" s="1"/>
  <c r="O28" i="11" s="1"/>
  <c r="AC76" i="5"/>
  <c r="AD76" s="1"/>
  <c r="AC80"/>
  <c r="AC77"/>
  <c r="AD77" s="1"/>
  <c r="AE77" s="1"/>
  <c r="Q79"/>
  <c r="AC79"/>
  <c r="AD79" s="1"/>
  <c r="AE79" s="1"/>
  <c r="Q78"/>
  <c r="AC78"/>
  <c r="AD78" s="1"/>
  <c r="AE78" s="1"/>
  <c r="C42" l="1"/>
  <c r="O17" i="9"/>
  <c r="O25" i="11" s="1"/>
  <c r="C41" i="5"/>
  <c r="O16" i="9"/>
  <c r="O24" i="11" s="1"/>
  <c r="J50" i="5"/>
  <c r="K50" s="1"/>
  <c r="N50"/>
  <c r="O50" s="1"/>
  <c r="F75"/>
  <c r="G75" s="1"/>
  <c r="V75"/>
  <c r="W75" s="1"/>
  <c r="J75"/>
  <c r="K75" s="1"/>
  <c r="Z75"/>
  <c r="AA75" s="1"/>
  <c r="R50"/>
  <c r="S50" s="1"/>
  <c r="V50"/>
  <c r="W50" s="1"/>
  <c r="Z50"/>
  <c r="AA50" s="1"/>
  <c r="AD50"/>
  <c r="AE50" s="1"/>
  <c r="N75"/>
  <c r="O75" s="1"/>
  <c r="AD75"/>
  <c r="AE75" s="1"/>
  <c r="R75"/>
  <c r="S75" s="1"/>
  <c r="F50"/>
  <c r="G50" s="1"/>
  <c r="C43"/>
  <c r="AC81"/>
  <c r="AD81" s="1"/>
  <c r="AE81" s="1"/>
  <c r="AD58"/>
  <c r="AE58" s="1"/>
  <c r="F70"/>
  <c r="G70" s="1"/>
  <c r="AD70"/>
  <c r="Z70"/>
  <c r="R70"/>
  <c r="S70" s="1"/>
  <c r="J70"/>
  <c r="N70"/>
  <c r="Y40"/>
  <c r="M40"/>
  <c r="M41"/>
  <c r="N41" s="1"/>
  <c r="O41" s="1"/>
  <c r="AE76"/>
  <c r="AD80"/>
  <c r="R78"/>
  <c r="S78" s="1"/>
  <c r="R79"/>
  <c r="S79" s="1"/>
  <c r="Z81"/>
  <c r="AA81" s="1"/>
  <c r="R80"/>
  <c r="S80" s="1"/>
  <c r="V77"/>
  <c r="W77" s="1"/>
  <c r="Z77"/>
  <c r="AA77" s="1"/>
  <c r="R77"/>
  <c r="S77" s="1"/>
  <c r="V76"/>
  <c r="W76" s="1"/>
  <c r="I40"/>
  <c r="J40" s="1"/>
  <c r="C40"/>
  <c r="E40" s="1"/>
  <c r="U66"/>
  <c r="U40"/>
  <c r="M66"/>
  <c r="I42"/>
  <c r="J42" s="1"/>
  <c r="K42" s="1"/>
  <c r="U42"/>
  <c r="U45"/>
  <c r="U71"/>
  <c r="Q45"/>
  <c r="I41"/>
  <c r="J41" s="1"/>
  <c r="K41" s="1"/>
  <c r="U41"/>
  <c r="U70"/>
  <c r="M43"/>
  <c r="Y43"/>
  <c r="M42"/>
  <c r="Y42"/>
  <c r="I43"/>
  <c r="J43" s="1"/>
  <c r="K43" s="1"/>
  <c r="U43"/>
  <c r="AC39"/>
  <c r="C37"/>
  <c r="C38"/>
  <c r="C39"/>
  <c r="C47" s="1"/>
  <c r="Y41"/>
  <c r="O11"/>
  <c r="AC40"/>
  <c r="Y66"/>
  <c r="Q66"/>
  <c r="I66"/>
  <c r="AC66"/>
  <c r="E66"/>
  <c r="AC43"/>
  <c r="Q43"/>
  <c r="AC42"/>
  <c r="AC41"/>
  <c r="O70" l="1"/>
  <c r="AE70"/>
  <c r="K70"/>
  <c r="AA70"/>
  <c r="C44"/>
  <c r="AD43"/>
  <c r="AE43" s="1"/>
  <c r="R66"/>
  <c r="S66" s="1"/>
  <c r="V70"/>
  <c r="W70" s="1"/>
  <c r="V71"/>
  <c r="W71" s="1"/>
  <c r="V42"/>
  <c r="W42" s="1"/>
  <c r="V66"/>
  <c r="W66" s="1"/>
  <c r="AD41"/>
  <c r="AE41" s="1"/>
  <c r="R43"/>
  <c r="S43" s="1"/>
  <c r="F66"/>
  <c r="G66" s="1"/>
  <c r="J66"/>
  <c r="K66" s="1"/>
  <c r="Z66"/>
  <c r="AA66" s="1"/>
  <c r="V43"/>
  <c r="W43" s="1"/>
  <c r="Z42"/>
  <c r="AA42" s="1"/>
  <c r="Z43"/>
  <c r="AA43" s="1"/>
  <c r="V41"/>
  <c r="W41" s="1"/>
  <c r="R45"/>
  <c r="S45" s="1"/>
  <c r="V45"/>
  <c r="W45" s="1"/>
  <c r="V40"/>
  <c r="Z40"/>
  <c r="AA40" s="1"/>
  <c r="AD42"/>
  <c r="AE42" s="1"/>
  <c r="AD66"/>
  <c r="AE66" s="1"/>
  <c r="AD40"/>
  <c r="AE40" s="1"/>
  <c r="Z41"/>
  <c r="AA41" s="1"/>
  <c r="AD39"/>
  <c r="AE39" s="1"/>
  <c r="N66"/>
  <c r="O66" s="1"/>
  <c r="N40"/>
  <c r="O40" s="1"/>
  <c r="AE80"/>
  <c r="N43"/>
  <c r="O43" s="1"/>
  <c r="N42"/>
  <c r="K40"/>
  <c r="J44"/>
  <c r="J67" s="1"/>
  <c r="C46"/>
  <c r="F40"/>
  <c r="M68"/>
  <c r="M44"/>
  <c r="M67" s="1"/>
  <c r="U68"/>
  <c r="U44"/>
  <c r="U67" s="1"/>
  <c r="U47"/>
  <c r="Y68"/>
  <c r="AC47"/>
  <c r="Q47"/>
  <c r="Y47"/>
  <c r="E43"/>
  <c r="Y44"/>
  <c r="Y67" s="1"/>
  <c r="Y45"/>
  <c r="AC45"/>
  <c r="AC37"/>
  <c r="Q71"/>
  <c r="AC38"/>
  <c r="AD38" s="1"/>
  <c r="Y71"/>
  <c r="E42"/>
  <c r="F42" s="1"/>
  <c r="Q42"/>
  <c r="Q40"/>
  <c r="AC71"/>
  <c r="AC49" l="1"/>
  <c r="AD49" s="1"/>
  <c r="AE49" s="1"/>
  <c r="Q48"/>
  <c r="R48" s="1"/>
  <c r="S48" s="1"/>
  <c r="Q49"/>
  <c r="R49" s="1"/>
  <c r="S49" s="1"/>
  <c r="AC48"/>
  <c r="V44"/>
  <c r="V67" s="1"/>
  <c r="R42"/>
  <c r="S42" s="1"/>
  <c r="Z71"/>
  <c r="AA71" s="1"/>
  <c r="R71"/>
  <c r="S71" s="1"/>
  <c r="Z47"/>
  <c r="AA47" s="1"/>
  <c r="R40"/>
  <c r="S40" s="1"/>
  <c r="AD37"/>
  <c r="AD44" s="1"/>
  <c r="AD67" s="1"/>
  <c r="Z45"/>
  <c r="AA45" s="1"/>
  <c r="R47"/>
  <c r="S47" s="1"/>
  <c r="V47"/>
  <c r="W47" s="1"/>
  <c r="N68"/>
  <c r="O68" s="1"/>
  <c r="W40"/>
  <c r="W44" s="1"/>
  <c r="W67" s="1"/>
  <c r="AD71"/>
  <c r="AE71" s="1"/>
  <c r="AD45"/>
  <c r="AE45" s="1"/>
  <c r="AD47"/>
  <c r="AE47" s="1"/>
  <c r="Z44"/>
  <c r="Z67" s="1"/>
  <c r="E46"/>
  <c r="I74"/>
  <c r="AC74"/>
  <c r="M74"/>
  <c r="E74"/>
  <c r="F74" s="1"/>
  <c r="AC68"/>
  <c r="AE38"/>
  <c r="Z68"/>
  <c r="V68"/>
  <c r="F43"/>
  <c r="G43" s="1"/>
  <c r="N44"/>
  <c r="N67" s="1"/>
  <c r="G42"/>
  <c r="O42"/>
  <c r="O44" s="1"/>
  <c r="O67" s="1"/>
  <c r="G40"/>
  <c r="U46"/>
  <c r="U62" s="1"/>
  <c r="M46"/>
  <c r="M62" s="1"/>
  <c r="Q46"/>
  <c r="R74"/>
  <c r="S74" s="1"/>
  <c r="AA44"/>
  <c r="AA67" s="1"/>
  <c r="U73"/>
  <c r="Q73"/>
  <c r="Y73"/>
  <c r="AC73"/>
  <c r="I68"/>
  <c r="E41"/>
  <c r="Q41"/>
  <c r="AC44"/>
  <c r="AC67" s="1"/>
  <c r="K44"/>
  <c r="K67" s="1"/>
  <c r="I44"/>
  <c r="I67" s="1"/>
  <c r="Q62" l="1"/>
  <c r="R73"/>
  <c r="S73" s="1"/>
  <c r="AD68"/>
  <c r="AE68" s="1"/>
  <c r="J74"/>
  <c r="K74" s="1"/>
  <c r="R41"/>
  <c r="S41" s="1"/>
  <c r="S44" s="1"/>
  <c r="S67" s="1"/>
  <c r="J68"/>
  <c r="K68" s="1"/>
  <c r="Z73"/>
  <c r="AA73" s="1"/>
  <c r="R46"/>
  <c r="R62" s="1"/>
  <c r="V46"/>
  <c r="V62" s="1"/>
  <c r="G74"/>
  <c r="AD74"/>
  <c r="AE74" s="1"/>
  <c r="F46"/>
  <c r="AE37"/>
  <c r="AE44" s="1"/>
  <c r="AE67" s="1"/>
  <c r="AD73"/>
  <c r="AE73" s="1"/>
  <c r="V73"/>
  <c r="W73" s="1"/>
  <c r="N46"/>
  <c r="N62" s="1"/>
  <c r="N74"/>
  <c r="O74" s="1"/>
  <c r="AA68"/>
  <c r="W68"/>
  <c r="V74"/>
  <c r="W74" s="1"/>
  <c r="F41"/>
  <c r="F44" s="1"/>
  <c r="F67" s="1"/>
  <c r="U72"/>
  <c r="U63"/>
  <c r="M72"/>
  <c r="M85" s="1"/>
  <c r="M63"/>
  <c r="Q68"/>
  <c r="E68"/>
  <c r="E44"/>
  <c r="E67" s="1"/>
  <c r="Y46"/>
  <c r="Q44"/>
  <c r="Q67" s="1"/>
  <c r="Q72"/>
  <c r="E72"/>
  <c r="E48"/>
  <c r="E62" s="1"/>
  <c r="AC46"/>
  <c r="I46"/>
  <c r="E85" l="1"/>
  <c r="J46"/>
  <c r="J62" s="1"/>
  <c r="I62"/>
  <c r="Z46"/>
  <c r="Z62" s="1"/>
  <c r="Y62"/>
  <c r="Y63" s="1"/>
  <c r="AA90" s="1"/>
  <c r="Z90" s="1"/>
  <c r="AD46"/>
  <c r="G46"/>
  <c r="Q85"/>
  <c r="S91" s="1"/>
  <c r="F72"/>
  <c r="G72" s="1"/>
  <c r="R72"/>
  <c r="S72" s="1"/>
  <c r="N72"/>
  <c r="N85" s="1"/>
  <c r="AD48"/>
  <c r="F48"/>
  <c r="G48" s="1"/>
  <c r="F68"/>
  <c r="R44"/>
  <c r="R67" s="1"/>
  <c r="O46"/>
  <c r="W46"/>
  <c r="W62" s="1"/>
  <c r="W63" s="1"/>
  <c r="U90" s="1"/>
  <c r="F5" i="10" s="1"/>
  <c r="S46" i="5"/>
  <c r="S62" s="1"/>
  <c r="V72"/>
  <c r="I72"/>
  <c r="I85" s="1"/>
  <c r="Y72"/>
  <c r="AA46"/>
  <c r="AA62" s="1"/>
  <c r="AC72"/>
  <c r="AE46"/>
  <c r="R68"/>
  <c r="Z74"/>
  <c r="G41"/>
  <c r="G44" s="1"/>
  <c r="G67" s="1"/>
  <c r="E63"/>
  <c r="N63"/>
  <c r="W90"/>
  <c r="V90" s="1"/>
  <c r="O90"/>
  <c r="N90" s="1"/>
  <c r="O91"/>
  <c r="V63"/>
  <c r="Q63"/>
  <c r="S90" s="1"/>
  <c r="R90" s="1"/>
  <c r="I63"/>
  <c r="N10" i="10" l="1"/>
  <c r="H33" i="11"/>
  <c r="K46" i="5"/>
  <c r="K62" s="1"/>
  <c r="R85"/>
  <c r="G90"/>
  <c r="F90" s="1"/>
  <c r="G62"/>
  <c r="G63" s="1"/>
  <c r="E90" s="1"/>
  <c r="B5" i="10" s="1"/>
  <c r="B33" i="11" s="1"/>
  <c r="Y85" i="5"/>
  <c r="AA91" s="1"/>
  <c r="Z91" s="1"/>
  <c r="O62"/>
  <c r="O63" s="1"/>
  <c r="M90" s="1"/>
  <c r="D5" i="10" s="1"/>
  <c r="D33" i="11" s="1"/>
  <c r="F85" i="5"/>
  <c r="W72"/>
  <c r="F62"/>
  <c r="F63" s="1"/>
  <c r="G68"/>
  <c r="AE48"/>
  <c r="O72"/>
  <c r="O85" s="1"/>
  <c r="AD72"/>
  <c r="AD85" s="1"/>
  <c r="Z72"/>
  <c r="J72"/>
  <c r="J85" s="1"/>
  <c r="AA74"/>
  <c r="S68"/>
  <c r="S85" s="1"/>
  <c r="N91"/>
  <c r="N87"/>
  <c r="M87"/>
  <c r="G91"/>
  <c r="AA63"/>
  <c r="Y90" s="1"/>
  <c r="G5" i="10" s="1"/>
  <c r="Z63" i="5"/>
  <c r="S63"/>
  <c r="Q90" s="1"/>
  <c r="E5" i="10" s="1"/>
  <c r="R63" i="5"/>
  <c r="R91"/>
  <c r="Q87"/>
  <c r="E8" i="10" s="1"/>
  <c r="J63" i="5"/>
  <c r="K63"/>
  <c r="I90" s="1"/>
  <c r="C5" i="10" s="1"/>
  <c r="C33" i="11" s="1"/>
  <c r="K90" i="5"/>
  <c r="J90" s="1"/>
  <c r="K91"/>
  <c r="Q9" i="10" l="1"/>
  <c r="F36" i="11"/>
  <c r="N9" i="10"/>
  <c r="F33" i="11"/>
  <c r="N11" i="10"/>
  <c r="I33" i="11"/>
  <c r="O92" i="5"/>
  <c r="D8" i="10"/>
  <c r="D36" i="11" s="1"/>
  <c r="N7" i="10"/>
  <c r="N4"/>
  <c r="N3"/>
  <c r="N6"/>
  <c r="N5"/>
  <c r="N8"/>
  <c r="F91" i="5"/>
  <c r="Y87"/>
  <c r="AA72"/>
  <c r="AA85" s="1"/>
  <c r="Y91" s="1"/>
  <c r="G6" i="10" s="1"/>
  <c r="Z85" i="5"/>
  <c r="Z87" s="1"/>
  <c r="G85"/>
  <c r="E91" s="1"/>
  <c r="B6" i="10" s="1"/>
  <c r="B34" i="11" s="1"/>
  <c r="O87" i="5"/>
  <c r="M92" s="1"/>
  <c r="D7" i="10" s="1"/>
  <c r="D35" i="11" s="1"/>
  <c r="M91" i="5"/>
  <c r="D6" i="10" s="1"/>
  <c r="D34" i="11" s="1"/>
  <c r="J87" i="5"/>
  <c r="K72"/>
  <c r="K85" s="1"/>
  <c r="AE72"/>
  <c r="AE85" s="1"/>
  <c r="N92"/>
  <c r="R87"/>
  <c r="E87"/>
  <c r="F87"/>
  <c r="S92"/>
  <c r="J91"/>
  <c r="I87"/>
  <c r="O11" i="10" l="1"/>
  <c r="I34" i="11"/>
  <c r="O5" i="10"/>
  <c r="O8"/>
  <c r="O3"/>
  <c r="O6"/>
  <c r="K92" i="5"/>
  <c r="C8" i="10"/>
  <c r="C36" i="11" s="1"/>
  <c r="G92" i="5"/>
  <c r="B8" i="10"/>
  <c r="B36" i="11" s="1"/>
  <c r="P5" i="10"/>
  <c r="J5"/>
  <c r="P8"/>
  <c r="Q8"/>
  <c r="Q5"/>
  <c r="AA92" i="5"/>
  <c r="G8" i="10"/>
  <c r="G87" i="5"/>
  <c r="E92" s="1"/>
  <c r="B7" i="10" s="1"/>
  <c r="AA87" i="5"/>
  <c r="Y92" s="1"/>
  <c r="G7" i="10" s="1"/>
  <c r="I35" i="11" s="1"/>
  <c r="S87" i="5"/>
  <c r="Q92" s="1"/>
  <c r="E7" i="10" s="1"/>
  <c r="F35" i="11" s="1"/>
  <c r="Q91" i="5"/>
  <c r="E6" i="10" s="1"/>
  <c r="K87" i="5"/>
  <c r="I92" s="1"/>
  <c r="C7" i="10" s="1"/>
  <c r="C35" i="11" s="1"/>
  <c r="I91" i="5"/>
  <c r="C6" i="10" s="1"/>
  <c r="C34" i="11" s="1"/>
  <c r="AC91" i="5"/>
  <c r="H6" i="10" s="1"/>
  <c r="J92" i="5"/>
  <c r="F92"/>
  <c r="R92"/>
  <c r="Z92"/>
  <c r="B35" i="11" l="1"/>
  <c r="O12" i="10"/>
  <c r="J34" i="11"/>
  <c r="O9" i="10"/>
  <c r="F34" i="11"/>
  <c r="Q11" i="10"/>
  <c r="I36" i="11"/>
  <c r="J4" i="10"/>
  <c r="P7"/>
  <c r="P4"/>
  <c r="O7"/>
  <c r="O4"/>
  <c r="P3"/>
  <c r="P6"/>
  <c r="J3"/>
  <c r="Q6"/>
  <c r="Q3"/>
  <c r="Q4"/>
  <c r="Q7"/>
  <c r="J8"/>
  <c r="P11"/>
  <c r="J6"/>
  <c r="P9"/>
  <c r="D33" l="1"/>
  <c r="D47" i="11" s="1"/>
  <c r="AC59" i="5" l="1"/>
  <c r="AD59" s="1"/>
  <c r="AD62" s="1"/>
  <c r="AD63" s="1"/>
  <c r="AD87" s="1"/>
  <c r="AC62"/>
  <c r="AC63" s="1"/>
  <c r="AC82"/>
  <c r="AC85" s="1"/>
  <c r="AE91" s="1"/>
  <c r="AE59"/>
  <c r="AE62" s="1"/>
  <c r="AE63" s="1"/>
  <c r="AA6"/>
  <c r="I10" i="9" s="1"/>
  <c r="AE87" i="5" l="1"/>
  <c r="AC92" s="1"/>
  <c r="H7" i="10" s="1"/>
  <c r="J35" i="11" s="1"/>
  <c r="AC90" i="5"/>
  <c r="H5" i="10" s="1"/>
  <c r="AC87" i="5"/>
  <c r="AE90"/>
  <c r="AD90" s="1"/>
  <c r="N12" i="10" l="1"/>
  <c r="B33" s="1"/>
  <c r="B47" i="11" s="1"/>
  <c r="J33"/>
  <c r="AE92" i="5"/>
  <c r="H8" i="10"/>
  <c r="J10"/>
  <c r="P12"/>
  <c r="F33" s="1"/>
  <c r="H47" i="11" s="1"/>
  <c r="AD92" i="5"/>
  <c r="AD91"/>
  <c r="U81"/>
  <c r="V81" s="1"/>
  <c r="Q12" i="10" l="1"/>
  <c r="H33" s="1"/>
  <c r="J36" i="11"/>
  <c r="W81" i="5"/>
  <c r="W85" s="1"/>
  <c r="V85"/>
  <c r="V87" s="1"/>
  <c r="U85"/>
  <c r="J47" i="11" l="1"/>
  <c r="U87" i="5"/>
  <c r="W91"/>
  <c r="V91" s="1"/>
  <c r="U91"/>
  <c r="F6" i="10" s="1"/>
  <c r="W87" i="5"/>
  <c r="U92" s="1"/>
  <c r="F7" i="10" s="1"/>
  <c r="H35" i="11" s="1"/>
  <c r="O10" i="10" l="1"/>
  <c r="H34" i="11"/>
  <c r="F8" i="10"/>
  <c r="W92" i="5"/>
  <c r="V92" s="1"/>
  <c r="P10" i="10"/>
  <c r="J7"/>
  <c r="J2" s="1"/>
  <c r="B13" s="1"/>
  <c r="Q10" l="1"/>
  <c r="H36" i="11"/>
  <c r="I3" i="10"/>
  <c r="I4"/>
  <c r="I8"/>
  <c r="I5"/>
  <c r="I7"/>
  <c r="I10"/>
  <c r="I6"/>
  <c r="D13" l="1"/>
  <c r="C13"/>
  <c r="E13"/>
  <c r="G13"/>
  <c r="H13"/>
  <c r="F13"/>
  <c r="H14" l="1"/>
  <c r="C29" s="1"/>
  <c r="H30" l="1"/>
  <c r="F30"/>
  <c r="H42" i="11" s="1"/>
  <c r="D30" i="10"/>
  <c r="D42" i="11" s="1"/>
  <c r="B30" i="10"/>
  <c r="B42" i="11" s="1"/>
  <c r="B40"/>
  <c r="J42" l="1"/>
  <c r="B37" i="10"/>
  <c r="T18" i="7"/>
  <c r="T35"/>
  <c r="W35" s="1"/>
  <c r="A27" i="8" s="1"/>
  <c r="T34" i="7"/>
  <c r="W34" s="1"/>
  <c r="A26" i="8" s="1"/>
  <c r="T30" i="7"/>
  <c r="W30" s="1"/>
  <c r="A22" i="8" s="1"/>
  <c r="T37" i="7"/>
  <c r="W37" s="1"/>
  <c r="A39" i="8" s="1"/>
  <c r="T29" i="7"/>
  <c r="W29" s="1"/>
  <c r="T16"/>
  <c r="C15"/>
  <c r="W28"/>
  <c r="A40" i="8" s="1"/>
  <c r="T21" i="7"/>
  <c r="T33"/>
  <c r="W33" s="1"/>
  <c r="A25" i="8" s="1"/>
  <c r="T36" i="7"/>
  <c r="W36" s="1"/>
  <c r="A28" i="8" s="1"/>
  <c r="U18" i="7"/>
  <c r="W18" s="1"/>
  <c r="A35" i="8" s="1"/>
  <c r="T27" i="7"/>
  <c r="W27" s="1"/>
  <c r="A20" i="8" s="1"/>
  <c r="T24" i="7"/>
  <c r="T26"/>
  <c r="W26" s="1"/>
  <c r="A29" i="8" s="1"/>
  <c r="T17" i="7"/>
  <c r="W17" s="1"/>
  <c r="A19" i="8" s="1"/>
  <c r="T32" i="7"/>
  <c r="W32" s="1"/>
  <c r="A24" i="8" s="1"/>
  <c r="T31" i="7"/>
  <c r="W31" s="1"/>
  <c r="A23" i="8" s="1"/>
  <c r="T19" i="7"/>
  <c r="W19" s="1"/>
  <c r="T23"/>
  <c r="W16" l="1"/>
  <c r="A10" i="8" s="1"/>
  <c r="W11" i="7"/>
  <c r="A17" i="8" s="1"/>
  <c r="U23" i="7"/>
  <c r="W23"/>
  <c r="A32" i="8" s="1"/>
  <c r="U24" i="7"/>
  <c r="W24"/>
  <c r="A30" i="8"/>
  <c r="W20" i="7"/>
  <c r="A33" i="8" s="1"/>
  <c r="U21" i="7"/>
  <c r="W21" s="1"/>
  <c r="A21" i="8"/>
  <c r="A38"/>
  <c r="A31" l="1"/>
  <c r="W22" i="7"/>
  <c r="A34" i="8" s="1"/>
  <c r="A36"/>
  <c r="W25" i="7"/>
  <c r="A37" i="8" s="1"/>
</calcChain>
</file>

<file path=xl/comments1.xml><?xml version="1.0" encoding="utf-8"?>
<comments xmlns="http://schemas.openxmlformats.org/spreadsheetml/2006/main">
  <authors>
    <author>Billy_26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Custo da diária de Treinamento local.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Custo da diária de Suporte no local.</t>
        </r>
      </text>
    </comment>
    <comment ref="I16" authorId="0">
      <text>
        <r>
          <rPr>
            <b/>
            <sz val="8"/>
            <color indexed="81"/>
            <rFont val="Tahoma"/>
            <family val="2"/>
          </rPr>
          <t>Valor mensal pela Administração da Bilheteria</t>
        </r>
      </text>
    </comment>
    <comment ref="I17" authorId="0">
      <text>
        <r>
          <rPr>
            <b/>
            <sz val="8"/>
            <color indexed="81"/>
            <rFont val="Tahoma"/>
            <family val="2"/>
          </rPr>
          <t xml:space="preserve">Custo de Um equipamento </t>
        </r>
        <r>
          <rPr>
            <b/>
            <u/>
            <sz val="8"/>
            <color indexed="81"/>
            <rFont val="Tahoma"/>
            <family val="2"/>
          </rPr>
          <t>dividido</t>
        </r>
        <r>
          <rPr>
            <b/>
            <sz val="8"/>
            <color indexed="81"/>
            <rFont val="Tahoma"/>
            <family val="2"/>
          </rPr>
          <t xml:space="preserve"> pela Quantidade de meses que será amortizado</t>
        </r>
      </text>
    </comment>
    <comment ref="I18" authorId="0">
      <text>
        <r>
          <rPr>
            <b/>
            <sz val="8"/>
            <color indexed="81"/>
            <rFont val="Tahoma"/>
            <family val="2"/>
          </rPr>
          <t xml:space="preserve">Custo de Um equipamento </t>
        </r>
        <r>
          <rPr>
            <b/>
            <u/>
            <sz val="8"/>
            <color indexed="81"/>
            <rFont val="Tahoma"/>
            <family val="2"/>
          </rPr>
          <t>dividido</t>
        </r>
        <r>
          <rPr>
            <b/>
            <sz val="8"/>
            <color indexed="81"/>
            <rFont val="Tahoma"/>
            <family val="2"/>
          </rPr>
          <t xml:space="preserve"> pela Quantidade de meses que será amortizado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Valor mensal do custo da Linha de Telefone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 xml:space="preserve">Custo mensal de cada POS/TEF </t>
        </r>
        <r>
          <rPr>
            <b/>
            <u/>
            <sz val="8"/>
            <color indexed="81"/>
            <rFont val="Tahoma"/>
            <family val="2"/>
          </rPr>
          <t>vezes</t>
        </r>
        <r>
          <rPr>
            <b/>
            <sz val="8"/>
            <color indexed="81"/>
            <rFont val="Tahoma"/>
            <family val="2"/>
          </rPr>
          <t xml:space="preserve"> a Quantidade de POS/TEF</t>
        </r>
      </text>
    </comment>
    <comment ref="I21" authorId="0">
      <text>
        <r>
          <rPr>
            <b/>
            <sz val="8"/>
            <color indexed="81"/>
            <rFont val="Tahoma"/>
            <family val="2"/>
          </rPr>
          <t>Valor mensal do custo do Link de Internet</t>
        </r>
      </text>
    </comment>
    <comment ref="I22" authorId="0">
      <text>
        <r>
          <rPr>
            <b/>
            <sz val="8"/>
            <color indexed="81"/>
            <rFont val="Tahoma"/>
            <family val="2"/>
          </rPr>
          <t xml:space="preserve">Custo mensal (inlusive os Encargos Trabalhistas) do Bilheteiro (disponibilizado no espaço) </t>
        </r>
        <r>
          <rPr>
            <b/>
            <u/>
            <sz val="8"/>
            <color indexed="81"/>
            <rFont val="Tahoma"/>
            <family val="2"/>
          </rPr>
          <t>vezes</t>
        </r>
        <r>
          <rPr>
            <b/>
            <sz val="8"/>
            <color indexed="81"/>
            <rFont val="Tahoma"/>
            <family val="2"/>
          </rPr>
          <t xml:space="preserve"> a Quantidade de Bilheteiros.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Custo mensal do transporte de valores.</t>
        </r>
      </text>
    </comment>
  </commentList>
</comments>
</file>

<file path=xl/comments2.xml><?xml version="1.0" encoding="utf-8"?>
<comments xmlns="http://schemas.openxmlformats.org/spreadsheetml/2006/main">
  <authors>
    <author>Billy_26</author>
  </authors>
  <commentList>
    <comment ref="AA7" authorId="0">
      <text>
        <r>
          <rPr>
            <b/>
            <sz val="8"/>
            <color indexed="81"/>
            <rFont val="Tahoma"/>
            <family val="2"/>
          </rPr>
          <t>Custo da diária de Suporte no local.</t>
        </r>
      </text>
    </comment>
  </commentList>
</comments>
</file>

<file path=xl/sharedStrings.xml><?xml version="1.0" encoding="utf-8"?>
<sst xmlns="http://schemas.openxmlformats.org/spreadsheetml/2006/main" count="641" uniqueCount="254">
  <si>
    <t>Total</t>
  </si>
  <si>
    <t>Bilheteira(o)</t>
  </si>
  <si>
    <t>Bilheteria</t>
  </si>
  <si>
    <t>Call Center</t>
  </si>
  <si>
    <t>Internet</t>
  </si>
  <si>
    <t>Papel Ingresso</t>
  </si>
  <si>
    <t>Custo Transação</t>
  </si>
  <si>
    <t>Receita Total</t>
  </si>
  <si>
    <t>Receitas</t>
  </si>
  <si>
    <t>Despesas</t>
  </si>
  <si>
    <t>Despesa Total</t>
  </si>
  <si>
    <t>Taxa Serviço</t>
  </si>
  <si>
    <t>Resultado por Sessão</t>
  </si>
  <si>
    <t>Parâmetros Comerciais</t>
  </si>
  <si>
    <t>Cobrar</t>
  </si>
  <si>
    <t>Não Cobrar</t>
  </si>
  <si>
    <t>Percentual de Meia Entrada</t>
  </si>
  <si>
    <t>Taxa Ocupação do Espaço</t>
  </si>
  <si>
    <t>Venda Ing.</t>
  </si>
  <si>
    <t>Papel Ingresso - Custo CI</t>
  </si>
  <si>
    <t>Bilheteria - Dinheiro</t>
  </si>
  <si>
    <t>Parâmetros de Simulação</t>
  </si>
  <si>
    <t>Dados do Espaço</t>
  </si>
  <si>
    <t>R$ por Ingresso</t>
  </si>
  <si>
    <t>Tx Cartões do Cliente</t>
  </si>
  <si>
    <t>Resultado CI</t>
  </si>
  <si>
    <t>Lotação - Lugares</t>
  </si>
  <si>
    <t>Link Internet</t>
  </si>
  <si>
    <t>PDV</t>
  </si>
  <si>
    <t>Bilheteria 3os.</t>
  </si>
  <si>
    <t>Convites Dia</t>
  </si>
  <si>
    <t>Impressora</t>
  </si>
  <si>
    <t>Pos/TEF</t>
  </si>
  <si>
    <t>Telefone</t>
  </si>
  <si>
    <t>Reembolso</t>
  </si>
  <si>
    <t>Notebook/PC</t>
  </si>
  <si>
    <t>Tx Antec. Cartões</t>
  </si>
  <si>
    <t>Tx Antec. Cartões - CI</t>
  </si>
  <si>
    <t>% Venda por Canal de Venda</t>
  </si>
  <si>
    <t>Modelo de Negócio</t>
  </si>
  <si>
    <t>Sistema</t>
  </si>
  <si>
    <t>Promo Itaú</t>
  </si>
  <si>
    <t>Administração</t>
  </si>
  <si>
    <t>Considerar</t>
  </si>
  <si>
    <t>Não Considerar</t>
  </si>
  <si>
    <t>Valor Médio Ingresso - R$</t>
  </si>
  <si>
    <t>Ing. Disponíveis p/ Venda</t>
  </si>
  <si>
    <t>Taxa de Serviço Valor Fixo - Por Ingresso Emitido</t>
  </si>
  <si>
    <t>Total de Transações</t>
  </si>
  <si>
    <t>Taxa de Serviço</t>
  </si>
  <si>
    <t>Item</t>
  </si>
  <si>
    <t>Cobrar do Cliente</t>
  </si>
  <si>
    <t>Custo CI</t>
  </si>
  <si>
    <t>Calculadora - Estudo de Retorno de uma Proposta</t>
  </si>
  <si>
    <t>Percentual do Cliente da Promo Itaú</t>
  </si>
  <si>
    <t>Volume C.Crédito Bilheteria</t>
  </si>
  <si>
    <t>Volume C.Débito Bilheteria</t>
  </si>
  <si>
    <t>Percentual de Venda Promo Itaú</t>
  </si>
  <si>
    <t>Bilheteria - C.Crédito</t>
  </si>
  <si>
    <t>Bilheteria - C.Débito</t>
  </si>
  <si>
    <t>Total Tx.Serviço</t>
  </si>
  <si>
    <t>Tx Adm Cartões Crédito</t>
  </si>
  <si>
    <t>Tx Adm Cartões Débito</t>
  </si>
  <si>
    <t>Tx. Adm. C.Crédito</t>
  </si>
  <si>
    <t>Tx. Adm. C.Débito</t>
  </si>
  <si>
    <t>Tx Adm. C.Crédito - parte CI</t>
  </si>
  <si>
    <t>Tx Adm. C.Débito - parte CI</t>
  </si>
  <si>
    <t>POS/TEF</t>
  </si>
  <si>
    <t>Sistema Bilheteria</t>
  </si>
  <si>
    <t>Cota e Promo Itaú</t>
  </si>
  <si>
    <t>Taxa de Serviço - %
Sobre Venda Web, C.Center, PDV</t>
  </si>
  <si>
    <t>Taxa de Serviço - Valor Fixo
Sobre Venda Web, C.Center, PDV</t>
  </si>
  <si>
    <t>Taxa de Serviço - Valor Fixo por Transação
Sobre Venda Web, C.Center, PDV</t>
  </si>
  <si>
    <t>Média Ing. Por Transação</t>
  </si>
  <si>
    <t>Papel Ingresso - Cobrado do Cliente</t>
  </si>
  <si>
    <t>Tx Antec. Cartão Crédito</t>
  </si>
  <si>
    <t>Tx Antec. Cartão Crédito - CI</t>
  </si>
  <si>
    <t>Adm. Bilheteria</t>
  </si>
  <si>
    <t>Tipo</t>
  </si>
  <si>
    <t>Apresentaçãoes p/ Semana</t>
  </si>
  <si>
    <t>Participação</t>
  </si>
  <si>
    <t>Valor de cada Treinamento no Local</t>
  </si>
  <si>
    <t>Valor de cada Suporte no Local</t>
  </si>
  <si>
    <t>Quantidade de Suportes</t>
  </si>
  <si>
    <t>Custo Suporte no Local</t>
  </si>
  <si>
    <t>Custo Treinamento no Local</t>
  </si>
  <si>
    <t>Treinamento no Local</t>
  </si>
  <si>
    <t>Suporte no Local</t>
  </si>
  <si>
    <t>Resumo</t>
  </si>
  <si>
    <t>Quantidade Total de Treinamentos</t>
  </si>
  <si>
    <t>Receitas CI</t>
  </si>
  <si>
    <t>Despesas CI</t>
  </si>
  <si>
    <t>Parâmetros para Cálculo do Retorno de uma Proposta</t>
  </si>
  <si>
    <t>Produto</t>
  </si>
  <si>
    <t>Ao</t>
  </si>
  <si>
    <t>Obrigado por contatar a Compreingressos.com. Pelo nosso sistema já foram emitidos mais de 60 milhões de ingressos em 15 anos de funcionamento.</t>
  </si>
  <si>
    <r>
      <t>Outros Serviços do Grupo Compre Ingressos</t>
    </r>
    <r>
      <rPr>
        <b/>
        <sz val="10"/>
        <color theme="1"/>
        <rFont val="Arial"/>
        <family val="2"/>
      </rPr>
      <t>:</t>
    </r>
  </si>
  <si>
    <t>Data</t>
  </si>
  <si>
    <t>Destinatário</t>
  </si>
  <si>
    <t>De Acordo em ____/____/____</t>
  </si>
  <si>
    <t>CI-RJ 019|14</t>
  </si>
  <si>
    <t>Espaço Teste</t>
  </si>
  <si>
    <t>Referente a</t>
  </si>
  <si>
    <t>Cota de Ingressos</t>
  </si>
  <si>
    <t>Sistema de Venda de Ingressos</t>
  </si>
  <si>
    <t>Nome do Espaço/Produção</t>
  </si>
  <si>
    <t>Apelido do Espaço/Produção</t>
  </si>
  <si>
    <t>Cota de Ingressos - Tx.Ser.- % Sobre Venda nos Canais Externos</t>
  </si>
  <si>
    <t>Cota de Ingressos - Tx.Ser. - Valor Fixo Sobre Venda  nos Canais Externos</t>
  </si>
  <si>
    <t>Cota de Ingressos - Tx.Ser. - Valor Fixo por Transação Sobre Venda  nos Canais Externos</t>
  </si>
  <si>
    <t>Promo Itaú - Tx.Ser. - % Sobre Venda  nos Canais Externos</t>
  </si>
  <si>
    <t>Promo Itaú - Tx.Ser. - Valor Fixo Sobre Venda  nos Canais Externos</t>
  </si>
  <si>
    <t>Promo Itaú - Tx.Ser. - Valor Fixo por Transação Sobre Venda  nos Canais Externos</t>
  </si>
  <si>
    <t>Sistema de Ingressos - Tx.Ser. - % Sobre Venda  nos Canais Externos</t>
  </si>
  <si>
    <t>Sistema de Ingressos - Tx.Ser. - Valor Fixo Sobre Venda  nos Canais Externos</t>
  </si>
  <si>
    <t>Sistema de Ingressos - Tx.Ser.- Valor Fixo por Transação Sobre Venda  nos Canais Externos</t>
  </si>
  <si>
    <t>Sistema de Ingressos - Tx.Ser. - Valor Fixo - Por Ingresso Emitido</t>
  </si>
  <si>
    <t>CI – C01</t>
  </si>
  <si>
    <t>CI – C02</t>
  </si>
  <si>
    <t>CI – C03</t>
  </si>
  <si>
    <t>CI – PI01</t>
  </si>
  <si>
    <t>CI – PI02</t>
  </si>
  <si>
    <t>CI – PI03</t>
  </si>
  <si>
    <t>CI – S01</t>
  </si>
  <si>
    <t>CI – S02</t>
  </si>
  <si>
    <t>CI – S03</t>
  </si>
  <si>
    <t>CI – S04</t>
  </si>
  <si>
    <t>Apresentação(ões) Mês</t>
  </si>
  <si>
    <t>Sigla - Modelo de Negócio</t>
  </si>
  <si>
    <t>Crédito</t>
  </si>
  <si>
    <t>Débito</t>
  </si>
  <si>
    <t>Tx Antec. Cartões Crédito</t>
  </si>
  <si>
    <t>Tx Adm. Cartões Crédito</t>
  </si>
  <si>
    <t>Tx Adm. Cartões Débito</t>
  </si>
  <si>
    <t>Antecipação</t>
  </si>
  <si>
    <t>Prazo Repasse Crédito</t>
  </si>
  <si>
    <t>Prazo Repasse Débito</t>
  </si>
  <si>
    <t>Repasse Cartão de Crédito</t>
  </si>
  <si>
    <t>Repasse Cartão de Débito</t>
  </si>
  <si>
    <t>Uso do Sistema de Vendas</t>
  </si>
  <si>
    <t>Transporte de Valores</t>
  </si>
  <si>
    <t>Contrato</t>
  </si>
  <si>
    <t>Até o Término da Temporada</t>
  </si>
  <si>
    <t>Contrato Cota ou Promo Itaú</t>
  </si>
  <si>
    <t>Incluir na Proposta</t>
  </si>
  <si>
    <t>Não Incluir na Proposta</t>
  </si>
  <si>
    <t>Função</t>
  </si>
  <si>
    <t>Gerente</t>
  </si>
  <si>
    <t>Elaborado Por:</t>
  </si>
  <si>
    <t>Código do Cliente</t>
  </si>
  <si>
    <t>Centro Cultural e de Entretenimento Espaço Teste</t>
  </si>
  <si>
    <t>Sr Funalano de Tal</t>
  </si>
  <si>
    <t>Dados da Proposta</t>
  </si>
  <si>
    <t>Equipamentos</t>
  </si>
  <si>
    <t>Funcionário Compre Ingressos</t>
  </si>
  <si>
    <t>Atenciosamente,</t>
  </si>
  <si>
    <t>Sistema Ingresso CI</t>
  </si>
  <si>
    <t>Transp.Valores</t>
  </si>
  <si>
    <t>Função:</t>
  </si>
  <si>
    <t>Executivo de Vendas</t>
  </si>
  <si>
    <t>Vantagens Adicionais</t>
  </si>
  <si>
    <t>Divulgação Mídia Impressa</t>
  </si>
  <si>
    <t>Divulgação Mídia On-Line</t>
  </si>
  <si>
    <t>E-mail Marketing</t>
  </si>
  <si>
    <t>Destaque Home Page</t>
  </si>
  <si>
    <t>Página no Site</t>
  </si>
  <si>
    <t>Mídia Impressa</t>
  </si>
  <si>
    <t>Mídia On-Line</t>
  </si>
  <si>
    <t>Total Mídia</t>
  </si>
  <si>
    <t>Nome:___________________________________________</t>
  </si>
  <si>
    <t>Assinatura:______________________________________</t>
  </si>
  <si>
    <t>Facilidades do Sistema</t>
  </si>
  <si>
    <t>Venda pela Internet</t>
  </si>
  <si>
    <t>Venda pelas Redes Sociais</t>
  </si>
  <si>
    <t>Borderô Web</t>
  </si>
  <si>
    <t>Venda pelo Call Center</t>
  </si>
  <si>
    <t>Mídias</t>
  </si>
  <si>
    <t>Cobrança</t>
  </si>
  <si>
    <t>Itens da Proposta</t>
  </si>
  <si>
    <t>Mensal</t>
  </si>
  <si>
    <t>Por utilização</t>
  </si>
  <si>
    <t>Sem custo</t>
  </si>
  <si>
    <t>Home Page</t>
  </si>
  <si>
    <t>Mídia:                   Repetição Mês</t>
  </si>
  <si>
    <t>Média de Ingressos Por Transação</t>
  </si>
  <si>
    <t>Custos Na Bilheteria:</t>
  </si>
  <si>
    <t>Comissão Venda</t>
  </si>
  <si>
    <t>Dados do Espaço/Evento</t>
  </si>
  <si>
    <t>Taxa Administrativa Cartões de Crédito</t>
  </si>
  <si>
    <t>Taxa Administrativa Cartões de Débito</t>
  </si>
  <si>
    <t>Taxa Antecipação de Cartão de Crédito</t>
  </si>
  <si>
    <t>Taxa Antecipação de Cartão de Crédito - CI</t>
  </si>
  <si>
    <t>Volume Venda de Cãrtão de Crédito na Bilheteria</t>
  </si>
  <si>
    <t>Volume por Canal de Venda</t>
  </si>
  <si>
    <t>Quantidade de Treinamentos na Bilheteria (em dias)</t>
  </si>
  <si>
    <t>Quantidade de Suportes previstos no Local (em dias)</t>
  </si>
  <si>
    <t>Telefone Fixo</t>
  </si>
  <si>
    <t>Sessão</t>
  </si>
  <si>
    <t>Mês</t>
  </si>
  <si>
    <t xml:space="preserve">Mídia: </t>
  </si>
  <si>
    <t>QTA</t>
  </si>
  <si>
    <t>Destaque - Home</t>
  </si>
  <si>
    <t>Cota de Ingressos e Promo Itaú</t>
  </si>
  <si>
    <t>Sistema de Ingressos</t>
  </si>
  <si>
    <t>% C.Externos</t>
  </si>
  <si>
    <t>Transp.de Valores</t>
  </si>
  <si>
    <t>Fixo-C.Externos</t>
  </si>
  <si>
    <t>Fixo-Transação</t>
  </si>
  <si>
    <t>Fixo-Ing.Emitido</t>
  </si>
  <si>
    <t>Modelo Escolhido</t>
  </si>
  <si>
    <t>Simulador de Resultados</t>
  </si>
  <si>
    <t>Receitas Ano</t>
  </si>
  <si>
    <t>Despesas Ano</t>
  </si>
  <si>
    <t>Resultado Ano</t>
  </si>
  <si>
    <t>Sim</t>
  </si>
  <si>
    <t>Não</t>
  </si>
  <si>
    <t>É Promo Itaú?</t>
  </si>
  <si>
    <t>Cota ou Promo</t>
  </si>
  <si>
    <t>Tipo de Produto</t>
  </si>
  <si>
    <t>Resultado Mês</t>
  </si>
  <si>
    <t>Opção Escolhida</t>
  </si>
  <si>
    <t>Opção da Planilha</t>
  </si>
  <si>
    <t>Modelo de Negócios Escolhido para este projeto</t>
  </si>
  <si>
    <t>Sugerido Pela Planilha</t>
  </si>
  <si>
    <t>Assinatura:</t>
  </si>
  <si>
    <t>Financeiro:</t>
  </si>
  <si>
    <t>Operacional:</t>
  </si>
  <si>
    <t>Justificativa</t>
  </si>
  <si>
    <t>______/______/______</t>
  </si>
  <si>
    <t>Contrato Cota/Promo Itaú</t>
  </si>
  <si>
    <t>Calculo do Retorno do Projeto - Estudo de Viabilidade</t>
  </si>
  <si>
    <t>Aprovações</t>
  </si>
  <si>
    <t>Nome Espaço/Produção</t>
  </si>
  <si>
    <t>Apelido Espaço/Produção</t>
  </si>
  <si>
    <t>Prazo Contrato</t>
  </si>
  <si>
    <t>Prazo Contrato Cota/Promo</t>
  </si>
  <si>
    <t>Volume Venda Cartão Crédito na Bilheteria</t>
  </si>
  <si>
    <t>Modelo de Negócio Escolhido</t>
  </si>
  <si>
    <t>Comissão de Venda</t>
  </si>
  <si>
    <t>Quantidade de Treinamentos na Bilheteria (dias)</t>
  </si>
  <si>
    <t>Quantidade de Suportes previstos no Local (dias)</t>
  </si>
  <si>
    <t>Modelo de Negócios Escolhido para este Projeto</t>
  </si>
  <si>
    <t>Justificativa (se o Plano de Negócios Sugerido pela Planilha é diferente da Opção Escolhida)</t>
  </si>
  <si>
    <t>Opção Escolhida:</t>
  </si>
  <si>
    <t>Sugerido Pela Planilha:</t>
  </si>
  <si>
    <t>Instruções para a utilização da Planilha: Calculadora - Estudo Viabilidade - Versão 4</t>
  </si>
  <si>
    <r>
      <t xml:space="preserve">Na pasta </t>
    </r>
    <r>
      <rPr>
        <b/>
        <sz val="11"/>
        <color theme="1"/>
        <rFont val="Calibri"/>
        <family val="2"/>
      </rPr>
      <t>Parâmetros,</t>
    </r>
    <r>
      <rPr>
        <sz val="11"/>
        <color theme="1"/>
        <rFont val="Calibri"/>
        <family val="2"/>
        <scheme val="minor"/>
      </rPr>
      <t xml:space="preserve"> inserir todas as informações do espaço/produção e os custos;</t>
    </r>
  </si>
  <si>
    <r>
      <t xml:space="preserve">Na pasta </t>
    </r>
    <r>
      <rPr>
        <b/>
        <sz val="11"/>
        <color theme="1"/>
        <rFont val="Calibri"/>
        <family val="2"/>
      </rPr>
      <t>Simulador,</t>
    </r>
    <r>
      <rPr>
        <sz val="11"/>
        <color theme="1"/>
        <rFont val="Calibri"/>
        <family val="2"/>
        <scheme val="minor"/>
      </rPr>
      <t xml:space="preserve"> insira e mudifique como desejar as Taxas de Serviço, e os Parâmetros Comerciais;</t>
    </r>
  </si>
  <si>
    <r>
      <t xml:space="preserve">Se for o caso, imprima a pasta </t>
    </r>
    <r>
      <rPr>
        <b/>
        <sz val="11"/>
        <color theme="1"/>
        <rFont val="Calibri"/>
        <family val="2"/>
      </rPr>
      <t>Impressão</t>
    </r>
    <r>
      <rPr>
        <sz val="11"/>
        <color theme="1"/>
        <rFont val="Calibri"/>
        <family val="2"/>
        <scheme val="minor"/>
      </rPr>
      <t xml:space="preserve"> e colha as assinaturas necessárias;</t>
    </r>
  </si>
  <si>
    <r>
      <t xml:space="preserve">Na pasta </t>
    </r>
    <r>
      <rPr>
        <b/>
        <sz val="11"/>
        <color theme="1"/>
        <rFont val="Calibri"/>
        <family val="2"/>
      </rPr>
      <t>Dados Proposta</t>
    </r>
    <r>
      <rPr>
        <sz val="11"/>
        <color theme="1"/>
        <rFont val="Calibri"/>
        <family val="2"/>
        <scheme val="minor"/>
      </rPr>
      <t>, selecione os itens que serão incluidos na Proposta Comercial que será enviada ao Cliente;</t>
    </r>
  </si>
  <si>
    <r>
      <t xml:space="preserve">Para impimir a proposta, basta solicionar a pasta </t>
    </r>
    <r>
      <rPr>
        <b/>
        <sz val="11"/>
        <color theme="1"/>
        <rFont val="Calibri"/>
        <family val="2"/>
      </rPr>
      <t>Proposta</t>
    </r>
    <r>
      <rPr>
        <sz val="11"/>
        <color theme="1"/>
        <rFont val="Calibri"/>
        <family val="2"/>
        <scheme val="minor"/>
      </rPr>
      <t xml:space="preserve"> e solicitar a impressão normalmente. Não esqueça de visualizar a impressão antes.</t>
    </r>
  </si>
  <si>
    <t xml:space="preserve">No final da pasta Simulador, é possível verificar o modelo de Negócio sugerido pela planilha. </t>
  </si>
  <si>
    <t>Ou ainda, escolher um outro Modelo de Negócio, mas sendo este aprovado por 2 Diretos da CI antes da proposta ser enviada para o Cliente.</t>
  </si>
  <si>
    <t>Observação:</t>
  </si>
</sst>
</file>

<file path=xl/styles.xml><?xml version="1.0" encoding="utf-8"?>
<styleSheet xmlns="http://schemas.openxmlformats.org/spreadsheetml/2006/main">
  <numFmts count="1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\ &quot;/ Mês&quot;\ "/>
    <numFmt numFmtId="165" formatCode="#,##0.00_ ;[Red]\-#,##0.00\ "/>
    <numFmt numFmtId="166" formatCode="&quot;R$&quot;\ #,##0.00\ &quot;/ Sessão&quot;\ "/>
    <numFmt numFmtId="167" formatCode="&quot;R$&quot;\ #,##0.00"/>
    <numFmt numFmtId="168" formatCode="#,###\ &quot;Ingressos&quot;\ "/>
    <numFmt numFmtId="169" formatCode="#,###\ &quot;Transações&quot;\ "/>
    <numFmt numFmtId="170" formatCode="&quot;Rio de Janeiro, &quot;[$-416]d\ &quot;de &quot;\ mmmm\ &quot;de &quot;yyyy;@"/>
    <numFmt numFmtId="171" formatCode="#,###\ &quot;Apresentação(ões)&quot;\ "/>
    <numFmt numFmtId="172" formatCode="#,###\ &quot;Ingresso(s)&quot;\ "/>
    <numFmt numFmtId="173" formatCode="0.0%"/>
    <numFmt numFmtId="174" formatCode="##0\ &quot;dias&quot;\ "/>
    <numFmt numFmtId="175" formatCode="0\ &quot;Ano(s)&quot;\ 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002060"/>
      <name val="Calibri"/>
      <family val="2"/>
      <scheme val="minor"/>
    </font>
    <font>
      <sz val="8"/>
      <name val="Tahoma"/>
      <family val="2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8"/>
      <color theme="1"/>
      <name val="Century Gothic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</cellStyleXfs>
  <cellXfs count="67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43" fontId="14" fillId="5" borderId="7" xfId="1" applyFont="1" applyFill="1" applyBorder="1" applyAlignment="1">
      <alignment vertical="center"/>
    </xf>
    <xf numFmtId="43" fontId="14" fillId="5" borderId="8" xfId="1" applyFont="1" applyFill="1" applyBorder="1" applyAlignment="1">
      <alignment vertical="center"/>
    </xf>
    <xf numFmtId="43" fontId="14" fillId="5" borderId="9" xfId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43" fontId="14" fillId="5" borderId="2" xfId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68" fontId="3" fillId="2" borderId="4" xfId="1" applyNumberFormat="1" applyFont="1" applyFill="1" applyBorder="1" applyAlignment="1">
      <alignment horizontal="center" vertical="center"/>
    </xf>
    <xf numFmtId="9" fontId="3" fillId="2" borderId="4" xfId="2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4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0" fontId="3" fillId="5" borderId="3" xfId="0" applyNumberFormat="1" applyFont="1" applyFill="1" applyBorder="1" applyAlignment="1">
      <alignment horizontal="left" vertical="center"/>
    </xf>
    <xf numFmtId="166" fontId="3" fillId="5" borderId="0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7" fontId="3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168" fontId="5" fillId="5" borderId="4" xfId="1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168" fontId="3" fillId="5" borderId="0" xfId="1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10" fontId="3" fillId="5" borderId="0" xfId="0" applyNumberFormat="1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3" fillId="5" borderId="3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>
      <alignment horizontal="center" vertical="center"/>
    </xf>
    <xf numFmtId="0" fontId="3" fillId="5" borderId="6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5" borderId="3" xfId="0" applyFont="1" applyFill="1" applyBorder="1" applyAlignment="1">
      <alignment vertical="center"/>
    </xf>
    <xf numFmtId="43" fontId="6" fillId="5" borderId="4" xfId="1" applyFont="1" applyFill="1" applyBorder="1" applyAlignment="1">
      <alignment vertical="center"/>
    </xf>
    <xf numFmtId="43" fontId="6" fillId="5" borderId="3" xfId="1" applyFont="1" applyFill="1" applyBorder="1" applyAlignment="1">
      <alignment horizontal="center" vertical="center"/>
    </xf>
    <xf numFmtId="43" fontId="6" fillId="5" borderId="0" xfId="1" applyFont="1" applyFill="1" applyBorder="1" applyAlignment="1">
      <alignment horizontal="center" vertical="center"/>
    </xf>
    <xf numFmtId="43" fontId="6" fillId="2" borderId="0" xfId="1" applyFont="1" applyFill="1" applyAlignment="1">
      <alignment vertical="center"/>
    </xf>
    <xf numFmtId="0" fontId="6" fillId="5" borderId="5" xfId="0" applyFont="1" applyFill="1" applyBorder="1" applyAlignment="1">
      <alignment vertical="center"/>
    </xf>
    <xf numFmtId="43" fontId="6" fillId="5" borderId="6" xfId="1" applyFont="1" applyFill="1" applyBorder="1" applyAlignment="1">
      <alignment vertical="center"/>
    </xf>
    <xf numFmtId="43" fontId="6" fillId="5" borderId="5" xfId="1" applyFont="1" applyFill="1" applyBorder="1" applyAlignment="1">
      <alignment horizontal="center" vertical="center"/>
    </xf>
    <xf numFmtId="43" fontId="6" fillId="5" borderId="11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3" fontId="14" fillId="6" borderId="7" xfId="1" applyFont="1" applyFill="1" applyBorder="1" applyAlignment="1">
      <alignment horizontal="center" vertical="center"/>
    </xf>
    <xf numFmtId="43" fontId="14" fillId="6" borderId="8" xfId="1" applyFont="1" applyFill="1" applyBorder="1" applyAlignment="1">
      <alignment vertical="center"/>
    </xf>
    <xf numFmtId="43" fontId="14" fillId="6" borderId="9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3" fontId="4" fillId="5" borderId="3" xfId="1" applyFont="1" applyFill="1" applyBorder="1" applyAlignment="1">
      <alignment horizontal="center" vertical="center"/>
    </xf>
    <xf numFmtId="43" fontId="4" fillId="5" borderId="0" xfId="1" applyFont="1" applyFill="1" applyBorder="1" applyAlignment="1">
      <alignment vertical="center"/>
    </xf>
    <xf numFmtId="43" fontId="4" fillId="5" borderId="4" xfId="1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43" fontId="15" fillId="6" borderId="7" xfId="1" applyFont="1" applyFill="1" applyBorder="1" applyAlignment="1">
      <alignment horizontal="center" vertical="center"/>
    </xf>
    <xf numFmtId="43" fontId="15" fillId="6" borderId="8" xfId="1" applyFont="1" applyFill="1" applyBorder="1" applyAlignment="1">
      <alignment vertical="center"/>
    </xf>
    <xf numFmtId="43" fontId="15" fillId="6" borderId="9" xfId="1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0" borderId="0" xfId="0" applyAlignment="1">
      <alignment horizontal="center" vertical="center"/>
    </xf>
    <xf numFmtId="43" fontId="6" fillId="5" borderId="0" xfId="1" applyFont="1" applyFill="1" applyBorder="1" applyAlignment="1">
      <alignment vertical="center"/>
    </xf>
    <xf numFmtId="43" fontId="7" fillId="4" borderId="7" xfId="1" applyFont="1" applyFill="1" applyBorder="1" applyAlignment="1">
      <alignment vertical="center"/>
    </xf>
    <xf numFmtId="43" fontId="7" fillId="4" borderId="8" xfId="1" applyFont="1" applyFill="1" applyBorder="1" applyAlignment="1">
      <alignment vertical="center"/>
    </xf>
    <xf numFmtId="43" fontId="7" fillId="4" borderId="9" xfId="1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center" vertical="center"/>
    </xf>
    <xf numFmtId="169" fontId="5" fillId="5" borderId="6" xfId="1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/>
    </xf>
    <xf numFmtId="0" fontId="3" fillId="5" borderId="0" xfId="1" applyNumberFormat="1" applyFont="1" applyFill="1" applyBorder="1" applyAlignment="1">
      <alignment horizontal="left" vertical="center"/>
    </xf>
    <xf numFmtId="10" fontId="3" fillId="5" borderId="0" xfId="0" applyNumberFormat="1" applyFont="1" applyFill="1" applyBorder="1" applyAlignment="1">
      <alignment vertical="center"/>
    </xf>
    <xf numFmtId="10" fontId="3" fillId="5" borderId="3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3" fillId="5" borderId="10" xfId="1" applyNumberFormat="1" applyFont="1" applyFill="1" applyBorder="1" applyAlignment="1">
      <alignment horizontal="left" vertical="center"/>
    </xf>
    <xf numFmtId="10" fontId="3" fillId="5" borderId="1" xfId="0" applyNumberFormat="1" applyFont="1" applyFill="1" applyBorder="1" applyAlignment="1">
      <alignment vertical="center"/>
    </xf>
    <xf numFmtId="10" fontId="3" fillId="5" borderId="10" xfId="0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0" fillId="0" borderId="0" xfId="0" applyNumberFormat="1" applyAlignment="1"/>
    <xf numFmtId="0" fontId="0" fillId="0" borderId="0" xfId="0" applyNumberFormat="1"/>
    <xf numFmtId="10" fontId="3" fillId="5" borderId="0" xfId="0" applyNumberFormat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vertical="center"/>
    </xf>
    <xf numFmtId="167" fontId="3" fillId="2" borderId="2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171" fontId="5" fillId="5" borderId="4" xfId="1" applyNumberFormat="1" applyFont="1" applyFill="1" applyBorder="1" applyAlignment="1">
      <alignment horizontal="center" vertical="center"/>
    </xf>
    <xf numFmtId="172" fontId="3" fillId="2" borderId="4" xfId="1" applyNumberFormat="1" applyFont="1" applyFill="1" applyBorder="1" applyAlignment="1">
      <alignment horizontal="center" vertical="center"/>
    </xf>
    <xf numFmtId="43" fontId="4" fillId="5" borderId="3" xfId="2" applyNumberFormat="1" applyFont="1" applyFill="1" applyBorder="1" applyAlignment="1">
      <alignment vertical="center"/>
    </xf>
    <xf numFmtId="9" fontId="4" fillId="5" borderId="0" xfId="2" applyFont="1" applyFill="1" applyBorder="1" applyAlignment="1">
      <alignment horizontal="center" vertical="center"/>
    </xf>
    <xf numFmtId="165" fontId="29" fillId="5" borderId="4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30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43" fontId="6" fillId="5" borderId="1" xfId="2" applyNumberFormat="1" applyFont="1" applyFill="1" applyBorder="1" applyAlignment="1">
      <alignment vertical="center"/>
    </xf>
    <xf numFmtId="9" fontId="6" fillId="5" borderId="10" xfId="2" applyFont="1" applyFill="1" applyBorder="1" applyAlignment="1">
      <alignment horizontal="center" vertical="center"/>
    </xf>
    <xf numFmtId="165" fontId="30" fillId="5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9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3" fontId="3" fillId="2" borderId="2" xfId="2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174" fontId="3" fillId="0" borderId="0" xfId="1" applyNumberFormat="1" applyFont="1" applyFill="1" applyBorder="1" applyAlignment="1">
      <alignment horizontal="right" vertical="center"/>
    </xf>
    <xf numFmtId="0" fontId="25" fillId="0" borderId="0" xfId="0" quotePrefix="1" applyNumberFormat="1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Border="1"/>
    <xf numFmtId="0" fontId="25" fillId="0" borderId="0" xfId="0" quotePrefix="1" applyNumberFormat="1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quotePrefix="1" applyFill="1" applyBorder="1"/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0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0" fontId="0" fillId="0" borderId="0" xfId="2" applyNumberFormat="1" applyFont="1" applyFill="1" applyBorder="1" applyAlignment="1">
      <alignment vertical="center"/>
    </xf>
    <xf numFmtId="4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74" fontId="3" fillId="2" borderId="0" xfId="1" applyNumberFormat="1" applyFont="1" applyFill="1" applyBorder="1" applyAlignment="1">
      <alignment horizontal="left" vertical="center"/>
    </xf>
    <xf numFmtId="175" fontId="3" fillId="2" borderId="0" xfId="1" applyNumberFormat="1" applyFont="1" applyFill="1" applyBorder="1" applyAlignment="1">
      <alignment horizontal="left" vertical="center"/>
    </xf>
    <xf numFmtId="0" fontId="0" fillId="0" borderId="11" xfId="0" applyNumberFormat="1" applyFill="1" applyBorder="1" applyAlignment="1">
      <alignment vertical="center"/>
    </xf>
    <xf numFmtId="0" fontId="3" fillId="5" borderId="11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0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vertical="center"/>
    </xf>
    <xf numFmtId="1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23" fillId="0" borderId="0" xfId="0" applyNumberFormat="1" applyFont="1" applyFill="1" applyAlignment="1">
      <alignment horizontal="right" vertical="center"/>
    </xf>
    <xf numFmtId="0" fontId="23" fillId="0" borderId="0" xfId="0" applyNumberFormat="1" applyFont="1" applyFill="1" applyAlignment="1">
      <alignment horizontal="right" vertical="center"/>
    </xf>
    <xf numFmtId="0" fontId="24" fillId="0" borderId="0" xfId="0" applyNumberFormat="1" applyFont="1" applyFill="1" applyAlignment="1">
      <alignment horizontal="left" vertical="center" wrapText="1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 wrapText="1"/>
    </xf>
    <xf numFmtId="0" fontId="25" fillId="0" borderId="0" xfId="0" applyNumberFormat="1" applyFont="1" applyFill="1" applyAlignment="1">
      <alignment horizontal="justify" vertical="center"/>
    </xf>
    <xf numFmtId="0" fontId="25" fillId="0" borderId="0" xfId="0" quotePrefix="1" applyNumberFormat="1" applyFont="1" applyFill="1" applyAlignment="1">
      <alignment horizontal="left" vertical="center" wrapText="1"/>
    </xf>
    <xf numFmtId="0" fontId="25" fillId="0" borderId="0" xfId="0" quotePrefix="1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20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0" fillId="0" borderId="20" xfId="0" applyFill="1" applyBorder="1"/>
    <xf numFmtId="0" fontId="32" fillId="4" borderId="5" xfId="0" applyNumberFormat="1" applyFont="1" applyFill="1" applyBorder="1" applyAlignment="1">
      <alignment vertical="center"/>
    </xf>
    <xf numFmtId="0" fontId="32" fillId="4" borderId="6" xfId="0" applyNumberFormat="1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31" fillId="5" borderId="0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/>
    </xf>
    <xf numFmtId="0" fontId="26" fillId="5" borderId="0" xfId="0" applyNumberFormat="1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0" fontId="33" fillId="5" borderId="0" xfId="0" applyFont="1" applyFill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22" fillId="5" borderId="0" xfId="0" applyFont="1" applyFill="1" applyBorder="1"/>
    <xf numFmtId="0" fontId="22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34" fillId="4" borderId="3" xfId="0" applyNumberFormat="1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0" fontId="3" fillId="0" borderId="0" xfId="0" applyFont="1" applyFill="1"/>
    <xf numFmtId="0" fontId="3" fillId="3" borderId="4" xfId="2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67" fontId="3" fillId="5" borderId="2" xfId="0" applyNumberFormat="1" applyFont="1" applyFill="1" applyBorder="1" applyAlignment="1">
      <alignment horizontal="center" vertical="center"/>
    </xf>
    <xf numFmtId="166" fontId="3" fillId="5" borderId="11" xfId="0" applyNumberFormat="1" applyFont="1" applyFill="1" applyBorder="1" applyAlignment="1">
      <alignment vertical="center"/>
    </xf>
    <xf numFmtId="164" fontId="3" fillId="5" borderId="6" xfId="1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37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5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5" fillId="2" borderId="0" xfId="0" applyNumberFormat="1" applyFont="1" applyFill="1" applyBorder="1" applyAlignment="1">
      <alignment vertical="center"/>
    </xf>
    <xf numFmtId="0" fontId="35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9" fontId="3" fillId="2" borderId="11" xfId="0" applyNumberFormat="1" applyFont="1" applyFill="1" applyBorder="1" applyAlignment="1">
      <alignment horizontal="center" vertical="center"/>
    </xf>
    <xf numFmtId="43" fontId="4" fillId="5" borderId="21" xfId="1" applyFont="1" applyFill="1" applyBorder="1" applyAlignment="1">
      <alignment horizontal="center" vertical="center"/>
    </xf>
    <xf numFmtId="10" fontId="3" fillId="5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0" borderId="0" xfId="0" applyFont="1" applyFill="1" applyBorder="1"/>
    <xf numFmtId="10" fontId="3" fillId="2" borderId="9" xfId="2" applyNumberFormat="1" applyFont="1" applyFill="1" applyBorder="1" applyAlignment="1">
      <alignment horizontal="center" vertical="center"/>
    </xf>
    <xf numFmtId="0" fontId="3" fillId="5" borderId="11" xfId="0" applyNumberFormat="1" applyFont="1" applyFill="1" applyBorder="1" applyAlignment="1">
      <alignment horizontal="center" vertical="center"/>
    </xf>
    <xf numFmtId="44" fontId="3" fillId="2" borderId="9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3" fillId="5" borderId="0" xfId="0" applyFont="1" applyFill="1" applyBorder="1"/>
    <xf numFmtId="0" fontId="3" fillId="4" borderId="19" xfId="0" applyFont="1" applyFill="1" applyBorder="1" applyAlignment="1">
      <alignment vertical="center"/>
    </xf>
    <xf numFmtId="10" fontId="3" fillId="5" borderId="0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Alignment="1">
      <alignment vertical="center"/>
    </xf>
    <xf numFmtId="0" fontId="2" fillId="5" borderId="1" xfId="0" applyFont="1" applyFill="1" applyBorder="1"/>
    <xf numFmtId="0" fontId="0" fillId="5" borderId="10" xfId="0" applyFill="1" applyBorder="1"/>
    <xf numFmtId="0" fontId="5" fillId="5" borderId="10" xfId="0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10" fontId="3" fillId="5" borderId="11" xfId="0" applyNumberFormat="1" applyFont="1" applyFill="1" applyBorder="1" applyAlignment="1">
      <alignment vertical="center"/>
    </xf>
    <xf numFmtId="44" fontId="3" fillId="5" borderId="0" xfId="1" applyNumberFormat="1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" fillId="5" borderId="2" xfId="0" applyFont="1" applyFill="1" applyBorder="1" applyAlignment="1">
      <alignment horizontal="center"/>
    </xf>
    <xf numFmtId="0" fontId="3" fillId="5" borderId="10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1" xfId="0" applyFill="1" applyBorder="1"/>
    <xf numFmtId="43" fontId="5" fillId="5" borderId="0" xfId="1" applyFont="1" applyFill="1" applyBorder="1"/>
    <xf numFmtId="43" fontId="3" fillId="5" borderId="0" xfId="1" applyFont="1" applyFill="1" applyBorder="1"/>
    <xf numFmtId="0" fontId="3" fillId="5" borderId="24" xfId="0" applyNumberFormat="1" applyFont="1" applyFill="1" applyBorder="1" applyAlignment="1">
      <alignment horizontal="left" vertical="center"/>
    </xf>
    <xf numFmtId="0" fontId="3" fillId="5" borderId="24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4" fontId="3" fillId="5" borderId="0" xfId="0" applyNumberFormat="1" applyFont="1" applyFill="1" applyBorder="1" applyAlignment="1">
      <alignment horizontal="center" vertical="center"/>
    </xf>
    <xf numFmtId="169" fontId="3" fillId="5" borderId="0" xfId="1" applyNumberFormat="1" applyFont="1" applyFill="1" applyBorder="1" applyAlignment="1">
      <alignment horizontal="center" vertical="center"/>
    </xf>
    <xf numFmtId="10" fontId="3" fillId="5" borderId="0" xfId="2" applyNumberFormat="1" applyFont="1" applyFill="1" applyBorder="1" applyAlignment="1">
      <alignment horizontal="center" vertical="center"/>
    </xf>
    <xf numFmtId="167" fontId="3" fillId="5" borderId="0" xfId="0" applyNumberFormat="1" applyFont="1" applyFill="1" applyBorder="1" applyAlignment="1">
      <alignment horizontal="center" vertical="center"/>
    </xf>
    <xf numFmtId="10" fontId="3" fillId="5" borderId="5" xfId="0" applyNumberFormat="1" applyFont="1" applyFill="1" applyBorder="1" applyAlignment="1">
      <alignment horizontal="left" vertical="center"/>
    </xf>
    <xf numFmtId="10" fontId="3" fillId="5" borderId="11" xfId="0" applyNumberFormat="1" applyFont="1" applyFill="1" applyBorder="1" applyAlignment="1">
      <alignment horizontal="left" vertical="center"/>
    </xf>
    <xf numFmtId="0" fontId="0" fillId="5" borderId="1" xfId="0" applyFill="1" applyBorder="1"/>
    <xf numFmtId="0" fontId="3" fillId="5" borderId="0" xfId="0" applyFont="1" applyFill="1" applyBorder="1" applyAlignment="1">
      <alignment horizontal="right"/>
    </xf>
    <xf numFmtId="0" fontId="3" fillId="5" borderId="20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right" vertical="center"/>
    </xf>
    <xf numFmtId="0" fontId="0" fillId="0" borderId="0" xfId="0" applyFill="1"/>
    <xf numFmtId="0" fontId="0" fillId="8" borderId="8" xfId="0" applyFill="1" applyBorder="1" applyAlignment="1">
      <alignment vertical="center"/>
    </xf>
    <xf numFmtId="0" fontId="8" fillId="8" borderId="7" xfId="0" applyFont="1" applyFill="1" applyBorder="1" applyAlignment="1">
      <alignment horizontal="left" vertical="center"/>
    </xf>
    <xf numFmtId="44" fontId="3" fillId="0" borderId="0" xfId="0" applyNumberFormat="1" applyFont="1" applyFill="1" applyBorder="1"/>
    <xf numFmtId="10" fontId="3" fillId="5" borderId="22" xfId="0" applyNumberFormat="1" applyFont="1" applyFill="1" applyBorder="1" applyAlignment="1">
      <alignment horizontal="left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3" fillId="5" borderId="18" xfId="0" applyNumberFormat="1" applyFont="1" applyFill="1" applyBorder="1" applyAlignment="1">
      <alignment vertical="center"/>
    </xf>
    <xf numFmtId="0" fontId="0" fillId="5" borderId="28" xfId="0" applyNumberFormat="1" applyFont="1" applyFill="1" applyBorder="1" applyAlignment="1">
      <alignment horizontal="center" vertical="center"/>
    </xf>
    <xf numFmtId="10" fontId="3" fillId="5" borderId="18" xfId="0" applyNumberFormat="1" applyFont="1" applyFill="1" applyBorder="1" applyAlignment="1">
      <alignment horizontal="left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6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68" fontId="3" fillId="2" borderId="0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9" fontId="3" fillId="2" borderId="4" xfId="2" applyFont="1" applyFill="1" applyBorder="1" applyAlignment="1">
      <alignment horizontal="center" vertical="center"/>
    </xf>
    <xf numFmtId="10" fontId="3" fillId="5" borderId="3" xfId="0" applyNumberFormat="1" applyFont="1" applyFill="1" applyBorder="1" applyAlignment="1">
      <alignment horizontal="left" vertical="center"/>
    </xf>
    <xf numFmtId="10" fontId="3" fillId="5" borderId="0" xfId="0" applyNumberFormat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43" fontId="3" fillId="8" borderId="9" xfId="1" applyFont="1" applyFill="1" applyBorder="1"/>
    <xf numFmtId="0" fontId="42" fillId="5" borderId="0" xfId="3" applyFill="1" applyBorder="1" applyAlignment="1" applyProtection="1"/>
    <xf numFmtId="9" fontId="3" fillId="2" borderId="0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68" fontId="3" fillId="2" borderId="0" xfId="1" applyNumberFormat="1" applyFont="1" applyFill="1" applyBorder="1" applyAlignment="1">
      <alignment horizontal="center" vertical="center"/>
    </xf>
    <xf numFmtId="168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172" fontId="3" fillId="2" borderId="0" xfId="1" applyNumberFormat="1" applyFont="1" applyFill="1" applyBorder="1" applyAlignment="1">
      <alignment horizontal="center" vertical="center"/>
    </xf>
    <xf numFmtId="172" fontId="3" fillId="2" borderId="4" xfId="1" applyNumberFormat="1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9" fontId="3" fillId="2" borderId="4" xfId="2" applyFont="1" applyFill="1" applyBorder="1" applyAlignment="1">
      <alignment horizontal="center" vertical="center"/>
    </xf>
    <xf numFmtId="168" fontId="3" fillId="5" borderId="4" xfId="1" applyNumberFormat="1" applyFont="1" applyFill="1" applyBorder="1" applyAlignment="1">
      <alignment horizontal="center" vertical="center"/>
    </xf>
    <xf numFmtId="171" fontId="3" fillId="5" borderId="4" xfId="1" applyNumberFormat="1" applyFont="1" applyFill="1" applyBorder="1" applyAlignment="1">
      <alignment horizontal="center" vertical="center"/>
    </xf>
    <xf numFmtId="169" fontId="3" fillId="5" borderId="4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10" fontId="3" fillId="5" borderId="20" xfId="0" applyNumberFormat="1" applyFont="1" applyFill="1" applyBorder="1" applyAlignment="1">
      <alignment horizontal="center" vertical="center"/>
    </xf>
    <xf numFmtId="10" fontId="3" fillId="5" borderId="19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6" fillId="5" borderId="0" xfId="0" applyNumberFormat="1" applyFont="1" applyFill="1" applyAlignment="1">
      <alignment horizontal="left" vertical="center" wrapText="1"/>
    </xf>
    <xf numFmtId="0" fontId="0" fillId="5" borderId="0" xfId="0" applyFill="1" applyBorder="1" applyAlignment="1">
      <alignment horizontal="center"/>
    </xf>
    <xf numFmtId="0" fontId="22" fillId="5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10" fontId="3" fillId="5" borderId="3" xfId="0" applyNumberFormat="1" applyFont="1" applyFill="1" applyBorder="1" applyAlignment="1">
      <alignment horizontal="left" vertical="center"/>
    </xf>
    <xf numFmtId="10" fontId="3" fillId="5" borderId="0" xfId="0" applyNumberFormat="1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center" vertical="center" textRotation="180"/>
    </xf>
    <xf numFmtId="0" fontId="13" fillId="2" borderId="21" xfId="0" applyFont="1" applyFill="1" applyBorder="1" applyAlignment="1">
      <alignment horizontal="center" vertical="center" textRotation="180"/>
    </xf>
    <xf numFmtId="0" fontId="13" fillId="2" borderId="19" xfId="0" applyFont="1" applyFill="1" applyBorder="1" applyAlignment="1">
      <alignment horizontal="center" vertical="center" textRotation="180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vertical="center" wrapText="1"/>
    </xf>
    <xf numFmtId="0" fontId="21" fillId="4" borderId="3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1" fillId="4" borderId="6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 textRotation="180"/>
    </xf>
    <xf numFmtId="0" fontId="13" fillId="2" borderId="4" xfId="0" applyFont="1" applyFill="1" applyBorder="1" applyAlignment="1">
      <alignment horizontal="center" vertical="center" textRotation="180"/>
    </xf>
    <xf numFmtId="0" fontId="13" fillId="2" borderId="6" xfId="0" applyFont="1" applyFill="1" applyBorder="1" applyAlignment="1">
      <alignment horizontal="center" vertical="center" textRotation="180"/>
    </xf>
    <xf numFmtId="0" fontId="3" fillId="5" borderId="5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44" fontId="3" fillId="5" borderId="11" xfId="1" applyNumberFormat="1" applyFont="1" applyFill="1" applyBorder="1" applyAlignment="1">
      <alignment vertical="center"/>
    </xf>
    <xf numFmtId="167" fontId="3" fillId="2" borderId="0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2" borderId="10" xfId="0" applyFill="1" applyBorder="1"/>
    <xf numFmtId="0" fontId="0" fillId="5" borderId="3" xfId="0" applyFill="1" applyBorder="1" applyAlignment="1">
      <alignment vertical="center"/>
    </xf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171" fontId="3" fillId="5" borderId="0" xfId="1" applyNumberFormat="1" applyFont="1" applyFill="1" applyBorder="1" applyAlignment="1">
      <alignment horizontal="center" vertical="center"/>
    </xf>
    <xf numFmtId="169" fontId="3" fillId="5" borderId="0" xfId="1" applyNumberFormat="1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167" fontId="3" fillId="5" borderId="11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4" fontId="0" fillId="2" borderId="10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14" fontId="0" fillId="2" borderId="11" xfId="0" applyNumberFormat="1" applyFill="1" applyBorder="1" applyAlignment="1">
      <alignment horizontal="left"/>
    </xf>
    <xf numFmtId="14" fontId="0" fillId="2" borderId="6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174" fontId="3" fillId="2" borderId="0" xfId="1" applyNumberFormat="1" applyFont="1" applyFill="1" applyBorder="1" applyAlignment="1">
      <alignment horizontal="left" vertical="center"/>
    </xf>
    <xf numFmtId="174" fontId="3" fillId="2" borderId="4" xfId="1" applyNumberFormat="1" applyFont="1" applyFill="1" applyBorder="1" applyAlignment="1">
      <alignment horizontal="left" vertical="center"/>
    </xf>
    <xf numFmtId="174" fontId="3" fillId="2" borderId="11" xfId="1" applyNumberFormat="1" applyFont="1" applyFill="1" applyBorder="1" applyAlignment="1">
      <alignment horizontal="left" vertical="center"/>
    </xf>
    <xf numFmtId="174" fontId="3" fillId="2" borderId="6" xfId="1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0" fontId="3" fillId="5" borderId="10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center" vertical="center"/>
    </xf>
    <xf numFmtId="167" fontId="3" fillId="2" borderId="11" xfId="0" applyNumberFormat="1" applyFont="1" applyFill="1" applyBorder="1" applyAlignment="1">
      <alignment horizontal="center" vertical="center"/>
    </xf>
    <xf numFmtId="167" fontId="3" fillId="2" borderId="6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4" xfId="2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0" fontId="3" fillId="2" borderId="0" xfId="2" applyNumberFormat="1" applyFont="1" applyFill="1" applyBorder="1" applyAlignment="1">
      <alignment horizontal="center" vertical="center"/>
    </xf>
    <xf numFmtId="10" fontId="3" fillId="2" borderId="4" xfId="2" applyNumberFormat="1" applyFon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/>
    </xf>
    <xf numFmtId="44" fontId="3" fillId="2" borderId="4" xfId="1" applyNumberFormat="1" applyFont="1" applyFill="1" applyBorder="1" applyAlignment="1">
      <alignment vertical="center"/>
    </xf>
    <xf numFmtId="44" fontId="3" fillId="2" borderId="6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38" fillId="5" borderId="0" xfId="0" applyFont="1" applyFill="1" applyBorder="1"/>
    <xf numFmtId="175" fontId="3" fillId="2" borderId="10" xfId="1" applyNumberFormat="1" applyFont="1" applyFill="1" applyBorder="1" applyAlignment="1">
      <alignment horizontal="left" vertical="center"/>
    </xf>
    <xf numFmtId="175" fontId="3" fillId="2" borderId="2" xfId="1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166" fontId="3" fillId="5" borderId="10" xfId="1" applyNumberFormat="1" applyFont="1" applyFill="1" applyBorder="1" applyAlignment="1">
      <alignment vertical="center"/>
    </xf>
    <xf numFmtId="166" fontId="3" fillId="5" borderId="11" xfId="1" applyNumberFormat="1" applyFont="1" applyFill="1" applyBorder="1" applyAlignment="1">
      <alignment vertical="center"/>
    </xf>
    <xf numFmtId="169" fontId="3" fillId="5" borderId="6" xfId="1" applyNumberFormat="1" applyFont="1" applyFill="1" applyBorder="1" applyAlignment="1">
      <alignment horizontal="center" vertical="center"/>
    </xf>
    <xf numFmtId="168" fontId="3" fillId="2" borderId="10" xfId="1" applyNumberFormat="1" applyFont="1" applyFill="1" applyBorder="1" applyAlignment="1">
      <alignment horizontal="center" vertical="center"/>
    </xf>
    <xf numFmtId="168" fontId="3" fillId="2" borderId="2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0" fontId="3" fillId="2" borderId="3" xfId="0" applyFont="1" applyFill="1" applyBorder="1"/>
    <xf numFmtId="0" fontId="38" fillId="5" borderId="11" xfId="0" applyFont="1" applyFill="1" applyBorder="1"/>
    <xf numFmtId="168" fontId="3" fillId="5" borderId="0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3" fillId="5" borderId="0" xfId="1" applyNumberFormat="1" applyFont="1" applyFill="1" applyBorder="1" applyAlignment="1">
      <alignment horizontal="center" vertical="center"/>
    </xf>
    <xf numFmtId="43" fontId="5" fillId="5" borderId="19" xfId="1" applyFont="1" applyFill="1" applyBorder="1"/>
    <xf numFmtId="43" fontId="2" fillId="5" borderId="19" xfId="1" applyFont="1" applyFill="1" applyBorder="1" applyAlignment="1">
      <alignment vertical="center"/>
    </xf>
    <xf numFmtId="8" fontId="3" fillId="5" borderId="20" xfId="1" applyNumberFormat="1" applyFont="1" applyFill="1" applyBorder="1" applyAlignment="1">
      <alignment vertical="center"/>
    </xf>
    <xf numFmtId="8" fontId="3" fillId="5" borderId="2" xfId="1" applyNumberFormat="1" applyFont="1" applyFill="1" applyBorder="1" applyAlignment="1">
      <alignment vertical="center"/>
    </xf>
    <xf numFmtId="8" fontId="3" fillId="5" borderId="21" xfId="1" applyNumberFormat="1" applyFont="1" applyFill="1" applyBorder="1" applyAlignment="1">
      <alignment vertical="center"/>
    </xf>
    <xf numFmtId="8" fontId="3" fillId="5" borderId="4" xfId="1" applyNumberFormat="1" applyFont="1" applyFill="1" applyBorder="1" applyAlignment="1">
      <alignment vertical="center"/>
    </xf>
    <xf numFmtId="8" fontId="3" fillId="5" borderId="19" xfId="1" applyNumberFormat="1" applyFont="1" applyFill="1" applyBorder="1" applyAlignment="1">
      <alignment vertical="center"/>
    </xf>
    <xf numFmtId="8" fontId="3" fillId="5" borderId="6" xfId="1" applyNumberFormat="1" applyFont="1" applyFill="1" applyBorder="1" applyAlignment="1">
      <alignment vertical="center"/>
    </xf>
    <xf numFmtId="43" fontId="6" fillId="8" borderId="9" xfId="1" applyFont="1" applyFill="1" applyBorder="1"/>
    <xf numFmtId="43" fontId="3" fillId="2" borderId="9" xfId="1" applyFont="1" applyFill="1" applyBorder="1"/>
    <xf numFmtId="0" fontId="40" fillId="2" borderId="0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22" xfId="0" applyFont="1" applyFill="1" applyBorder="1" applyAlignment="1">
      <alignment vertical="center"/>
    </xf>
    <xf numFmtId="167" fontId="41" fillId="2" borderId="22" xfId="1" applyNumberFormat="1" applyFont="1" applyFill="1" applyBorder="1"/>
    <xf numFmtId="167" fontId="41" fillId="2" borderId="7" xfId="1" applyNumberFormat="1" applyFont="1" applyFill="1" applyBorder="1" applyAlignment="1">
      <alignment horizontal="center"/>
    </xf>
    <xf numFmtId="167" fontId="41" fillId="2" borderId="9" xfId="1" applyNumberFormat="1" applyFont="1" applyFill="1" applyBorder="1" applyAlignment="1">
      <alignment horizontal="center"/>
    </xf>
    <xf numFmtId="43" fontId="3" fillId="2" borderId="7" xfId="1" applyFont="1" applyFill="1" applyBorder="1" applyAlignment="1"/>
    <xf numFmtId="43" fontId="3" fillId="2" borderId="9" xfId="1" applyFont="1" applyFill="1" applyBorder="1" applyAlignment="1"/>
    <xf numFmtId="0" fontId="3" fillId="2" borderId="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43" fillId="2" borderId="3" xfId="0" applyFont="1" applyFill="1" applyBorder="1" applyAlignment="1">
      <alignment horizontal="left" vertical="center"/>
    </xf>
    <xf numFmtId="0" fontId="3" fillId="2" borderId="0" xfId="0" applyFont="1" applyFill="1" applyBorder="1"/>
    <xf numFmtId="0" fontId="3" fillId="2" borderId="4" xfId="0" applyFont="1" applyFill="1" applyBorder="1"/>
    <xf numFmtId="0" fontId="40" fillId="2" borderId="1" xfId="0" applyFont="1" applyFill="1" applyBorder="1" applyAlignment="1">
      <alignment horizontal="center"/>
    </xf>
    <xf numFmtId="0" fontId="40" fillId="2" borderId="10" xfId="0" applyFont="1" applyFill="1" applyBorder="1" applyAlignment="1">
      <alignment horizontal="center"/>
    </xf>
    <xf numFmtId="0" fontId="40" fillId="2" borderId="2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/>
    </xf>
    <xf numFmtId="0" fontId="40" fillId="2" borderId="4" xfId="0" applyFont="1" applyFill="1" applyBorder="1" applyAlignment="1">
      <alignment horizontal="center"/>
    </xf>
    <xf numFmtId="0" fontId="32" fillId="2" borderId="4" xfId="0" applyFont="1" applyFill="1" applyBorder="1"/>
    <xf numFmtId="0" fontId="41" fillId="2" borderId="7" xfId="0" applyFont="1" applyFill="1" applyBorder="1" applyAlignment="1">
      <alignment horizontal="left" vertical="center"/>
    </xf>
    <xf numFmtId="0" fontId="40" fillId="2" borderId="7" xfId="0" applyFont="1" applyFill="1" applyBorder="1" applyAlignment="1">
      <alignment horizontal="center"/>
    </xf>
    <xf numFmtId="0" fontId="40" fillId="2" borderId="8" xfId="0" applyFont="1" applyFill="1" applyBorder="1" applyAlignment="1">
      <alignment horizontal="center"/>
    </xf>
    <xf numFmtId="0" fontId="40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4" fontId="3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0" fontId="3" fillId="2" borderId="2" xfId="0" applyFont="1" applyFill="1" applyBorder="1"/>
    <xf numFmtId="174" fontId="3" fillId="2" borderId="10" xfId="1" applyNumberFormat="1" applyFont="1" applyFill="1" applyBorder="1" applyAlignment="1">
      <alignment horizontal="left" vertical="center"/>
    </xf>
    <xf numFmtId="0" fontId="3" fillId="2" borderId="0" xfId="0" applyFont="1" applyFill="1"/>
    <xf numFmtId="0" fontId="3" fillId="2" borderId="1" xfId="0" applyFont="1" applyFill="1" applyBorder="1"/>
    <xf numFmtId="0" fontId="3" fillId="2" borderId="3" xfId="0" applyFont="1" applyFill="1" applyBorder="1" applyAlignment="1">
      <alignment vertical="center"/>
    </xf>
    <xf numFmtId="14" fontId="3" fillId="2" borderId="0" xfId="0" applyNumberFormat="1" applyFont="1" applyFill="1" applyBorder="1"/>
    <xf numFmtId="14" fontId="3" fillId="2" borderId="0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vertical="center"/>
    </xf>
    <xf numFmtId="0" fontId="3" fillId="2" borderId="11" xfId="0" applyFont="1" applyFill="1" applyBorder="1"/>
    <xf numFmtId="0" fontId="3" fillId="2" borderId="6" xfId="0" applyFont="1" applyFill="1" applyBorder="1"/>
    <xf numFmtId="0" fontId="3" fillId="2" borderId="11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171" fontId="3" fillId="2" borderId="4" xfId="1" applyNumberFormat="1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left" vertical="center"/>
    </xf>
    <xf numFmtId="166" fontId="3" fillId="2" borderId="0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67" fontId="5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4" fontId="3" fillId="2" borderId="0" xfId="1" applyNumberFormat="1" applyFont="1" applyFill="1" applyBorder="1" applyAlignment="1">
      <alignment vertical="center"/>
    </xf>
    <xf numFmtId="10" fontId="3" fillId="2" borderId="3" xfId="0" applyNumberFormat="1" applyFont="1" applyFill="1" applyBorder="1" applyAlignment="1">
      <alignment vertical="center"/>
    </xf>
    <xf numFmtId="10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vertical="center"/>
    </xf>
    <xf numFmtId="10" fontId="3" fillId="2" borderId="11" xfId="0" applyNumberFormat="1" applyFont="1" applyFill="1" applyBorder="1" applyAlignment="1">
      <alignment vertical="center"/>
    </xf>
    <xf numFmtId="0" fontId="3" fillId="2" borderId="5" xfId="0" applyFont="1" applyFill="1" applyBorder="1"/>
    <xf numFmtId="166" fontId="3" fillId="2" borderId="11" xfId="0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horizontal="left" vertical="center"/>
    </xf>
    <xf numFmtId="10" fontId="3" fillId="2" borderId="10" xfId="0" applyNumberFormat="1" applyFont="1" applyFill="1" applyBorder="1" applyAlignment="1">
      <alignment horizontal="left" vertical="center"/>
    </xf>
    <xf numFmtId="4" fontId="3" fillId="2" borderId="10" xfId="0" applyNumberFormat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9" fontId="3" fillId="2" borderId="4" xfId="1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left" vertical="center"/>
    </xf>
    <xf numFmtId="10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41" fillId="2" borderId="7" xfId="0" applyFont="1" applyFill="1" applyBorder="1" applyAlignment="1">
      <alignment vertical="center"/>
    </xf>
    <xf numFmtId="164" fontId="41" fillId="2" borderId="8" xfId="1" applyNumberFormat="1" applyFont="1" applyFill="1" applyBorder="1" applyAlignment="1">
      <alignment vertical="center"/>
    </xf>
    <xf numFmtId="0" fontId="41" fillId="2" borderId="8" xfId="0" applyFont="1" applyFill="1" applyBorder="1" applyAlignment="1"/>
    <xf numFmtId="0" fontId="3" fillId="2" borderId="9" xfId="0" applyFont="1" applyFill="1" applyBorder="1"/>
    <xf numFmtId="0" fontId="5" fillId="2" borderId="8" xfId="0" applyFont="1" applyFill="1" applyBorder="1" applyAlignment="1"/>
    <xf numFmtId="0" fontId="5" fillId="2" borderId="9" xfId="0" applyFont="1" applyFill="1" applyBorder="1" applyAlignment="1"/>
    <xf numFmtId="0" fontId="3" fillId="2" borderId="19" xfId="0" applyFont="1" applyFill="1" applyBorder="1" applyAlignment="1">
      <alignment vertical="center"/>
    </xf>
    <xf numFmtId="0" fontId="41" fillId="2" borderId="29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2" borderId="30" xfId="0" applyFont="1" applyFill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vertical="center"/>
    </xf>
    <xf numFmtId="8" fontId="3" fillId="2" borderId="20" xfId="1" applyNumberFormat="1" applyFont="1" applyFill="1" applyBorder="1" applyAlignment="1">
      <alignment vertical="center"/>
    </xf>
    <xf numFmtId="8" fontId="3" fillId="2" borderId="1" xfId="1" applyNumberFormat="1" applyFont="1" applyFill="1" applyBorder="1" applyAlignment="1">
      <alignment vertical="center"/>
    </xf>
    <xf numFmtId="8" fontId="3" fillId="2" borderId="10" xfId="1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8" fontId="3" fillId="2" borderId="21" xfId="1" applyNumberFormat="1" applyFont="1" applyFill="1" applyBorder="1" applyAlignment="1">
      <alignment vertical="center"/>
    </xf>
    <xf numFmtId="8" fontId="3" fillId="2" borderId="3" xfId="1" applyNumberFormat="1" applyFont="1" applyFill="1" applyBorder="1" applyAlignment="1">
      <alignment vertical="center"/>
    </xf>
    <xf numFmtId="8" fontId="3" fillId="2" borderId="0" xfId="1" applyNumberFormat="1" applyFont="1" applyFill="1" applyBorder="1" applyAlignment="1">
      <alignment vertical="center"/>
    </xf>
    <xf numFmtId="0" fontId="0" fillId="2" borderId="1" xfId="0" applyFill="1" applyBorder="1"/>
    <xf numFmtId="8" fontId="3" fillId="2" borderId="19" xfId="1" applyNumberFormat="1" applyFont="1" applyFill="1" applyBorder="1" applyAlignment="1">
      <alignment vertical="center"/>
    </xf>
    <xf numFmtId="8" fontId="3" fillId="2" borderId="5" xfId="1" applyNumberFormat="1" applyFont="1" applyFill="1" applyBorder="1" applyAlignment="1">
      <alignment vertical="center"/>
    </xf>
    <xf numFmtId="8" fontId="3" fillId="2" borderId="11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41" fillId="2" borderId="1" xfId="0" applyFont="1" applyFill="1" applyBorder="1"/>
    <xf numFmtId="0" fontId="41" fillId="2" borderId="1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7" fillId="7" borderId="23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vertical="center"/>
    </xf>
    <xf numFmtId="166" fontId="32" fillId="4" borderId="10" xfId="1" applyNumberFormat="1" applyFont="1" applyFill="1" applyBorder="1" applyAlignment="1">
      <alignment vertical="center"/>
    </xf>
    <xf numFmtId="164" fontId="32" fillId="4" borderId="10" xfId="1" applyNumberFormat="1" applyFont="1" applyFill="1" applyBorder="1" applyAlignment="1">
      <alignment vertical="center"/>
    </xf>
    <xf numFmtId="0" fontId="35" fillId="4" borderId="10" xfId="0" applyFont="1" applyFill="1" applyBorder="1" applyAlignment="1"/>
    <xf numFmtId="0" fontId="35" fillId="4" borderId="2" xfId="0" applyFont="1" applyFill="1" applyBorder="1" applyAlignment="1"/>
    <xf numFmtId="0" fontId="35" fillId="4" borderId="11" xfId="0" applyFont="1" applyFill="1" applyBorder="1" applyAlignment="1">
      <alignment horizontal="right"/>
    </xf>
    <xf numFmtId="0" fontId="35" fillId="4" borderId="11" xfId="0" applyFont="1" applyFill="1" applyBorder="1" applyAlignment="1"/>
    <xf numFmtId="0" fontId="32" fillId="8" borderId="8" xfId="0" applyFont="1" applyFill="1" applyBorder="1" applyAlignment="1">
      <alignment vertical="center"/>
    </xf>
    <xf numFmtId="0" fontId="35" fillId="8" borderId="8" xfId="0" applyFont="1" applyFill="1" applyBorder="1" applyAlignment="1">
      <alignment vertical="center"/>
    </xf>
    <xf numFmtId="0" fontId="3" fillId="4" borderId="21" xfId="0" applyFont="1" applyFill="1" applyBorder="1"/>
    <xf numFmtId="174" fontId="3" fillId="5" borderId="0" xfId="1" applyNumberFormat="1" applyFont="1" applyFill="1" applyBorder="1" applyAlignment="1">
      <alignment horizontal="left" vertical="center"/>
    </xf>
    <xf numFmtId="0" fontId="0" fillId="5" borderId="21" xfId="0" applyFill="1" applyBorder="1" applyAlignment="1">
      <alignment horizontal="left"/>
    </xf>
    <xf numFmtId="174" fontId="3" fillId="5" borderId="21" xfId="1" applyNumberFormat="1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center"/>
    </xf>
    <xf numFmtId="0" fontId="3" fillId="5" borderId="21" xfId="1" applyNumberFormat="1" applyFont="1" applyFill="1" applyBorder="1" applyAlignment="1">
      <alignment horizontal="center" vertical="center"/>
    </xf>
    <xf numFmtId="167" fontId="3" fillId="5" borderId="21" xfId="0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1" xfId="0" applyFill="1" applyBorder="1"/>
    <xf numFmtId="169" fontId="3" fillId="5" borderId="21" xfId="1" applyNumberFormat="1" applyFont="1" applyFill="1" applyBorder="1" applyAlignment="1">
      <alignment horizontal="center" vertical="center"/>
    </xf>
    <xf numFmtId="14" fontId="0" fillId="5" borderId="10" xfId="0" applyNumberFormat="1" applyFill="1" applyBorder="1" applyAlignment="1">
      <alignment horizontal="left"/>
    </xf>
    <xf numFmtId="174" fontId="3" fillId="5" borderId="10" xfId="1" applyNumberFormat="1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167" fontId="3" fillId="5" borderId="3" xfId="0" applyNumberFormat="1" applyFont="1" applyFill="1" applyBorder="1" applyAlignment="1">
      <alignment horizontal="center" vertical="center"/>
    </xf>
    <xf numFmtId="10" fontId="3" fillId="5" borderId="8" xfId="0" applyNumberFormat="1" applyFont="1" applyFill="1" applyBorder="1" applyAlignment="1">
      <alignment vertical="center"/>
    </xf>
    <xf numFmtId="9" fontId="3" fillId="5" borderId="8" xfId="0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5" borderId="3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39" fillId="8" borderId="0" xfId="0" applyFont="1" applyFill="1" applyAlignment="1">
      <alignment vertical="center"/>
    </xf>
    <xf numFmtId="0" fontId="32" fillId="8" borderId="0" xfId="0" applyFont="1" applyFill="1" applyAlignment="1">
      <alignment vertical="center"/>
    </xf>
    <xf numFmtId="0" fontId="32" fillId="8" borderId="0" xfId="0" applyFont="1" applyFill="1" applyAlignment="1">
      <alignment horizontal="center" vertical="center"/>
    </xf>
    <xf numFmtId="0" fontId="0" fillId="0" borderId="0" xfId="0" applyNumberFormat="1" applyFill="1" applyBorder="1"/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5" fillId="5" borderId="0" xfId="0" applyFont="1" applyFill="1" applyBorder="1"/>
  </cellXfs>
  <cellStyles count="4">
    <cellStyle name="Hyperlink" xfId="3" builtinId="8"/>
    <cellStyle name="Normal" xfId="0" builtinId="0"/>
    <cellStyle name="Porcentagem" xfId="2" builtinId="5"/>
    <cellStyle name="Separador de milhares" xfId="1" builtinId="3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914400</xdr:colOff>
      <xdr:row>19</xdr:row>
      <xdr:rowOff>171450</xdr:rowOff>
    </xdr:from>
    <xdr:to>
      <xdr:col>17</xdr:col>
      <xdr:colOff>0</xdr:colOff>
      <xdr:row>23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44450" y="2771775"/>
          <a:ext cx="676275" cy="6096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</xdr:pic>
    <xdr:clientData/>
  </xdr:twoCellAnchor>
  <xdr:twoCellAnchor>
    <xdr:from>
      <xdr:col>15</xdr:col>
      <xdr:colOff>533400</xdr:colOff>
      <xdr:row>24</xdr:row>
      <xdr:rowOff>66675</xdr:rowOff>
    </xdr:from>
    <xdr:to>
      <xdr:col>17</xdr:col>
      <xdr:colOff>571500</xdr:colOff>
      <xdr:row>26</xdr:row>
      <xdr:rowOff>76200</xdr:rowOff>
    </xdr:to>
    <xdr:pic>
      <xdr:nvPicPr>
        <xdr:cNvPr id="3" name="Picture 1" descr="logo_compreingressos_2009_alt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63450" y="36195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180975</xdr:rowOff>
    </xdr:from>
    <xdr:to>
      <xdr:col>7</xdr:col>
      <xdr:colOff>400050</xdr:colOff>
      <xdr:row>1</xdr:row>
      <xdr:rowOff>571500</xdr:rowOff>
    </xdr:to>
    <xdr:pic>
      <xdr:nvPicPr>
        <xdr:cNvPr id="2" name="Picture 1" descr="logo_compreingressos_2009_al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39175" y="276225"/>
          <a:ext cx="17145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666750</xdr:colOff>
      <xdr:row>1</xdr:row>
      <xdr:rowOff>76200</xdr:rowOff>
    </xdr:from>
    <xdr:to>
      <xdr:col>7</xdr:col>
      <xdr:colOff>1343025</xdr:colOff>
      <xdr:row>1</xdr:row>
      <xdr:rowOff>685800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20375" y="171450"/>
          <a:ext cx="676275" cy="6096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133350</xdr:rowOff>
    </xdr:from>
    <xdr:to>
      <xdr:col>4</xdr:col>
      <xdr:colOff>2066925</xdr:colOff>
      <xdr:row>0</xdr:row>
      <xdr:rowOff>523875</xdr:rowOff>
    </xdr:to>
    <xdr:pic>
      <xdr:nvPicPr>
        <xdr:cNvPr id="2" name="Picture 1" descr="logo_compreingressos_2009_al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6925" y="13335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0</xdr:row>
      <xdr:rowOff>38100</xdr:rowOff>
    </xdr:from>
    <xdr:to>
      <xdr:col>7</xdr:col>
      <xdr:colOff>85725</xdr:colOff>
      <xdr:row>0</xdr:row>
      <xdr:rowOff>647700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96200" y="38100"/>
          <a:ext cx="676275" cy="6096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114300</xdr:rowOff>
    </xdr:from>
    <xdr:to>
      <xdr:col>0</xdr:col>
      <xdr:colOff>1638300</xdr:colOff>
      <xdr:row>0</xdr:row>
      <xdr:rowOff>504825</xdr:rowOff>
    </xdr:to>
    <xdr:pic>
      <xdr:nvPicPr>
        <xdr:cNvPr id="3073" name="Picture 1" descr="logo_compreingressos_2009_al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143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5410200</xdr:colOff>
      <xdr:row>0</xdr:row>
      <xdr:rowOff>9525</xdr:rowOff>
    </xdr:from>
    <xdr:to>
      <xdr:col>1</xdr:col>
      <xdr:colOff>0</xdr:colOff>
      <xdr:row>0</xdr:row>
      <xdr:rowOff>619125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0200" y="9525"/>
          <a:ext cx="676275" cy="6096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5</xdr:row>
      <xdr:rowOff>128581</xdr:rowOff>
    </xdr:from>
    <xdr:to>
      <xdr:col>12</xdr:col>
      <xdr:colOff>1259680</xdr:colOff>
      <xdr:row>7</xdr:row>
      <xdr:rowOff>138106</xdr:rowOff>
    </xdr:to>
    <xdr:pic>
      <xdr:nvPicPr>
        <xdr:cNvPr id="5" name="Picture 1" descr="logo_compreingressos_2009_al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94343" y="102155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471498</xdr:colOff>
      <xdr:row>5</xdr:row>
      <xdr:rowOff>23806</xdr:rowOff>
    </xdr:from>
    <xdr:to>
      <xdr:col>14</xdr:col>
      <xdr:colOff>338148</xdr:colOff>
      <xdr:row>9</xdr:row>
      <xdr:rowOff>2375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96998" y="916775"/>
          <a:ext cx="676275" cy="6096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selection activeCell="G2" sqref="G2"/>
    </sheetView>
  </sheetViews>
  <sheetFormatPr defaultRowHeight="15"/>
  <cols>
    <col min="1" max="1" width="2.5703125" customWidth="1"/>
    <col min="2" max="2" width="3.5703125" customWidth="1"/>
  </cols>
  <sheetData>
    <row r="1" spans="1:22">
      <c r="A1" s="661" t="s">
        <v>245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1"/>
      <c r="T1" s="1"/>
      <c r="U1" s="1"/>
      <c r="V1" s="1"/>
    </row>
    <row r="2" spans="1:22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1"/>
      <c r="T2" s="1"/>
      <c r="U2" s="1"/>
      <c r="V2" s="1"/>
    </row>
    <row r="3" spans="1:22">
      <c r="A3" s="224">
        <v>1</v>
      </c>
      <c r="B3" s="224" t="s">
        <v>246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1"/>
      <c r="T3" s="1"/>
      <c r="U3" s="1"/>
      <c r="V3" s="1"/>
    </row>
    <row r="4" spans="1:22">
      <c r="A4" s="224">
        <v>2</v>
      </c>
      <c r="B4" s="224" t="s">
        <v>247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1"/>
      <c r="T4" s="1"/>
      <c r="U4" s="1"/>
      <c r="V4" s="1"/>
    </row>
    <row r="5" spans="1:22">
      <c r="A5" s="224"/>
      <c r="B5" s="224"/>
      <c r="C5" s="224" t="s">
        <v>251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1"/>
      <c r="T5" s="1"/>
      <c r="U5" s="1"/>
      <c r="V5" s="1"/>
    </row>
    <row r="6" spans="1:22">
      <c r="A6" s="224"/>
      <c r="B6" s="224"/>
      <c r="C6" s="224" t="s">
        <v>252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1"/>
      <c r="T6" s="1"/>
      <c r="U6" s="1"/>
      <c r="V6" s="1"/>
    </row>
    <row r="7" spans="1:22">
      <c r="A7" s="224">
        <v>3</v>
      </c>
      <c r="B7" s="224" t="s">
        <v>248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1"/>
      <c r="T7" s="1"/>
      <c r="U7" s="1"/>
      <c r="V7" s="1"/>
    </row>
    <row r="8" spans="1:22">
      <c r="A8" s="224">
        <v>4</v>
      </c>
      <c r="B8" s="224" t="s">
        <v>249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1"/>
      <c r="T8" s="1"/>
      <c r="U8" s="1"/>
      <c r="V8" s="1"/>
    </row>
    <row r="9" spans="1:22">
      <c r="A9" s="224">
        <v>5</v>
      </c>
      <c r="B9" s="224" t="s">
        <v>250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1"/>
      <c r="T9" s="1"/>
      <c r="U9" s="1"/>
      <c r="V9" s="1"/>
    </row>
    <row r="10" spans="1:22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1"/>
      <c r="T10" s="1"/>
      <c r="U10" s="1"/>
      <c r="V10" s="1"/>
    </row>
    <row r="11" spans="1:22">
      <c r="A11" s="224"/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1"/>
      <c r="T11" s="1"/>
      <c r="U11" s="1"/>
      <c r="V11" s="1"/>
    </row>
    <row r="12" spans="1:22">
      <c r="A12" s="224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1"/>
      <c r="T12" s="1"/>
      <c r="U12" s="1"/>
      <c r="V12" s="1"/>
    </row>
    <row r="13" spans="1:22">
      <c r="A13" s="224"/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1"/>
      <c r="T13" s="1"/>
      <c r="U13" s="1"/>
      <c r="V13" s="1"/>
    </row>
    <row r="14" spans="1:22">
      <c r="A14" s="224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1"/>
      <c r="T14" s="1"/>
      <c r="U14" s="1"/>
      <c r="V14" s="1"/>
    </row>
    <row r="15" spans="1:2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5"/>
  <sheetViews>
    <sheetView zoomScaleNormal="100" workbookViewId="0">
      <selection activeCell="C11" sqref="C11"/>
    </sheetView>
  </sheetViews>
  <sheetFormatPr defaultRowHeight="15"/>
  <cols>
    <col min="1" max="1" width="0.85546875" customWidth="1"/>
    <col min="2" max="2" width="18.42578125" customWidth="1"/>
    <col min="3" max="3" width="20" customWidth="1"/>
    <col min="4" max="4" width="18.5703125" bestFit="1" customWidth="1"/>
    <col min="5" max="5" width="5.7109375" style="262" customWidth="1"/>
    <col min="6" max="6" width="0.85546875" customWidth="1"/>
    <col min="7" max="7" width="22.140625" customWidth="1"/>
    <col min="8" max="8" width="21.7109375" customWidth="1"/>
    <col min="9" max="9" width="19.85546875" bestFit="1" customWidth="1"/>
    <col min="10" max="10" width="4.7109375" bestFit="1" customWidth="1"/>
    <col min="11" max="11" width="0.85546875" customWidth="1"/>
    <col min="12" max="12" width="7.5703125" customWidth="1"/>
    <col min="13" max="13" width="18.140625" customWidth="1"/>
    <col min="14" max="14" width="13.85546875" customWidth="1"/>
    <col min="15" max="15" width="15" bestFit="1" customWidth="1"/>
    <col min="16" max="16" width="14.7109375" bestFit="1" customWidth="1"/>
  </cols>
  <sheetData>
    <row r="1" spans="1:16" s="29" customFormat="1" ht="20.100000000000001" customHeight="1">
      <c r="A1" s="276"/>
      <c r="B1" s="662" t="str">
        <f>Calculadora!B3</f>
        <v>Parâmetros para Cálculo do Retorno de uma Proposta</v>
      </c>
      <c r="C1" s="663"/>
      <c r="D1" s="663"/>
      <c r="E1" s="664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276"/>
    </row>
    <row r="2" spans="1:16">
      <c r="A2" s="224"/>
      <c r="B2" s="420" t="s">
        <v>97</v>
      </c>
      <c r="C2" s="421"/>
      <c r="D2" s="445">
        <v>41749</v>
      </c>
      <c r="E2" s="445"/>
      <c r="F2" s="445"/>
      <c r="G2" s="446"/>
      <c r="H2" s="432" t="s">
        <v>98</v>
      </c>
      <c r="I2" s="451" t="s">
        <v>151</v>
      </c>
      <c r="J2" s="452"/>
      <c r="K2" s="641"/>
      <c r="L2" s="420" t="s">
        <v>234</v>
      </c>
      <c r="M2" s="421"/>
      <c r="N2" s="482">
        <v>2</v>
      </c>
      <c r="O2" s="483"/>
      <c r="P2" s="224"/>
    </row>
    <row r="3" spans="1:16">
      <c r="A3" s="224"/>
      <c r="B3" s="422" t="s">
        <v>232</v>
      </c>
      <c r="C3" s="423"/>
      <c r="D3" s="447" t="s">
        <v>150</v>
      </c>
      <c r="E3" s="447"/>
      <c r="F3" s="447"/>
      <c r="G3" s="448"/>
      <c r="H3" s="434" t="s">
        <v>146</v>
      </c>
      <c r="I3" s="458" t="s">
        <v>147</v>
      </c>
      <c r="J3" s="459"/>
      <c r="K3" s="641"/>
      <c r="L3" s="422" t="s">
        <v>235</v>
      </c>
      <c r="M3" s="423"/>
      <c r="N3" s="484" t="s">
        <v>142</v>
      </c>
      <c r="O3" s="485"/>
      <c r="P3" s="224"/>
    </row>
    <row r="4" spans="1:16">
      <c r="A4" s="224"/>
      <c r="B4" s="422" t="s">
        <v>233</v>
      </c>
      <c r="C4" s="423"/>
      <c r="D4" s="447" t="s">
        <v>101</v>
      </c>
      <c r="E4" s="447"/>
      <c r="F4" s="447"/>
      <c r="G4" s="448"/>
      <c r="H4" s="47" t="s">
        <v>135</v>
      </c>
      <c r="I4" s="454">
        <v>30</v>
      </c>
      <c r="J4" s="455"/>
      <c r="K4" s="642"/>
      <c r="L4" s="422" t="s">
        <v>148</v>
      </c>
      <c r="M4" s="423"/>
      <c r="N4" s="484" t="s">
        <v>154</v>
      </c>
      <c r="O4" s="485"/>
      <c r="P4" s="224"/>
    </row>
    <row r="5" spans="1:16">
      <c r="A5" s="224"/>
      <c r="B5" s="427" t="s">
        <v>149</v>
      </c>
      <c r="C5" s="428"/>
      <c r="D5" s="449" t="s">
        <v>100</v>
      </c>
      <c r="E5" s="449"/>
      <c r="F5" s="449"/>
      <c r="G5" s="450"/>
      <c r="H5" s="53" t="s">
        <v>136</v>
      </c>
      <c r="I5" s="456">
        <v>4</v>
      </c>
      <c r="J5" s="457"/>
      <c r="K5" s="642"/>
      <c r="L5" s="427" t="s">
        <v>158</v>
      </c>
      <c r="M5" s="428"/>
      <c r="N5" s="486" t="s">
        <v>159</v>
      </c>
      <c r="O5" s="487"/>
      <c r="P5" s="281"/>
    </row>
    <row r="6" spans="1:16" ht="3" customHeight="1">
      <c r="A6" s="224"/>
      <c r="B6" s="331"/>
      <c r="C6" s="331"/>
      <c r="D6" s="649"/>
      <c r="E6" s="649"/>
      <c r="F6" s="649"/>
      <c r="G6" s="649"/>
      <c r="H6" s="134"/>
      <c r="I6" s="650"/>
      <c r="J6" s="650"/>
      <c r="K6" s="640"/>
      <c r="L6" s="333"/>
      <c r="M6" s="333"/>
      <c r="N6" s="651"/>
      <c r="O6" s="651"/>
      <c r="P6" s="281"/>
    </row>
    <row r="7" spans="1:16">
      <c r="A7" s="224"/>
      <c r="B7" s="420" t="s">
        <v>26</v>
      </c>
      <c r="C7" s="421"/>
      <c r="D7" s="491">
        <v>300</v>
      </c>
      <c r="E7" s="492"/>
      <c r="F7" s="643"/>
      <c r="G7" s="243"/>
      <c r="H7" s="278"/>
      <c r="I7" s="278"/>
      <c r="J7" s="289" t="s">
        <v>200</v>
      </c>
      <c r="K7" s="643"/>
      <c r="L7" s="460" t="s">
        <v>236</v>
      </c>
      <c r="M7" s="460"/>
      <c r="N7" s="460"/>
      <c r="O7" s="461">
        <v>0.7</v>
      </c>
      <c r="P7" s="287">
        <v>2</v>
      </c>
    </row>
    <row r="8" spans="1:16">
      <c r="A8" s="224"/>
      <c r="B8" s="422" t="s">
        <v>45</v>
      </c>
      <c r="C8" s="423"/>
      <c r="D8" s="430">
        <v>14</v>
      </c>
      <c r="E8" s="431"/>
      <c r="F8" s="644"/>
      <c r="G8" s="422" t="s">
        <v>239</v>
      </c>
      <c r="H8" s="423"/>
      <c r="I8" s="340">
        <v>2</v>
      </c>
      <c r="J8" s="341"/>
      <c r="K8" s="644"/>
      <c r="L8" s="391" t="s">
        <v>236</v>
      </c>
      <c r="M8" s="391"/>
      <c r="N8" s="391"/>
      <c r="O8" s="324">
        <v>0.2</v>
      </c>
      <c r="P8" s="287">
        <v>2</v>
      </c>
    </row>
    <row r="9" spans="1:16">
      <c r="A9" s="224"/>
      <c r="B9" s="422" t="s">
        <v>79</v>
      </c>
      <c r="C9" s="423"/>
      <c r="D9" s="340">
        <v>6</v>
      </c>
      <c r="E9" s="341"/>
      <c r="F9" s="645"/>
      <c r="G9" s="422" t="s">
        <v>81</v>
      </c>
      <c r="H9" s="423"/>
      <c r="I9" s="471">
        <v>150</v>
      </c>
      <c r="J9" s="472"/>
      <c r="K9" s="645"/>
      <c r="L9" s="391" t="s">
        <v>54</v>
      </c>
      <c r="M9" s="391"/>
      <c r="N9" s="391"/>
      <c r="O9" s="324">
        <v>0.2</v>
      </c>
      <c r="P9" s="287">
        <v>4</v>
      </c>
    </row>
    <row r="10" spans="1:16">
      <c r="A10" s="224"/>
      <c r="B10" s="422" t="s">
        <v>78</v>
      </c>
      <c r="C10" s="423"/>
      <c r="D10" s="478">
        <v>2</v>
      </c>
      <c r="E10" s="477"/>
      <c r="F10" s="645"/>
      <c r="G10" s="304" t="s">
        <v>85</v>
      </c>
      <c r="H10" s="305"/>
      <c r="I10" s="442">
        <f>Calculadora!AA6</f>
        <v>300</v>
      </c>
      <c r="J10" s="443"/>
      <c r="K10" s="645"/>
      <c r="L10" s="283" t="s">
        <v>238</v>
      </c>
      <c r="M10" s="283"/>
      <c r="N10" s="259">
        <v>0.1</v>
      </c>
      <c r="O10" s="54">
        <v>0.12</v>
      </c>
      <c r="P10" s="287">
        <v>2</v>
      </c>
    </row>
    <row r="11" spans="1:16" ht="3" customHeight="1">
      <c r="A11" s="224"/>
      <c r="B11" s="332"/>
      <c r="C11" s="333"/>
      <c r="D11" s="479"/>
      <c r="E11" s="441"/>
      <c r="F11" s="652"/>
      <c r="G11" s="330"/>
      <c r="H11" s="330"/>
      <c r="I11" s="303"/>
      <c r="J11" s="303"/>
      <c r="K11" s="303"/>
      <c r="L11" s="653"/>
      <c r="M11" s="653"/>
      <c r="N11" s="654"/>
      <c r="O11" s="654"/>
      <c r="P11" s="287"/>
    </row>
    <row r="12" spans="1:16">
      <c r="A12" s="224"/>
      <c r="B12" s="422" t="s">
        <v>184</v>
      </c>
      <c r="C12" s="423"/>
      <c r="D12" s="342">
        <v>2</v>
      </c>
      <c r="E12" s="343"/>
      <c r="F12" s="644"/>
      <c r="G12" s="420" t="s">
        <v>240</v>
      </c>
      <c r="H12" s="421"/>
      <c r="I12" s="655">
        <v>2</v>
      </c>
      <c r="J12" s="656"/>
      <c r="K12" s="657"/>
      <c r="L12" s="277" t="s">
        <v>193</v>
      </c>
      <c r="M12" s="278"/>
      <c r="N12" s="290"/>
      <c r="O12" s="285"/>
      <c r="P12" s="287">
        <v>3</v>
      </c>
    </row>
    <row r="13" spans="1:16" s="241" customFormat="1">
      <c r="A13" s="282"/>
      <c r="B13" s="422" t="s">
        <v>16</v>
      </c>
      <c r="C13" s="423"/>
      <c r="D13" s="344">
        <v>0.7</v>
      </c>
      <c r="E13" s="345"/>
      <c r="F13" s="645"/>
      <c r="G13" s="422" t="s">
        <v>82</v>
      </c>
      <c r="H13" s="423"/>
      <c r="I13" s="471">
        <v>150</v>
      </c>
      <c r="J13" s="472"/>
      <c r="K13" s="652"/>
      <c r="L13" s="34">
        <v>0.7</v>
      </c>
      <c r="M13" s="464" t="s">
        <v>2</v>
      </c>
      <c r="N13" s="464"/>
      <c r="O13" s="111">
        <f>Calculadora!O4</f>
        <v>105</v>
      </c>
      <c r="P13" s="288"/>
    </row>
    <row r="14" spans="1:16" s="241" customFormat="1">
      <c r="A14" s="282"/>
      <c r="B14" s="422" t="s">
        <v>17</v>
      </c>
      <c r="C14" s="423"/>
      <c r="D14" s="344">
        <v>0.5</v>
      </c>
      <c r="E14" s="345"/>
      <c r="F14" s="645"/>
      <c r="G14" s="427" t="s">
        <v>84</v>
      </c>
      <c r="H14" s="428"/>
      <c r="I14" s="442">
        <f>I13*I12</f>
        <v>300</v>
      </c>
      <c r="J14" s="443"/>
      <c r="K14" s="652"/>
      <c r="L14" s="34">
        <v>0.27</v>
      </c>
      <c r="M14" s="464" t="s">
        <v>4</v>
      </c>
      <c r="N14" s="464"/>
      <c r="O14" s="111">
        <f>Calculadora!O5</f>
        <v>40.5</v>
      </c>
      <c r="P14" s="281"/>
    </row>
    <row r="15" spans="1:16" s="241" customFormat="1" ht="3" customHeight="1">
      <c r="A15" s="282"/>
      <c r="B15" s="332"/>
      <c r="C15" s="333"/>
      <c r="D15" s="327"/>
      <c r="E15" s="328"/>
      <c r="F15" s="652"/>
      <c r="G15" s="330"/>
      <c r="H15" s="330"/>
      <c r="I15" s="303"/>
      <c r="J15" s="303"/>
      <c r="K15" s="303"/>
      <c r="L15" s="34"/>
      <c r="M15" s="50"/>
      <c r="N15" s="50"/>
      <c r="O15" s="111"/>
      <c r="P15" s="281"/>
    </row>
    <row r="16" spans="1:16" s="241" customFormat="1">
      <c r="A16" s="282"/>
      <c r="B16" s="47" t="s">
        <v>30</v>
      </c>
      <c r="C16" s="35" t="str">
        <f>IF(D16=0%,"",D16*D7)</f>
        <v/>
      </c>
      <c r="D16" s="344">
        <v>0</v>
      </c>
      <c r="E16" s="345"/>
      <c r="F16" s="646"/>
      <c r="G16" s="116" t="s">
        <v>77</v>
      </c>
      <c r="H16" s="488">
        <f>Calculadora!V4</f>
        <v>416.66666666666669</v>
      </c>
      <c r="I16" s="493">
        <v>10000</v>
      </c>
      <c r="J16" s="444">
        <v>1</v>
      </c>
      <c r="K16" s="658"/>
      <c r="L16" s="34">
        <v>0.01</v>
      </c>
      <c r="M16" s="464" t="s">
        <v>3</v>
      </c>
      <c r="N16" s="464"/>
      <c r="O16" s="111">
        <f>Calculadora!O6</f>
        <v>1.5</v>
      </c>
      <c r="P16" s="282"/>
    </row>
    <row r="17" spans="1:16" s="241" customFormat="1">
      <c r="A17" s="282"/>
      <c r="B17" s="422" t="s">
        <v>57</v>
      </c>
      <c r="C17" s="423"/>
      <c r="D17" s="344">
        <v>0.5</v>
      </c>
      <c r="E17" s="345"/>
      <c r="F17" s="646"/>
      <c r="G17" s="329" t="s">
        <v>31</v>
      </c>
      <c r="H17" s="39">
        <f>Calculadora!V5</f>
        <v>2.7777777777777781</v>
      </c>
      <c r="I17" s="309">
        <f>800/12</f>
        <v>66.666666666666671</v>
      </c>
      <c r="J17" s="264">
        <v>1</v>
      </c>
      <c r="K17" s="658"/>
      <c r="L17" s="34">
        <v>0.01</v>
      </c>
      <c r="M17" s="464" t="s">
        <v>28</v>
      </c>
      <c r="N17" s="464"/>
      <c r="O17" s="111">
        <f>Calculadora!O7</f>
        <v>1.5</v>
      </c>
      <c r="P17" s="282"/>
    </row>
    <row r="18" spans="1:16" s="241" customFormat="1">
      <c r="A18" s="282"/>
      <c r="B18" s="422" t="s">
        <v>74</v>
      </c>
      <c r="C18" s="423"/>
      <c r="D18" s="465">
        <v>0.2</v>
      </c>
      <c r="E18" s="466"/>
      <c r="F18" s="646"/>
      <c r="G18" s="329" t="s">
        <v>35</v>
      </c>
      <c r="H18" s="39">
        <f>Calculadora!V6</f>
        <v>4.8611111111111116</v>
      </c>
      <c r="I18" s="309">
        <f>1400/12</f>
        <v>116.66666666666667</v>
      </c>
      <c r="J18" s="264">
        <v>1</v>
      </c>
      <c r="K18" s="658"/>
      <c r="L18" s="34">
        <v>0.01</v>
      </c>
      <c r="M18" s="464" t="s">
        <v>29</v>
      </c>
      <c r="N18" s="464"/>
      <c r="O18" s="111">
        <f>Calculadora!O8</f>
        <v>1.5</v>
      </c>
      <c r="P18" s="282"/>
    </row>
    <row r="19" spans="1:16" s="241" customFormat="1">
      <c r="A19" s="282"/>
      <c r="B19" s="422" t="s">
        <v>46</v>
      </c>
      <c r="C19" s="423"/>
      <c r="D19" s="497">
        <f>Calculadora!G6</f>
        <v>150</v>
      </c>
      <c r="E19" s="346"/>
      <c r="F19" s="646"/>
      <c r="G19" s="329" t="s">
        <v>196</v>
      </c>
      <c r="H19" s="39">
        <f>Calculadora!V7</f>
        <v>4.166666666666667</v>
      </c>
      <c r="I19" s="309">
        <v>100</v>
      </c>
      <c r="J19" s="264">
        <v>1</v>
      </c>
      <c r="K19" s="658"/>
      <c r="L19" s="34"/>
      <c r="M19" s="464"/>
      <c r="N19" s="464"/>
      <c r="O19" s="111">
        <f>Calculadora!O9</f>
        <v>0</v>
      </c>
      <c r="P19" s="282"/>
    </row>
    <row r="20" spans="1:16" s="241" customFormat="1">
      <c r="A20" s="282"/>
      <c r="B20" s="422" t="s">
        <v>127</v>
      </c>
      <c r="C20" s="423"/>
      <c r="D20" s="439">
        <f>Calculadora!G9</f>
        <v>24</v>
      </c>
      <c r="E20" s="347"/>
      <c r="F20" s="646"/>
      <c r="G20" s="47" t="s">
        <v>67</v>
      </c>
      <c r="H20" s="39">
        <f>Calculadora!V8</f>
        <v>5</v>
      </c>
      <c r="I20" s="309">
        <v>120</v>
      </c>
      <c r="J20" s="264">
        <v>1</v>
      </c>
      <c r="K20" s="658"/>
      <c r="L20" s="495"/>
      <c r="M20" s="464"/>
      <c r="N20" s="464"/>
      <c r="O20" s="111">
        <f>Calculadora!O10</f>
        <v>0</v>
      </c>
      <c r="P20" s="282"/>
    </row>
    <row r="21" spans="1:16" s="241" customFormat="1">
      <c r="A21" s="282"/>
      <c r="B21" s="422" t="s">
        <v>48</v>
      </c>
      <c r="C21" s="423"/>
      <c r="D21" s="440">
        <f>Calculadora!G11</f>
        <v>75</v>
      </c>
      <c r="E21" s="348"/>
      <c r="F21" s="646"/>
      <c r="G21" s="47" t="s">
        <v>27</v>
      </c>
      <c r="H21" s="39">
        <f>Calculadora!V9</f>
        <v>4.166666666666667</v>
      </c>
      <c r="I21" s="309">
        <v>100</v>
      </c>
      <c r="J21" s="264">
        <v>1</v>
      </c>
      <c r="K21" s="658"/>
      <c r="L21" s="578"/>
      <c r="M21" s="659"/>
      <c r="N21" s="659"/>
      <c r="O21" s="660"/>
      <c r="P21" s="282"/>
    </row>
    <row r="22" spans="1:16">
      <c r="A22" s="224"/>
      <c r="B22" s="422" t="s">
        <v>188</v>
      </c>
      <c r="C22" s="423"/>
      <c r="D22" s="468">
        <v>3.5000000000000003E-2</v>
      </c>
      <c r="E22" s="469"/>
      <c r="F22" s="646"/>
      <c r="G22" s="47" t="s">
        <v>1</v>
      </c>
      <c r="H22" s="39">
        <f>Calculadora!V10</f>
        <v>131.25</v>
      </c>
      <c r="I22" s="309">
        <f>150*21</f>
        <v>3150</v>
      </c>
      <c r="J22" s="264">
        <v>1</v>
      </c>
      <c r="K22" s="646"/>
      <c r="L22" s="480" t="s">
        <v>200</v>
      </c>
      <c r="M22" s="299" t="s">
        <v>199</v>
      </c>
      <c r="N22" s="279" t="s">
        <v>197</v>
      </c>
      <c r="O22" s="280" t="s">
        <v>198</v>
      </c>
      <c r="P22" s="224"/>
    </row>
    <row r="23" spans="1:16">
      <c r="A23" s="224"/>
      <c r="B23" s="422" t="s">
        <v>189</v>
      </c>
      <c r="C23" s="423"/>
      <c r="D23" s="468">
        <v>2.5000000000000001E-2</v>
      </c>
      <c r="E23" s="469"/>
      <c r="F23" s="646"/>
      <c r="G23" s="47" t="s">
        <v>156</v>
      </c>
      <c r="H23" s="39">
        <f>Calculadora!V11</f>
        <v>41.666666666666664</v>
      </c>
      <c r="I23" s="310">
        <v>1000</v>
      </c>
      <c r="J23" s="264">
        <v>1</v>
      </c>
      <c r="K23" s="646"/>
      <c r="L23" s="481">
        <v>1</v>
      </c>
      <c r="M23" s="35" t="s">
        <v>166</v>
      </c>
      <c r="N23" s="284">
        <f>Calculadora!AD5</f>
        <v>41.666666666666664</v>
      </c>
      <c r="O23" s="473">
        <v>1000</v>
      </c>
      <c r="P23" s="224"/>
    </row>
    <row r="24" spans="1:16">
      <c r="A24" s="224"/>
      <c r="B24" s="422" t="s">
        <v>190</v>
      </c>
      <c r="C24" s="423"/>
      <c r="D24" s="468">
        <v>3.5000000000000003E-2</v>
      </c>
      <c r="E24" s="469"/>
      <c r="F24" s="646"/>
      <c r="G24" s="53" t="s">
        <v>205</v>
      </c>
      <c r="H24" s="489">
        <f>Calculadora!Z10</f>
        <v>41.666666666666664</v>
      </c>
      <c r="I24" s="494">
        <v>1000</v>
      </c>
      <c r="J24" s="453">
        <v>1</v>
      </c>
      <c r="K24" s="646"/>
      <c r="L24" s="481">
        <v>2</v>
      </c>
      <c r="M24" s="35" t="s">
        <v>167</v>
      </c>
      <c r="N24" s="284">
        <f>(O24/$D$20)*L24</f>
        <v>83.333333333333329</v>
      </c>
      <c r="O24" s="473">
        <v>1000</v>
      </c>
      <c r="P24" s="224"/>
    </row>
    <row r="25" spans="1:16">
      <c r="A25" s="224"/>
      <c r="B25" s="422" t="s">
        <v>191</v>
      </c>
      <c r="C25" s="423"/>
      <c r="D25" s="468">
        <v>3.5000000000000003E-2</v>
      </c>
      <c r="E25" s="469"/>
      <c r="F25" s="647"/>
      <c r="G25" s="306"/>
      <c r="H25" s="278"/>
      <c r="I25" s="278"/>
      <c r="J25" s="285"/>
      <c r="K25" s="647"/>
      <c r="L25" s="481">
        <v>4</v>
      </c>
      <c r="M25" s="35" t="s">
        <v>163</v>
      </c>
      <c r="N25" s="284">
        <f>(O25/$D$20)*L25</f>
        <v>166.66666666666666</v>
      </c>
      <c r="O25" s="473">
        <v>1000</v>
      </c>
      <c r="P25" s="224"/>
    </row>
    <row r="26" spans="1:16">
      <c r="A26" s="224"/>
      <c r="B26" s="422" t="s">
        <v>6</v>
      </c>
      <c r="C26" s="423"/>
      <c r="D26" s="471">
        <v>1.5</v>
      </c>
      <c r="E26" s="472"/>
      <c r="F26" s="647"/>
      <c r="G26" s="291"/>
      <c r="H26" s="222"/>
      <c r="I26" s="222"/>
      <c r="J26" s="292"/>
      <c r="K26" s="647"/>
      <c r="L26" s="481">
        <v>2</v>
      </c>
      <c r="M26" s="35" t="s">
        <v>201</v>
      </c>
      <c r="N26" s="284">
        <f>(O26/$D$20)*L26</f>
        <v>83.333333333333329</v>
      </c>
      <c r="O26" s="473">
        <v>1000</v>
      </c>
      <c r="P26" s="224"/>
    </row>
    <row r="27" spans="1:16">
      <c r="A27" s="224"/>
      <c r="B27" s="427" t="s">
        <v>19</v>
      </c>
      <c r="C27" s="428"/>
      <c r="D27" s="462">
        <v>0.05</v>
      </c>
      <c r="E27" s="463"/>
      <c r="F27" s="648"/>
      <c r="G27" s="293"/>
      <c r="H27" s="294"/>
      <c r="I27" s="294"/>
      <c r="J27" s="490"/>
      <c r="K27" s="648"/>
      <c r="L27" s="496">
        <v>3</v>
      </c>
      <c r="M27" s="57" t="s">
        <v>165</v>
      </c>
      <c r="N27" s="429">
        <f>(O27/$D$20)*L27</f>
        <v>125</v>
      </c>
      <c r="O27" s="474">
        <v>1000</v>
      </c>
      <c r="P27" s="224"/>
    </row>
    <row r="28" spans="1:16">
      <c r="A28" s="224"/>
      <c r="B28" s="224"/>
      <c r="C28" s="224"/>
      <c r="D28" s="224"/>
      <c r="E28" s="286"/>
      <c r="F28" s="301"/>
      <c r="G28" s="224"/>
      <c r="H28" s="224"/>
      <c r="I28" s="224"/>
      <c r="J28" s="301"/>
      <c r="K28" s="301"/>
      <c r="L28" s="286"/>
      <c r="M28" s="286"/>
      <c r="N28" s="286"/>
      <c r="O28" s="286"/>
      <c r="P28" s="224"/>
    </row>
    <row r="29" spans="1:16">
      <c r="A29" s="224"/>
      <c r="B29" s="224"/>
      <c r="C29" s="224"/>
      <c r="D29" s="224"/>
      <c r="E29" s="286"/>
      <c r="F29" s="301"/>
      <c r="G29" s="224"/>
      <c r="H29" s="224"/>
      <c r="I29" s="224"/>
      <c r="J29" s="301"/>
      <c r="K29" s="301"/>
      <c r="L29" s="224"/>
      <c r="M29" s="224"/>
      <c r="N29" s="224"/>
      <c r="O29" s="224"/>
      <c r="P29" s="224"/>
    </row>
    <row r="30" spans="1:16">
      <c r="A30" s="224"/>
      <c r="B30" s="224"/>
      <c r="C30" s="224"/>
      <c r="D30" s="224"/>
      <c r="E30" s="286"/>
      <c r="F30" s="301"/>
      <c r="G30" s="224"/>
      <c r="H30" s="224"/>
      <c r="I30" s="224"/>
      <c r="J30" s="301"/>
      <c r="K30" s="301"/>
      <c r="L30" s="224"/>
      <c r="M30" s="224"/>
      <c r="N30" s="224"/>
      <c r="O30" s="224"/>
      <c r="P30" s="224"/>
    </row>
    <row r="31" spans="1:16">
      <c r="A31" s="224"/>
      <c r="B31" s="224"/>
      <c r="C31" s="224"/>
      <c r="D31" s="224"/>
      <c r="E31" s="286"/>
      <c r="F31" s="301"/>
      <c r="G31" s="224"/>
      <c r="H31" s="224"/>
      <c r="I31" s="224"/>
      <c r="J31" s="301"/>
      <c r="K31" s="301"/>
      <c r="L31" s="224"/>
      <c r="M31" s="224"/>
      <c r="N31" s="224"/>
      <c r="O31" s="224"/>
      <c r="P31" s="224"/>
    </row>
    <row r="32" spans="1:16">
      <c r="A32" s="224"/>
      <c r="B32" s="224"/>
      <c r="C32" s="222"/>
      <c r="D32" s="224"/>
      <c r="E32" s="286"/>
      <c r="F32" s="301"/>
      <c r="G32" s="224"/>
      <c r="H32" s="224"/>
      <c r="I32" s="224"/>
      <c r="J32" s="301"/>
      <c r="K32" s="301"/>
      <c r="L32" s="224"/>
      <c r="M32" s="224"/>
      <c r="N32" s="224"/>
      <c r="O32" s="224"/>
      <c r="P32" s="224"/>
    </row>
    <row r="33" spans="1:16">
      <c r="A33" s="224"/>
      <c r="B33" s="224"/>
      <c r="C33" s="222"/>
      <c r="D33" s="224"/>
      <c r="E33" s="286"/>
      <c r="F33" s="300"/>
      <c r="G33" s="224"/>
      <c r="H33" s="224"/>
      <c r="I33" s="224"/>
      <c r="J33" s="300"/>
      <c r="K33" s="300"/>
      <c r="L33" s="224"/>
      <c r="M33" s="224"/>
      <c r="N33" s="224"/>
      <c r="O33" s="224"/>
      <c r="P33" s="224"/>
    </row>
    <row r="34" spans="1:16">
      <c r="A34" s="224"/>
      <c r="B34" s="224"/>
      <c r="C34" s="222"/>
      <c r="D34" s="224"/>
      <c r="E34" s="286"/>
      <c r="F34" s="273"/>
      <c r="G34" s="224"/>
      <c r="H34" s="224"/>
      <c r="I34" s="224"/>
      <c r="J34" s="273"/>
      <c r="K34" s="273"/>
      <c r="L34" s="224"/>
      <c r="M34" s="224"/>
      <c r="N34" s="224"/>
      <c r="O34" s="224"/>
      <c r="P34" s="224"/>
    </row>
    <row r="35" spans="1:16">
      <c r="A35" s="224"/>
      <c r="B35" s="224"/>
      <c r="C35" s="222"/>
      <c r="D35" s="224"/>
      <c r="E35" s="286"/>
      <c r="F35" s="302"/>
      <c r="G35" s="224"/>
      <c r="H35" s="224"/>
      <c r="I35" s="224"/>
      <c r="J35" s="302"/>
      <c r="K35" s="302"/>
      <c r="L35" s="224"/>
      <c r="M35" s="224"/>
      <c r="N35" s="224"/>
      <c r="O35" s="224"/>
      <c r="P35" s="224"/>
    </row>
  </sheetData>
  <mergeCells count="79">
    <mergeCell ref="M19:N19"/>
    <mergeCell ref="M20:N20"/>
    <mergeCell ref="M21:N21"/>
    <mergeCell ref="G8:H8"/>
    <mergeCell ref="G9:H9"/>
    <mergeCell ref="G13:H13"/>
    <mergeCell ref="G14:H14"/>
    <mergeCell ref="I8:J8"/>
    <mergeCell ref="G12:H12"/>
    <mergeCell ref="I12:J12"/>
    <mergeCell ref="I13:J13"/>
    <mergeCell ref="I14:J14"/>
    <mergeCell ref="N2:O2"/>
    <mergeCell ref="N3:O3"/>
    <mergeCell ref="N4:O4"/>
    <mergeCell ref="N5:O5"/>
    <mergeCell ref="I9:J9"/>
    <mergeCell ref="M13:N13"/>
    <mergeCell ref="M14:N14"/>
    <mergeCell ref="M16:N16"/>
    <mergeCell ref="M17:N17"/>
    <mergeCell ref="M18:N18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9:C9"/>
    <mergeCell ref="B10:C10"/>
    <mergeCell ref="B13:C13"/>
    <mergeCell ref="B14:C14"/>
    <mergeCell ref="B12:C12"/>
    <mergeCell ref="L7:N7"/>
    <mergeCell ref="L8:N8"/>
    <mergeCell ref="L9:N9"/>
    <mergeCell ref="B27:C27"/>
    <mergeCell ref="D7:E7"/>
    <mergeCell ref="B7:C7"/>
    <mergeCell ref="I10:J10"/>
    <mergeCell ref="L2:M2"/>
    <mergeCell ref="L3:M3"/>
    <mergeCell ref="L4:M4"/>
    <mergeCell ref="L5:M5"/>
    <mergeCell ref="D2:G2"/>
    <mergeCell ref="D3:G3"/>
    <mergeCell ref="D4:G4"/>
    <mergeCell ref="D5:G5"/>
    <mergeCell ref="I2:J2"/>
    <mergeCell ref="I3:J3"/>
    <mergeCell ref="I4:J4"/>
    <mergeCell ref="I5:J5"/>
    <mergeCell ref="D26:E26"/>
    <mergeCell ref="D27:E27"/>
    <mergeCell ref="B2:C2"/>
    <mergeCell ref="B3:C3"/>
    <mergeCell ref="B4:C4"/>
    <mergeCell ref="B5:C5"/>
    <mergeCell ref="B8:C8"/>
    <mergeCell ref="D24:E24"/>
    <mergeCell ref="D25:E25"/>
    <mergeCell ref="D20:E20"/>
    <mergeCell ref="D21:E21"/>
    <mergeCell ref="D22:E22"/>
    <mergeCell ref="D23:E23"/>
    <mergeCell ref="D10:E10"/>
    <mergeCell ref="D19:E19"/>
    <mergeCell ref="D16:E16"/>
    <mergeCell ref="D17:E17"/>
    <mergeCell ref="D18:E18"/>
    <mergeCell ref="D9:E9"/>
    <mergeCell ref="D8:E8"/>
    <mergeCell ref="D12:E12"/>
    <mergeCell ref="D13:E13"/>
    <mergeCell ref="D14:E14"/>
  </mergeCells>
  <pageMargins left="0.51181102362204722" right="0.51181102362204722" top="0.78740157480314965" bottom="0.78740157480314965" header="0.31496062992125984" footer="0.31496062992125984"/>
  <pageSetup paperSize="9" scale="62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2"/>
  <sheetViews>
    <sheetView tabSelected="1" topLeftCell="A16" workbookViewId="0">
      <selection activeCell="A37" sqref="A37"/>
    </sheetView>
  </sheetViews>
  <sheetFormatPr defaultRowHeight="15"/>
  <cols>
    <col min="1" max="1" width="18.5703125" style="265" customWidth="1"/>
    <col min="2" max="2" width="20.7109375" style="29" customWidth="1"/>
    <col min="3" max="7" width="22" style="29" customWidth="1"/>
    <col min="8" max="8" width="21.42578125" style="29" customWidth="1"/>
    <col min="9" max="9" width="4.5703125" style="265" hidden="1" customWidth="1"/>
    <col min="10" max="10" width="15.7109375" style="265" hidden="1" customWidth="1"/>
    <col min="11" max="13" width="9.140625" style="265" hidden="1" customWidth="1"/>
    <col min="14" max="14" width="14.28515625" style="265" hidden="1" customWidth="1"/>
    <col min="15" max="15" width="13.42578125" style="265" hidden="1" customWidth="1"/>
    <col min="16" max="16" width="14" style="265" hidden="1" customWidth="1"/>
    <col min="17" max="17" width="14.140625" style="265" hidden="1" customWidth="1"/>
    <col min="18" max="18" width="9.140625" style="265" hidden="1" customWidth="1"/>
    <col min="19" max="16384" width="9.140625" style="265"/>
  </cols>
  <sheetData>
    <row r="1" spans="1:20" ht="7.5" customHeight="1">
      <c r="A1" s="271"/>
      <c r="B1" s="35"/>
      <c r="C1" s="35"/>
      <c r="D1" s="35"/>
      <c r="E1" s="35"/>
      <c r="F1" s="35"/>
      <c r="G1" s="35"/>
      <c r="H1" s="35"/>
      <c r="I1" s="271"/>
      <c r="J1" s="271"/>
      <c r="K1" s="271"/>
      <c r="S1" s="271"/>
      <c r="T1" s="271"/>
    </row>
    <row r="2" spans="1:20" ht="59.25" customHeight="1">
      <c r="A2" s="630" t="s">
        <v>210</v>
      </c>
      <c r="B2" s="631"/>
      <c r="C2" s="635" t="s">
        <v>218</v>
      </c>
      <c r="D2" s="636"/>
      <c r="E2" s="635" t="s">
        <v>216</v>
      </c>
      <c r="F2" s="632"/>
      <c r="G2" s="633"/>
      <c r="H2" s="634"/>
      <c r="I2" s="271"/>
      <c r="J2" s="295">
        <f>LARGE(J3:J10,1)</f>
        <v>161142.696</v>
      </c>
      <c r="K2" s="271"/>
      <c r="N2" s="170" t="s">
        <v>211</v>
      </c>
      <c r="O2" s="170" t="s">
        <v>212</v>
      </c>
      <c r="P2" s="170" t="s">
        <v>213</v>
      </c>
      <c r="Q2" s="170" t="s">
        <v>219</v>
      </c>
      <c r="S2" s="271"/>
      <c r="T2" s="271"/>
    </row>
    <row r="3" spans="1:20" ht="18.75">
      <c r="A3" s="639"/>
      <c r="B3" s="666" t="s">
        <v>202</v>
      </c>
      <c r="C3" s="667"/>
      <c r="D3" s="668"/>
      <c r="E3" s="669" t="s">
        <v>203</v>
      </c>
      <c r="F3" s="670"/>
      <c r="G3" s="670"/>
      <c r="H3" s="671"/>
      <c r="I3" s="271">
        <f t="shared" ref="I3:I8" si="0">RANK(J3,$J$3:$J$10,0)</f>
        <v>3</v>
      </c>
      <c r="J3" s="296">
        <f>B7</f>
        <v>11823.084000000003</v>
      </c>
      <c r="K3" s="271"/>
      <c r="M3" s="265">
        <v>1</v>
      </c>
      <c r="N3" s="314">
        <f>B5</f>
        <v>32709.096000000001</v>
      </c>
      <c r="O3" s="314">
        <f>B6</f>
        <v>20886.011999999999</v>
      </c>
      <c r="P3" s="314">
        <f>B7</f>
        <v>11823.084000000003</v>
      </c>
      <c r="Q3" s="314">
        <f>B8</f>
        <v>41.052375000000012</v>
      </c>
      <c r="S3" s="271"/>
      <c r="T3" s="271"/>
    </row>
    <row r="4" spans="1:20" ht="18.75">
      <c r="A4" s="272"/>
      <c r="B4" s="627" t="s">
        <v>204</v>
      </c>
      <c r="C4" s="627" t="s">
        <v>206</v>
      </c>
      <c r="D4" s="627" t="s">
        <v>207</v>
      </c>
      <c r="E4" s="628" t="s">
        <v>204</v>
      </c>
      <c r="F4" s="628" t="s">
        <v>206</v>
      </c>
      <c r="G4" s="628" t="s">
        <v>207</v>
      </c>
      <c r="H4" s="629" t="s">
        <v>208</v>
      </c>
      <c r="I4" s="271">
        <f t="shared" si="0"/>
        <v>1</v>
      </c>
      <c r="J4" s="296">
        <f>C7</f>
        <v>161142.696</v>
      </c>
      <c r="K4" s="271"/>
      <c r="M4" s="265">
        <f>M3+1</f>
        <v>2</v>
      </c>
      <c r="N4" s="314">
        <f>C5</f>
        <v>209418.696</v>
      </c>
      <c r="O4" s="314">
        <f>C6</f>
        <v>48276</v>
      </c>
      <c r="P4" s="314">
        <f>C7</f>
        <v>161142.696</v>
      </c>
      <c r="Q4" s="314">
        <f>C8</f>
        <v>573.02324999999996</v>
      </c>
      <c r="S4" s="271"/>
      <c r="T4" s="271"/>
    </row>
    <row r="5" spans="1:20">
      <c r="A5" s="308" t="s">
        <v>211</v>
      </c>
      <c r="B5" s="505">
        <f>IF($J$12=2,0,Calculadora!E90)</f>
        <v>32709.096000000001</v>
      </c>
      <c r="C5" s="505">
        <f>IF($J$12=2,0,Calculadora!I90)</f>
        <v>209418.696</v>
      </c>
      <c r="D5" s="505">
        <f>IF($J$12=2,0,Calculadora!M90)</f>
        <v>112218.696</v>
      </c>
      <c r="E5" s="505">
        <f>IF($J$12=1,0,Calculadora!Q90)</f>
        <v>0</v>
      </c>
      <c r="F5" s="505">
        <f>IF($J$12=1,0,Calculadora!U90)</f>
        <v>0</v>
      </c>
      <c r="G5" s="505">
        <f>IF($J$12=1,0,Calculadora!Y90)</f>
        <v>0</v>
      </c>
      <c r="H5" s="506">
        <f>IF($J$12=1,0,Calculadora!AC90)</f>
        <v>0</v>
      </c>
      <c r="I5" s="271">
        <f t="shared" si="0"/>
        <v>2</v>
      </c>
      <c r="J5" s="296">
        <f>D7</f>
        <v>79008.695999999996</v>
      </c>
      <c r="K5" s="271"/>
      <c r="M5" s="265">
        <f t="shared" ref="M5:M12" si="1">M4+1</f>
        <v>3</v>
      </c>
      <c r="N5" s="314">
        <f>D5</f>
        <v>112218.696</v>
      </c>
      <c r="O5" s="314">
        <f>D6</f>
        <v>33210</v>
      </c>
      <c r="P5" s="314">
        <f>D7</f>
        <v>79008.695999999996</v>
      </c>
      <c r="Q5" s="314">
        <f>D8</f>
        <v>281.08575000000002</v>
      </c>
      <c r="S5" s="271"/>
      <c r="T5" s="271"/>
    </row>
    <row r="6" spans="1:20">
      <c r="A6" s="269" t="s">
        <v>212</v>
      </c>
      <c r="B6" s="507">
        <f>IF($J$12=2,0,Calculadora!E91)</f>
        <v>20886.011999999999</v>
      </c>
      <c r="C6" s="507">
        <f>IF($J$12=2,0,Calculadora!I91)</f>
        <v>48276</v>
      </c>
      <c r="D6" s="507">
        <f>IF($J$12=2,0,Calculadora!M91)</f>
        <v>33210</v>
      </c>
      <c r="E6" s="507">
        <f>IF($J$12=1,0,Calculadora!Q91)</f>
        <v>0</v>
      </c>
      <c r="F6" s="507">
        <f>IF($J$12=1,0,Calculadora!U91)</f>
        <v>0</v>
      </c>
      <c r="G6" s="507">
        <f>IF($J$12=1,0,Calculadora!Y91)</f>
        <v>0</v>
      </c>
      <c r="H6" s="508">
        <f>IF($J$12=1,0,Calculadora!AC91)</f>
        <v>0</v>
      </c>
      <c r="I6" s="271">
        <f t="shared" si="0"/>
        <v>4</v>
      </c>
      <c r="J6" s="296">
        <f>E7</f>
        <v>0</v>
      </c>
      <c r="K6" s="271"/>
      <c r="M6" s="265">
        <f t="shared" si="1"/>
        <v>4</v>
      </c>
      <c r="N6" s="314">
        <f>B5</f>
        <v>32709.096000000001</v>
      </c>
      <c r="O6" s="314">
        <f>B6</f>
        <v>20886.011999999999</v>
      </c>
      <c r="P6" s="314">
        <f>B7</f>
        <v>11823.084000000003</v>
      </c>
      <c r="Q6" s="314">
        <f>B8</f>
        <v>41.052375000000012</v>
      </c>
      <c r="S6" s="271"/>
      <c r="T6" s="271"/>
    </row>
    <row r="7" spans="1:20">
      <c r="A7" s="269" t="s">
        <v>213</v>
      </c>
      <c r="B7" s="507">
        <f>IF($J$12=2,0,Calculadora!E92)</f>
        <v>11823.084000000003</v>
      </c>
      <c r="C7" s="507">
        <f>IF($J$12=2,0,Calculadora!I92)</f>
        <v>161142.696</v>
      </c>
      <c r="D7" s="507">
        <f>IF($J$12=2,0,Calculadora!M92)</f>
        <v>79008.695999999996</v>
      </c>
      <c r="E7" s="507">
        <f>IF($J$12=1,0,Calculadora!Q92)</f>
        <v>0</v>
      </c>
      <c r="F7" s="507">
        <f>IF($J$12=1,0,Calculadora!U92)</f>
        <v>0</v>
      </c>
      <c r="G7" s="507">
        <f>IF($J$12=1,0,Calculadora!Y92)</f>
        <v>0</v>
      </c>
      <c r="H7" s="508">
        <f>IF($J$12=1,0,Calculadora!AC92)</f>
        <v>0</v>
      </c>
      <c r="I7" s="271">
        <f t="shared" si="0"/>
        <v>4</v>
      </c>
      <c r="J7" s="296">
        <f>F7</f>
        <v>0</v>
      </c>
      <c r="K7" s="271"/>
      <c r="M7" s="265">
        <f t="shared" si="1"/>
        <v>5</v>
      </c>
      <c r="N7" s="314">
        <f>C5</f>
        <v>209418.696</v>
      </c>
      <c r="O7" s="314">
        <f>C6</f>
        <v>48276</v>
      </c>
      <c r="P7" s="314">
        <f>C7</f>
        <v>161142.696</v>
      </c>
      <c r="Q7" s="314">
        <f>C8</f>
        <v>573.02324999999996</v>
      </c>
      <c r="S7" s="271"/>
      <c r="T7" s="271"/>
    </row>
    <row r="8" spans="1:20">
      <c r="A8" s="270" t="s">
        <v>219</v>
      </c>
      <c r="B8" s="509">
        <f>IF($J$12=2,0,Calculadora!E87)</f>
        <v>41.052375000000012</v>
      </c>
      <c r="C8" s="509">
        <f>IF($J$12=2,0,Calculadora!I87)</f>
        <v>573.02324999999996</v>
      </c>
      <c r="D8" s="509">
        <f>IF($J$12=2,0,Calculadora!M87)</f>
        <v>281.08575000000002</v>
      </c>
      <c r="E8" s="509">
        <f>IF($J$12=1,0,Calculadora!Q87)</f>
        <v>0</v>
      </c>
      <c r="F8" s="509">
        <f>IF($J$12=1,0,Calculadora!U87)</f>
        <v>0</v>
      </c>
      <c r="G8" s="509">
        <f>IF($J$12=1,0,Calculadora!Y87)</f>
        <v>0</v>
      </c>
      <c r="H8" s="510">
        <f>IF($J$12=1,0,Calculadora!AC87)</f>
        <v>0</v>
      </c>
      <c r="I8" s="271">
        <f t="shared" si="0"/>
        <v>4</v>
      </c>
      <c r="J8" s="296">
        <f>G7</f>
        <v>0</v>
      </c>
      <c r="K8" s="271"/>
      <c r="M8" s="265">
        <f t="shared" si="1"/>
        <v>6</v>
      </c>
      <c r="N8" s="314">
        <f>D5</f>
        <v>112218.696</v>
      </c>
      <c r="O8" s="314">
        <f>D6</f>
        <v>33210</v>
      </c>
      <c r="P8" s="314">
        <f>D7</f>
        <v>79008.695999999996</v>
      </c>
      <c r="Q8" s="314">
        <f>D8</f>
        <v>281.08575000000002</v>
      </c>
      <c r="S8" s="271"/>
      <c r="T8" s="271"/>
    </row>
    <row r="9" spans="1:20" ht="5.0999999999999996" customHeight="1">
      <c r="A9" s="271"/>
      <c r="B9" s="35"/>
      <c r="C9" s="35"/>
      <c r="D9" s="35"/>
      <c r="E9" s="35"/>
      <c r="F9" s="35"/>
      <c r="G9" s="35"/>
      <c r="H9" s="35"/>
      <c r="K9" s="271"/>
      <c r="M9" s="265">
        <f t="shared" si="1"/>
        <v>7</v>
      </c>
      <c r="N9" s="314">
        <f>E5</f>
        <v>0</v>
      </c>
      <c r="O9" s="314">
        <f>E6</f>
        <v>0</v>
      </c>
      <c r="P9" s="314">
        <f>E7</f>
        <v>0</v>
      </c>
      <c r="Q9" s="314">
        <f>E8</f>
        <v>0</v>
      </c>
      <c r="S9" s="271"/>
      <c r="T9" s="271"/>
    </row>
    <row r="10" spans="1:20">
      <c r="A10" s="315" t="s">
        <v>11</v>
      </c>
      <c r="B10" s="266">
        <v>0.15</v>
      </c>
      <c r="C10" s="268">
        <v>15</v>
      </c>
      <c r="D10" s="268">
        <v>15</v>
      </c>
      <c r="E10" s="266">
        <v>0.15</v>
      </c>
      <c r="F10" s="268">
        <v>15</v>
      </c>
      <c r="G10" s="268">
        <v>15</v>
      </c>
      <c r="H10" s="268">
        <v>5</v>
      </c>
      <c r="I10" s="271">
        <f>RANK(J10,$J$3:$J$10,0)</f>
        <v>4</v>
      </c>
      <c r="J10" s="296">
        <f>H7</f>
        <v>0</v>
      </c>
      <c r="K10" s="271"/>
      <c r="M10" s="265">
        <f t="shared" si="1"/>
        <v>8</v>
      </c>
      <c r="N10" s="314">
        <f>F5</f>
        <v>0</v>
      </c>
      <c r="O10" s="314">
        <f>F6</f>
        <v>0</v>
      </c>
      <c r="P10" s="314">
        <f>F7</f>
        <v>0</v>
      </c>
      <c r="Q10" s="314">
        <f>F8</f>
        <v>0</v>
      </c>
      <c r="S10" s="271"/>
      <c r="T10" s="271"/>
    </row>
    <row r="11" spans="1:20" ht="5.0999999999999996" customHeight="1">
      <c r="A11" s="271"/>
      <c r="B11" s="35"/>
      <c r="C11" s="35"/>
      <c r="D11" s="35"/>
      <c r="E11" s="35"/>
      <c r="F11" s="35"/>
      <c r="G11" s="35"/>
      <c r="H11" s="35"/>
      <c r="K11" s="271"/>
      <c r="M11" s="265">
        <f t="shared" si="1"/>
        <v>9</v>
      </c>
      <c r="N11" s="314">
        <f>G5</f>
        <v>0</v>
      </c>
      <c r="O11" s="314">
        <f>G6</f>
        <v>0</v>
      </c>
      <c r="P11" s="314">
        <f>G7</f>
        <v>0</v>
      </c>
      <c r="Q11" s="314">
        <f>G8</f>
        <v>0</v>
      </c>
      <c r="S11" s="271"/>
      <c r="T11" s="271"/>
    </row>
    <row r="12" spans="1:20" hidden="1">
      <c r="A12" s="35"/>
      <c r="B12" s="35"/>
      <c r="C12" s="35"/>
      <c r="D12" s="35"/>
      <c r="E12" s="35"/>
      <c r="F12" s="35"/>
      <c r="G12" s="35"/>
      <c r="H12" s="35"/>
      <c r="I12" s="35">
        <v>2</v>
      </c>
      <c r="J12" s="271">
        <v>1</v>
      </c>
      <c r="K12" s="271"/>
      <c r="M12" s="265">
        <f t="shared" si="1"/>
        <v>10</v>
      </c>
      <c r="N12" s="314">
        <f>H5</f>
        <v>0</v>
      </c>
      <c r="O12" s="314">
        <f>H6</f>
        <v>0</v>
      </c>
      <c r="P12" s="314">
        <f>H7</f>
        <v>0</v>
      </c>
      <c r="Q12" s="314">
        <f>H8</f>
        <v>0</v>
      </c>
      <c r="S12" s="271"/>
      <c r="T12" s="271"/>
    </row>
    <row r="13" spans="1:20" ht="24.95" hidden="1" customHeight="1">
      <c r="A13" s="358" t="s">
        <v>209</v>
      </c>
      <c r="B13" s="274">
        <f>IF(I12=1,0,IF(B7=$J$2,1,0))</f>
        <v>0</v>
      </c>
      <c r="C13" s="274">
        <f>IF(I12=1,0,IF(C7=$J$2,2,0))</f>
        <v>2</v>
      </c>
      <c r="D13" s="274">
        <f>IF(I12=1,0,IF(D7=$J$2,3,0))</f>
        <v>0</v>
      </c>
      <c r="E13" s="274">
        <f>IF(E7=$J$2,7,0)</f>
        <v>0</v>
      </c>
      <c r="F13" s="274">
        <f>IF(F7=$J$2,8,0)</f>
        <v>0</v>
      </c>
      <c r="G13" s="274">
        <f>IF(G7=$J$2,9,0)</f>
        <v>0</v>
      </c>
      <c r="H13" s="274">
        <f>IF(H7=$J$2,10,0)</f>
        <v>0</v>
      </c>
      <c r="I13" s="275" t="s">
        <v>214</v>
      </c>
      <c r="J13" s="265" t="s">
        <v>217</v>
      </c>
      <c r="K13" s="271"/>
      <c r="S13" s="271"/>
      <c r="T13" s="271"/>
    </row>
    <row r="14" spans="1:20" ht="24.95" hidden="1" customHeight="1">
      <c r="A14" s="359"/>
      <c r="B14" s="274">
        <f>IF(I12=1,IF(B7=$J$2,4,0),0)</f>
        <v>0</v>
      </c>
      <c r="C14" s="274">
        <f>IF(I12=1,IF(C7=$J$2,5,0),0)</f>
        <v>0</v>
      </c>
      <c r="D14" s="274">
        <f>IF(I12=1,IF(D7=$J$2,6,0),0)</f>
        <v>0</v>
      </c>
      <c r="E14" s="271"/>
      <c r="F14" s="271"/>
      <c r="G14" s="271"/>
      <c r="H14" s="275">
        <f>SUM(B13:H13,B14:D14)</f>
        <v>2</v>
      </c>
      <c r="I14" s="275" t="s">
        <v>215</v>
      </c>
      <c r="J14" s="265" t="s">
        <v>203</v>
      </c>
      <c r="K14" s="271"/>
      <c r="S14" s="271"/>
      <c r="T14" s="271"/>
    </row>
    <row r="15" spans="1:20" ht="8.25" hidden="1" customHeight="1">
      <c r="A15" s="271"/>
      <c r="B15" s="35"/>
      <c r="C15" s="35"/>
      <c r="D15" s="35"/>
      <c r="E15" s="35"/>
      <c r="F15" s="35"/>
      <c r="G15" s="35"/>
      <c r="H15" s="35"/>
      <c r="I15" s="271"/>
      <c r="J15" s="271"/>
      <c r="K15" s="271"/>
      <c r="S15" s="271"/>
      <c r="T15" s="271"/>
    </row>
    <row r="16" spans="1:20" ht="15.75" customHeight="1">
      <c r="A16" s="475" t="s">
        <v>13</v>
      </c>
      <c r="B16" s="476"/>
      <c r="C16" s="318" t="s">
        <v>50</v>
      </c>
      <c r="D16" s="316" t="s">
        <v>52</v>
      </c>
      <c r="E16" s="317" t="s">
        <v>51</v>
      </c>
      <c r="F16" s="318" t="s">
        <v>50</v>
      </c>
      <c r="G16" s="316" t="s">
        <v>52</v>
      </c>
      <c r="H16" s="317" t="s">
        <v>51</v>
      </c>
      <c r="I16" s="271"/>
      <c r="J16" s="271"/>
      <c r="K16" s="271"/>
      <c r="S16" s="271"/>
      <c r="T16" s="271"/>
    </row>
    <row r="17" spans="1:20" ht="15" customHeight="1">
      <c r="A17" s="360"/>
      <c r="B17" s="361"/>
      <c r="C17" s="321" t="s">
        <v>24</v>
      </c>
      <c r="D17" s="297"/>
      <c r="E17" s="322">
        <v>1</v>
      </c>
      <c r="F17" s="319" t="s">
        <v>35</v>
      </c>
      <c r="G17" s="298">
        <v>2</v>
      </c>
      <c r="H17" s="320">
        <v>2</v>
      </c>
      <c r="I17" s="35"/>
      <c r="J17" s="271"/>
      <c r="K17" s="271"/>
      <c r="S17" s="271"/>
      <c r="T17" s="271"/>
    </row>
    <row r="18" spans="1:20" ht="15" customHeight="1">
      <c r="A18" s="360"/>
      <c r="B18" s="361"/>
      <c r="C18" s="261" t="s">
        <v>36</v>
      </c>
      <c r="D18" s="112">
        <v>2</v>
      </c>
      <c r="E18" s="62">
        <v>2</v>
      </c>
      <c r="F18" s="189" t="s">
        <v>33</v>
      </c>
      <c r="G18" s="69">
        <v>2</v>
      </c>
      <c r="H18" s="194">
        <v>2</v>
      </c>
      <c r="I18" s="35"/>
      <c r="J18" s="271"/>
      <c r="K18" s="271"/>
      <c r="S18" s="271"/>
      <c r="T18" s="271"/>
    </row>
    <row r="19" spans="1:20" ht="15" customHeight="1">
      <c r="A19" s="360"/>
      <c r="B19" s="361"/>
      <c r="C19" s="261" t="s">
        <v>37</v>
      </c>
      <c r="D19" s="112"/>
      <c r="E19" s="62">
        <v>2</v>
      </c>
      <c r="F19" s="197" t="s">
        <v>67</v>
      </c>
      <c r="G19" s="69">
        <v>2</v>
      </c>
      <c r="H19" s="194">
        <v>2</v>
      </c>
      <c r="I19" s="35"/>
      <c r="J19" s="271"/>
      <c r="K19" s="271"/>
      <c r="S19" s="271"/>
      <c r="T19" s="271"/>
    </row>
    <row r="20" spans="1:20" ht="15" customHeight="1">
      <c r="A20" s="360"/>
      <c r="B20" s="361"/>
      <c r="C20" s="261" t="s">
        <v>41</v>
      </c>
      <c r="D20" s="112"/>
      <c r="E20" s="62">
        <v>2</v>
      </c>
      <c r="F20" s="189" t="s">
        <v>27</v>
      </c>
      <c r="G20" s="69">
        <v>2</v>
      </c>
      <c r="H20" s="70">
        <v>2</v>
      </c>
      <c r="I20" s="35"/>
      <c r="J20" s="271"/>
      <c r="K20" s="271"/>
      <c r="S20" s="271"/>
      <c r="T20" s="271"/>
    </row>
    <row r="21" spans="1:20" ht="15" customHeight="1">
      <c r="A21" s="239" t="s">
        <v>14</v>
      </c>
      <c r="B21" s="240" t="s">
        <v>43</v>
      </c>
      <c r="C21" s="261" t="s">
        <v>176</v>
      </c>
      <c r="D21" s="112">
        <v>2</v>
      </c>
      <c r="E21" s="242">
        <v>2</v>
      </c>
      <c r="F21" s="189" t="s">
        <v>1</v>
      </c>
      <c r="G21" s="69">
        <v>2</v>
      </c>
      <c r="H21" s="70">
        <v>2</v>
      </c>
      <c r="I21" s="35"/>
      <c r="J21" s="271"/>
      <c r="K21" s="271"/>
      <c r="S21" s="271"/>
      <c r="T21" s="271"/>
    </row>
    <row r="22" spans="1:20" ht="15" customHeight="1">
      <c r="A22" s="239" t="s">
        <v>15</v>
      </c>
      <c r="B22" s="240" t="s">
        <v>44</v>
      </c>
      <c r="C22" s="197" t="s">
        <v>5</v>
      </c>
      <c r="D22" s="113"/>
      <c r="E22" s="196">
        <v>1</v>
      </c>
      <c r="F22" s="189" t="s">
        <v>86</v>
      </c>
      <c r="G22" s="69">
        <v>2</v>
      </c>
      <c r="H22" s="70">
        <v>2</v>
      </c>
      <c r="I22" s="35"/>
      <c r="J22" s="271"/>
      <c r="K22" s="271"/>
      <c r="S22" s="271"/>
      <c r="T22" s="271"/>
    </row>
    <row r="23" spans="1:20" ht="15" customHeight="1">
      <c r="A23" s="498"/>
      <c r="B23" s="499"/>
      <c r="C23" s="189" t="s">
        <v>139</v>
      </c>
      <c r="D23" s="113"/>
      <c r="E23" s="196">
        <v>2</v>
      </c>
      <c r="F23" s="189" t="s">
        <v>87</v>
      </c>
      <c r="G23" s="190">
        <v>2</v>
      </c>
      <c r="H23" s="70">
        <v>2</v>
      </c>
      <c r="I23" s="35"/>
      <c r="J23" s="271"/>
      <c r="K23" s="271"/>
      <c r="S23" s="271"/>
      <c r="T23" s="271"/>
    </row>
    <row r="24" spans="1:20" ht="15" customHeight="1">
      <c r="A24" s="498"/>
      <c r="B24" s="499"/>
      <c r="C24" s="197" t="s">
        <v>42</v>
      </c>
      <c r="D24" s="112"/>
      <c r="E24" s="194">
        <v>2</v>
      </c>
      <c r="F24" s="189" t="s">
        <v>140</v>
      </c>
      <c r="G24" s="190">
        <v>2</v>
      </c>
      <c r="H24" s="70">
        <v>2</v>
      </c>
      <c r="I24" s="35"/>
      <c r="J24" s="271"/>
      <c r="K24" s="271"/>
      <c r="S24" s="271"/>
      <c r="T24" s="271"/>
    </row>
    <row r="25" spans="1:20" ht="15" customHeight="1">
      <c r="A25" s="500"/>
      <c r="B25" s="501"/>
      <c r="C25" s="191" t="s">
        <v>31</v>
      </c>
      <c r="D25" s="267">
        <v>2</v>
      </c>
      <c r="E25" s="323">
        <v>2</v>
      </c>
      <c r="F25" s="191"/>
      <c r="G25" s="188"/>
      <c r="H25" s="71"/>
      <c r="I25" s="35"/>
      <c r="J25" s="271"/>
      <c r="K25" s="271"/>
      <c r="S25" s="271"/>
      <c r="T25" s="271"/>
    </row>
    <row r="26" spans="1:20" ht="5.0999999999999996" customHeight="1">
      <c r="A26" s="271"/>
      <c r="B26" s="35"/>
      <c r="C26" s="35"/>
      <c r="D26" s="35"/>
      <c r="E26" s="35"/>
      <c r="F26" s="35"/>
      <c r="G26" s="35"/>
      <c r="H26" s="35"/>
      <c r="I26" s="276"/>
      <c r="J26" s="271"/>
      <c r="K26" s="271"/>
      <c r="S26" s="271"/>
      <c r="T26" s="271"/>
    </row>
    <row r="27" spans="1:20" ht="18.95" customHeight="1">
      <c r="A27" s="313" t="s">
        <v>241</v>
      </c>
      <c r="B27" s="312"/>
      <c r="C27" s="312"/>
      <c r="D27" s="312"/>
      <c r="E27" s="312"/>
      <c r="F27" s="312"/>
      <c r="G27" s="312"/>
      <c r="H27" s="334"/>
      <c r="I27" s="221"/>
      <c r="J27" s="271"/>
      <c r="K27" s="271"/>
      <c r="S27" s="271"/>
      <c r="T27" s="271"/>
    </row>
    <row r="28" spans="1:20" ht="5.0999999999999996" customHeight="1">
      <c r="A28" s="271"/>
      <c r="B28" s="35"/>
      <c r="C28" s="35"/>
      <c r="D28" s="35"/>
      <c r="E28" s="35"/>
      <c r="F28" s="35"/>
      <c r="G28" s="35"/>
      <c r="H28" s="35"/>
      <c r="I28" s="276"/>
      <c r="J28" s="271"/>
      <c r="K28" s="271"/>
      <c r="S28" s="271"/>
      <c r="T28" s="271"/>
    </row>
    <row r="29" spans="1:20" ht="18.95" customHeight="1">
      <c r="A29" s="313" t="s">
        <v>244</v>
      </c>
      <c r="B29" s="312"/>
      <c r="C29" s="638" t="str">
        <f>IF(H14="","",(INDEX(Produtos,MATCH(H14,Ordem,0),2)))</f>
        <v>Cota de Ingressos - Tx.Ser. - Valor Fixo Sobre Venda  nos Canais Externos</v>
      </c>
      <c r="D29" s="637"/>
      <c r="E29" s="637"/>
      <c r="F29" s="637"/>
      <c r="G29" s="637"/>
      <c r="H29" s="334"/>
      <c r="I29" s="221"/>
      <c r="J29" s="271"/>
      <c r="K29" s="271"/>
      <c r="S29" s="271"/>
      <c r="T29" s="271"/>
    </row>
    <row r="30" spans="1:20" ht="15" customHeight="1">
      <c r="A30" s="270" t="s">
        <v>211</v>
      </c>
      <c r="B30" s="503">
        <f>IF(H14="","",(INDEX(Resultado_Dados,MATCH(H14,Resultado_Ordem,0),2)))</f>
        <v>209418.696</v>
      </c>
      <c r="C30" s="270" t="s">
        <v>212</v>
      </c>
      <c r="D30" s="503">
        <f>IF(H14="","",(INDEX(Resultado_Dados,MATCH(H14,Resultado_Ordem,0),3)))</f>
        <v>48276</v>
      </c>
      <c r="E30" s="270" t="s">
        <v>213</v>
      </c>
      <c r="F30" s="503">
        <f>IF(H14="","",(INDEX(Resultado_Dados,MATCH(H14,Resultado_Ordem,0),4)))</f>
        <v>161142.696</v>
      </c>
      <c r="G30" s="270" t="s">
        <v>219</v>
      </c>
      <c r="H30" s="504">
        <f>IF(H14="","",(INDEX(Resultado_Dados,MATCH(H14,Resultado_Ordem,0),5)))</f>
        <v>573.02324999999996</v>
      </c>
      <c r="I30" s="276"/>
      <c r="J30" s="271"/>
      <c r="K30" s="271"/>
      <c r="S30" s="271"/>
      <c r="T30" s="271"/>
    </row>
    <row r="31" spans="1:20" ht="5.0999999999999996" customHeight="1">
      <c r="A31" s="271"/>
      <c r="B31" s="35"/>
      <c r="C31" s="35"/>
      <c r="D31" s="35"/>
      <c r="E31" s="35"/>
      <c r="F31" s="35"/>
      <c r="G31" s="35"/>
      <c r="H31" s="35"/>
      <c r="I31" s="276"/>
      <c r="J31" s="271"/>
      <c r="K31" s="271"/>
      <c r="S31" s="271"/>
      <c r="T31" s="271"/>
    </row>
    <row r="32" spans="1:20" ht="18.95" customHeight="1">
      <c r="A32" s="313" t="s">
        <v>243</v>
      </c>
      <c r="B32" s="312"/>
      <c r="C32" s="312"/>
      <c r="D32" s="312"/>
      <c r="E32" s="312"/>
      <c r="F32" s="312"/>
      <c r="G32" s="312"/>
      <c r="H32" s="511">
        <v>1</v>
      </c>
      <c r="I32" s="221"/>
      <c r="J32" s="271"/>
      <c r="K32" s="271"/>
      <c r="S32" s="271"/>
      <c r="T32" s="271"/>
    </row>
    <row r="33" spans="1:20" ht="15" customHeight="1">
      <c r="A33" s="270" t="s">
        <v>211</v>
      </c>
      <c r="B33" s="503">
        <f>IF(H32="","",(INDEX(Resultado_Dados,MATCH(H32,Resultado_Ordem,0),2)))</f>
        <v>32709.096000000001</v>
      </c>
      <c r="C33" s="270" t="s">
        <v>212</v>
      </c>
      <c r="D33" s="503">
        <f>IF(H32="","",(INDEX(Resultado_Dados,MATCH(H32,Resultado_Ordem,0),3)))</f>
        <v>20886.011999999999</v>
      </c>
      <c r="E33" s="270" t="s">
        <v>213</v>
      </c>
      <c r="F33" s="503">
        <f>IF(H32="","",(INDEX(Resultado_Dados,MATCH(H32,Resultado_Ordem,0),4)))</f>
        <v>11823.084000000003</v>
      </c>
      <c r="G33" s="270" t="s">
        <v>219</v>
      </c>
      <c r="H33" s="504">
        <f>IF(H32="","",(INDEX(Resultado_Dados,MATCH(H32,Resultado_Ordem,0),5)))</f>
        <v>41.052375000000012</v>
      </c>
      <c r="I33" s="276"/>
      <c r="J33" s="271"/>
      <c r="K33" s="271"/>
      <c r="S33" s="271"/>
      <c r="T33" s="271"/>
    </row>
    <row r="34" spans="1:20">
      <c r="A34" s="355" t="s">
        <v>242</v>
      </c>
      <c r="B34" s="356"/>
      <c r="C34" s="356"/>
      <c r="D34" s="356"/>
      <c r="E34" s="356"/>
      <c r="F34" s="356"/>
      <c r="G34" s="356"/>
      <c r="H34" s="357"/>
      <c r="I34" s="271"/>
      <c r="J34" s="271"/>
      <c r="K34" s="271"/>
      <c r="S34" s="271"/>
      <c r="T34" s="271"/>
    </row>
    <row r="35" spans="1:20">
      <c r="A35" s="349"/>
      <c r="B35" s="350"/>
      <c r="C35" s="350"/>
      <c r="D35" s="350"/>
      <c r="E35" s="350"/>
      <c r="F35" s="350"/>
      <c r="G35" s="350"/>
      <c r="H35" s="351"/>
      <c r="S35" s="271"/>
      <c r="T35" s="271"/>
    </row>
    <row r="36" spans="1:20">
      <c r="A36" s="352"/>
      <c r="B36" s="353"/>
      <c r="C36" s="353"/>
      <c r="D36" s="353"/>
      <c r="E36" s="353"/>
      <c r="F36" s="353"/>
      <c r="G36" s="353"/>
      <c r="H36" s="354"/>
      <c r="S36" s="271"/>
      <c r="T36" s="271"/>
    </row>
    <row r="37" spans="1:20">
      <c r="A37" s="307" t="s">
        <v>253</v>
      </c>
      <c r="B37" s="672" t="str">
        <f>IF(H30=H33,"","Requer o preenchimento da Justificativa; impressão e coleta das aoprovações dos Diretores responsáveis")</f>
        <v>Requer o preenchimento da Justificativa; impressão e coleta das aoprovações dos Diretores responsáveis</v>
      </c>
      <c r="C37" s="276"/>
      <c r="D37" s="276"/>
      <c r="E37" s="276"/>
      <c r="F37" s="276"/>
      <c r="G37" s="276"/>
      <c r="H37" s="276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</row>
    <row r="38" spans="1:20">
      <c r="A38" s="271"/>
      <c r="B38" s="276"/>
      <c r="C38" s="276"/>
      <c r="D38" s="276"/>
      <c r="E38" s="276"/>
      <c r="F38" s="276"/>
      <c r="G38" s="276"/>
      <c r="H38" s="276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</row>
    <row r="39" spans="1:20">
      <c r="A39" s="271"/>
      <c r="B39" s="276"/>
      <c r="C39" s="276"/>
      <c r="D39" s="276"/>
      <c r="E39" s="276"/>
      <c r="F39" s="276"/>
      <c r="G39" s="276"/>
      <c r="H39" s="276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</row>
    <row r="40" spans="1:20">
      <c r="A40" s="271"/>
      <c r="B40" s="276"/>
      <c r="C40" s="276"/>
      <c r="D40" s="276"/>
      <c r="E40" s="276"/>
      <c r="F40" s="276"/>
      <c r="G40" s="276"/>
      <c r="H40" s="276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</row>
    <row r="41" spans="1:20">
      <c r="A41" s="271"/>
      <c r="B41" s="276"/>
      <c r="C41" s="276"/>
      <c r="D41" s="276"/>
      <c r="E41" s="276"/>
      <c r="F41" s="276"/>
      <c r="G41" s="276"/>
      <c r="H41" s="276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</row>
    <row r="42" spans="1:20">
      <c r="A42" s="271"/>
      <c r="B42" s="276"/>
      <c r="C42" s="276"/>
      <c r="D42" s="276"/>
      <c r="E42" s="276"/>
      <c r="F42" s="276"/>
      <c r="G42" s="276"/>
      <c r="H42" s="276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</row>
  </sheetData>
  <mergeCells count="6">
    <mergeCell ref="B3:D3"/>
    <mergeCell ref="E3:H3"/>
    <mergeCell ref="A35:H36"/>
    <mergeCell ref="A34:H34"/>
    <mergeCell ref="A13:A14"/>
    <mergeCell ref="A16:B20"/>
  </mergeCells>
  <conditionalFormatting sqref="B7:H8">
    <cfRule type="cellIs" dxfId="0" priority="10" operator="equal">
      <formula>$J$2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"/>
  <dimension ref="A1:ADZ245"/>
  <sheetViews>
    <sheetView topLeftCell="N12" zoomScale="80" zoomScaleNormal="80" workbookViewId="0">
      <selection activeCell="R29" sqref="R29"/>
    </sheetView>
  </sheetViews>
  <sheetFormatPr defaultRowHeight="15" outlineLevelRow="1"/>
  <cols>
    <col min="1" max="1" width="3.85546875" style="101" customWidth="1"/>
    <col min="2" max="2" width="22" style="29" customWidth="1"/>
    <col min="3" max="3" width="12.42578125" style="29" bestFit="1" customWidth="1"/>
    <col min="4" max="4" width="0.85546875" style="29" customWidth="1"/>
    <col min="5" max="5" width="20.7109375" style="29" customWidth="1"/>
    <col min="6" max="6" width="22.42578125" style="29" customWidth="1"/>
    <col min="7" max="7" width="21.42578125" style="29" customWidth="1"/>
    <col min="8" max="8" width="0.85546875" style="29" customWidth="1"/>
    <col min="9" max="9" width="20.7109375" style="29" customWidth="1"/>
    <col min="10" max="10" width="22.42578125" style="29" customWidth="1"/>
    <col min="11" max="11" width="21.42578125" style="29" customWidth="1"/>
    <col min="12" max="12" width="0.85546875" style="29" customWidth="1"/>
    <col min="13" max="13" width="20.7109375" style="29" customWidth="1"/>
    <col min="14" max="14" width="22.42578125" style="29" customWidth="1"/>
    <col min="15" max="15" width="21.42578125" style="29" customWidth="1"/>
    <col min="16" max="16" width="0.85546875" style="29" customWidth="1"/>
    <col min="17" max="17" width="20.7109375" style="29" customWidth="1"/>
    <col min="18" max="18" width="22.42578125" style="29" customWidth="1"/>
    <col min="19" max="19" width="21.42578125" style="29" customWidth="1"/>
    <col min="20" max="20" width="0.85546875" style="29" customWidth="1"/>
    <col min="21" max="21" width="20.7109375" style="29" customWidth="1"/>
    <col min="22" max="22" width="22.42578125" style="29" customWidth="1"/>
    <col min="23" max="23" width="21.42578125" style="29" customWidth="1"/>
    <col min="24" max="24" width="0.85546875" style="29" customWidth="1"/>
    <col min="25" max="25" width="20.7109375" style="29" customWidth="1"/>
    <col min="26" max="27" width="21.42578125" style="29" customWidth="1"/>
    <col min="28" max="28" width="0.85546875" style="29" customWidth="1"/>
    <col min="29" max="29" width="20.7109375" style="29" customWidth="1"/>
    <col min="30" max="30" width="22.5703125" style="29" customWidth="1"/>
    <col min="31" max="31" width="21.42578125" style="29" customWidth="1"/>
    <col min="32" max="32" width="9.140625" style="257"/>
    <col min="33" max="16384" width="9.140625" style="29"/>
  </cols>
  <sheetData>
    <row r="1" spans="1:33" s="26" customFormat="1" ht="26.25">
      <c r="A1" s="25"/>
      <c r="B1" s="376" t="s">
        <v>53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7"/>
      <c r="AF1" s="247"/>
    </row>
    <row r="2" spans="1:33" ht="5.0999999999999996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48"/>
    </row>
    <row r="3" spans="1:33" s="6" customFormat="1" ht="24.75" customHeight="1" outlineLevel="1">
      <c r="A3" s="4"/>
      <c r="B3" s="414" t="s">
        <v>92</v>
      </c>
      <c r="C3" s="415"/>
      <c r="D3" s="5"/>
      <c r="E3" s="396" t="s">
        <v>22</v>
      </c>
      <c r="F3" s="397"/>
      <c r="G3" s="398"/>
      <c r="H3" s="5"/>
      <c r="I3" s="396" t="s">
        <v>21</v>
      </c>
      <c r="J3" s="397"/>
      <c r="K3" s="398"/>
      <c r="L3" s="5"/>
      <c r="M3" s="396" t="s">
        <v>38</v>
      </c>
      <c r="N3" s="397"/>
      <c r="O3" s="398"/>
      <c r="P3" s="5"/>
      <c r="Q3" s="393" t="s">
        <v>13</v>
      </c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5"/>
      <c r="AF3" s="249"/>
    </row>
    <row r="4" spans="1:33" s="41" customFormat="1" ht="15" customHeight="1" outlineLevel="1">
      <c r="A4" s="30"/>
      <c r="B4" s="416"/>
      <c r="C4" s="417"/>
      <c r="D4" s="31"/>
      <c r="E4" s="420" t="s">
        <v>26</v>
      </c>
      <c r="F4" s="421"/>
      <c r="G4" s="32">
        <f>Parâmetros!D7</f>
        <v>300</v>
      </c>
      <c r="H4" s="31"/>
      <c r="I4" s="390" t="s">
        <v>16</v>
      </c>
      <c r="J4" s="391"/>
      <c r="K4" s="33">
        <f>Parâmetros!D13</f>
        <v>0.7</v>
      </c>
      <c r="L4" s="31"/>
      <c r="M4" s="34">
        <f>Parâmetros!L13</f>
        <v>0.7</v>
      </c>
      <c r="N4" s="35" t="s">
        <v>2</v>
      </c>
      <c r="O4" s="111">
        <f>M4*$G$6</f>
        <v>105</v>
      </c>
      <c r="P4" s="31"/>
      <c r="Q4" s="390" t="s">
        <v>74</v>
      </c>
      <c r="R4" s="391"/>
      <c r="S4" s="43">
        <f>Parâmetros!D18</f>
        <v>0.2</v>
      </c>
      <c r="T4" s="37"/>
      <c r="U4" s="38" t="s">
        <v>77</v>
      </c>
      <c r="V4" s="39">
        <f>(W4/$G$9)*AG5</f>
        <v>416.66666666666669</v>
      </c>
      <c r="W4" s="40">
        <f>Parâmetros!I16</f>
        <v>10000</v>
      </c>
      <c r="X4" s="37"/>
      <c r="Y4" s="116" t="s">
        <v>81</v>
      </c>
      <c r="Z4" s="134"/>
      <c r="AA4" s="135">
        <f>Parâmetros!I9</f>
        <v>150</v>
      </c>
      <c r="AB4" s="37"/>
      <c r="AC4" s="243" t="s">
        <v>183</v>
      </c>
      <c r="AD4" s="134"/>
      <c r="AE4" s="244"/>
      <c r="AF4" s="31"/>
    </row>
    <row r="5" spans="1:33" s="41" customFormat="1" ht="15" customHeight="1" outlineLevel="1">
      <c r="A5" s="30"/>
      <c r="B5" s="416"/>
      <c r="C5" s="417"/>
      <c r="D5" s="31"/>
      <c r="E5" s="422" t="s">
        <v>45</v>
      </c>
      <c r="F5" s="423"/>
      <c r="G5" s="42">
        <f>Parâmetros!D8</f>
        <v>14</v>
      </c>
      <c r="H5" s="31"/>
      <c r="I5" s="390" t="s">
        <v>17</v>
      </c>
      <c r="J5" s="391"/>
      <c r="K5" s="33">
        <f>Parâmetros!D14</f>
        <v>0.5</v>
      </c>
      <c r="L5" s="31"/>
      <c r="M5" s="34">
        <f>Parâmetros!L14</f>
        <v>0.27</v>
      </c>
      <c r="N5" s="35" t="s">
        <v>4</v>
      </c>
      <c r="O5" s="111">
        <f t="shared" ref="O5:O10" si="0">M5*$G$6</f>
        <v>40.5</v>
      </c>
      <c r="P5" s="31"/>
      <c r="Q5" s="390" t="s">
        <v>19</v>
      </c>
      <c r="R5" s="391"/>
      <c r="S5" s="43">
        <f>Parâmetros!D27</f>
        <v>0.05</v>
      </c>
      <c r="T5" s="37"/>
      <c r="U5" s="38" t="s">
        <v>31</v>
      </c>
      <c r="V5" s="39">
        <f t="shared" ref="V5:V11" si="1">(W5/$G$9)*AG6</f>
        <v>2.7777777777777781</v>
      </c>
      <c r="W5" s="40">
        <f>Parâmetros!I17</f>
        <v>66.666666666666671</v>
      </c>
      <c r="X5" s="37"/>
      <c r="Y5" s="47" t="s">
        <v>89</v>
      </c>
      <c r="Z5" s="35"/>
      <c r="AA5" s="326">
        <f>Parâmetros!I8</f>
        <v>2</v>
      </c>
      <c r="AB5" s="37"/>
      <c r="AC5" s="47" t="s">
        <v>166</v>
      </c>
      <c r="AD5" s="39">
        <f>(AE5/$G$9)*AF5</f>
        <v>41.666666666666664</v>
      </c>
      <c r="AE5" s="40">
        <f>Parâmetros!O23</f>
        <v>1000</v>
      </c>
      <c r="AF5" s="30">
        <f>Parâmetros!L23</f>
        <v>1</v>
      </c>
      <c r="AG5" s="264">
        <f>Parâmetros!J16</f>
        <v>1</v>
      </c>
    </row>
    <row r="6" spans="1:33" s="41" customFormat="1" ht="15" customHeight="1" outlineLevel="1">
      <c r="A6" s="30"/>
      <c r="B6" s="416"/>
      <c r="C6" s="417"/>
      <c r="D6" s="31"/>
      <c r="E6" s="422" t="s">
        <v>46</v>
      </c>
      <c r="F6" s="423"/>
      <c r="G6" s="44">
        <f>IF(J8="",(G4*K5),(G4*K5)-J8)</f>
        <v>150</v>
      </c>
      <c r="H6" s="31"/>
      <c r="I6" s="390" t="s">
        <v>55</v>
      </c>
      <c r="J6" s="391"/>
      <c r="K6" s="45">
        <f>Parâmetros!O7</f>
        <v>0.7</v>
      </c>
      <c r="L6" s="31"/>
      <c r="M6" s="34">
        <f>Parâmetros!L16</f>
        <v>0.01</v>
      </c>
      <c r="N6" s="35" t="s">
        <v>3</v>
      </c>
      <c r="O6" s="111">
        <f t="shared" si="0"/>
        <v>1.5</v>
      </c>
      <c r="P6" s="31"/>
      <c r="Q6" s="390" t="s">
        <v>61</v>
      </c>
      <c r="R6" s="391"/>
      <c r="S6" s="46">
        <f>Parâmetros!D22</f>
        <v>3.5000000000000003E-2</v>
      </c>
      <c r="T6" s="37"/>
      <c r="U6" s="38" t="s">
        <v>35</v>
      </c>
      <c r="V6" s="39">
        <f t="shared" si="1"/>
        <v>4.8611111111111116</v>
      </c>
      <c r="W6" s="40">
        <f>Parâmetros!I18</f>
        <v>116.66666666666667</v>
      </c>
      <c r="X6" s="37"/>
      <c r="Y6" s="53" t="s">
        <v>85</v>
      </c>
      <c r="Z6" s="57"/>
      <c r="AA6" s="136">
        <f>AA4*AA5</f>
        <v>300</v>
      </c>
      <c r="AB6" s="37"/>
      <c r="AC6" s="47" t="s">
        <v>167</v>
      </c>
      <c r="AD6" s="39">
        <f>(AE6/$G$9)*AF6</f>
        <v>83.333333333333329</v>
      </c>
      <c r="AE6" s="40">
        <f>Parâmetros!O24</f>
        <v>1000</v>
      </c>
      <c r="AF6" s="30">
        <f>Parâmetros!L24</f>
        <v>2</v>
      </c>
      <c r="AG6" s="264">
        <f>Parâmetros!J17</f>
        <v>1</v>
      </c>
    </row>
    <row r="7" spans="1:33" s="41" customFormat="1" ht="15" customHeight="1" outlineLevel="1">
      <c r="A7" s="30"/>
      <c r="B7" s="416"/>
      <c r="C7" s="417"/>
      <c r="D7" s="31"/>
      <c r="E7" s="422" t="s">
        <v>79</v>
      </c>
      <c r="F7" s="423"/>
      <c r="G7" s="108">
        <f>Parâmetros!D9</f>
        <v>6</v>
      </c>
      <c r="H7" s="31"/>
      <c r="I7" s="390" t="s">
        <v>56</v>
      </c>
      <c r="J7" s="391"/>
      <c r="K7" s="45">
        <f>Parâmetros!O8</f>
        <v>0.2</v>
      </c>
      <c r="L7" s="31"/>
      <c r="M7" s="34">
        <f>Parâmetros!L17</f>
        <v>0.01</v>
      </c>
      <c r="N7" s="35" t="s">
        <v>28</v>
      </c>
      <c r="O7" s="111">
        <f t="shared" si="0"/>
        <v>1.5</v>
      </c>
      <c r="P7" s="31"/>
      <c r="Q7" s="390" t="s">
        <v>62</v>
      </c>
      <c r="R7" s="391"/>
      <c r="S7" s="46">
        <f>Parâmetros!D23</f>
        <v>2.5000000000000001E-2</v>
      </c>
      <c r="T7" s="37"/>
      <c r="U7" s="38" t="s">
        <v>33</v>
      </c>
      <c r="V7" s="39">
        <f t="shared" si="1"/>
        <v>4.166666666666667</v>
      </c>
      <c r="W7" s="40">
        <f>Parâmetros!I19</f>
        <v>100</v>
      </c>
      <c r="X7" s="37"/>
      <c r="Y7" s="116" t="s">
        <v>82</v>
      </c>
      <c r="Z7" s="134"/>
      <c r="AA7" s="135">
        <f>Parâmetros!I13</f>
        <v>150</v>
      </c>
      <c r="AB7" s="37"/>
      <c r="AC7" s="47" t="s">
        <v>163</v>
      </c>
      <c r="AD7" s="39">
        <f t="shared" ref="AD7:AD9" si="2">(AE7/$G$9)*AF7</f>
        <v>166.66666666666666</v>
      </c>
      <c r="AE7" s="40">
        <f>Parâmetros!O25</f>
        <v>1000</v>
      </c>
      <c r="AF7" s="30">
        <f>Parâmetros!L25</f>
        <v>4</v>
      </c>
      <c r="AG7" s="264">
        <f>Parâmetros!J18</f>
        <v>1</v>
      </c>
    </row>
    <row r="8" spans="1:33" s="41" customFormat="1" ht="15" customHeight="1" outlineLevel="1">
      <c r="A8" s="30"/>
      <c r="B8" s="416"/>
      <c r="C8" s="417"/>
      <c r="D8" s="31"/>
      <c r="E8" s="47" t="s">
        <v>78</v>
      </c>
      <c r="F8" s="35"/>
      <c r="G8" s="110">
        <f>Parâmetros!D10</f>
        <v>2</v>
      </c>
      <c r="H8" s="31"/>
      <c r="I8" s="47" t="s">
        <v>30</v>
      </c>
      <c r="J8" s="48" t="str">
        <f>IF(K8=0%,"",K8*G4)</f>
        <v/>
      </c>
      <c r="K8" s="45">
        <f>Parâmetros!D16</f>
        <v>0</v>
      </c>
      <c r="L8" s="31"/>
      <c r="M8" s="34">
        <f>Parâmetros!L18</f>
        <v>0.01</v>
      </c>
      <c r="N8" s="35" t="s">
        <v>29</v>
      </c>
      <c r="O8" s="111">
        <f>M8*$G$6</f>
        <v>1.5</v>
      </c>
      <c r="P8" s="31"/>
      <c r="Q8" s="390" t="s">
        <v>75</v>
      </c>
      <c r="R8" s="391"/>
      <c r="S8" s="46">
        <f>Parâmetros!D24</f>
        <v>3.5000000000000003E-2</v>
      </c>
      <c r="T8" s="37"/>
      <c r="U8" s="47" t="s">
        <v>67</v>
      </c>
      <c r="V8" s="39">
        <f t="shared" si="1"/>
        <v>5</v>
      </c>
      <c r="W8" s="40">
        <f>Parâmetros!I20</f>
        <v>120</v>
      </c>
      <c r="X8" s="37"/>
      <c r="Y8" s="47" t="s">
        <v>83</v>
      </c>
      <c r="Z8" s="35"/>
      <c r="AA8" s="108">
        <f>Parâmetros!I12</f>
        <v>2</v>
      </c>
      <c r="AB8" s="37"/>
      <c r="AC8" s="47" t="s">
        <v>182</v>
      </c>
      <c r="AD8" s="39">
        <f t="shared" si="2"/>
        <v>83.333333333333329</v>
      </c>
      <c r="AE8" s="40">
        <f>Parâmetros!O26</f>
        <v>1000</v>
      </c>
      <c r="AF8" s="30">
        <f>Parâmetros!L26</f>
        <v>2</v>
      </c>
      <c r="AG8" s="264">
        <f>Parâmetros!J19</f>
        <v>1</v>
      </c>
    </row>
    <row r="9" spans="1:33" s="41" customFormat="1" ht="15" customHeight="1" outlineLevel="1">
      <c r="A9" s="30"/>
      <c r="B9" s="416"/>
      <c r="C9" s="417"/>
      <c r="D9" s="31"/>
      <c r="E9" s="422" t="s">
        <v>127</v>
      </c>
      <c r="F9" s="423"/>
      <c r="G9" s="137">
        <f>IF(G8=1,G7,G7*4)</f>
        <v>24</v>
      </c>
      <c r="H9" s="31"/>
      <c r="I9" s="47" t="s">
        <v>57</v>
      </c>
      <c r="J9" s="50"/>
      <c r="K9" s="45">
        <f>Parâmetros!D17</f>
        <v>0.5</v>
      </c>
      <c r="L9" s="31"/>
      <c r="M9" s="34">
        <f>Parâmetros!L19</f>
        <v>0</v>
      </c>
      <c r="N9" s="35"/>
      <c r="O9" s="111">
        <f t="shared" si="0"/>
        <v>0</v>
      </c>
      <c r="P9" s="31"/>
      <c r="Q9" s="38" t="s">
        <v>76</v>
      </c>
      <c r="R9" s="51"/>
      <c r="S9" s="46">
        <f>Parâmetros!D25</f>
        <v>3.5000000000000003E-2</v>
      </c>
      <c r="T9" s="37"/>
      <c r="U9" s="47" t="s">
        <v>27</v>
      </c>
      <c r="V9" s="39">
        <f t="shared" si="1"/>
        <v>4.166666666666667</v>
      </c>
      <c r="W9" s="40">
        <f>Parâmetros!I21</f>
        <v>100</v>
      </c>
      <c r="X9" s="37"/>
      <c r="Y9" s="53" t="s">
        <v>84</v>
      </c>
      <c r="Z9" s="57"/>
      <c r="AA9" s="136">
        <f>Parâmetros!I14</f>
        <v>300</v>
      </c>
      <c r="AB9" s="37"/>
      <c r="AC9" s="47" t="s">
        <v>165</v>
      </c>
      <c r="AD9" s="39">
        <f t="shared" si="2"/>
        <v>125</v>
      </c>
      <c r="AE9" s="40">
        <f>Parâmetros!O27</f>
        <v>1000</v>
      </c>
      <c r="AF9" s="30">
        <f>Parâmetros!L27</f>
        <v>3</v>
      </c>
      <c r="AG9" s="264">
        <f>Parâmetros!J20</f>
        <v>1</v>
      </c>
    </row>
    <row r="10" spans="1:33" s="41" customFormat="1" ht="15" customHeight="1" outlineLevel="1">
      <c r="A10" s="30"/>
      <c r="B10" s="416"/>
      <c r="C10" s="417"/>
      <c r="D10" s="31"/>
      <c r="E10" s="47" t="s">
        <v>73</v>
      </c>
      <c r="F10" s="49"/>
      <c r="G10" s="138">
        <f>Parâmetros!D12</f>
        <v>2</v>
      </c>
      <c r="H10" s="31"/>
      <c r="I10" s="47" t="s">
        <v>54</v>
      </c>
      <c r="J10" s="50"/>
      <c r="K10" s="45">
        <f>Parâmetros!O9</f>
        <v>0.2</v>
      </c>
      <c r="L10" s="31"/>
      <c r="M10" s="34">
        <f>Parâmetros!L20</f>
        <v>0</v>
      </c>
      <c r="N10" s="35"/>
      <c r="O10" s="111">
        <f t="shared" si="0"/>
        <v>0</v>
      </c>
      <c r="P10" s="31"/>
      <c r="Q10" s="38" t="s">
        <v>6</v>
      </c>
      <c r="R10" s="51"/>
      <c r="S10" s="43">
        <f>Parâmetros!D26</f>
        <v>1.5</v>
      </c>
      <c r="T10" s="37"/>
      <c r="U10" s="47" t="s">
        <v>1</v>
      </c>
      <c r="V10" s="39">
        <f t="shared" si="1"/>
        <v>131.25</v>
      </c>
      <c r="W10" s="40">
        <f>Parâmetros!I22</f>
        <v>3150</v>
      </c>
      <c r="X10" s="37"/>
      <c r="Y10" s="155" t="s">
        <v>140</v>
      </c>
      <c r="Z10" s="39">
        <f>(AA10/$G$9)*AG13</f>
        <v>41.666666666666664</v>
      </c>
      <c r="AA10" s="40">
        <f>Parâmetros!I24</f>
        <v>1000</v>
      </c>
      <c r="AB10" s="37"/>
      <c r="AC10" s="47"/>
      <c r="AD10" s="35"/>
      <c r="AE10" s="42"/>
      <c r="AF10" s="31"/>
      <c r="AG10" s="264">
        <f>Parâmetros!J21</f>
        <v>1</v>
      </c>
    </row>
    <row r="11" spans="1:33" s="41" customFormat="1" ht="15" customHeight="1" outlineLevel="1">
      <c r="A11" s="30"/>
      <c r="B11" s="418"/>
      <c r="C11" s="419"/>
      <c r="D11" s="31"/>
      <c r="E11" s="106" t="s">
        <v>48</v>
      </c>
      <c r="F11" s="107"/>
      <c r="G11" s="109">
        <f>IF(OR(G10="",G10=0),G6,G6/G10)</f>
        <v>75</v>
      </c>
      <c r="H11" s="31"/>
      <c r="I11" s="53" t="s">
        <v>186</v>
      </c>
      <c r="J11" s="259">
        <f>Parâmetros!N10</f>
        <v>0.1</v>
      </c>
      <c r="K11" s="54">
        <f>Parâmetros!O10</f>
        <v>0.12</v>
      </c>
      <c r="L11" s="31"/>
      <c r="M11" s="55">
        <f>SUM(M4:M10)</f>
        <v>1</v>
      </c>
      <c r="N11" s="56" t="s">
        <v>0</v>
      </c>
      <c r="O11" s="52">
        <f>SUM(O4:O10)</f>
        <v>150</v>
      </c>
      <c r="P11" s="31"/>
      <c r="Q11" s="53"/>
      <c r="R11" s="57"/>
      <c r="S11" s="58"/>
      <c r="T11" s="37"/>
      <c r="U11" s="47" t="s">
        <v>156</v>
      </c>
      <c r="V11" s="39">
        <f>(W11/$G$9)*AG12</f>
        <v>41.666666666666664</v>
      </c>
      <c r="W11" s="40">
        <f>Parâmetros!I23</f>
        <v>1000</v>
      </c>
      <c r="X11" s="37"/>
      <c r="Y11" s="53"/>
      <c r="Z11" s="57"/>
      <c r="AA11" s="136"/>
      <c r="AB11" s="37"/>
      <c r="AC11" s="53" t="s">
        <v>168</v>
      </c>
      <c r="AD11" s="245">
        <f>SUM(AD5:AD10)</f>
        <v>499.99999999999994</v>
      </c>
      <c r="AE11" s="246">
        <f>SUM(AE5:AE10)</f>
        <v>5000</v>
      </c>
      <c r="AF11" s="30">
        <f>AE11/AD11</f>
        <v>10.000000000000002</v>
      </c>
      <c r="AG11" s="264">
        <f>Parâmetros!J22</f>
        <v>1</v>
      </c>
    </row>
    <row r="12" spans="1:33" ht="5.0999999999999996" customHeight="1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1"/>
      <c r="Q12" s="28"/>
      <c r="R12" s="28"/>
      <c r="S12" s="28"/>
      <c r="T12" s="37"/>
      <c r="U12" s="28"/>
      <c r="V12" s="28"/>
      <c r="W12" s="28"/>
      <c r="X12" s="37"/>
      <c r="Y12" s="28"/>
      <c r="Z12" s="28"/>
      <c r="AA12" s="28"/>
      <c r="AB12" s="28"/>
      <c r="AC12" s="28"/>
      <c r="AD12" s="28"/>
      <c r="AE12" s="28"/>
      <c r="AF12" s="31"/>
      <c r="AG12" s="264">
        <f>Parâmetros!J23</f>
        <v>1</v>
      </c>
    </row>
    <row r="13" spans="1:33" ht="24.75" customHeight="1">
      <c r="A13" s="27"/>
      <c r="B13" s="392" t="s">
        <v>93</v>
      </c>
      <c r="C13" s="392"/>
      <c r="D13" s="28"/>
      <c r="E13" s="381" t="s">
        <v>69</v>
      </c>
      <c r="F13" s="382"/>
      <c r="G13" s="382"/>
      <c r="H13" s="382"/>
      <c r="I13" s="382"/>
      <c r="J13" s="382"/>
      <c r="K13" s="382"/>
      <c r="L13" s="382"/>
      <c r="M13" s="382"/>
      <c r="N13" s="382"/>
      <c r="O13" s="383"/>
      <c r="P13" s="31"/>
      <c r="Q13" s="387" t="s">
        <v>68</v>
      </c>
      <c r="R13" s="388"/>
      <c r="S13" s="388"/>
      <c r="T13" s="388"/>
      <c r="U13" s="388"/>
      <c r="V13" s="388"/>
      <c r="W13" s="388"/>
      <c r="X13" s="388"/>
      <c r="Y13" s="388"/>
      <c r="Z13" s="388"/>
      <c r="AA13" s="388"/>
      <c r="AB13" s="388"/>
      <c r="AC13" s="388"/>
      <c r="AD13" s="388"/>
      <c r="AE13" s="389"/>
      <c r="AF13" s="248"/>
      <c r="AG13" s="264">
        <f>Parâmetros!J24</f>
        <v>1</v>
      </c>
    </row>
    <row r="14" spans="1:33" ht="5.0999999999999996" customHeight="1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N14" s="28"/>
      <c r="O14" s="28"/>
      <c r="P14" s="28"/>
      <c r="R14" s="28"/>
      <c r="S14" s="28"/>
      <c r="T14" s="28"/>
      <c r="V14" s="28"/>
      <c r="W14" s="28"/>
      <c r="X14" s="28"/>
      <c r="Z14" s="28"/>
      <c r="AA14" s="28"/>
      <c r="AB14" s="28"/>
      <c r="AD14" s="28"/>
      <c r="AE14" s="28"/>
      <c r="AF14" s="248"/>
    </row>
    <row r="15" spans="1:33" s="17" customFormat="1" ht="46.5" customHeight="1">
      <c r="A15" s="14"/>
      <c r="B15" s="410" t="s">
        <v>39</v>
      </c>
      <c r="C15" s="411"/>
      <c r="D15" s="15"/>
      <c r="E15" s="378" t="s">
        <v>70</v>
      </c>
      <c r="F15" s="379"/>
      <c r="G15" s="380"/>
      <c r="H15" s="59"/>
      <c r="I15" s="378" t="s">
        <v>71</v>
      </c>
      <c r="J15" s="379"/>
      <c r="K15" s="380"/>
      <c r="L15" s="59"/>
      <c r="M15" s="378" t="s">
        <v>72</v>
      </c>
      <c r="N15" s="379"/>
      <c r="O15" s="380"/>
      <c r="P15" s="59"/>
      <c r="Q15" s="384" t="s">
        <v>70</v>
      </c>
      <c r="R15" s="385"/>
      <c r="S15" s="386"/>
      <c r="T15" s="59"/>
      <c r="U15" s="384" t="s">
        <v>71</v>
      </c>
      <c r="V15" s="385"/>
      <c r="W15" s="386"/>
      <c r="X15" s="59"/>
      <c r="Y15" s="384" t="s">
        <v>72</v>
      </c>
      <c r="Z15" s="385"/>
      <c r="AA15" s="386"/>
      <c r="AB15" s="59"/>
      <c r="AC15" s="384" t="s">
        <v>47</v>
      </c>
      <c r="AD15" s="385"/>
      <c r="AE15" s="386"/>
      <c r="AF15" s="250"/>
    </row>
    <row r="16" spans="1:33" s="17" customFormat="1" ht="20.100000000000001" customHeight="1">
      <c r="A16" s="14"/>
      <c r="B16" s="412"/>
      <c r="C16" s="413"/>
      <c r="D16" s="15"/>
      <c r="E16" s="21" t="s">
        <v>50</v>
      </c>
      <c r="F16" s="24" t="s">
        <v>52</v>
      </c>
      <c r="G16" s="22" t="s">
        <v>51</v>
      </c>
      <c r="H16" s="15"/>
      <c r="I16" s="21" t="s">
        <v>50</v>
      </c>
      <c r="J16" s="24" t="s">
        <v>52</v>
      </c>
      <c r="K16" s="22" t="s">
        <v>51</v>
      </c>
      <c r="L16" s="15"/>
      <c r="M16" s="23" t="s">
        <v>50</v>
      </c>
      <c r="N16" s="24" t="s">
        <v>52</v>
      </c>
      <c r="O16" s="22" t="s">
        <v>51</v>
      </c>
      <c r="P16" s="15"/>
      <c r="Q16" s="18" t="s">
        <v>50</v>
      </c>
      <c r="R16" s="19" t="s">
        <v>52</v>
      </c>
      <c r="S16" s="20" t="s">
        <v>51</v>
      </c>
      <c r="T16" s="15"/>
      <c r="U16" s="18" t="s">
        <v>50</v>
      </c>
      <c r="V16" s="19" t="s">
        <v>52</v>
      </c>
      <c r="W16" s="20" t="s">
        <v>51</v>
      </c>
      <c r="X16" s="15"/>
      <c r="Y16" s="18" t="s">
        <v>50</v>
      </c>
      <c r="Z16" s="19" t="s">
        <v>52</v>
      </c>
      <c r="AA16" s="20" t="s">
        <v>51</v>
      </c>
      <c r="AB16" s="15"/>
      <c r="AC16" s="18" t="s">
        <v>50</v>
      </c>
      <c r="AD16" s="19" t="s">
        <v>52</v>
      </c>
      <c r="AE16" s="20" t="s">
        <v>51</v>
      </c>
      <c r="AF16" s="250"/>
    </row>
    <row r="17" spans="1:40" s="17" customFormat="1" ht="17.100000000000001" customHeight="1">
      <c r="A17" s="14"/>
      <c r="B17" s="412"/>
      <c r="C17" s="413"/>
      <c r="D17" s="16"/>
      <c r="E17" s="120" t="s">
        <v>11</v>
      </c>
      <c r="F17" s="121"/>
      <c r="G17" s="154">
        <f>Simulador!B10</f>
        <v>0.15</v>
      </c>
      <c r="H17" s="16"/>
      <c r="I17" s="120" t="s">
        <v>11</v>
      </c>
      <c r="J17" s="121"/>
      <c r="K17" s="36">
        <f>Simulador!C10</f>
        <v>15</v>
      </c>
      <c r="L17" s="16"/>
      <c r="M17" s="120" t="s">
        <v>11</v>
      </c>
      <c r="N17" s="121"/>
      <c r="O17" s="36">
        <f>Simulador!D10</f>
        <v>15</v>
      </c>
      <c r="P17" s="16"/>
      <c r="Q17" s="120" t="s">
        <v>11</v>
      </c>
      <c r="R17" s="121"/>
      <c r="S17" s="122">
        <f>Simulador!E10</f>
        <v>0.15</v>
      </c>
      <c r="T17" s="16"/>
      <c r="U17" s="120" t="s">
        <v>11</v>
      </c>
      <c r="V17" s="121"/>
      <c r="W17" s="36">
        <f>Simulador!F10</f>
        <v>15</v>
      </c>
      <c r="X17" s="16"/>
      <c r="Y17" s="120" t="s">
        <v>11</v>
      </c>
      <c r="Z17" s="121"/>
      <c r="AA17" s="36">
        <f>Simulador!G10</f>
        <v>15</v>
      </c>
      <c r="AB17" s="16"/>
      <c r="AC17" s="116" t="s">
        <v>11</v>
      </c>
      <c r="AD17" s="119"/>
      <c r="AE17" s="36">
        <f>Simulador!H10</f>
        <v>5</v>
      </c>
      <c r="AF17" s="250"/>
    </row>
    <row r="18" spans="1:40" s="64" customFormat="1" ht="17.100000000000001" customHeight="1">
      <c r="A18" s="60"/>
      <c r="B18" s="412"/>
      <c r="C18" s="413"/>
      <c r="D18" s="61"/>
      <c r="E18" s="38" t="s">
        <v>24</v>
      </c>
      <c r="F18" s="51"/>
      <c r="G18" s="63">
        <f>Simulador!E17</f>
        <v>1</v>
      </c>
      <c r="H18" s="65"/>
      <c r="I18" s="38" t="s">
        <v>24</v>
      </c>
      <c r="J18" s="51"/>
      <c r="K18" s="63">
        <f>Simulador!E17</f>
        <v>1</v>
      </c>
      <c r="L18" s="65"/>
      <c r="M18" s="115" t="s">
        <v>24</v>
      </c>
      <c r="N18" s="51"/>
      <c r="O18" s="62">
        <f>Simulador!E17</f>
        <v>1</v>
      </c>
      <c r="P18" s="61"/>
      <c r="Q18" s="329" t="s">
        <v>24</v>
      </c>
      <c r="R18" s="273"/>
      <c r="S18" s="62">
        <f>Simulador!E17</f>
        <v>1</v>
      </c>
      <c r="T18" s="65"/>
      <c r="U18" s="329" t="s">
        <v>24</v>
      </c>
      <c r="V18" s="330"/>
      <c r="W18" s="62">
        <f>Simulador!E17</f>
        <v>1</v>
      </c>
      <c r="X18" s="65"/>
      <c r="Y18" s="329" t="s">
        <v>24</v>
      </c>
      <c r="Z18" s="112"/>
      <c r="AA18" s="62">
        <f>Simulador!E17</f>
        <v>1</v>
      </c>
      <c r="AB18" s="65"/>
      <c r="AC18" s="329" t="s">
        <v>24</v>
      </c>
      <c r="AD18" s="112"/>
      <c r="AE18" s="62">
        <f>Simulador!E17</f>
        <v>1</v>
      </c>
      <c r="AF18" s="251"/>
      <c r="AG18" s="17"/>
      <c r="AH18" s="17"/>
      <c r="AI18" s="17"/>
      <c r="AJ18" s="17"/>
      <c r="AK18" s="17"/>
      <c r="AL18" s="17"/>
      <c r="AM18" s="17"/>
      <c r="AN18" s="17"/>
    </row>
    <row r="19" spans="1:40" s="64" customFormat="1" ht="17.100000000000001" customHeight="1">
      <c r="A19" s="60"/>
      <c r="B19" s="412"/>
      <c r="C19" s="413"/>
      <c r="D19" s="61"/>
      <c r="E19" s="38" t="s">
        <v>36</v>
      </c>
      <c r="F19" s="69">
        <f>Simulador!D18</f>
        <v>2</v>
      </c>
      <c r="G19" s="63">
        <f>Simulador!E18</f>
        <v>2</v>
      </c>
      <c r="H19" s="61"/>
      <c r="I19" s="38" t="s">
        <v>36</v>
      </c>
      <c r="J19" s="69">
        <f>Simulador!D18</f>
        <v>2</v>
      </c>
      <c r="K19" s="62">
        <f>Simulador!E18</f>
        <v>2</v>
      </c>
      <c r="L19" s="61"/>
      <c r="M19" s="38" t="s">
        <v>36</v>
      </c>
      <c r="N19" s="69">
        <f>Simulador!D18</f>
        <v>2</v>
      </c>
      <c r="O19" s="62">
        <f>Simulador!E18</f>
        <v>2</v>
      </c>
      <c r="P19" s="65"/>
      <c r="Q19" s="329" t="s">
        <v>36</v>
      </c>
      <c r="R19" s="69">
        <f>Simulador!D18</f>
        <v>2</v>
      </c>
      <c r="S19" s="62">
        <f>Simulador!E18</f>
        <v>2</v>
      </c>
      <c r="T19" s="61"/>
      <c r="U19" s="329" t="s">
        <v>36</v>
      </c>
      <c r="V19" s="69">
        <f>Simulador!D18</f>
        <v>2</v>
      </c>
      <c r="W19" s="62">
        <f>Simulador!E18</f>
        <v>2</v>
      </c>
      <c r="X19" s="61"/>
      <c r="Y19" s="329" t="s">
        <v>36</v>
      </c>
      <c r="Z19" s="69">
        <f>Simulador!D18</f>
        <v>2</v>
      </c>
      <c r="AA19" s="62">
        <f>Simulador!E18</f>
        <v>2</v>
      </c>
      <c r="AB19" s="61"/>
      <c r="AC19" s="329" t="s">
        <v>36</v>
      </c>
      <c r="AD19" s="69">
        <f>Simulador!D18</f>
        <v>2</v>
      </c>
      <c r="AE19" s="62">
        <f>Simulador!E18</f>
        <v>2</v>
      </c>
      <c r="AF19" s="252"/>
    </row>
    <row r="20" spans="1:40" s="67" customFormat="1" ht="17.100000000000001" customHeight="1">
      <c r="A20" s="66"/>
      <c r="B20" s="412"/>
      <c r="C20" s="413"/>
      <c r="D20" s="65"/>
      <c r="E20" s="38" t="s">
        <v>37</v>
      </c>
      <c r="F20" s="112"/>
      <c r="G20" s="63">
        <f>Simulador!E19</f>
        <v>2</v>
      </c>
      <c r="H20" s="61"/>
      <c r="I20" s="38" t="s">
        <v>37</v>
      </c>
      <c r="J20" s="112"/>
      <c r="K20" s="62">
        <f>Simulador!E19</f>
        <v>2</v>
      </c>
      <c r="L20" s="61"/>
      <c r="M20" s="38" t="s">
        <v>37</v>
      </c>
      <c r="N20" s="112"/>
      <c r="O20" s="62">
        <f>Simulador!E19</f>
        <v>2</v>
      </c>
      <c r="P20" s="61"/>
      <c r="Q20" s="329" t="s">
        <v>37</v>
      </c>
      <c r="R20" s="69"/>
      <c r="S20" s="62">
        <f>Simulador!E19</f>
        <v>2</v>
      </c>
      <c r="T20" s="61"/>
      <c r="U20" s="329" t="s">
        <v>37</v>
      </c>
      <c r="V20" s="69"/>
      <c r="W20" s="62">
        <f>Simulador!E19</f>
        <v>2</v>
      </c>
      <c r="X20" s="61"/>
      <c r="Y20" s="329" t="s">
        <v>37</v>
      </c>
      <c r="Z20" s="69"/>
      <c r="AA20" s="62">
        <f>Simulador!E19</f>
        <v>2</v>
      </c>
      <c r="AB20" s="61"/>
      <c r="AC20" s="329" t="s">
        <v>37</v>
      </c>
      <c r="AD20" s="69"/>
      <c r="AE20" s="62">
        <f>Simulador!E19</f>
        <v>2</v>
      </c>
      <c r="AF20" s="251"/>
      <c r="AG20" s="64"/>
      <c r="AH20" s="64"/>
      <c r="AI20" s="64"/>
      <c r="AJ20" s="64"/>
      <c r="AK20" s="64"/>
      <c r="AL20" s="64"/>
      <c r="AM20" s="64"/>
      <c r="AN20" s="64"/>
    </row>
    <row r="21" spans="1:40" s="64" customFormat="1" ht="17.100000000000001" customHeight="1">
      <c r="A21" s="60"/>
      <c r="B21" s="412"/>
      <c r="C21" s="413"/>
      <c r="D21" s="61"/>
      <c r="E21" s="68" t="s">
        <v>41</v>
      </c>
      <c r="F21" s="114"/>
      <c r="G21" s="63">
        <f>Simulador!E20</f>
        <v>2</v>
      </c>
      <c r="H21" s="61"/>
      <c r="I21" s="390" t="s">
        <v>41</v>
      </c>
      <c r="J21" s="391"/>
      <c r="K21" s="62">
        <f>Simulador!E20</f>
        <v>2</v>
      </c>
      <c r="L21" s="61"/>
      <c r="M21" s="38" t="s">
        <v>41</v>
      </c>
      <c r="N21" s="51"/>
      <c r="O21" s="62">
        <f>Simulador!E20</f>
        <v>2</v>
      </c>
      <c r="P21" s="61"/>
      <c r="Q21" s="329" t="s">
        <v>41</v>
      </c>
      <c r="R21" s="273"/>
      <c r="S21" s="62">
        <f>Simulador!E20</f>
        <v>2</v>
      </c>
      <c r="T21" s="61"/>
      <c r="U21" s="329" t="s">
        <v>41</v>
      </c>
      <c r="V21" s="69"/>
      <c r="W21" s="62">
        <f>Simulador!E20</f>
        <v>2</v>
      </c>
      <c r="X21" s="61"/>
      <c r="Y21" s="329" t="s">
        <v>41</v>
      </c>
      <c r="Z21" s="273"/>
      <c r="AA21" s="62">
        <f>Simulador!E20</f>
        <v>2</v>
      </c>
      <c r="AB21" s="61"/>
      <c r="AC21" s="329" t="s">
        <v>41</v>
      </c>
      <c r="AD21" s="69"/>
      <c r="AE21" s="62">
        <f>Simulador!E20</f>
        <v>2</v>
      </c>
      <c r="AF21" s="251"/>
      <c r="AH21" s="67"/>
      <c r="AI21" s="67"/>
      <c r="AJ21" s="67"/>
      <c r="AK21" s="67"/>
      <c r="AL21" s="67"/>
      <c r="AM21" s="67"/>
      <c r="AN21" s="67"/>
    </row>
    <row r="22" spans="1:40" s="195" customFormat="1" ht="17.100000000000001" customHeight="1">
      <c r="A22" s="192"/>
      <c r="B22" s="412"/>
      <c r="C22" s="413"/>
      <c r="D22" s="193"/>
      <c r="E22" s="189" t="s">
        <v>176</v>
      </c>
      <c r="F22" s="69">
        <f>Simulador!D21</f>
        <v>2</v>
      </c>
      <c r="G22" s="63">
        <f>Simulador!E21</f>
        <v>2</v>
      </c>
      <c r="H22" s="193"/>
      <c r="I22" s="189" t="s">
        <v>176</v>
      </c>
      <c r="J22" s="69">
        <f>Simulador!D21</f>
        <v>2</v>
      </c>
      <c r="K22" s="70">
        <f>Simulador!E21</f>
        <v>2</v>
      </c>
      <c r="L22" s="193"/>
      <c r="M22" s="189" t="s">
        <v>176</v>
      </c>
      <c r="N22" s="69">
        <f>Simulador!D21</f>
        <v>2</v>
      </c>
      <c r="O22" s="70">
        <f>Simulador!E21</f>
        <v>2</v>
      </c>
      <c r="P22" s="193"/>
      <c r="Q22" s="189" t="s">
        <v>176</v>
      </c>
      <c r="R22" s="69">
        <f>Simulador!D21</f>
        <v>2</v>
      </c>
      <c r="S22" s="70">
        <f>Simulador!E21</f>
        <v>2</v>
      </c>
      <c r="T22" s="193"/>
      <c r="U22" s="329" t="s">
        <v>176</v>
      </c>
      <c r="V22" s="69">
        <f>Simulador!D21</f>
        <v>2</v>
      </c>
      <c r="W22" s="70">
        <f>Simulador!E21</f>
        <v>2</v>
      </c>
      <c r="X22" s="193"/>
      <c r="Y22" s="189" t="s">
        <v>176</v>
      </c>
      <c r="Z22" s="69">
        <f>Simulador!D21</f>
        <v>2</v>
      </c>
      <c r="AA22" s="70">
        <f>Simulador!E21</f>
        <v>2</v>
      </c>
      <c r="AB22" s="193"/>
      <c r="AC22" s="329" t="s">
        <v>176</v>
      </c>
      <c r="AD22" s="69">
        <f>Simulador!D21</f>
        <v>2</v>
      </c>
      <c r="AE22" s="70">
        <f>Simulador!E21</f>
        <v>2</v>
      </c>
      <c r="AF22" s="253"/>
    </row>
    <row r="23" spans="1:40" s="195" customFormat="1" ht="17.100000000000001" customHeight="1">
      <c r="A23" s="192"/>
      <c r="B23" s="412"/>
      <c r="C23" s="413"/>
      <c r="D23" s="193"/>
      <c r="E23" s="189"/>
      <c r="F23" s="190"/>
      <c r="G23" s="194"/>
      <c r="I23" s="189"/>
      <c r="J23" s="190"/>
      <c r="K23" s="194"/>
      <c r="M23" s="189"/>
      <c r="N23" s="190"/>
      <c r="O23" s="194"/>
      <c r="P23" s="193"/>
      <c r="Q23" s="189" t="s">
        <v>5</v>
      </c>
      <c r="R23" s="69"/>
      <c r="S23" s="196">
        <f>Simulador!E22</f>
        <v>1</v>
      </c>
      <c r="T23" s="193"/>
      <c r="U23" s="189" t="s">
        <v>5</v>
      </c>
      <c r="V23" s="69"/>
      <c r="W23" s="196">
        <f>Simulador!E22</f>
        <v>1</v>
      </c>
      <c r="X23" s="193"/>
      <c r="Y23" s="189" t="s">
        <v>5</v>
      </c>
      <c r="Z23" s="69"/>
      <c r="AA23" s="196">
        <f>Simulador!E22</f>
        <v>1</v>
      </c>
      <c r="AB23" s="193"/>
      <c r="AC23" s="197" t="s">
        <v>5</v>
      </c>
      <c r="AD23" s="502"/>
      <c r="AE23" s="196">
        <f>Simulador!E22</f>
        <v>1</v>
      </c>
      <c r="AF23" s="253"/>
      <c r="AG23" s="198"/>
    </row>
    <row r="24" spans="1:40" s="195" customFormat="1" ht="17.100000000000001" customHeight="1">
      <c r="A24" s="192"/>
      <c r="B24" s="412"/>
      <c r="C24" s="413"/>
      <c r="D24" s="193"/>
      <c r="E24" s="189"/>
      <c r="F24" s="190"/>
      <c r="G24" s="194"/>
      <c r="I24" s="189"/>
      <c r="J24" s="190"/>
      <c r="K24" s="194"/>
      <c r="M24" s="189"/>
      <c r="N24" s="190"/>
      <c r="O24" s="194"/>
      <c r="P24" s="193"/>
      <c r="Q24" s="189" t="s">
        <v>139</v>
      </c>
      <c r="R24" s="69"/>
      <c r="S24" s="196">
        <f>Simulador!E23</f>
        <v>2</v>
      </c>
      <c r="T24" s="193"/>
      <c r="U24" s="189" t="s">
        <v>139</v>
      </c>
      <c r="V24" s="69"/>
      <c r="W24" s="196">
        <f>Simulador!E23</f>
        <v>2</v>
      </c>
      <c r="X24" s="193"/>
      <c r="Y24" s="189" t="s">
        <v>139</v>
      </c>
      <c r="Z24" s="69"/>
      <c r="AA24" s="196">
        <f>Simulador!E23</f>
        <v>2</v>
      </c>
      <c r="AB24" s="193"/>
      <c r="AC24" s="189" t="s">
        <v>139</v>
      </c>
      <c r="AD24" s="502"/>
      <c r="AE24" s="196">
        <f>Simulador!E23</f>
        <v>2</v>
      </c>
      <c r="AF24" s="253"/>
      <c r="AG24" s="198"/>
    </row>
    <row r="25" spans="1:40" s="195" customFormat="1" ht="17.100000000000001" customHeight="1">
      <c r="A25" s="192"/>
      <c r="B25" s="412"/>
      <c r="C25" s="413"/>
      <c r="D25" s="193"/>
      <c r="E25" s="189"/>
      <c r="F25" s="190"/>
      <c r="G25" s="194"/>
      <c r="H25" s="193"/>
      <c r="I25" s="189"/>
      <c r="J25" s="190"/>
      <c r="K25" s="194"/>
      <c r="L25" s="193"/>
      <c r="M25" s="189"/>
      <c r="N25" s="190"/>
      <c r="O25" s="194"/>
      <c r="P25" s="193"/>
      <c r="Q25" s="197" t="s">
        <v>42</v>
      </c>
      <c r="R25" s="69"/>
      <c r="S25" s="196">
        <f>Simulador!E24</f>
        <v>2</v>
      </c>
      <c r="T25" s="193"/>
      <c r="U25" s="197" t="s">
        <v>42</v>
      </c>
      <c r="V25" s="69"/>
      <c r="W25" s="196">
        <f>Simulador!E24</f>
        <v>2</v>
      </c>
      <c r="X25" s="193"/>
      <c r="Y25" s="197" t="s">
        <v>42</v>
      </c>
      <c r="Z25" s="69"/>
      <c r="AA25" s="196">
        <f>Simulador!E24</f>
        <v>2</v>
      </c>
      <c r="AB25" s="193"/>
      <c r="AC25" s="197" t="s">
        <v>42</v>
      </c>
      <c r="AD25" s="69"/>
      <c r="AE25" s="196">
        <f>Simulador!E24</f>
        <v>2</v>
      </c>
      <c r="AF25" s="253"/>
    </row>
    <row r="26" spans="1:40" s="195" customFormat="1" ht="17.100000000000001" customHeight="1">
      <c r="A26" s="192"/>
      <c r="B26" s="412"/>
      <c r="C26" s="413"/>
      <c r="D26" s="193"/>
      <c r="E26" s="197"/>
      <c r="F26" s="112"/>
      <c r="G26" s="194"/>
      <c r="H26" s="199"/>
      <c r="I26" s="189"/>
      <c r="J26" s="190"/>
      <c r="K26" s="194"/>
      <c r="L26" s="199"/>
      <c r="M26" s="189"/>
      <c r="N26" s="190"/>
      <c r="O26" s="194"/>
      <c r="P26" s="199"/>
      <c r="Q26" s="189" t="s">
        <v>31</v>
      </c>
      <c r="R26" s="69">
        <f>Simulador!D25</f>
        <v>2</v>
      </c>
      <c r="S26" s="196">
        <f>Simulador!E25</f>
        <v>2</v>
      </c>
      <c r="T26" s="199"/>
      <c r="U26" s="189" t="s">
        <v>31</v>
      </c>
      <c r="V26" s="69">
        <f>Simulador!D25</f>
        <v>2</v>
      </c>
      <c r="W26" s="196">
        <f>Simulador!E25</f>
        <v>2</v>
      </c>
      <c r="X26" s="199"/>
      <c r="Y26" s="189" t="s">
        <v>31</v>
      </c>
      <c r="Z26" s="69">
        <f>Simulador!D25</f>
        <v>2</v>
      </c>
      <c r="AA26" s="196">
        <f>Simulador!E25</f>
        <v>2</v>
      </c>
      <c r="AB26" s="199"/>
      <c r="AC26" s="189" t="s">
        <v>31</v>
      </c>
      <c r="AD26" s="69">
        <f>Simulador!D25</f>
        <v>2</v>
      </c>
      <c r="AE26" s="196">
        <f>Simulador!E25</f>
        <v>2</v>
      </c>
      <c r="AF26" s="253"/>
    </row>
    <row r="27" spans="1:40" s="201" customFormat="1" ht="17.100000000000001" customHeight="1">
      <c r="A27" s="200"/>
      <c r="B27" s="239" t="s">
        <v>14</v>
      </c>
      <c r="C27" s="258">
        <v>1</v>
      </c>
      <c r="D27" s="199"/>
      <c r="E27" s="197"/>
      <c r="F27" s="112"/>
      <c r="G27" s="194"/>
      <c r="H27" s="199"/>
      <c r="I27" s="197"/>
      <c r="J27" s="112"/>
      <c r="K27" s="194"/>
      <c r="L27" s="199"/>
      <c r="M27" s="189"/>
      <c r="N27" s="190"/>
      <c r="O27" s="194"/>
      <c r="P27" s="199"/>
      <c r="Q27" s="189" t="s">
        <v>35</v>
      </c>
      <c r="R27" s="69">
        <f>Simulador!G17</f>
        <v>2</v>
      </c>
      <c r="S27" s="194">
        <f>Simulador!H17</f>
        <v>2</v>
      </c>
      <c r="T27" s="199"/>
      <c r="U27" s="189" t="s">
        <v>35</v>
      </c>
      <c r="V27" s="69">
        <f>Simulador!G17</f>
        <v>2</v>
      </c>
      <c r="W27" s="194">
        <f>Simulador!H17</f>
        <v>2</v>
      </c>
      <c r="X27" s="199"/>
      <c r="Y27" s="189" t="s">
        <v>35</v>
      </c>
      <c r="Z27" s="69">
        <f>Simulador!G17</f>
        <v>2</v>
      </c>
      <c r="AA27" s="194">
        <f>Simulador!H17</f>
        <v>2</v>
      </c>
      <c r="AB27" s="199"/>
      <c r="AC27" s="189" t="s">
        <v>35</v>
      </c>
      <c r="AD27" s="69">
        <f>Simulador!G17</f>
        <v>2</v>
      </c>
      <c r="AE27" s="194">
        <f>Simulador!H17</f>
        <v>2</v>
      </c>
      <c r="AF27" s="254"/>
      <c r="AI27" s="195"/>
      <c r="AJ27" s="195"/>
      <c r="AK27" s="195"/>
      <c r="AL27" s="195"/>
      <c r="AM27" s="195"/>
      <c r="AN27" s="195"/>
    </row>
    <row r="28" spans="1:40" s="201" customFormat="1" ht="17.100000000000001" customHeight="1">
      <c r="A28" s="200"/>
      <c r="B28" s="239" t="s">
        <v>15</v>
      </c>
      <c r="C28" s="258">
        <v>2</v>
      </c>
      <c r="D28" s="199"/>
      <c r="E28" s="197"/>
      <c r="F28" s="112"/>
      <c r="G28" s="194"/>
      <c r="H28" s="199"/>
      <c r="I28" s="197"/>
      <c r="J28" s="112"/>
      <c r="K28" s="194"/>
      <c r="L28" s="199"/>
      <c r="M28" s="189"/>
      <c r="N28" s="190"/>
      <c r="O28" s="194"/>
      <c r="P28" s="199"/>
      <c r="Q28" s="189" t="s">
        <v>33</v>
      </c>
      <c r="R28" s="69">
        <f>Simulador!G18</f>
        <v>2</v>
      </c>
      <c r="S28" s="194">
        <f>Simulador!H18</f>
        <v>2</v>
      </c>
      <c r="T28" s="199"/>
      <c r="U28" s="189" t="s">
        <v>33</v>
      </c>
      <c r="V28" s="69">
        <f>Simulador!G18</f>
        <v>2</v>
      </c>
      <c r="W28" s="194">
        <f>Simulador!H18</f>
        <v>2</v>
      </c>
      <c r="X28" s="199"/>
      <c r="Y28" s="189" t="s">
        <v>33</v>
      </c>
      <c r="Z28" s="69">
        <f>Simulador!G18</f>
        <v>2</v>
      </c>
      <c r="AA28" s="194">
        <f>Simulador!H18</f>
        <v>2</v>
      </c>
      <c r="AB28" s="199"/>
      <c r="AC28" s="189" t="s">
        <v>33</v>
      </c>
      <c r="AD28" s="69">
        <f>Simulador!G18</f>
        <v>2</v>
      </c>
      <c r="AE28" s="194">
        <f>Simulador!H18</f>
        <v>2</v>
      </c>
      <c r="AF28" s="254"/>
    </row>
    <row r="29" spans="1:40" s="201" customFormat="1" ht="17.100000000000001" customHeight="1">
      <c r="A29" s="200"/>
      <c r="B29" s="239"/>
      <c r="C29" s="258">
        <v>3</v>
      </c>
      <c r="D29" s="199"/>
      <c r="E29" s="197"/>
      <c r="F29" s="112"/>
      <c r="G29" s="194"/>
      <c r="H29" s="199"/>
      <c r="I29" s="197"/>
      <c r="J29" s="112"/>
      <c r="K29" s="194"/>
      <c r="L29" s="199"/>
      <c r="M29" s="189"/>
      <c r="N29" s="190"/>
      <c r="O29" s="194"/>
      <c r="P29" s="199"/>
      <c r="Q29" s="197" t="s">
        <v>67</v>
      </c>
      <c r="R29" s="69">
        <f>Simulador!G19</f>
        <v>2</v>
      </c>
      <c r="S29" s="194">
        <f>Simulador!H19</f>
        <v>2</v>
      </c>
      <c r="T29" s="199"/>
      <c r="U29" s="197" t="s">
        <v>67</v>
      </c>
      <c r="V29" s="69">
        <f>Simulador!G19</f>
        <v>2</v>
      </c>
      <c r="W29" s="194">
        <f>Simulador!H19</f>
        <v>2</v>
      </c>
      <c r="X29" s="199"/>
      <c r="Y29" s="197" t="s">
        <v>67</v>
      </c>
      <c r="Z29" s="69">
        <f>Simulador!G19</f>
        <v>2</v>
      </c>
      <c r="AA29" s="194">
        <f>Simulador!H19</f>
        <v>2</v>
      </c>
      <c r="AB29" s="199"/>
      <c r="AC29" s="197" t="s">
        <v>67</v>
      </c>
      <c r="AD29" s="69">
        <f>Simulador!G19</f>
        <v>2</v>
      </c>
      <c r="AE29" s="194">
        <f>Simulador!H19</f>
        <v>2</v>
      </c>
      <c r="AF29" s="254"/>
    </row>
    <row r="30" spans="1:40" s="201" customFormat="1" ht="17.100000000000001" customHeight="1">
      <c r="A30" s="200"/>
      <c r="B30" s="239" t="s">
        <v>43</v>
      </c>
      <c r="C30" s="258">
        <v>4</v>
      </c>
      <c r="D30" s="199"/>
      <c r="E30" s="197"/>
      <c r="F30" s="112"/>
      <c r="G30" s="194"/>
      <c r="H30" s="199"/>
      <c r="I30" s="197"/>
      <c r="J30" s="112"/>
      <c r="K30" s="194"/>
      <c r="L30" s="199"/>
      <c r="M30" s="189"/>
      <c r="N30" s="190"/>
      <c r="O30" s="70"/>
      <c r="P30" s="199"/>
      <c r="Q30" s="189" t="s">
        <v>27</v>
      </c>
      <c r="R30" s="69">
        <f>Simulador!G20</f>
        <v>2</v>
      </c>
      <c r="S30" s="194">
        <f>Simulador!H20</f>
        <v>2</v>
      </c>
      <c r="T30" s="199"/>
      <c r="U30" s="189" t="s">
        <v>27</v>
      </c>
      <c r="V30" s="69">
        <f>Simulador!G20</f>
        <v>2</v>
      </c>
      <c r="W30" s="194">
        <f>Simulador!H20</f>
        <v>2</v>
      </c>
      <c r="X30" s="199"/>
      <c r="Y30" s="189" t="s">
        <v>27</v>
      </c>
      <c r="Z30" s="69">
        <f>Simulador!G20</f>
        <v>2</v>
      </c>
      <c r="AA30" s="194">
        <f>Simulador!H20</f>
        <v>2</v>
      </c>
      <c r="AB30" s="199"/>
      <c r="AC30" s="189" t="s">
        <v>27</v>
      </c>
      <c r="AD30" s="69">
        <f>Simulador!G20</f>
        <v>2</v>
      </c>
      <c r="AE30" s="194">
        <f>Simulador!H20</f>
        <v>2</v>
      </c>
      <c r="AF30" s="254"/>
    </row>
    <row r="31" spans="1:40" s="201" customFormat="1" ht="17.100000000000001" customHeight="1">
      <c r="A31" s="200"/>
      <c r="B31" s="239" t="s">
        <v>44</v>
      </c>
      <c r="C31" s="258">
        <v>5</v>
      </c>
      <c r="D31" s="199"/>
      <c r="E31" s="189"/>
      <c r="F31" s="190"/>
      <c r="G31" s="70"/>
      <c r="H31" s="199"/>
      <c r="I31" s="189"/>
      <c r="J31" s="190"/>
      <c r="K31" s="70"/>
      <c r="L31" s="199"/>
      <c r="M31" s="189"/>
      <c r="N31" s="190"/>
      <c r="O31" s="70"/>
      <c r="P31" s="199"/>
      <c r="Q31" s="189" t="s">
        <v>1</v>
      </c>
      <c r="R31" s="69">
        <f>Simulador!G21</f>
        <v>2</v>
      </c>
      <c r="S31" s="194">
        <f>Simulador!H21</f>
        <v>2</v>
      </c>
      <c r="T31" s="199"/>
      <c r="U31" s="189" t="s">
        <v>1</v>
      </c>
      <c r="V31" s="69">
        <f>Simulador!G21</f>
        <v>2</v>
      </c>
      <c r="W31" s="194">
        <f>Simulador!H21</f>
        <v>2</v>
      </c>
      <c r="X31" s="199"/>
      <c r="Y31" s="189" t="s">
        <v>1</v>
      </c>
      <c r="Z31" s="69">
        <f>Simulador!G21</f>
        <v>2</v>
      </c>
      <c r="AA31" s="194">
        <f>Simulador!H21</f>
        <v>2</v>
      </c>
      <c r="AB31" s="199"/>
      <c r="AC31" s="189" t="s">
        <v>1</v>
      </c>
      <c r="AD31" s="69">
        <f>Simulador!G21</f>
        <v>2</v>
      </c>
      <c r="AE31" s="194">
        <f>Simulador!H21</f>
        <v>2</v>
      </c>
      <c r="AF31" s="254"/>
    </row>
    <row r="32" spans="1:40" s="201" customFormat="1" ht="17.100000000000001" customHeight="1">
      <c r="A32" s="200"/>
      <c r="B32" s="239"/>
      <c r="C32" s="240"/>
      <c r="D32" s="199"/>
      <c r="E32" s="189"/>
      <c r="F32" s="190"/>
      <c r="G32" s="70"/>
      <c r="H32" s="199"/>
      <c r="I32" s="189"/>
      <c r="J32" s="190"/>
      <c r="K32" s="70"/>
      <c r="L32" s="199"/>
      <c r="M32" s="189"/>
      <c r="N32" s="190"/>
      <c r="O32" s="70"/>
      <c r="P32" s="199"/>
      <c r="Q32" s="189" t="s">
        <v>86</v>
      </c>
      <c r="R32" s="69">
        <f>Simulador!G22</f>
        <v>2</v>
      </c>
      <c r="S32" s="194">
        <f>Simulador!H22</f>
        <v>2</v>
      </c>
      <c r="T32" s="199"/>
      <c r="U32" s="189" t="s">
        <v>86</v>
      </c>
      <c r="V32" s="69">
        <f>Simulador!G22</f>
        <v>2</v>
      </c>
      <c r="W32" s="194">
        <f>Simulador!H22</f>
        <v>2</v>
      </c>
      <c r="X32" s="199"/>
      <c r="Y32" s="189" t="s">
        <v>86</v>
      </c>
      <c r="Z32" s="69">
        <f>Simulador!G22</f>
        <v>2</v>
      </c>
      <c r="AA32" s="194">
        <f>Simulador!H22</f>
        <v>2</v>
      </c>
      <c r="AB32" s="199"/>
      <c r="AC32" s="189" t="s">
        <v>86</v>
      </c>
      <c r="AD32" s="69">
        <f>Simulador!G22</f>
        <v>2</v>
      </c>
      <c r="AE32" s="194">
        <f>Simulador!H22</f>
        <v>2</v>
      </c>
      <c r="AF32" s="254"/>
    </row>
    <row r="33" spans="1:806" s="201" customFormat="1" ht="17.100000000000001" customHeight="1">
      <c r="A33" s="200"/>
      <c r="B33" s="239"/>
      <c r="C33" s="240"/>
      <c r="D33" s="199"/>
      <c r="E33" s="189"/>
      <c r="F33" s="190"/>
      <c r="G33" s="70"/>
      <c r="H33" s="199"/>
      <c r="I33" s="189"/>
      <c r="J33" s="190"/>
      <c r="K33" s="70"/>
      <c r="L33" s="199"/>
      <c r="M33" s="189"/>
      <c r="N33" s="190"/>
      <c r="O33" s="70"/>
      <c r="P33" s="199"/>
      <c r="Q33" s="189" t="s">
        <v>87</v>
      </c>
      <c r="R33" s="69">
        <f>Simulador!G23</f>
        <v>2</v>
      </c>
      <c r="S33" s="194">
        <f>Simulador!H23</f>
        <v>2</v>
      </c>
      <c r="T33" s="199"/>
      <c r="U33" s="189" t="s">
        <v>87</v>
      </c>
      <c r="V33" s="69">
        <f>Simulador!G23</f>
        <v>2</v>
      </c>
      <c r="W33" s="194">
        <f>Simulador!H23</f>
        <v>2</v>
      </c>
      <c r="X33" s="199"/>
      <c r="Y33" s="189" t="s">
        <v>87</v>
      </c>
      <c r="Z33" s="69">
        <f>Simulador!G23</f>
        <v>2</v>
      </c>
      <c r="AA33" s="194">
        <f>Simulador!H23</f>
        <v>2</v>
      </c>
      <c r="AB33" s="199"/>
      <c r="AC33" s="189" t="s">
        <v>87</v>
      </c>
      <c r="AD33" s="69">
        <f>Simulador!G23</f>
        <v>2</v>
      </c>
      <c r="AE33" s="194">
        <f>Simulador!H23</f>
        <v>2</v>
      </c>
      <c r="AF33" s="254"/>
      <c r="ADZ33" s="201">
        <v>1</v>
      </c>
    </row>
    <row r="34" spans="1:806" s="201" customFormat="1" ht="17.100000000000001" customHeight="1">
      <c r="A34" s="200"/>
      <c r="B34" s="219"/>
      <c r="C34" s="220"/>
      <c r="D34" s="199"/>
      <c r="E34" s="191"/>
      <c r="F34" s="188"/>
      <c r="G34" s="71"/>
      <c r="H34" s="199"/>
      <c r="I34" s="191"/>
      <c r="J34" s="188"/>
      <c r="K34" s="71"/>
      <c r="L34" s="199"/>
      <c r="M34" s="191"/>
      <c r="N34" s="188"/>
      <c r="O34" s="71"/>
      <c r="P34" s="199"/>
      <c r="Q34" s="191" t="s">
        <v>140</v>
      </c>
      <c r="R34" s="267">
        <f>Simulador!G24</f>
        <v>2</v>
      </c>
      <c r="S34" s="323">
        <f>Simulador!H24</f>
        <v>2</v>
      </c>
      <c r="T34" s="199"/>
      <c r="U34" s="191" t="s">
        <v>140</v>
      </c>
      <c r="V34" s="267">
        <f>Simulador!G24</f>
        <v>2</v>
      </c>
      <c r="W34" s="323">
        <f>Simulador!H24</f>
        <v>2</v>
      </c>
      <c r="X34" s="199"/>
      <c r="Y34" s="191" t="s">
        <v>140</v>
      </c>
      <c r="Z34" s="267">
        <f>Simulador!G24</f>
        <v>2</v>
      </c>
      <c r="AA34" s="323">
        <f>Simulador!H24</f>
        <v>2</v>
      </c>
      <c r="AB34" s="199"/>
      <c r="AC34" s="191" t="s">
        <v>140</v>
      </c>
      <c r="AD34" s="267">
        <f>Simulador!G24</f>
        <v>2</v>
      </c>
      <c r="AE34" s="323">
        <f>Simulador!H24</f>
        <v>2</v>
      </c>
      <c r="AF34" s="254"/>
    </row>
    <row r="35" spans="1:806" ht="5.0999999999999996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48"/>
      <c r="AI35" s="17"/>
      <c r="AJ35" s="17"/>
      <c r="AK35" s="17"/>
      <c r="AL35" s="17"/>
      <c r="AM35" s="17"/>
      <c r="AN35" s="17"/>
    </row>
    <row r="36" spans="1:806" ht="20.100000000000001" customHeight="1">
      <c r="A36" s="27"/>
      <c r="B36" s="7" t="s">
        <v>8</v>
      </c>
      <c r="C36" s="8" t="s">
        <v>18</v>
      </c>
      <c r="D36" s="72"/>
      <c r="E36" s="23" t="str">
        <f>IF($G$8=1,"1 Apresentação","Sessão")</f>
        <v>Sessão</v>
      </c>
      <c r="F36" s="24" t="str">
        <f>IF($G$8=1,"","Mês")</f>
        <v>Mês</v>
      </c>
      <c r="G36" s="22" t="str">
        <f>IF($G$8=1,$G$7&amp;" Apresentação(ões)","Ano")</f>
        <v>Ano</v>
      </c>
      <c r="H36" s="72"/>
      <c r="I36" s="23" t="str">
        <f>IF($G$8=1,"1 Apresentação","Sessão")</f>
        <v>Sessão</v>
      </c>
      <c r="J36" s="24" t="str">
        <f>IF($G$8=1,"","Mês")</f>
        <v>Mês</v>
      </c>
      <c r="K36" s="22" t="str">
        <f>IF($G$8=1,$G$7&amp;" Apresentação(ões)","Ano")</f>
        <v>Ano</v>
      </c>
      <c r="L36" s="72"/>
      <c r="M36" s="23" t="str">
        <f>IF($G$8=1,"1 Apresentação","Sessão")</f>
        <v>Sessão</v>
      </c>
      <c r="N36" s="24" t="str">
        <f>IF($G$8=1,"","Mês")</f>
        <v>Mês</v>
      </c>
      <c r="O36" s="22" t="str">
        <f>IF($G$8=1,$G$7&amp;" Apresentação(ões)","Ano")</f>
        <v>Ano</v>
      </c>
      <c r="P36" s="72"/>
      <c r="Q36" s="18" t="str">
        <f>IF($G$8=1,"1 Apresentação","Sessão")</f>
        <v>Sessão</v>
      </c>
      <c r="R36" s="19" t="str">
        <f>IF($G$8=1,"","Mês")</f>
        <v>Mês</v>
      </c>
      <c r="S36" s="20" t="str">
        <f>IF($G$8=1,$G$7&amp;" Apresentação(ões)","Ano")</f>
        <v>Ano</v>
      </c>
      <c r="T36" s="72"/>
      <c r="U36" s="18" t="str">
        <f>IF($G$8=1,"1 Apresentação","Sessão")</f>
        <v>Sessão</v>
      </c>
      <c r="V36" s="19" t="str">
        <f>IF($G$8=1,"","Mês")</f>
        <v>Mês</v>
      </c>
      <c r="W36" s="20" t="str">
        <f>IF($G$8=1,$G$7&amp;" Apresentação(ões)","Ano")</f>
        <v>Ano</v>
      </c>
      <c r="X36" s="72"/>
      <c r="Y36" s="18" t="str">
        <f>IF($G$8=1,"1 Apresentação","Sessão")</f>
        <v>Sessão</v>
      </c>
      <c r="Z36" s="19" t="str">
        <f>IF($G$8=1,"","Mês")</f>
        <v>Mês</v>
      </c>
      <c r="AA36" s="20" t="str">
        <f>IF($G$8=1,$G$7&amp;" Apresentação(ões)","Ano")</f>
        <v>Ano</v>
      </c>
      <c r="AB36" s="72"/>
      <c r="AC36" s="18" t="str">
        <f>IF($G$8=1,"1 Apresentação","Sessão")</f>
        <v>Sessão</v>
      </c>
      <c r="AD36" s="19" t="str">
        <f>IF($G$8=1,"","Mês")</f>
        <v>Mês</v>
      </c>
      <c r="AE36" s="20" t="str">
        <f>IF($G$8=1,$G$7&amp;" Apresentação(ões)","Ano")</f>
        <v>Ano</v>
      </c>
      <c r="AF36" s="248"/>
    </row>
    <row r="37" spans="1:806" ht="15" customHeight="1" outlineLevel="1">
      <c r="A37" s="424" t="s">
        <v>49</v>
      </c>
      <c r="B37" s="73" t="s">
        <v>20</v>
      </c>
      <c r="C37" s="74">
        <f>((O4*(1-K6))*$K$4)*($G$5/2)+((O4*(1-K6))*$K$4)*$G$5</f>
        <v>463.04999999999995</v>
      </c>
      <c r="D37" s="72"/>
      <c r="E37" s="75"/>
      <c r="F37" s="76"/>
      <c r="G37" s="74"/>
      <c r="H37" s="77"/>
      <c r="I37" s="75"/>
      <c r="J37" s="76"/>
      <c r="K37" s="74"/>
      <c r="L37" s="77"/>
      <c r="M37" s="75"/>
      <c r="N37" s="76"/>
      <c r="O37" s="74"/>
      <c r="P37" s="77"/>
      <c r="Q37" s="75">
        <v>0</v>
      </c>
      <c r="R37" s="76">
        <f>IF(G8=1,"",Q37*$G$9)</f>
        <v>0</v>
      </c>
      <c r="S37" s="74">
        <f>IF(G8=1,Q37*G7,R37*12)</f>
        <v>0</v>
      </c>
      <c r="T37" s="77"/>
      <c r="U37" s="75">
        <v>0</v>
      </c>
      <c r="V37" s="76">
        <f>IF(G8=1,"",U37*$G$9)</f>
        <v>0</v>
      </c>
      <c r="W37" s="74">
        <f>IF(G8=1,U37*G7,V37*12)</f>
        <v>0</v>
      </c>
      <c r="X37" s="77"/>
      <c r="Y37" s="75">
        <v>0</v>
      </c>
      <c r="Z37" s="76">
        <f>IF(G8=1,"",Y37*$G$9)</f>
        <v>0</v>
      </c>
      <c r="AA37" s="74">
        <f>IF(G8=1,Y37*G7,Z37*12)</f>
        <v>0</v>
      </c>
      <c r="AB37" s="77"/>
      <c r="AC37" s="75">
        <f>AE17*(O4*(1-K6))</f>
        <v>157.50000000000003</v>
      </c>
      <c r="AD37" s="76">
        <f>IF(G8=1,"",AC37*$G$9)</f>
        <v>3780.0000000000009</v>
      </c>
      <c r="AE37" s="74">
        <f>IF(G8=1,AC37*G7,AD37*12)</f>
        <v>45360.000000000015</v>
      </c>
      <c r="AF37" s="248"/>
    </row>
    <row r="38" spans="1:806" outlineLevel="1">
      <c r="A38" s="425"/>
      <c r="B38" s="73" t="s">
        <v>58</v>
      </c>
      <c r="C38" s="74">
        <f>((O4*K6)*$K$4)*($G$5/2)+((O4*K6)*$K$4)*$G$5</f>
        <v>1080.4499999999998</v>
      </c>
      <c r="D38" s="72"/>
      <c r="E38" s="75"/>
      <c r="F38" s="76"/>
      <c r="G38" s="74"/>
      <c r="H38" s="77"/>
      <c r="I38" s="75"/>
      <c r="J38" s="76"/>
      <c r="K38" s="74"/>
      <c r="L38" s="77"/>
      <c r="M38" s="75"/>
      <c r="N38" s="76"/>
      <c r="O38" s="74"/>
      <c r="P38" s="77"/>
      <c r="Q38" s="75">
        <v>0</v>
      </c>
      <c r="R38" s="76">
        <f>IF(G8=1,"",Q38*$G$9)</f>
        <v>0</v>
      </c>
      <c r="S38" s="74">
        <f>IF(G8=1,Q38*G7,R38*12)</f>
        <v>0</v>
      </c>
      <c r="T38" s="77"/>
      <c r="U38" s="75">
        <v>0</v>
      </c>
      <c r="V38" s="76">
        <f>IF(G8=1,"",U38*$G$9)</f>
        <v>0</v>
      </c>
      <c r="W38" s="74">
        <f>IF(G8=1,U38*G7,V38*12)</f>
        <v>0</v>
      </c>
      <c r="X38" s="77"/>
      <c r="Y38" s="75">
        <v>0</v>
      </c>
      <c r="Z38" s="76">
        <f>IF(G8=1,"",Y38*$G$9)</f>
        <v>0</v>
      </c>
      <c r="AA38" s="74">
        <f>IF(G8=1,Y38*G7,Z38*12)</f>
        <v>0</v>
      </c>
      <c r="AB38" s="77"/>
      <c r="AC38" s="75">
        <f>AE17*(O4*K6)</f>
        <v>367.5</v>
      </c>
      <c r="AD38" s="76">
        <f>IF(G8=1,"",AC38*$G$9)</f>
        <v>8820</v>
      </c>
      <c r="AE38" s="74">
        <f>IF(G8=1,AC38*G7,AD38*12)</f>
        <v>105840</v>
      </c>
      <c r="AF38" s="248"/>
    </row>
    <row r="39" spans="1:806" outlineLevel="1">
      <c r="A39" s="425"/>
      <c r="B39" s="73" t="s">
        <v>59</v>
      </c>
      <c r="C39" s="74">
        <f>((O4*K7)*$K$4)*($G$5/2)+((O4*K7)*$K$4)*$G$5</f>
        <v>308.7</v>
      </c>
      <c r="D39" s="72"/>
      <c r="E39" s="75"/>
      <c r="F39" s="76"/>
      <c r="G39" s="74"/>
      <c r="H39" s="77"/>
      <c r="I39" s="75"/>
      <c r="J39" s="76"/>
      <c r="K39" s="74"/>
      <c r="L39" s="77"/>
      <c r="M39" s="75"/>
      <c r="N39" s="76"/>
      <c r="O39" s="74"/>
      <c r="P39" s="77"/>
      <c r="Q39" s="75">
        <v>0</v>
      </c>
      <c r="R39" s="76">
        <f>IF(G8=1,"",Q39*$G$9)</f>
        <v>0</v>
      </c>
      <c r="S39" s="74">
        <f>IF(G8=1,Q39*G7,R39*12)</f>
        <v>0</v>
      </c>
      <c r="T39" s="77"/>
      <c r="U39" s="75">
        <v>0</v>
      </c>
      <c r="V39" s="76">
        <f>IF(G8=1,"",U39*$G$9)</f>
        <v>0</v>
      </c>
      <c r="W39" s="74">
        <f>IF(G8=1,U39*G7,V39*12)</f>
        <v>0</v>
      </c>
      <c r="X39" s="77"/>
      <c r="Y39" s="75">
        <v>0</v>
      </c>
      <c r="Z39" s="76">
        <f>IF(G8=1,"",Y39*$G$9)</f>
        <v>0</v>
      </c>
      <c r="AA39" s="74">
        <f>IF(G8=1,Y39*G7,Z39*12)</f>
        <v>0</v>
      </c>
      <c r="AB39" s="77"/>
      <c r="AC39" s="75">
        <f>AE17*(O5*K7)</f>
        <v>40.5</v>
      </c>
      <c r="AD39" s="76">
        <f>IF(G8=1,"",AC39*$G$9)</f>
        <v>972</v>
      </c>
      <c r="AE39" s="74">
        <f>IF(G8=1,AC39*G7,AD39*12)</f>
        <v>11664</v>
      </c>
      <c r="AF39" s="248"/>
    </row>
    <row r="40" spans="1:806" outlineLevel="1">
      <c r="A40" s="425"/>
      <c r="B40" s="73" t="s">
        <v>4</v>
      </c>
      <c r="C40" s="74">
        <f>(O5*$K$4)*($G$5/2)+(O5*(1-$K$4))*$G$5</f>
        <v>368.55</v>
      </c>
      <c r="D40" s="72"/>
      <c r="E40" s="75">
        <f>G17*C40</f>
        <v>55.282499999999999</v>
      </c>
      <c r="F40" s="76">
        <f>IF(G8=1,"",E40*$G$9)</f>
        <v>1326.78</v>
      </c>
      <c r="G40" s="74">
        <f>IF(G8=1,E40*G7,F40*12)</f>
        <v>15921.36</v>
      </c>
      <c r="H40" s="77"/>
      <c r="I40" s="75">
        <f>K17*O5</f>
        <v>607.5</v>
      </c>
      <c r="J40" s="76">
        <f>IF(G8=1,"",I40*$G$9)</f>
        <v>14580</v>
      </c>
      <c r="K40" s="74">
        <f>IF(G8=1,I40*G7,J40*12)</f>
        <v>174960</v>
      </c>
      <c r="L40" s="77"/>
      <c r="M40" s="75">
        <f>O17*(G11*M5)</f>
        <v>303.75</v>
      </c>
      <c r="N40" s="76">
        <f>IF(G8=1,"",M40*$G$9)</f>
        <v>7290</v>
      </c>
      <c r="O40" s="74">
        <f>IF(G8=1,M40*G7,N40*12)</f>
        <v>87480</v>
      </c>
      <c r="P40" s="77"/>
      <c r="Q40" s="75">
        <f>S17*C40</f>
        <v>55.282499999999999</v>
      </c>
      <c r="R40" s="76">
        <f>IF(G8=1,"",Q40*$G$9)</f>
        <v>1326.78</v>
      </c>
      <c r="S40" s="74">
        <f>IF(G8=1,Q40*G7,R40*12)</f>
        <v>15921.36</v>
      </c>
      <c r="T40" s="77"/>
      <c r="U40" s="75">
        <f>W17*O5</f>
        <v>607.5</v>
      </c>
      <c r="V40" s="76">
        <f>IF(G8=1,"",U40*$G$9)</f>
        <v>14580</v>
      </c>
      <c r="W40" s="74">
        <f>IF(G8=1,U40*G7,V40*12)</f>
        <v>174960</v>
      </c>
      <c r="X40" s="77"/>
      <c r="Y40" s="75">
        <f>AA17*(G11*M5)</f>
        <v>303.75</v>
      </c>
      <c r="Z40" s="76">
        <f>IF(G8=1,"",Y40*$G$9)</f>
        <v>7290</v>
      </c>
      <c r="AA40" s="74">
        <f>IF(G8=1,Y40*G7,Z40*12)</f>
        <v>87480</v>
      </c>
      <c r="AB40" s="77"/>
      <c r="AC40" s="75">
        <f>AE17*O5</f>
        <v>202.5</v>
      </c>
      <c r="AD40" s="76">
        <f>IF(G8=1,"",AC40*$G$9)</f>
        <v>4860</v>
      </c>
      <c r="AE40" s="74">
        <f>IF(G8=1,AC40*G7,AD40*12)</f>
        <v>58320</v>
      </c>
      <c r="AF40" s="248"/>
    </row>
    <row r="41" spans="1:806" outlineLevel="1">
      <c r="A41" s="425"/>
      <c r="B41" s="73" t="s">
        <v>3</v>
      </c>
      <c r="C41" s="74">
        <f>(O6*$K$4)*($G$5/2)+(O6*(1-$K$4))*$G$5</f>
        <v>13.649999999999999</v>
      </c>
      <c r="D41" s="72"/>
      <c r="E41" s="75">
        <f>G17*C41</f>
        <v>2.0474999999999999</v>
      </c>
      <c r="F41" s="76">
        <f>IF(G8=1,"",E41*$G$9)</f>
        <v>49.14</v>
      </c>
      <c r="G41" s="74">
        <f>IF(G8=1,E41*G7,F41*12)</f>
        <v>589.68000000000006</v>
      </c>
      <c r="H41" s="77"/>
      <c r="I41" s="75">
        <f>K17*O6</f>
        <v>22.5</v>
      </c>
      <c r="J41" s="76">
        <f>IF(G8=1,"",I41*$G$9)</f>
        <v>540</v>
      </c>
      <c r="K41" s="74">
        <f>IF(G8=1,I41*G7,J41*12)</f>
        <v>6480</v>
      </c>
      <c r="L41" s="77"/>
      <c r="M41" s="75">
        <f>O17*(G11*M6)</f>
        <v>11.25</v>
      </c>
      <c r="N41" s="76">
        <f>IF(G8=1,"",M41*$G$9)</f>
        <v>270</v>
      </c>
      <c r="O41" s="74">
        <f>IF(G8=1,M41*G7,N41*12)</f>
        <v>3240</v>
      </c>
      <c r="P41" s="77"/>
      <c r="Q41" s="75">
        <f>S17*C41</f>
        <v>2.0474999999999999</v>
      </c>
      <c r="R41" s="76">
        <f>IF(G8=1,"",Q41*$G$9)</f>
        <v>49.14</v>
      </c>
      <c r="S41" s="74">
        <f>IF(G8=1,Q41*G7,R41*12)</f>
        <v>589.68000000000006</v>
      </c>
      <c r="T41" s="77"/>
      <c r="U41" s="75">
        <f>W17*O6</f>
        <v>22.5</v>
      </c>
      <c r="V41" s="76">
        <f>IF(G8=1,"",U41*$G$9)</f>
        <v>540</v>
      </c>
      <c r="W41" s="74">
        <f>IF(G8=1,U41*G7,V41*12)</f>
        <v>6480</v>
      </c>
      <c r="X41" s="77"/>
      <c r="Y41" s="75">
        <f>AA17*(G11*M6)</f>
        <v>11.25</v>
      </c>
      <c r="Z41" s="76">
        <f>IF(G8=1,"",Y41*$G$9)</f>
        <v>270</v>
      </c>
      <c r="AA41" s="74">
        <f>IF(G8=1,Y41*G7,Z41*12)</f>
        <v>3240</v>
      </c>
      <c r="AB41" s="77"/>
      <c r="AC41" s="75">
        <f>AE17*O6</f>
        <v>7.5</v>
      </c>
      <c r="AD41" s="76">
        <f>IF(G8=1,"",AC41*$G$9)</f>
        <v>180</v>
      </c>
      <c r="AE41" s="74">
        <f>IF(G8=1,AC41*G7,AD41*12)</f>
        <v>2160</v>
      </c>
      <c r="AF41" s="248"/>
    </row>
    <row r="42" spans="1:806" outlineLevel="1">
      <c r="A42" s="425"/>
      <c r="B42" s="73" t="s">
        <v>28</v>
      </c>
      <c r="C42" s="74">
        <f>(O7*$K$4)*($G$5/2)+(O7*(1-$K$4))*$G$5</f>
        <v>13.649999999999999</v>
      </c>
      <c r="D42" s="72"/>
      <c r="E42" s="75">
        <f>G17*C42</f>
        <v>2.0474999999999999</v>
      </c>
      <c r="F42" s="76">
        <f>IF(G8=1,"",E42*$G$9)</f>
        <v>49.14</v>
      </c>
      <c r="G42" s="74">
        <f>IF(G8=1,E42*G7,F42*12)</f>
        <v>589.68000000000006</v>
      </c>
      <c r="H42" s="77"/>
      <c r="I42" s="75">
        <f>K17*O7</f>
        <v>22.5</v>
      </c>
      <c r="J42" s="76">
        <f>IF(G8=1,"",I42*$G$9)</f>
        <v>540</v>
      </c>
      <c r="K42" s="74">
        <f>IF(G8=1,I42*G7,J42*12)</f>
        <v>6480</v>
      </c>
      <c r="L42" s="77"/>
      <c r="M42" s="75">
        <f>O17*(G11*M7)</f>
        <v>11.25</v>
      </c>
      <c r="N42" s="76">
        <f>IF(G8=1,"",M42*$G$9)</f>
        <v>270</v>
      </c>
      <c r="O42" s="74">
        <f>IF(G8=1,M42*G7,N42*12)</f>
        <v>3240</v>
      </c>
      <c r="P42" s="77"/>
      <c r="Q42" s="75">
        <f>S17*C42</f>
        <v>2.0474999999999999</v>
      </c>
      <c r="R42" s="76">
        <f>IF(G8=1,"",Q42*$G$9)</f>
        <v>49.14</v>
      </c>
      <c r="S42" s="74">
        <f>IF(G8=1,Q42*G7,R42*12)</f>
        <v>589.68000000000006</v>
      </c>
      <c r="T42" s="77"/>
      <c r="U42" s="75">
        <f>W17*O7</f>
        <v>22.5</v>
      </c>
      <c r="V42" s="76">
        <f>IF(G8=1,"",U42*$G$9)</f>
        <v>540</v>
      </c>
      <c r="W42" s="74">
        <f>IF(G8=1,U42*G7,V42*12)</f>
        <v>6480</v>
      </c>
      <c r="X42" s="77"/>
      <c r="Y42" s="75">
        <f>AA17*(G11*M7)</f>
        <v>11.25</v>
      </c>
      <c r="Z42" s="76">
        <f>IF(G8=1,"",Y42*$G$9)</f>
        <v>270</v>
      </c>
      <c r="AA42" s="74">
        <f>IF(G8=1,Y42*G7,Z42*12)</f>
        <v>3240</v>
      </c>
      <c r="AB42" s="77"/>
      <c r="AC42" s="75">
        <f>AE17*O7</f>
        <v>7.5</v>
      </c>
      <c r="AD42" s="76">
        <f>IF(G8=1,"",AC42*$G$9)</f>
        <v>180</v>
      </c>
      <c r="AE42" s="74">
        <f>IF(G8=1,AC42*G7,AD42*12)</f>
        <v>2160</v>
      </c>
      <c r="AF42" s="248"/>
    </row>
    <row r="43" spans="1:806" outlineLevel="1">
      <c r="A43" s="425"/>
      <c r="B43" s="78" t="s">
        <v>29</v>
      </c>
      <c r="C43" s="79">
        <f>(O8*$K$4)*($G$5/2)+(O8*(1-$K$4))*$G$5</f>
        <v>13.649999999999999</v>
      </c>
      <c r="D43" s="72"/>
      <c r="E43" s="80">
        <f>G17*C43</f>
        <v>2.0474999999999999</v>
      </c>
      <c r="F43" s="81">
        <f>IF(G8=1,"",E43*$G$9)</f>
        <v>49.14</v>
      </c>
      <c r="G43" s="79">
        <f>IF(G8=1,E43*G7,F43*12)</f>
        <v>589.68000000000006</v>
      </c>
      <c r="H43" s="77"/>
      <c r="I43" s="80">
        <f>K17*O8</f>
        <v>22.5</v>
      </c>
      <c r="J43" s="81">
        <f>IF(G8=1,"",I43*$G$9)</f>
        <v>540</v>
      </c>
      <c r="K43" s="79">
        <f>IF(G8=1,I43*G7,J43*12)</f>
        <v>6480</v>
      </c>
      <c r="L43" s="77"/>
      <c r="M43" s="80">
        <f>O17*(G11*M8)</f>
        <v>11.25</v>
      </c>
      <c r="N43" s="81">
        <f>IF(G8=1,"",M43*$G$9)</f>
        <v>270</v>
      </c>
      <c r="O43" s="79">
        <f>IF(G8=1,M43*G7,N43*12)</f>
        <v>3240</v>
      </c>
      <c r="P43" s="77"/>
      <c r="Q43" s="80">
        <f>S17*C43</f>
        <v>2.0474999999999999</v>
      </c>
      <c r="R43" s="81">
        <f>IF(G8=1,"",Q43*$G$9)</f>
        <v>49.14</v>
      </c>
      <c r="S43" s="79">
        <f>IF(G8=1,Q43*G7,R43*12)</f>
        <v>589.68000000000006</v>
      </c>
      <c r="T43" s="77"/>
      <c r="U43" s="80">
        <f>W17*O8</f>
        <v>22.5</v>
      </c>
      <c r="V43" s="81">
        <f>IF(G8=1,"",U43*$G$9)</f>
        <v>540</v>
      </c>
      <c r="W43" s="79">
        <f>IF(G8=1,U43*G7,V43*12)</f>
        <v>6480</v>
      </c>
      <c r="X43" s="77"/>
      <c r="Y43" s="80">
        <f>AA17*(G11*M8)</f>
        <v>11.25</v>
      </c>
      <c r="Z43" s="81">
        <f>IF(G8=1,"",Y43*$G$9)</f>
        <v>270</v>
      </c>
      <c r="AA43" s="79">
        <f>IF(G8=1,Y43*G7,Z43*12)</f>
        <v>3240</v>
      </c>
      <c r="AB43" s="77"/>
      <c r="AC43" s="80">
        <f>AE17*O8</f>
        <v>7.5</v>
      </c>
      <c r="AD43" s="81">
        <f>IF(G8=1,"",AC43*$G$9)</f>
        <v>180</v>
      </c>
      <c r="AE43" s="79">
        <f>IF(G8=1,AC43*G7,AD43*12)</f>
        <v>2160</v>
      </c>
      <c r="AF43" s="248"/>
    </row>
    <row r="44" spans="1:806" ht="15.75" outlineLevel="1">
      <c r="A44" s="426"/>
      <c r="B44" s="12" t="s">
        <v>60</v>
      </c>
      <c r="C44" s="13">
        <f>SUM(C37:C43)</f>
        <v>2261.7000000000003</v>
      </c>
      <c r="D44" s="72"/>
      <c r="E44" s="9">
        <f>SUM(E37:E43)</f>
        <v>61.424999999999997</v>
      </c>
      <c r="F44" s="10">
        <f>IF(G8=1,"",SUM(F37:F43))</f>
        <v>1474.2000000000003</v>
      </c>
      <c r="G44" s="11">
        <f t="shared" ref="G44" si="3">SUM(G37:G43)</f>
        <v>17690.400000000001</v>
      </c>
      <c r="H44" s="77"/>
      <c r="I44" s="9">
        <f>SUM(I37:I43)</f>
        <v>675</v>
      </c>
      <c r="J44" s="10">
        <f>IF(G8=1,"",SUM(J37:J43))</f>
        <v>16200</v>
      </c>
      <c r="K44" s="11">
        <f t="shared" ref="K44" si="4">SUM(K37:K43)</f>
        <v>194400</v>
      </c>
      <c r="L44" s="77"/>
      <c r="M44" s="9">
        <f>SUM(M37:M43)</f>
        <v>337.5</v>
      </c>
      <c r="N44" s="10">
        <f>IF(G8=1,"",SUM(N37:N43))</f>
        <v>8100</v>
      </c>
      <c r="O44" s="11">
        <f t="shared" ref="O44" si="5">SUM(O37:O43)</f>
        <v>97200</v>
      </c>
      <c r="P44" s="77"/>
      <c r="Q44" s="9">
        <f>SUM(Q37:Q43)</f>
        <v>61.424999999999997</v>
      </c>
      <c r="R44" s="10">
        <f>IF(G8=1,"",SUM(R37:R43))</f>
        <v>1474.2000000000003</v>
      </c>
      <c r="S44" s="11">
        <f t="shared" ref="S44" si="6">SUM(S37:S43)</f>
        <v>17690.400000000001</v>
      </c>
      <c r="T44" s="77"/>
      <c r="U44" s="9">
        <f>SUM(U37:U43)</f>
        <v>675</v>
      </c>
      <c r="V44" s="10">
        <f>IF(G8=1,"",SUM(V37:V43))</f>
        <v>16200</v>
      </c>
      <c r="W44" s="11">
        <f t="shared" ref="W44" si="7">SUM(W37:W43)</f>
        <v>194400</v>
      </c>
      <c r="X44" s="77"/>
      <c r="Y44" s="9">
        <f>SUM(Y37:Y43)</f>
        <v>337.5</v>
      </c>
      <c r="Z44" s="10">
        <f>IF(G8=1,"",SUM(Z37:Z43))</f>
        <v>8100</v>
      </c>
      <c r="AA44" s="11">
        <f t="shared" ref="AA44" si="8">SUM(AA37:AA43)</f>
        <v>97200</v>
      </c>
      <c r="AB44" s="77"/>
      <c r="AC44" s="9">
        <f>SUM(AC37:AC43)</f>
        <v>790.5</v>
      </c>
      <c r="AD44" s="10">
        <f>IF(G8=1,"",SUM(AD37:AD43))</f>
        <v>18972</v>
      </c>
      <c r="AE44" s="11">
        <f t="shared" ref="AE44" si="9">SUM(AE37:AE43)</f>
        <v>227664</v>
      </c>
      <c r="AF44" s="248"/>
    </row>
    <row r="45" spans="1:806" ht="15" customHeight="1" outlineLevel="1">
      <c r="A45" s="407" t="s">
        <v>34</v>
      </c>
      <c r="B45" s="399" t="s">
        <v>5</v>
      </c>
      <c r="C45" s="400"/>
      <c r="D45" s="72"/>
      <c r="E45" s="75"/>
      <c r="F45" s="102"/>
      <c r="G45" s="74"/>
      <c r="H45" s="77"/>
      <c r="I45" s="75"/>
      <c r="J45" s="102"/>
      <c r="K45" s="74"/>
      <c r="L45" s="77"/>
      <c r="M45" s="75"/>
      <c r="N45" s="102"/>
      <c r="O45" s="74"/>
      <c r="P45" s="77"/>
      <c r="Q45" s="75">
        <f>IF(S23=2,0,O4*K4)</f>
        <v>73.5</v>
      </c>
      <c r="R45" s="76">
        <f>IF(G8=1,"",Q45*$G$9)</f>
        <v>1764</v>
      </c>
      <c r="S45" s="74">
        <f>IF(G8=1,Q45*G7,R45*12)</f>
        <v>21168</v>
      </c>
      <c r="T45" s="77"/>
      <c r="U45" s="75">
        <f>IF(W23=2,0,O4*K4)</f>
        <v>73.5</v>
      </c>
      <c r="V45" s="76">
        <f>IF(G8=1,"",U45*$G$9)</f>
        <v>1764</v>
      </c>
      <c r="W45" s="74">
        <f>IF(G8=1,U45*G7,V45*12)</f>
        <v>21168</v>
      </c>
      <c r="X45" s="77"/>
      <c r="Y45" s="75">
        <f>IF(AA23=2,0,S4*O4)</f>
        <v>21</v>
      </c>
      <c r="Z45" s="76">
        <f>IF(G8=1,"",Y45*$G$9)</f>
        <v>504</v>
      </c>
      <c r="AA45" s="74">
        <f>IF(G8=1,Y45*G7,Z45*12)</f>
        <v>6048</v>
      </c>
      <c r="AB45" s="77"/>
      <c r="AC45" s="75">
        <f>IF(AE23=2,0,S4*O4)</f>
        <v>21</v>
      </c>
      <c r="AD45" s="76">
        <f>IF(G8=1,"",AC45*$G$9)</f>
        <v>504</v>
      </c>
      <c r="AE45" s="74">
        <f>IF(G8=1,AC45*G7,AD45*12)</f>
        <v>6048</v>
      </c>
      <c r="AF45" s="248"/>
    </row>
    <row r="46" spans="1:806" outlineLevel="1">
      <c r="A46" s="408"/>
      <c r="B46" s="73" t="s">
        <v>63</v>
      </c>
      <c r="C46" s="74">
        <f>SUM(C38,C40:C43)</f>
        <v>1489.95</v>
      </c>
      <c r="D46" s="72"/>
      <c r="E46" s="75">
        <f>IF(G18=2,0,S6*C46)</f>
        <v>52.148250000000004</v>
      </c>
      <c r="F46" s="76">
        <f>IF($G$8=1,"",E46*$G$9)</f>
        <v>1251.558</v>
      </c>
      <c r="G46" s="74">
        <f>IF($G$8=1,E46*$G$7,F46*12)</f>
        <v>15018.696</v>
      </c>
      <c r="H46" s="77"/>
      <c r="I46" s="75">
        <f>IF(K18=2,0,S6*C46)</f>
        <v>52.148250000000004</v>
      </c>
      <c r="J46" s="76">
        <f>IF($G$8=1,"",I46*$G$9)</f>
        <v>1251.558</v>
      </c>
      <c r="K46" s="74">
        <f>IF($G$8=1,I46*$G$7,J46*12)</f>
        <v>15018.696</v>
      </c>
      <c r="L46" s="77"/>
      <c r="M46" s="75">
        <f>IF(O18=2,0,S6*C46)</f>
        <v>52.148250000000004</v>
      </c>
      <c r="N46" s="76">
        <f>IF($G$8=1,"",M46*$G$9)</f>
        <v>1251.558</v>
      </c>
      <c r="O46" s="74">
        <f>IF($G$8=1,M46*$G$7,N46*12)</f>
        <v>15018.696</v>
      </c>
      <c r="P46" s="77"/>
      <c r="Q46" s="75">
        <f>IF(S18=2,0,S6*C46)</f>
        <v>52.148250000000004</v>
      </c>
      <c r="R46" s="76">
        <f>IF(G8=1,"",Q46*$G$9)</f>
        <v>1251.558</v>
      </c>
      <c r="S46" s="74">
        <f>IF(G8=1,Q46*G7,R46*12)</f>
        <v>15018.696</v>
      </c>
      <c r="T46" s="77"/>
      <c r="U46" s="75">
        <f>IF(W18=2,0,S6*C46)</f>
        <v>52.148250000000004</v>
      </c>
      <c r="V46" s="76">
        <f>IF(G8=1,"",U46*$G$9)</f>
        <v>1251.558</v>
      </c>
      <c r="W46" s="74">
        <f>IF(G8=1,U46*G7,V46*12)</f>
        <v>15018.696</v>
      </c>
      <c r="X46" s="77"/>
      <c r="Y46" s="75">
        <f>IF(AA18=2,0,S6*C46)</f>
        <v>52.148250000000004</v>
      </c>
      <c r="Z46" s="76">
        <f>IF(G8=1,"",Y46*$G$9)</f>
        <v>1251.558</v>
      </c>
      <c r="AA46" s="74">
        <f>IF(G8=1,Y46*G7,Z46*12)</f>
        <v>15018.696</v>
      </c>
      <c r="AB46" s="77"/>
      <c r="AC46" s="75">
        <f>IF(AE18=2,0,S6*C46)</f>
        <v>52.148250000000004</v>
      </c>
      <c r="AD46" s="76">
        <f>IF(G8=1,"",AC46*$G$9)</f>
        <v>1251.558</v>
      </c>
      <c r="AE46" s="74">
        <f>IF(G8=1,AC46*G7,AD46*12)</f>
        <v>15018.696</v>
      </c>
      <c r="AF46" s="248"/>
    </row>
    <row r="47" spans="1:806" outlineLevel="1">
      <c r="A47" s="408"/>
      <c r="B47" s="73" t="s">
        <v>64</v>
      </c>
      <c r="C47" s="74">
        <f>C39</f>
        <v>308.7</v>
      </c>
      <c r="D47" s="72"/>
      <c r="E47" s="75"/>
      <c r="F47" s="76"/>
      <c r="G47" s="74"/>
      <c r="H47" s="77"/>
      <c r="I47" s="75"/>
      <c r="J47" s="76"/>
      <c r="K47" s="74"/>
      <c r="L47" s="77"/>
      <c r="M47" s="75"/>
      <c r="N47" s="76"/>
      <c r="O47" s="74"/>
      <c r="P47" s="77"/>
      <c r="Q47" s="75">
        <f>IF(S18=2,0,S7*C47)</f>
        <v>7.7175000000000002</v>
      </c>
      <c r="R47" s="76">
        <f>IF(G8=1,"",Q47*$G$9)</f>
        <v>185.22</v>
      </c>
      <c r="S47" s="74">
        <f>IF(G8=1,Q47*G7,R47*12)</f>
        <v>2222.64</v>
      </c>
      <c r="T47" s="77"/>
      <c r="U47" s="75">
        <f>IF(W18=2,0,S7*C47)</f>
        <v>7.7175000000000002</v>
      </c>
      <c r="V47" s="76">
        <f>IF(G8=1,"",U47*$G$9)</f>
        <v>185.22</v>
      </c>
      <c r="W47" s="74">
        <f>IF(G8=1,U47*G7,V47*12)</f>
        <v>2222.64</v>
      </c>
      <c r="X47" s="77"/>
      <c r="Y47" s="75">
        <f>IF(AA18=2,0,S7*C47)</f>
        <v>7.7175000000000002</v>
      </c>
      <c r="Z47" s="76">
        <f>IF(G8=1,"",Y47*$G$9)</f>
        <v>185.22</v>
      </c>
      <c r="AA47" s="74">
        <f>IF(G8=1,Y47*G7,Z47*12)</f>
        <v>2222.64</v>
      </c>
      <c r="AB47" s="77"/>
      <c r="AC47" s="75">
        <f>IF(AE18=2,0,S7*C47)</f>
        <v>7.7175000000000002</v>
      </c>
      <c r="AD47" s="76">
        <f>IF(G8=1,"",AC47*$G$9)</f>
        <v>185.22</v>
      </c>
      <c r="AE47" s="74">
        <f>IF(G8=1,AC47*G7,AD47*12)</f>
        <v>2222.64</v>
      </c>
      <c r="AF47" s="248"/>
    </row>
    <row r="48" spans="1:806" outlineLevel="1">
      <c r="A48" s="408"/>
      <c r="B48" s="403" t="str">
        <f>Q8</f>
        <v>Tx Antec. Cartão Crédito</v>
      </c>
      <c r="C48" s="404"/>
      <c r="D48" s="72"/>
      <c r="E48" s="75">
        <f>IF(G19=2,0,S8*C46)</f>
        <v>0</v>
      </c>
      <c r="F48" s="76">
        <f>IF($G$8=1,"",E48*$G$9)</f>
        <v>0</v>
      </c>
      <c r="G48" s="74">
        <f>IF($G$8=1,E48*$G$7,F48*12)</f>
        <v>0</v>
      </c>
      <c r="H48" s="77"/>
      <c r="I48" s="75">
        <f>IF(K19=2,0,S8*C46)</f>
        <v>0</v>
      </c>
      <c r="J48" s="76">
        <f>IF($G$8=1,"",I48*$G$9)</f>
        <v>0</v>
      </c>
      <c r="K48" s="74">
        <f>IF($G$8=1,I48*$G$7,J48*12)</f>
        <v>0</v>
      </c>
      <c r="L48" s="77"/>
      <c r="M48" s="75">
        <f>IF(O19=2,0,S8*C46)</f>
        <v>0</v>
      </c>
      <c r="N48" s="76">
        <f>IF($G$8=1,"",M48*$G$9)</f>
        <v>0</v>
      </c>
      <c r="O48" s="74">
        <f>IF($G$8=1,M48*$G$7,N48*12)</f>
        <v>0</v>
      </c>
      <c r="P48" s="77"/>
      <c r="Q48" s="75">
        <f>IF(S19=2,0,S8*C46)</f>
        <v>0</v>
      </c>
      <c r="R48" s="76">
        <f>IF(G8=1,"",Q48*$G$9)</f>
        <v>0</v>
      </c>
      <c r="S48" s="74">
        <f>IF(G8=1,Q48*G7,R48*12)</f>
        <v>0</v>
      </c>
      <c r="T48" s="77"/>
      <c r="U48" s="75">
        <f>IF(W19=2,0,S8*C46)</f>
        <v>0</v>
      </c>
      <c r="V48" s="76">
        <f>IF(G8=1,"",U48*$G$9)</f>
        <v>0</v>
      </c>
      <c r="W48" s="74">
        <f>IF(G8=1,U48*G7,V48*12)</f>
        <v>0</v>
      </c>
      <c r="X48" s="77"/>
      <c r="Y48" s="75">
        <f>IF(AA19=2,0,S8*C46)</f>
        <v>0</v>
      </c>
      <c r="Z48" s="76">
        <f>IF(G8=1,"",Y48*$G$9)</f>
        <v>0</v>
      </c>
      <c r="AA48" s="74">
        <f>IF(G8=1,Y48*G7,Z48*12)</f>
        <v>0</v>
      </c>
      <c r="AB48" s="77"/>
      <c r="AC48" s="75">
        <f>IF(AE19=2,0,S8*C46)</f>
        <v>0</v>
      </c>
      <c r="AD48" s="76">
        <f>IF(G8=1,"",AC48*$G$9)</f>
        <v>0</v>
      </c>
      <c r="AE48" s="74">
        <f>IF(G8=1,AC48*G7,AD48*12)</f>
        <v>0</v>
      </c>
      <c r="AF48" s="248"/>
    </row>
    <row r="49" spans="1:40" outlineLevel="1">
      <c r="A49" s="408"/>
      <c r="B49" s="403" t="s">
        <v>37</v>
      </c>
      <c r="C49" s="404"/>
      <c r="D49" s="72"/>
      <c r="E49" s="75">
        <f>IF(G20=2,0,S9*C46)</f>
        <v>0</v>
      </c>
      <c r="F49" s="76">
        <f>IF($G$8=1,"",E49*$G$9)</f>
        <v>0</v>
      </c>
      <c r="G49" s="74">
        <f>IF($G$8=1,E49*$G$7,F49*12)</f>
        <v>0</v>
      </c>
      <c r="H49" s="77"/>
      <c r="I49" s="75">
        <f>IF(K20=2,0,S9*C46)</f>
        <v>0</v>
      </c>
      <c r="J49" s="76">
        <f>IF($G$8=1,"",I49*$G$9)</f>
        <v>0</v>
      </c>
      <c r="K49" s="74">
        <f>IF($G$8=1,I49*$G$7,J49*12)</f>
        <v>0</v>
      </c>
      <c r="L49" s="77"/>
      <c r="M49" s="75">
        <f>IF(O20=2,0,S9*C46)</f>
        <v>0</v>
      </c>
      <c r="N49" s="76">
        <f>IF($G$8=1,"",M49*$G$9)</f>
        <v>0</v>
      </c>
      <c r="O49" s="74">
        <f>IF($G$8=1,M49*$G$7,N49*12)</f>
        <v>0</v>
      </c>
      <c r="P49" s="77"/>
      <c r="Q49" s="75">
        <f>IF(S20=2,0,S9*C46)</f>
        <v>0</v>
      </c>
      <c r="R49" s="76">
        <f>IF(G8=1,"",Q49*$G$9)</f>
        <v>0</v>
      </c>
      <c r="S49" s="74">
        <f>IF(G8=1,Q49*G7,R49*12)</f>
        <v>0</v>
      </c>
      <c r="T49" s="77"/>
      <c r="U49" s="75">
        <f>IF(W20=2,0,S9*C46)</f>
        <v>0</v>
      </c>
      <c r="V49" s="76">
        <f>IF(G8=1,"",U49*$G$9)</f>
        <v>0</v>
      </c>
      <c r="W49" s="74">
        <f>IF(G8=1,U49*G7,V49*12)</f>
        <v>0</v>
      </c>
      <c r="X49" s="77"/>
      <c r="Y49" s="75">
        <f>IF(AA20=2,0,S9*C46)</f>
        <v>0</v>
      </c>
      <c r="Z49" s="76">
        <f>IF(G8=1,"",Y49*$G$9)</f>
        <v>0</v>
      </c>
      <c r="AA49" s="74">
        <f>IF(G8=1,Y49*G7,Z49*12)</f>
        <v>0</v>
      </c>
      <c r="AB49" s="77"/>
      <c r="AC49" s="75">
        <f>IF(AE20=2,0,S9*C46)</f>
        <v>0</v>
      </c>
      <c r="AD49" s="76">
        <f>IF(G8=1,"",AC49*$G$9)</f>
        <v>0</v>
      </c>
      <c r="AE49" s="74">
        <f>IF(G8=1,AC49*G7,AD49*12)</f>
        <v>0</v>
      </c>
      <c r="AF49" s="248"/>
    </row>
    <row r="50" spans="1:40" outlineLevel="1">
      <c r="A50" s="408"/>
      <c r="B50" s="403" t="s">
        <v>176</v>
      </c>
      <c r="C50" s="404"/>
      <c r="D50" s="72"/>
      <c r="E50" s="75">
        <f>IF(G22=2,0,$AD$11)</f>
        <v>0</v>
      </c>
      <c r="F50" s="102">
        <f>IF($G$8=1,"",E50*$AF$11)</f>
        <v>0</v>
      </c>
      <c r="G50" s="74">
        <f>IF($G$8=1,$AE$11,F50)</f>
        <v>0</v>
      </c>
      <c r="H50" s="77"/>
      <c r="I50" s="75">
        <f>IF(K22=2,0,$AD$11)</f>
        <v>0</v>
      </c>
      <c r="J50" s="102">
        <f>IF($G$8=1,"",I50*$AF$11)</f>
        <v>0</v>
      </c>
      <c r="K50" s="74">
        <f>IF($G$8=1,$AE$11,J50)</f>
        <v>0</v>
      </c>
      <c r="L50" s="77"/>
      <c r="M50" s="75">
        <f>IF(O22=2,0,$AD$11)</f>
        <v>0</v>
      </c>
      <c r="N50" s="102">
        <f>IF($G$8=1,"",M50*$AF$11)</f>
        <v>0</v>
      </c>
      <c r="O50" s="74">
        <f>IF($G$8=1,$AE$11,N50)</f>
        <v>0</v>
      </c>
      <c r="P50" s="77"/>
      <c r="Q50" s="75">
        <f>IF(S22=1,$AD$11,0)</f>
        <v>0</v>
      </c>
      <c r="R50" s="102">
        <f>IF($G$8=1,"",Q50*$AF$11)</f>
        <v>0</v>
      </c>
      <c r="S50" s="74">
        <f>IF($G$8=1,$AE$11,R50)</f>
        <v>0</v>
      </c>
      <c r="T50" s="77"/>
      <c r="U50" s="75">
        <f>IF(W22=1,$AD$11,0)</f>
        <v>0</v>
      </c>
      <c r="V50" s="102">
        <f>IF($G$8=1,"",U50*$AF$11)</f>
        <v>0</v>
      </c>
      <c r="W50" s="74">
        <f>IF($G$8=1,$AE$11,V50)</f>
        <v>0</v>
      </c>
      <c r="X50" s="77"/>
      <c r="Y50" s="75">
        <f>IF(AA22=1,$AD$11,0)</f>
        <v>0</v>
      </c>
      <c r="Z50" s="102">
        <f>IF($G$8=1,"",Y50*$AF$11)</f>
        <v>0</v>
      </c>
      <c r="AA50" s="74">
        <f>IF($G$8=1,$AE$11,Z50)</f>
        <v>0</v>
      </c>
      <c r="AB50" s="77"/>
      <c r="AC50" s="75">
        <f>IF(AE22=1,$AD$11,0)</f>
        <v>0</v>
      </c>
      <c r="AD50" s="102">
        <f>IF($G$8=1,"",AC50*$AF$11)</f>
        <v>0</v>
      </c>
      <c r="AE50" s="74">
        <f>IF($G$8=1,$AE$11,AD50)</f>
        <v>0</v>
      </c>
      <c r="AF50" s="248"/>
    </row>
    <row r="51" spans="1:40" outlineLevel="1">
      <c r="A51" s="408"/>
      <c r="B51" s="125" t="str">
        <f>U11</f>
        <v>Sistema Ingresso CI</v>
      </c>
      <c r="C51" s="126"/>
      <c r="D51" s="72"/>
      <c r="E51" s="75"/>
      <c r="F51" s="76"/>
      <c r="G51" s="74"/>
      <c r="H51" s="77"/>
      <c r="I51" s="75"/>
      <c r="J51" s="76"/>
      <c r="K51" s="74"/>
      <c r="L51" s="77"/>
      <c r="M51" s="75"/>
      <c r="N51" s="76"/>
      <c r="O51" s="74"/>
      <c r="P51" s="77"/>
      <c r="Q51" s="75">
        <f>IF(S24=2,0,$V$11)</f>
        <v>0</v>
      </c>
      <c r="R51" s="76">
        <f>IF(G8=1,"",Q51*$G$9)</f>
        <v>0</v>
      </c>
      <c r="S51" s="74">
        <f>IF(G8=1,Q51*G7,R51*12)</f>
        <v>0</v>
      </c>
      <c r="T51" s="77"/>
      <c r="U51" s="75">
        <f>IF(W24=2,0,$V$11)</f>
        <v>0</v>
      </c>
      <c r="V51" s="76">
        <f>IF(G8=1,"",U51*$G$9)</f>
        <v>0</v>
      </c>
      <c r="W51" s="74">
        <f>IF(G8=1,U51*G7,V51*12)</f>
        <v>0</v>
      </c>
      <c r="X51" s="77"/>
      <c r="Y51" s="75">
        <f>IF(AA24=2,0,$V$11)</f>
        <v>0</v>
      </c>
      <c r="Z51" s="76">
        <f>IF(G8=1,"",Y51*$G$9)</f>
        <v>0</v>
      </c>
      <c r="AA51" s="74">
        <f>IF(G8=1,Y51*G7,Z51*12)</f>
        <v>0</v>
      </c>
      <c r="AB51" s="77"/>
      <c r="AC51" s="75">
        <f>IF(AE24=2,0,$V$11)</f>
        <v>0</v>
      </c>
      <c r="AD51" s="76">
        <f>IF(G8=1,"",AC51*$G$9)</f>
        <v>0</v>
      </c>
      <c r="AE51" s="74">
        <f>IF(G8=1,AC51*G7,AD51*12)</f>
        <v>0</v>
      </c>
      <c r="AF51" s="248"/>
    </row>
    <row r="52" spans="1:40" outlineLevel="1">
      <c r="A52" s="408"/>
      <c r="B52" s="403" t="s">
        <v>42</v>
      </c>
      <c r="C52" s="404"/>
      <c r="D52" s="72"/>
      <c r="E52" s="75"/>
      <c r="F52" s="102"/>
      <c r="G52" s="74"/>
      <c r="H52" s="77"/>
      <c r="I52" s="75"/>
      <c r="J52" s="102"/>
      <c r="K52" s="74"/>
      <c r="L52" s="77"/>
      <c r="M52" s="75"/>
      <c r="N52" s="102"/>
      <c r="O52" s="74"/>
      <c r="P52" s="77"/>
      <c r="Q52" s="75">
        <f t="shared" ref="Q52:Q58" si="10">IF(S25=2,0,V4)</f>
        <v>0</v>
      </c>
      <c r="R52" s="76">
        <f>IF(G8=1,"",Q52*$G$9)</f>
        <v>0</v>
      </c>
      <c r="S52" s="74">
        <f>IF(G8=1,Q52*G7,R52*12)</f>
        <v>0</v>
      </c>
      <c r="T52" s="77"/>
      <c r="U52" s="75">
        <f t="shared" ref="U52:U58" si="11">IF(W25=2,0,V4)</f>
        <v>0</v>
      </c>
      <c r="V52" s="76">
        <f>IF(G8=1,"",U52*$G$9)</f>
        <v>0</v>
      </c>
      <c r="W52" s="74">
        <f>IF(G8=1,U52*G7,V52*12)</f>
        <v>0</v>
      </c>
      <c r="X52" s="77"/>
      <c r="Y52" s="75">
        <f t="shared" ref="Y52:Y58" si="12">IF(AA25=2,0,V4)</f>
        <v>0</v>
      </c>
      <c r="Z52" s="76">
        <f>IF(G8=1,"",Y52*$G$9)</f>
        <v>0</v>
      </c>
      <c r="AA52" s="74">
        <f>IF(G8=1,Y52*G7,Z52*12)</f>
        <v>0</v>
      </c>
      <c r="AB52" s="77"/>
      <c r="AC52" s="75">
        <f t="shared" ref="AC52:AC58" si="13">IF(AE25=2,0,V4)</f>
        <v>0</v>
      </c>
      <c r="AD52" s="76">
        <f>IF(G8=1,"",AC52*$G$9)</f>
        <v>0</v>
      </c>
      <c r="AE52" s="74">
        <f>IF(G8=1,AC52*G7,AD52*12)</f>
        <v>0</v>
      </c>
      <c r="AF52" s="248"/>
    </row>
    <row r="53" spans="1:40" outlineLevel="1">
      <c r="A53" s="408"/>
      <c r="B53" s="403" t="s">
        <v>31</v>
      </c>
      <c r="C53" s="404"/>
      <c r="D53" s="72"/>
      <c r="E53" s="75"/>
      <c r="F53" s="102"/>
      <c r="G53" s="74"/>
      <c r="H53" s="77"/>
      <c r="I53" s="75"/>
      <c r="J53" s="102"/>
      <c r="K53" s="74"/>
      <c r="L53" s="77"/>
      <c r="M53" s="75"/>
      <c r="N53" s="102"/>
      <c r="O53" s="74"/>
      <c r="P53" s="77"/>
      <c r="Q53" s="75">
        <f t="shared" si="10"/>
        <v>0</v>
      </c>
      <c r="R53" s="76">
        <f>IF(G8=1,"",Q53*$G$9)</f>
        <v>0</v>
      </c>
      <c r="S53" s="74">
        <f>IF(G8=1,Q53*G7,R53*12)</f>
        <v>0</v>
      </c>
      <c r="T53" s="77"/>
      <c r="U53" s="75">
        <f t="shared" si="11"/>
        <v>0</v>
      </c>
      <c r="V53" s="76">
        <f>IF(G8=1,"",U53*$G$9)</f>
        <v>0</v>
      </c>
      <c r="W53" s="74">
        <f>IF(G8=1,U53*G7,V53*12)</f>
        <v>0</v>
      </c>
      <c r="X53" s="77"/>
      <c r="Y53" s="75">
        <f t="shared" si="12"/>
        <v>0</v>
      </c>
      <c r="Z53" s="76">
        <f>IF(G8=1,"",Y53*$G$9)</f>
        <v>0</v>
      </c>
      <c r="AA53" s="74">
        <f>IF(G8=1,Y53*G7,Z53*12)</f>
        <v>0</v>
      </c>
      <c r="AB53" s="77"/>
      <c r="AC53" s="75">
        <f t="shared" si="13"/>
        <v>0</v>
      </c>
      <c r="AD53" s="76">
        <f>IF(G8=1,"",AC53*$G$9)</f>
        <v>0</v>
      </c>
      <c r="AE53" s="74">
        <f>IF(G8=1,AC53*G7,AD53*12)</f>
        <v>0</v>
      </c>
      <c r="AF53" s="248"/>
    </row>
    <row r="54" spans="1:40" outlineLevel="1">
      <c r="A54" s="408"/>
      <c r="B54" s="403" t="s">
        <v>35</v>
      </c>
      <c r="C54" s="404"/>
      <c r="D54" s="72"/>
      <c r="E54" s="75"/>
      <c r="F54" s="102"/>
      <c r="G54" s="74"/>
      <c r="H54" s="77"/>
      <c r="I54" s="75"/>
      <c r="J54" s="102"/>
      <c r="K54" s="74"/>
      <c r="L54" s="77"/>
      <c r="M54" s="75"/>
      <c r="N54" s="102"/>
      <c r="O54" s="74"/>
      <c r="P54" s="77"/>
      <c r="Q54" s="75">
        <f t="shared" si="10"/>
        <v>0</v>
      </c>
      <c r="R54" s="76">
        <f>IF(G8=1,"",Q54*$G$9)</f>
        <v>0</v>
      </c>
      <c r="S54" s="74">
        <f>IF(G8=1,Q54*G7,R54*12)</f>
        <v>0</v>
      </c>
      <c r="T54" s="77"/>
      <c r="U54" s="75">
        <f t="shared" si="11"/>
        <v>0</v>
      </c>
      <c r="V54" s="76">
        <f>IF(G8=1,"",U54*$G$9)</f>
        <v>0</v>
      </c>
      <c r="W54" s="74">
        <f>IF(G8=1,U54*G7,V54*12)</f>
        <v>0</v>
      </c>
      <c r="X54" s="77"/>
      <c r="Y54" s="75">
        <f t="shared" si="12"/>
        <v>0</v>
      </c>
      <c r="Z54" s="76">
        <f>IF(G8=1,"",Y54*$G$9)</f>
        <v>0</v>
      </c>
      <c r="AA54" s="74">
        <f>IF(G8=1,Y54*G7,Z54*12)</f>
        <v>0</v>
      </c>
      <c r="AB54" s="77"/>
      <c r="AC54" s="75">
        <f t="shared" si="13"/>
        <v>0</v>
      </c>
      <c r="AD54" s="76">
        <f>IF(G8=1,"",AC54*$G$9)</f>
        <v>0</v>
      </c>
      <c r="AE54" s="74">
        <f>IF(G8=1,AC54*G7,AD54*12)</f>
        <v>0</v>
      </c>
      <c r="AF54" s="248"/>
    </row>
    <row r="55" spans="1:40" outlineLevel="1">
      <c r="A55" s="408"/>
      <c r="B55" s="403" t="s">
        <v>33</v>
      </c>
      <c r="C55" s="404"/>
      <c r="D55" s="72"/>
      <c r="E55" s="75"/>
      <c r="F55" s="102"/>
      <c r="G55" s="74"/>
      <c r="H55" s="77"/>
      <c r="I55" s="75"/>
      <c r="J55" s="102"/>
      <c r="K55" s="74"/>
      <c r="L55" s="77"/>
      <c r="M55" s="75"/>
      <c r="N55" s="102"/>
      <c r="O55" s="74"/>
      <c r="P55" s="77"/>
      <c r="Q55" s="75">
        <f t="shared" si="10"/>
        <v>0</v>
      </c>
      <c r="R55" s="76">
        <f>IF(G8=1,"",Q55*$G$9)</f>
        <v>0</v>
      </c>
      <c r="S55" s="74">
        <f>IF(G8=1,Q55*G7,R55*12)</f>
        <v>0</v>
      </c>
      <c r="T55" s="77"/>
      <c r="U55" s="75">
        <f t="shared" si="11"/>
        <v>0</v>
      </c>
      <c r="V55" s="76">
        <f>IF(G8=1,"",U55*$G$9)</f>
        <v>0</v>
      </c>
      <c r="W55" s="74">
        <f>IF(G8=1,U55*G7,V55*12)</f>
        <v>0</v>
      </c>
      <c r="X55" s="77"/>
      <c r="Y55" s="75">
        <f t="shared" si="12"/>
        <v>0</v>
      </c>
      <c r="Z55" s="76">
        <f>IF(G8=1,"",Y55*$G$9)</f>
        <v>0</v>
      </c>
      <c r="AA55" s="74">
        <f>IF(G8=1,Y55*G7,Z55*12)</f>
        <v>0</v>
      </c>
      <c r="AB55" s="77"/>
      <c r="AC55" s="75">
        <f t="shared" si="13"/>
        <v>0</v>
      </c>
      <c r="AD55" s="76">
        <f>IF(G8=1,"",AC55*$G$9)</f>
        <v>0</v>
      </c>
      <c r="AE55" s="74">
        <f>IF(G8=1,AC55*G7,AD55*12)</f>
        <v>0</v>
      </c>
      <c r="AF55" s="248"/>
    </row>
    <row r="56" spans="1:40" outlineLevel="1">
      <c r="A56" s="408"/>
      <c r="B56" s="403" t="s">
        <v>32</v>
      </c>
      <c r="C56" s="404"/>
      <c r="D56" s="72"/>
      <c r="E56" s="75"/>
      <c r="F56" s="102"/>
      <c r="G56" s="74"/>
      <c r="H56" s="77"/>
      <c r="I56" s="75"/>
      <c r="J56" s="102"/>
      <c r="K56" s="74"/>
      <c r="L56" s="77"/>
      <c r="M56" s="75"/>
      <c r="N56" s="102"/>
      <c r="O56" s="74"/>
      <c r="P56" s="77"/>
      <c r="Q56" s="75">
        <f t="shared" si="10"/>
        <v>0</v>
      </c>
      <c r="R56" s="76">
        <f>IF(G8=1,"",Q56*$G$9)</f>
        <v>0</v>
      </c>
      <c r="S56" s="74">
        <f>IF(G8=1,Q56*G7,R56*12)</f>
        <v>0</v>
      </c>
      <c r="T56" s="77"/>
      <c r="U56" s="75">
        <f t="shared" si="11"/>
        <v>0</v>
      </c>
      <c r="V56" s="76">
        <f>IF(G8=1,"",U56*$G$9)</f>
        <v>0</v>
      </c>
      <c r="W56" s="74">
        <f>IF(G8=1,U56*G7,V56*12)</f>
        <v>0</v>
      </c>
      <c r="X56" s="77"/>
      <c r="Y56" s="75">
        <f t="shared" si="12"/>
        <v>0</v>
      </c>
      <c r="Z56" s="76">
        <f>IF(G8=1,"",Y56*$G$9)</f>
        <v>0</v>
      </c>
      <c r="AA56" s="74">
        <f>IF(G8=1,Y56*G7,Z56*12)</f>
        <v>0</v>
      </c>
      <c r="AB56" s="77"/>
      <c r="AC56" s="75">
        <f t="shared" si="13"/>
        <v>0</v>
      </c>
      <c r="AD56" s="76">
        <f>IF(G8=1,"",AC56*$G$9)</f>
        <v>0</v>
      </c>
      <c r="AE56" s="74">
        <f>IF(G8=1,AC56*G7,AD56*12)</f>
        <v>0</v>
      </c>
      <c r="AF56" s="248"/>
    </row>
    <row r="57" spans="1:40" outlineLevel="1">
      <c r="A57" s="408"/>
      <c r="B57" s="403" t="s">
        <v>27</v>
      </c>
      <c r="C57" s="404"/>
      <c r="D57" s="72"/>
      <c r="E57" s="75"/>
      <c r="F57" s="102"/>
      <c r="G57" s="74"/>
      <c r="H57" s="77"/>
      <c r="I57" s="75"/>
      <c r="J57" s="102"/>
      <c r="K57" s="74"/>
      <c r="L57" s="77"/>
      <c r="M57" s="75"/>
      <c r="N57" s="102"/>
      <c r="O57" s="74"/>
      <c r="P57" s="77"/>
      <c r="Q57" s="75">
        <f t="shared" si="10"/>
        <v>0</v>
      </c>
      <c r="R57" s="76">
        <f>IF(G8=1,"",Q57*$G$9)</f>
        <v>0</v>
      </c>
      <c r="S57" s="74">
        <f>IF(G8=1,Q57*G7,R57*12)</f>
        <v>0</v>
      </c>
      <c r="T57" s="77"/>
      <c r="U57" s="75">
        <f t="shared" si="11"/>
        <v>0</v>
      </c>
      <c r="V57" s="76">
        <f>IF(G8=1,"",U57*$G$9)</f>
        <v>0</v>
      </c>
      <c r="W57" s="74">
        <f>IF(G8=1,U57*G7,V57*12)</f>
        <v>0</v>
      </c>
      <c r="X57" s="77"/>
      <c r="Y57" s="75">
        <f t="shared" si="12"/>
        <v>0</v>
      </c>
      <c r="Z57" s="76">
        <f>IF(G8=1,"",Y57*$G$9)</f>
        <v>0</v>
      </c>
      <c r="AA57" s="74">
        <f>IF(G8=1,Y57*G7,Z57*12)</f>
        <v>0</v>
      </c>
      <c r="AB57" s="77"/>
      <c r="AC57" s="75">
        <f t="shared" si="13"/>
        <v>0</v>
      </c>
      <c r="AD57" s="76">
        <f>IF(G8=1,"",AC57*$G$9)</f>
        <v>0</v>
      </c>
      <c r="AE57" s="74">
        <f>IF(G8=1,AC57*G7,AD57*12)</f>
        <v>0</v>
      </c>
      <c r="AF57" s="248"/>
    </row>
    <row r="58" spans="1:40" outlineLevel="1">
      <c r="A58" s="408"/>
      <c r="B58" s="403" t="s">
        <v>1</v>
      </c>
      <c r="C58" s="404"/>
      <c r="D58" s="72"/>
      <c r="E58" s="75"/>
      <c r="F58" s="102"/>
      <c r="G58" s="74"/>
      <c r="H58" s="77"/>
      <c r="I58" s="75"/>
      <c r="J58" s="102"/>
      <c r="K58" s="74"/>
      <c r="L58" s="77"/>
      <c r="M58" s="75"/>
      <c r="N58" s="102"/>
      <c r="O58" s="74"/>
      <c r="P58" s="77"/>
      <c r="Q58" s="75">
        <f t="shared" si="10"/>
        <v>0</v>
      </c>
      <c r="R58" s="76">
        <f>IF(G8=1,"",Q58*$G$9)</f>
        <v>0</v>
      </c>
      <c r="S58" s="74">
        <f>IF(G8=1,Q58*G7,R58*12)</f>
        <v>0</v>
      </c>
      <c r="T58" s="77"/>
      <c r="U58" s="75">
        <f t="shared" si="11"/>
        <v>0</v>
      </c>
      <c r="V58" s="76">
        <f>IF(G8=1,"",U58*$G$9)</f>
        <v>0</v>
      </c>
      <c r="W58" s="74">
        <f>IF(G8=1,U58*G7,V58*12)</f>
        <v>0</v>
      </c>
      <c r="X58" s="77"/>
      <c r="Y58" s="75">
        <f t="shared" si="12"/>
        <v>0</v>
      </c>
      <c r="Z58" s="76">
        <f>IF(G8=1,"",Y58*$G$9)</f>
        <v>0</v>
      </c>
      <c r="AA58" s="74">
        <f>IF(G8=1,Y58*G7,Z58*12)</f>
        <v>0</v>
      </c>
      <c r="AB58" s="77"/>
      <c r="AC58" s="75">
        <f t="shared" si="13"/>
        <v>0</v>
      </c>
      <c r="AD58" s="76">
        <f>IF(G8=1,"",AC58*$G$9)</f>
        <v>0</v>
      </c>
      <c r="AE58" s="74">
        <f>IF(G8=1,AC58*G7,AD58*12)</f>
        <v>0</v>
      </c>
      <c r="AF58" s="248"/>
    </row>
    <row r="59" spans="1:40" outlineLevel="1">
      <c r="A59" s="408"/>
      <c r="B59" s="117" t="s">
        <v>85</v>
      </c>
      <c r="C59" s="118"/>
      <c r="D59" s="72"/>
      <c r="E59" s="75"/>
      <c r="F59" s="102"/>
      <c r="G59" s="74"/>
      <c r="H59" s="77"/>
      <c r="I59" s="75"/>
      <c r="J59" s="102"/>
      <c r="K59" s="74"/>
      <c r="L59" s="77"/>
      <c r="M59" s="75"/>
      <c r="N59" s="102"/>
      <c r="O59" s="74"/>
      <c r="P59" s="77"/>
      <c r="Q59" s="75">
        <f>IF(S32=2,0,AA6)</f>
        <v>0</v>
      </c>
      <c r="R59" s="76">
        <f>IF(G8=1,"",Q59)</f>
        <v>0</v>
      </c>
      <c r="S59" s="74">
        <f>IF(G8=1,Q59,R59)</f>
        <v>0</v>
      </c>
      <c r="T59" s="77"/>
      <c r="U59" s="75">
        <f>IF(W32=2,0,AA6)</f>
        <v>0</v>
      </c>
      <c r="V59" s="76">
        <f>IF(G8=1,"",U59)</f>
        <v>0</v>
      </c>
      <c r="W59" s="74">
        <f>IF(G8=1,U59,V59)</f>
        <v>0</v>
      </c>
      <c r="X59" s="77"/>
      <c r="Y59" s="75">
        <f>IF(AA32=2,0,AA6)</f>
        <v>0</v>
      </c>
      <c r="Z59" s="76">
        <f>IF(G8=1,"",Y59)</f>
        <v>0</v>
      </c>
      <c r="AA59" s="74">
        <f>IF(G8=1,Y59,Z59)</f>
        <v>0</v>
      </c>
      <c r="AB59" s="77"/>
      <c r="AC59" s="75">
        <f>IF(AE32=2,0,AA6)</f>
        <v>0</v>
      </c>
      <c r="AD59" s="76">
        <f>IF(G8=1,"",AC59)</f>
        <v>0</v>
      </c>
      <c r="AE59" s="74">
        <f>IF(G8=1,AC59,AD59)</f>
        <v>0</v>
      </c>
      <c r="AF59" s="248"/>
    </row>
    <row r="60" spans="1:40" outlineLevel="1">
      <c r="A60" s="408"/>
      <c r="B60" s="117" t="s">
        <v>84</v>
      </c>
      <c r="C60" s="118"/>
      <c r="D60" s="72"/>
      <c r="E60" s="75"/>
      <c r="F60" s="102"/>
      <c r="G60" s="74"/>
      <c r="H60" s="77"/>
      <c r="I60" s="75"/>
      <c r="J60" s="102"/>
      <c r="K60" s="74"/>
      <c r="L60" s="77"/>
      <c r="M60" s="75"/>
      <c r="N60" s="102"/>
      <c r="O60" s="74"/>
      <c r="P60" s="77"/>
      <c r="Q60" s="75">
        <f>IF(S33=2,0,AA9)</f>
        <v>0</v>
      </c>
      <c r="R60" s="76">
        <f>IF(G8=1,"",Q60)</f>
        <v>0</v>
      </c>
      <c r="S60" s="74">
        <f>IF(G8=1,Q60,R60)</f>
        <v>0</v>
      </c>
      <c r="T60" s="77"/>
      <c r="U60" s="75">
        <f>IF(W33=2,0,AA9)</f>
        <v>0</v>
      </c>
      <c r="V60" s="76">
        <f>IF(G8=1,"",U60)</f>
        <v>0</v>
      </c>
      <c r="W60" s="74">
        <f>IF(G8=1,U60,V60)</f>
        <v>0</v>
      </c>
      <c r="X60" s="77"/>
      <c r="Y60" s="75">
        <f>IF(AA33=2,0,AA9)</f>
        <v>0</v>
      </c>
      <c r="Z60" s="76">
        <f>IF(G8=1,"",Y60)</f>
        <v>0</v>
      </c>
      <c r="AA60" s="74">
        <f>IF(G8=1,Y60,Z60)</f>
        <v>0</v>
      </c>
      <c r="AB60" s="77"/>
      <c r="AC60" s="75">
        <f>IF(AE33=2,0,AA9)</f>
        <v>0</v>
      </c>
      <c r="AD60" s="76">
        <f>IF(G8=1,"",AC60)</f>
        <v>0</v>
      </c>
      <c r="AE60" s="74">
        <f>IF(G8=1,AC60,AD60)</f>
        <v>0</v>
      </c>
      <c r="AF60" s="248"/>
    </row>
    <row r="61" spans="1:40" outlineLevel="1">
      <c r="A61" s="408"/>
      <c r="B61" s="132" t="s">
        <v>140</v>
      </c>
      <c r="C61" s="133"/>
      <c r="D61" s="72"/>
      <c r="E61" s="75"/>
      <c r="F61" s="102"/>
      <c r="G61" s="74"/>
      <c r="H61" s="77"/>
      <c r="I61" s="75"/>
      <c r="J61" s="102"/>
      <c r="K61" s="74"/>
      <c r="L61" s="77"/>
      <c r="M61" s="75"/>
      <c r="N61" s="102"/>
      <c r="O61" s="74"/>
      <c r="P61" s="77"/>
      <c r="Q61" s="75">
        <f>IF(S34=2,0,Z10)</f>
        <v>0</v>
      </c>
      <c r="R61" s="76">
        <f>IF(G8=1,"",Q61*$G$9)</f>
        <v>0</v>
      </c>
      <c r="S61" s="74">
        <f>IF(G8=1,Q61*G7,R61*12)</f>
        <v>0</v>
      </c>
      <c r="T61" s="77"/>
      <c r="U61" s="75">
        <f>IF(W34=2,0,Z10)</f>
        <v>0</v>
      </c>
      <c r="V61" s="76">
        <f>IF(G8=1,"",U61*$G$9)</f>
        <v>0</v>
      </c>
      <c r="W61" s="74">
        <f>IF(G8=1,U61*G7,V61*12)</f>
        <v>0</v>
      </c>
      <c r="X61" s="77"/>
      <c r="Y61" s="75">
        <f>IF(AA34=2,0,Z10)</f>
        <v>0</v>
      </c>
      <c r="Z61" s="76">
        <f>IF(G8=1,"",Y61*$G$9)</f>
        <v>0</v>
      </c>
      <c r="AA61" s="74">
        <f>IF(G8=1,Y61*G7,Z61*12)</f>
        <v>0</v>
      </c>
      <c r="AB61" s="77"/>
      <c r="AC61" s="75">
        <f>IF(AE34=2,0,Z10)</f>
        <v>0</v>
      </c>
      <c r="AD61" s="76">
        <f>IF(G8=1,"",AC61*$G$9)</f>
        <v>0</v>
      </c>
      <c r="AE61" s="74">
        <f>IF(G8=1,AC61*G7,AD61*12)</f>
        <v>0</v>
      </c>
      <c r="AF61" s="248"/>
    </row>
    <row r="62" spans="1:40" ht="15.75" outlineLevel="1">
      <c r="A62" s="409"/>
      <c r="B62" s="12" t="s">
        <v>0</v>
      </c>
      <c r="C62" s="13"/>
      <c r="D62" s="72"/>
      <c r="E62" s="9">
        <f>SUM(E45:E61)</f>
        <v>52.148250000000004</v>
      </c>
      <c r="F62" s="10">
        <f>IF($G$8=1,"",SUM(F45:F61))</f>
        <v>1251.558</v>
      </c>
      <c r="G62" s="11">
        <f>SUM(G45:G61)</f>
        <v>15018.696</v>
      </c>
      <c r="H62" s="77"/>
      <c r="I62" s="9">
        <f>SUM(I45:I61)</f>
        <v>52.148250000000004</v>
      </c>
      <c r="J62" s="10">
        <f>IF($G$8=1,"",SUM(J45:J61))</f>
        <v>1251.558</v>
      </c>
      <c r="K62" s="11">
        <f>SUM(K45:K61)</f>
        <v>15018.696</v>
      </c>
      <c r="L62" s="77"/>
      <c r="M62" s="9">
        <f>SUM(M45:M61)</f>
        <v>52.148250000000004</v>
      </c>
      <c r="N62" s="10">
        <f>IF($G$8=1,"",SUM(N45:N61))</f>
        <v>1251.558</v>
      </c>
      <c r="O62" s="11">
        <f>SUM(O45:O61)</f>
        <v>15018.696</v>
      </c>
      <c r="P62" s="77"/>
      <c r="Q62" s="9">
        <f>SUM(Q45:Q61)</f>
        <v>133.36574999999999</v>
      </c>
      <c r="R62" s="10">
        <f>IF($G$8=1,"",SUM(R45:R61))</f>
        <v>3200.7779999999998</v>
      </c>
      <c r="S62" s="11">
        <f>SUM(S45:S61)</f>
        <v>38409.335999999996</v>
      </c>
      <c r="T62" s="77"/>
      <c r="U62" s="9">
        <f>SUM(U45:U61)</f>
        <v>133.36574999999999</v>
      </c>
      <c r="V62" s="10">
        <f>IF($G$8=1,"",SUM(V45:V61))</f>
        <v>3200.7779999999998</v>
      </c>
      <c r="W62" s="11">
        <f>SUM(W45:W61)</f>
        <v>38409.335999999996</v>
      </c>
      <c r="X62" s="77"/>
      <c r="Y62" s="9">
        <f>SUM(Y45:Y61)</f>
        <v>80.865750000000006</v>
      </c>
      <c r="Z62" s="10">
        <f>IF($G$8=1,"",SUM(Z45:Z61))</f>
        <v>1940.778</v>
      </c>
      <c r="AA62" s="11">
        <f>SUM(AA45:AA61)</f>
        <v>23289.335999999999</v>
      </c>
      <c r="AB62" s="77"/>
      <c r="AC62" s="9">
        <f>SUM(AC45:AC61)</f>
        <v>80.865750000000006</v>
      </c>
      <c r="AD62" s="10">
        <f>IF($G$8=1,"",SUM(AD45:AD61))</f>
        <v>1940.778</v>
      </c>
      <c r="AE62" s="11">
        <f>SUM(AE45:AE61)</f>
        <v>23289.335999999999</v>
      </c>
      <c r="AF62" s="248"/>
    </row>
    <row r="63" spans="1:40" s="86" customFormat="1" ht="20.100000000000001" customHeight="1">
      <c r="A63" s="82"/>
      <c r="B63" s="374" t="s">
        <v>7</v>
      </c>
      <c r="C63" s="375"/>
      <c r="D63" s="72"/>
      <c r="E63" s="83">
        <f>SUM(E44,E62)</f>
        <v>113.57325</v>
      </c>
      <c r="F63" s="84">
        <f>SUM(F44,F62)</f>
        <v>2725.7580000000003</v>
      </c>
      <c r="G63" s="85">
        <f>SUM(G44,G62)</f>
        <v>32709.096000000001</v>
      </c>
      <c r="H63" s="77"/>
      <c r="I63" s="83">
        <f>SUM(I44,I62)</f>
        <v>727.14824999999996</v>
      </c>
      <c r="J63" s="84">
        <f>SUM(J44,J62)</f>
        <v>17451.558000000001</v>
      </c>
      <c r="K63" s="85">
        <f>SUM(K44,K62)</f>
        <v>209418.696</v>
      </c>
      <c r="L63" s="77"/>
      <c r="M63" s="83">
        <f>SUM(M44,M62)</f>
        <v>389.64825000000002</v>
      </c>
      <c r="N63" s="84">
        <f>SUM(N44,N62)</f>
        <v>9351.5580000000009</v>
      </c>
      <c r="O63" s="85">
        <f>SUM(O44,O62)</f>
        <v>112218.696</v>
      </c>
      <c r="P63" s="77"/>
      <c r="Q63" s="83">
        <f>SUM(Q44,Q62)</f>
        <v>194.79075</v>
      </c>
      <c r="R63" s="84">
        <f>SUM(R44,R62)</f>
        <v>4674.9780000000001</v>
      </c>
      <c r="S63" s="85">
        <f>SUM(S44,S62)</f>
        <v>56099.735999999997</v>
      </c>
      <c r="T63" s="77"/>
      <c r="U63" s="83">
        <f>SUM(U44,U62)</f>
        <v>808.36574999999993</v>
      </c>
      <c r="V63" s="84">
        <f>SUM(V44,V62)</f>
        <v>19400.777999999998</v>
      </c>
      <c r="W63" s="85">
        <f>SUM(W44,W62)</f>
        <v>232809.33600000001</v>
      </c>
      <c r="X63" s="77"/>
      <c r="Y63" s="83">
        <f>SUM(Y44,Y62)</f>
        <v>418.36574999999999</v>
      </c>
      <c r="Z63" s="84">
        <f>SUM(Z44,Z62)</f>
        <v>10040.778</v>
      </c>
      <c r="AA63" s="85">
        <f>SUM(AA44,AA62)</f>
        <v>120489.336</v>
      </c>
      <c r="AB63" s="77"/>
      <c r="AC63" s="83">
        <f>SUM(AC44,AC62)</f>
        <v>871.36575000000005</v>
      </c>
      <c r="AD63" s="84">
        <f>SUM(AD44,AD62)</f>
        <v>20912.777999999998</v>
      </c>
      <c r="AE63" s="85">
        <f>SUM(AE44,AE62)</f>
        <v>250953.33600000001</v>
      </c>
      <c r="AF63" s="255"/>
      <c r="AI63" s="29"/>
      <c r="AJ63" s="29"/>
      <c r="AK63" s="29"/>
      <c r="AL63" s="29"/>
      <c r="AM63" s="29"/>
      <c r="AN63" s="29"/>
    </row>
    <row r="64" spans="1:40" ht="5.0999999999999996" customHeight="1">
      <c r="A64" s="27"/>
      <c r="B64" s="65"/>
      <c r="C64" s="65"/>
      <c r="D64" s="72"/>
      <c r="E64" s="28"/>
      <c r="F64" s="28"/>
      <c r="G64" s="28"/>
      <c r="H64" s="72"/>
      <c r="I64" s="28"/>
      <c r="J64" s="28"/>
      <c r="K64" s="28"/>
      <c r="L64" s="72"/>
      <c r="M64" s="28"/>
      <c r="N64" s="28"/>
      <c r="O64" s="28"/>
      <c r="P64" s="72"/>
      <c r="Q64" s="28"/>
      <c r="R64" s="28"/>
      <c r="S64" s="28"/>
      <c r="T64" s="72"/>
      <c r="U64" s="28"/>
      <c r="V64" s="28"/>
      <c r="W64" s="28"/>
      <c r="X64" s="72"/>
      <c r="Y64" s="28"/>
      <c r="Z64" s="28"/>
      <c r="AA64" s="28"/>
      <c r="AB64" s="72"/>
      <c r="AC64" s="28"/>
      <c r="AD64" s="28"/>
      <c r="AE64" s="28"/>
      <c r="AF64" s="248"/>
      <c r="AI64" s="86"/>
      <c r="AJ64" s="86"/>
      <c r="AK64" s="86"/>
      <c r="AL64" s="86"/>
      <c r="AM64" s="86"/>
      <c r="AN64" s="86"/>
    </row>
    <row r="65" spans="1:32" ht="20.100000000000001" customHeight="1">
      <c r="A65" s="27"/>
      <c r="B65" s="7" t="s">
        <v>9</v>
      </c>
      <c r="C65" s="8"/>
      <c r="D65" s="72"/>
      <c r="E65" s="23" t="str">
        <f>IF($G$8=1,"1 Apresentação","Sessão")</f>
        <v>Sessão</v>
      </c>
      <c r="F65" s="24" t="str">
        <f>IF($G$8=1,"","Mês")</f>
        <v>Mês</v>
      </c>
      <c r="G65" s="22" t="str">
        <f>IF($G$8=1,$G$7&amp;" Apresentação(ões)","Ano")</f>
        <v>Ano</v>
      </c>
      <c r="H65" s="72"/>
      <c r="I65" s="23" t="str">
        <f>IF($G$8=1,"1 Apresentação","Sessão")</f>
        <v>Sessão</v>
      </c>
      <c r="J65" s="24" t="str">
        <f>IF($G$8=1,"","Mês")</f>
        <v>Mês</v>
      </c>
      <c r="K65" s="22" t="str">
        <f>IF($G$8=1,$G$7&amp;" Apresentação(ões)","Ano")</f>
        <v>Ano</v>
      </c>
      <c r="L65" s="72"/>
      <c r="M65" s="23" t="str">
        <f>IF($G$8=1,"1 Apresentação","Sessão")</f>
        <v>Sessão</v>
      </c>
      <c r="N65" s="24" t="str">
        <f>IF($G$8=1,"","Mês")</f>
        <v>Mês</v>
      </c>
      <c r="O65" s="22" t="str">
        <f>IF($G$8=1,$G$7&amp;" Apresentação(ões)","Ano")</f>
        <v>Ano</v>
      </c>
      <c r="P65" s="72"/>
      <c r="Q65" s="18" t="str">
        <f>IF($G$8=1,"1 Apresentação","Sessão")</f>
        <v>Sessão</v>
      </c>
      <c r="R65" s="19" t="str">
        <f>IF($G$8=1,"","Mês")</f>
        <v>Mês</v>
      </c>
      <c r="S65" s="20" t="str">
        <f>IF($G$8=1,$G$7&amp;" Apresentação(ões)","Ano")</f>
        <v>Ano</v>
      </c>
      <c r="T65" s="72"/>
      <c r="U65" s="18" t="str">
        <f>IF($G$8=1,"1 Apresentação","Sessão")</f>
        <v>Sessão</v>
      </c>
      <c r="V65" s="19" t="str">
        <f>IF($G$8=1,"","Mês")</f>
        <v>Mês</v>
      </c>
      <c r="W65" s="20" t="str">
        <f>IF($G$8=1,$G$7&amp;" Apresentação(ões)","Ano")</f>
        <v>Ano</v>
      </c>
      <c r="X65" s="72"/>
      <c r="Y65" s="18" t="str">
        <f>IF($G$8=1,"1 Apresentação","Sessão")</f>
        <v>Sessão</v>
      </c>
      <c r="Z65" s="19" t="str">
        <f>IF($G$8=1,"","Mês")</f>
        <v>Mês</v>
      </c>
      <c r="AA65" s="20" t="str">
        <f>IF($G$8=1,$G$7&amp;" Apresentação(ões)","Ano")</f>
        <v>Ano</v>
      </c>
      <c r="AB65" s="72"/>
      <c r="AC65" s="18" t="str">
        <f>IF($G$8=1,"1 Apresentação","Sessão")</f>
        <v>Sessão</v>
      </c>
      <c r="AD65" s="19" t="str">
        <f>IF($G$8=1,"","Mês")</f>
        <v>Mês</v>
      </c>
      <c r="AE65" s="20" t="str">
        <f>IF($G$8=1,$G$7&amp;" Apresentação(ões)","Ano")</f>
        <v>Ano</v>
      </c>
      <c r="AF65" s="248"/>
    </row>
    <row r="66" spans="1:32" outlineLevel="1">
      <c r="A66" s="27"/>
      <c r="B66" s="401" t="s">
        <v>6</v>
      </c>
      <c r="C66" s="402"/>
      <c r="D66" s="72"/>
      <c r="E66" s="87">
        <f>($O$5+$O$6)*$S$10</f>
        <v>63</v>
      </c>
      <c r="F66" s="88">
        <f>IF($G$8=1,"",E66*$G$9)</f>
        <v>1512</v>
      </c>
      <c r="G66" s="89">
        <f>IF($G$8=1,E66*$G$7,F66*12)</f>
        <v>18144</v>
      </c>
      <c r="H66" s="72"/>
      <c r="I66" s="87">
        <f>($O$5+$O$6)*$S$10</f>
        <v>63</v>
      </c>
      <c r="J66" s="88">
        <f>IF($G$8=1,"",I66*$G$9)</f>
        <v>1512</v>
      </c>
      <c r="K66" s="89">
        <f>IF($G$8=1,I66*$G$7,J66*12)</f>
        <v>18144</v>
      </c>
      <c r="L66" s="72"/>
      <c r="M66" s="87">
        <f>($O$5+$O$6)*$S$10</f>
        <v>63</v>
      </c>
      <c r="N66" s="88">
        <f>IF($G$8=1,"",M66*$G$9)</f>
        <v>1512</v>
      </c>
      <c r="O66" s="89">
        <f>IF($G$8=1,M66*$G$7,N66*12)</f>
        <v>18144</v>
      </c>
      <c r="P66" s="72"/>
      <c r="Q66" s="87">
        <f>($O$5+$O$6)*$S$10</f>
        <v>63</v>
      </c>
      <c r="R66" s="88">
        <f>IF($G$8=1,"",Q66*$G$9)</f>
        <v>1512</v>
      </c>
      <c r="S66" s="89">
        <f>IF($G$8=1,Q66*$G$7,R66*12)</f>
        <v>18144</v>
      </c>
      <c r="T66" s="72"/>
      <c r="U66" s="87">
        <f>($O$5+$O$6)*$S$10</f>
        <v>63</v>
      </c>
      <c r="V66" s="88">
        <f>IF($G$8=1,"",U66*$G$9)</f>
        <v>1512</v>
      </c>
      <c r="W66" s="89">
        <f>IF($G$8=1,U66*$G$7,V66*12)</f>
        <v>18144</v>
      </c>
      <c r="X66" s="72"/>
      <c r="Y66" s="87">
        <f>($O$5+$O$6)*$S$10</f>
        <v>63</v>
      </c>
      <c r="Z66" s="88">
        <f>IF($G$8=1,"",Y66*$G$9)</f>
        <v>1512</v>
      </c>
      <c r="AA66" s="89">
        <f>IF($G$8=1,Y66*$G$7,Z66*12)</f>
        <v>18144</v>
      </c>
      <c r="AB66" s="72"/>
      <c r="AC66" s="87">
        <f>($O$5+$O$6)*$S$10</f>
        <v>63</v>
      </c>
      <c r="AD66" s="88">
        <f>IF($G$8=1,"",AC66*$G$9)</f>
        <v>1512</v>
      </c>
      <c r="AE66" s="89">
        <f>IF($G$8=1,AC66*$G$7,AD66*12)</f>
        <v>18144</v>
      </c>
      <c r="AF66" s="248"/>
    </row>
    <row r="67" spans="1:32" outlineLevel="1">
      <c r="A67" s="27"/>
      <c r="B67" s="237" t="s">
        <v>186</v>
      </c>
      <c r="C67" s="238"/>
      <c r="D67" s="72"/>
      <c r="E67" s="87">
        <f>IF(E44="","",IF(G8=2,E44*$K$11,E44*$J$11))</f>
        <v>7.3709999999999996</v>
      </c>
      <c r="F67" s="87">
        <f>IF(F44="","",IF(H8=2,F44*$J$11,F44*$K$11))</f>
        <v>176.90400000000002</v>
      </c>
      <c r="G67" s="260">
        <f>IF(G44="","",IF(I8=2,G44*$J$11,G44*$K$11))</f>
        <v>2122.848</v>
      </c>
      <c r="H67" s="72"/>
      <c r="I67" s="87">
        <f>IF(I44="","",IF(K8=2,I44*$K$11,I44*$J$11))</f>
        <v>67.5</v>
      </c>
      <c r="J67" s="87">
        <f>IF(J44="","",IF(L8=2,J44*$J$11,J44*$K$11))</f>
        <v>1944</v>
      </c>
      <c r="K67" s="260">
        <f>IF(K44="","",IF(M8=2,K44*$J$11,K44*$K$11))</f>
        <v>23328</v>
      </c>
      <c r="L67" s="72"/>
      <c r="M67" s="87">
        <f>IF(M44="","",IF(O8=2,M44*$K$11,M44*$J$11))</f>
        <v>33.75</v>
      </c>
      <c r="N67" s="87">
        <f>IF(N44="","",IF(P8=2,N44*$J$11,N44*$K$11))</f>
        <v>972</v>
      </c>
      <c r="O67" s="260">
        <f>IF(O44="","",IF(Q8=2,O44*$J$11,O44*$K$11))</f>
        <v>11664</v>
      </c>
      <c r="P67" s="72"/>
      <c r="Q67" s="87">
        <f>IF(Q44="","",IF(S8=2,Q44*$K$11,Q44*$J$11))</f>
        <v>6.1425000000000001</v>
      </c>
      <c r="R67" s="87">
        <f>IF(R44="","",IF(T8=2,R44*$J$11,R44*$K$11))</f>
        <v>176.90400000000002</v>
      </c>
      <c r="S67" s="260">
        <f>IF(S44="","",IF(U8=2,S44*$J$11,S44*$K$11))</f>
        <v>2122.848</v>
      </c>
      <c r="T67" s="72"/>
      <c r="U67" s="87">
        <f>IF(U44="","",IF(W8=2,U44*$K$11,U44*$J$11))</f>
        <v>67.5</v>
      </c>
      <c r="V67" s="87">
        <f>IF(V44="","",IF(X8=2,V44*$J$11,V44*$K$11))</f>
        <v>1944</v>
      </c>
      <c r="W67" s="260">
        <f>IF(W44="","",IF(Y8=2,W44*$J$11,W44*$K$11))</f>
        <v>23328</v>
      </c>
      <c r="X67" s="72"/>
      <c r="Y67" s="87">
        <f>IF(Y44="","",IF(AA8=2,Y44*$K$11,Y44*$J$11))</f>
        <v>40.5</v>
      </c>
      <c r="Z67" s="87">
        <f>IF(Z44="","",IF(AB8=2,Z44*$J$11,Z44*$K$11))</f>
        <v>972</v>
      </c>
      <c r="AA67" s="260">
        <f>IF(AA44="","",IF(AC8=2,AA44*$J$11,AA44*$K$11))</f>
        <v>11664</v>
      </c>
      <c r="AB67" s="72"/>
      <c r="AC67" s="87">
        <f>IF(AC44="","",IF(AE8=2,AC44*$K$11,AC44*$J$11))</f>
        <v>79.050000000000011</v>
      </c>
      <c r="AD67" s="87">
        <f>IF(AD44="","",IF(AF8=2,AD44*$J$11,AD44*$K$11))</f>
        <v>1897.2</v>
      </c>
      <c r="AE67" s="260">
        <f>IF(AE44="","",IF(AG8=2,AE44*$J$11,AE44*$K$11))</f>
        <v>27319.68</v>
      </c>
      <c r="AF67" s="248"/>
    </row>
    <row r="68" spans="1:32" outlineLevel="1">
      <c r="A68" s="27"/>
      <c r="B68" s="401" t="s">
        <v>65</v>
      </c>
      <c r="C68" s="402"/>
      <c r="D68" s="72"/>
      <c r="E68" s="87">
        <f>SUM(E38,E40:E43)*$S6</f>
        <v>2.1498750000000002</v>
      </c>
      <c r="F68" s="88">
        <f>IF($G$8=1,"",E68*$G$9)</f>
        <v>51.597000000000008</v>
      </c>
      <c r="G68" s="89">
        <f>IF($G$8=1,E68*$G$7,F68*12)</f>
        <v>619.1640000000001</v>
      </c>
      <c r="H68" s="72"/>
      <c r="I68" s="87">
        <f>SUM(I38,I40:I43)*$S6</f>
        <v>23.625000000000004</v>
      </c>
      <c r="J68" s="88">
        <f>IF($G$8=1,"",I68*$G$9)</f>
        <v>567.00000000000011</v>
      </c>
      <c r="K68" s="89">
        <f>IF($G$8=1,I68*$G$7,J68*12)</f>
        <v>6804.0000000000018</v>
      </c>
      <c r="L68" s="72"/>
      <c r="M68" s="87">
        <f>SUM(M38,M40:M43)*$S6</f>
        <v>11.812500000000002</v>
      </c>
      <c r="N68" s="88">
        <f>IF($G$8=1,"",M68*$G$9)</f>
        <v>283.50000000000006</v>
      </c>
      <c r="O68" s="89">
        <f>IF($G$8=1,M68*$G$7,N68*12)</f>
        <v>3402.0000000000009</v>
      </c>
      <c r="P68" s="72"/>
      <c r="Q68" s="87">
        <f>SUM(Q38,Q40:Q43)*$S6</f>
        <v>2.1498750000000002</v>
      </c>
      <c r="R68" s="88">
        <f t="shared" ref="R68:R80" si="14">IF($G$8=1,"",Q68*$G$9)</f>
        <v>51.597000000000008</v>
      </c>
      <c r="S68" s="89">
        <f>IF($G$8=1,Q68*$G$7,R68*12)</f>
        <v>619.1640000000001</v>
      </c>
      <c r="T68" s="72"/>
      <c r="U68" s="87">
        <f>SUM(U38,U40:U43)*$S6</f>
        <v>23.625000000000004</v>
      </c>
      <c r="V68" s="88">
        <f t="shared" ref="V68:V81" si="15">IF($G$8=1,"",U68*$G$9)</f>
        <v>567.00000000000011</v>
      </c>
      <c r="W68" s="89">
        <f>IF($G$8=1,U68*$G$7,V68*12)</f>
        <v>6804.0000000000018</v>
      </c>
      <c r="X68" s="72"/>
      <c r="Y68" s="87">
        <f>SUM(Y38,Y40:Y43)*$S6</f>
        <v>11.812500000000002</v>
      </c>
      <c r="Z68" s="88">
        <f t="shared" ref="Z68:Z81" si="16">IF($G$8=1,"",Y68*$G$9)</f>
        <v>283.50000000000006</v>
      </c>
      <c r="AA68" s="89">
        <f>IF($G$8=1,Y68*$G$7,Z68*12)</f>
        <v>3402.0000000000009</v>
      </c>
      <c r="AB68" s="72"/>
      <c r="AC68" s="87">
        <f>SUM(AC38,AC40:AC43)*$S6</f>
        <v>20.737500000000001</v>
      </c>
      <c r="AD68" s="88">
        <f t="shared" ref="AD68:AD80" si="17">IF($G$8=1,"",AC68*$G$9)</f>
        <v>497.70000000000005</v>
      </c>
      <c r="AE68" s="89">
        <f>IF($G$8=1,AC68*$G$7,AD68*12)</f>
        <v>5972.4000000000005</v>
      </c>
      <c r="AF68" s="248"/>
    </row>
    <row r="69" spans="1:32" outlineLevel="1">
      <c r="A69" s="27"/>
      <c r="B69" s="401" t="s">
        <v>66</v>
      </c>
      <c r="C69" s="402"/>
      <c r="D69" s="72"/>
      <c r="E69" s="87"/>
      <c r="F69" s="88"/>
      <c r="G69" s="89"/>
      <c r="H69" s="72"/>
      <c r="I69" s="87"/>
      <c r="J69" s="88"/>
      <c r="K69" s="89"/>
      <c r="L69" s="72"/>
      <c r="M69" s="87"/>
      <c r="N69" s="88"/>
      <c r="O69" s="89"/>
      <c r="P69" s="72"/>
      <c r="Q69" s="87"/>
      <c r="R69" s="88"/>
      <c r="S69" s="89"/>
      <c r="T69" s="72"/>
      <c r="U69" s="87"/>
      <c r="V69" s="88"/>
      <c r="W69" s="89"/>
      <c r="X69" s="72"/>
      <c r="Y69" s="87"/>
      <c r="Z69" s="88"/>
      <c r="AA69" s="89"/>
      <c r="AB69" s="72"/>
      <c r="AC69" s="87"/>
      <c r="AD69" s="88"/>
      <c r="AE69" s="89"/>
      <c r="AF69" s="248"/>
    </row>
    <row r="70" spans="1:32" outlineLevel="1">
      <c r="A70" s="27"/>
      <c r="B70" s="90" t="s">
        <v>41</v>
      </c>
      <c r="C70" s="91"/>
      <c r="D70" s="72"/>
      <c r="E70" s="87">
        <f>IF(G21=1,(((K4*K9)*G6)*(G5/2))*K10,0)</f>
        <v>0</v>
      </c>
      <c r="F70" s="88">
        <f>IF($G$8=1,"",E70*$G$9)</f>
        <v>0</v>
      </c>
      <c r="G70" s="89">
        <f>IF($G$8=1,E70*$G$7,F70*12)</f>
        <v>0</v>
      </c>
      <c r="H70" s="72"/>
      <c r="I70" s="87">
        <f>IF(K21=1,(((K4*K9)*G6)*(G5/2))*K10,0)</f>
        <v>0</v>
      </c>
      <c r="J70" s="88">
        <f>IF($G$8=1,"",I70*$G$9)</f>
        <v>0</v>
      </c>
      <c r="K70" s="89">
        <f>IF($G$8=1,I70*$G$7,J70*12)</f>
        <v>0</v>
      </c>
      <c r="L70" s="72"/>
      <c r="M70" s="87">
        <f>IF(K21=1,(((K4*K9)*G6)*(G5/2))*K10,0)</f>
        <v>0</v>
      </c>
      <c r="N70" s="88">
        <f>IF($G$8=1,"",M70*$G$9)</f>
        <v>0</v>
      </c>
      <c r="O70" s="89">
        <f>IF($G$8=1,M70*$G$7,N70*12)</f>
        <v>0</v>
      </c>
      <c r="P70" s="72"/>
      <c r="Q70" s="87">
        <f>IF(S21=1,(((K4*K9)*G6)*(G5/2))*K10,0)</f>
        <v>0</v>
      </c>
      <c r="R70" s="88">
        <f t="shared" si="14"/>
        <v>0</v>
      </c>
      <c r="S70" s="89">
        <f t="shared" ref="S70:S80" si="18">IF($G$8=1,Q70*$G$7,R70*12)</f>
        <v>0</v>
      </c>
      <c r="T70" s="72"/>
      <c r="U70" s="87">
        <f>IF(W21=1,(((G4*G10)*C6)*(C5/2))*G11,0)</f>
        <v>0</v>
      </c>
      <c r="V70" s="88">
        <f t="shared" si="15"/>
        <v>0</v>
      </c>
      <c r="W70" s="89">
        <f t="shared" ref="W70:W81" si="19">IF($G$8=1,U70*$G$7,V70*12)</f>
        <v>0</v>
      </c>
      <c r="X70" s="72"/>
      <c r="Y70" s="87">
        <f>IF(AA21=1,(((K4*K9)*G6)*(G5/2))*K10,0)</f>
        <v>0</v>
      </c>
      <c r="Z70" s="88">
        <f t="shared" si="16"/>
        <v>0</v>
      </c>
      <c r="AA70" s="89">
        <f t="shared" ref="AA70:AA81" si="20">IF($G$8=1,Y70*$G$7,Z70*12)</f>
        <v>0</v>
      </c>
      <c r="AB70" s="72"/>
      <c r="AC70" s="87">
        <f>IF(AE21=1,(((K4*K9)*G6)*(G5/2))*K10,0)</f>
        <v>0</v>
      </c>
      <c r="AD70" s="88">
        <f t="shared" si="17"/>
        <v>0</v>
      </c>
      <c r="AE70" s="89">
        <f t="shared" ref="AE70:AE81" si="21">IF($G$8=1,AC70*$G$7,AD70*12)</f>
        <v>0</v>
      </c>
      <c r="AF70" s="248"/>
    </row>
    <row r="71" spans="1:32" outlineLevel="1">
      <c r="A71" s="27"/>
      <c r="B71" s="401" t="s">
        <v>5</v>
      </c>
      <c r="C71" s="402"/>
      <c r="D71" s="72"/>
      <c r="E71" s="87"/>
      <c r="F71" s="88"/>
      <c r="G71" s="89"/>
      <c r="H71" s="72"/>
      <c r="I71" s="87"/>
      <c r="J71" s="88"/>
      <c r="K71" s="89"/>
      <c r="L71" s="72"/>
      <c r="M71" s="87"/>
      <c r="N71" s="88"/>
      <c r="O71" s="89"/>
      <c r="P71" s="72"/>
      <c r="Q71" s="87">
        <f>$O$4*$S$5</f>
        <v>5.25</v>
      </c>
      <c r="R71" s="88">
        <f t="shared" si="14"/>
        <v>126</v>
      </c>
      <c r="S71" s="89">
        <f t="shared" si="18"/>
        <v>1512</v>
      </c>
      <c r="T71" s="72"/>
      <c r="U71" s="87">
        <f>$O$4*$S$5</f>
        <v>5.25</v>
      </c>
      <c r="V71" s="88">
        <f t="shared" si="15"/>
        <v>126</v>
      </c>
      <c r="W71" s="89">
        <f t="shared" si="19"/>
        <v>1512</v>
      </c>
      <c r="X71" s="72"/>
      <c r="Y71" s="87">
        <f>$O$4*$S$5</f>
        <v>5.25</v>
      </c>
      <c r="Z71" s="88">
        <f t="shared" si="16"/>
        <v>126</v>
      </c>
      <c r="AA71" s="89">
        <f t="shared" si="20"/>
        <v>1512</v>
      </c>
      <c r="AB71" s="72"/>
      <c r="AC71" s="87">
        <f>$O$4*$S$5</f>
        <v>5.25</v>
      </c>
      <c r="AD71" s="88">
        <f t="shared" si="17"/>
        <v>126</v>
      </c>
      <c r="AE71" s="89">
        <f t="shared" si="21"/>
        <v>1512</v>
      </c>
      <c r="AF71" s="248"/>
    </row>
    <row r="72" spans="1:32" outlineLevel="1">
      <c r="A72" s="27"/>
      <c r="B72" s="401" t="s">
        <v>63</v>
      </c>
      <c r="C72" s="402"/>
      <c r="D72" s="72"/>
      <c r="E72" s="87">
        <f>IF(E46=0,$S$6*$C46,0)</f>
        <v>0</v>
      </c>
      <c r="F72" s="88">
        <f>IF($G$8=1,"",E72*$G$9)</f>
        <v>0</v>
      </c>
      <c r="G72" s="89">
        <f>IF($G$8=1,E72*$G$7,F72*12)</f>
        <v>0</v>
      </c>
      <c r="H72" s="72"/>
      <c r="I72" s="87">
        <f>IF(I46=0,$S$6*$C46,0)</f>
        <v>0</v>
      </c>
      <c r="J72" s="88">
        <f>IF($G$8=1,"",I72*$G$9)</f>
        <v>0</v>
      </c>
      <c r="K72" s="89">
        <f>IF($G$8=1,I72*$G$7,J72*12)</f>
        <v>0</v>
      </c>
      <c r="L72" s="72"/>
      <c r="M72" s="87">
        <f>IF(M46=0,$S$6*$C46,0)</f>
        <v>0</v>
      </c>
      <c r="N72" s="88">
        <f>IF($G$8=1,"",M72*$G$9)</f>
        <v>0</v>
      </c>
      <c r="O72" s="89">
        <f>IF($G$8=1,M72*$G$7,N72*12)</f>
        <v>0</v>
      </c>
      <c r="P72" s="72"/>
      <c r="Q72" s="87">
        <f>IF(Q46=0,$S$6*$C46,0)</f>
        <v>0</v>
      </c>
      <c r="R72" s="88">
        <f t="shared" si="14"/>
        <v>0</v>
      </c>
      <c r="S72" s="89">
        <f t="shared" si="18"/>
        <v>0</v>
      </c>
      <c r="T72" s="72"/>
      <c r="U72" s="87">
        <f>IF(U46=0,$S$6*$C46,0)</f>
        <v>0</v>
      </c>
      <c r="V72" s="88">
        <f t="shared" si="15"/>
        <v>0</v>
      </c>
      <c r="W72" s="89">
        <f t="shared" si="19"/>
        <v>0</v>
      </c>
      <c r="X72" s="72"/>
      <c r="Y72" s="87">
        <f>IF(Y46=0,$S$6*$C46,0)</f>
        <v>0</v>
      </c>
      <c r="Z72" s="88">
        <f t="shared" si="16"/>
        <v>0</v>
      </c>
      <c r="AA72" s="89">
        <f t="shared" si="20"/>
        <v>0</v>
      </c>
      <c r="AB72" s="72"/>
      <c r="AC72" s="87">
        <f>IF(AC46=0,$S$6*$C46,0)</f>
        <v>0</v>
      </c>
      <c r="AD72" s="88">
        <f t="shared" si="17"/>
        <v>0</v>
      </c>
      <c r="AE72" s="89">
        <f t="shared" si="21"/>
        <v>0</v>
      </c>
      <c r="AF72" s="248"/>
    </row>
    <row r="73" spans="1:32" outlineLevel="1">
      <c r="A73" s="27"/>
      <c r="B73" s="401" t="s">
        <v>64</v>
      </c>
      <c r="C73" s="402"/>
      <c r="D73" s="72"/>
      <c r="E73" s="87"/>
      <c r="F73" s="88"/>
      <c r="G73" s="89"/>
      <c r="H73" s="72"/>
      <c r="I73" s="87"/>
      <c r="J73" s="88"/>
      <c r="K73" s="89"/>
      <c r="L73" s="72"/>
      <c r="M73" s="87"/>
      <c r="N73" s="88"/>
      <c r="O73" s="89"/>
      <c r="P73" s="72"/>
      <c r="Q73" s="87">
        <f>IF(Q47=0,$S$6*$C47,0)</f>
        <v>0</v>
      </c>
      <c r="R73" s="88">
        <f t="shared" si="14"/>
        <v>0</v>
      </c>
      <c r="S73" s="89">
        <f t="shared" si="18"/>
        <v>0</v>
      </c>
      <c r="T73" s="72"/>
      <c r="U73" s="87">
        <f>IF(U47=0,$S$6*$C47,0)</f>
        <v>0</v>
      </c>
      <c r="V73" s="88">
        <f t="shared" si="15"/>
        <v>0</v>
      </c>
      <c r="W73" s="89">
        <f t="shared" si="19"/>
        <v>0</v>
      </c>
      <c r="X73" s="72"/>
      <c r="Y73" s="87">
        <f>IF(Y47=0,$S$6*$C47,0)</f>
        <v>0</v>
      </c>
      <c r="Z73" s="88">
        <f t="shared" si="16"/>
        <v>0</v>
      </c>
      <c r="AA73" s="89">
        <f t="shared" si="20"/>
        <v>0</v>
      </c>
      <c r="AB73" s="72"/>
      <c r="AC73" s="87">
        <f>IF(AC47=0,$S$6*$C47,0)</f>
        <v>0</v>
      </c>
      <c r="AD73" s="88">
        <f t="shared" si="17"/>
        <v>0</v>
      </c>
      <c r="AE73" s="89">
        <f t="shared" si="21"/>
        <v>0</v>
      </c>
      <c r="AF73" s="248"/>
    </row>
    <row r="74" spans="1:32" outlineLevel="1">
      <c r="A74" s="27"/>
      <c r="B74" s="401" t="s">
        <v>36</v>
      </c>
      <c r="C74" s="402"/>
      <c r="D74" s="72"/>
      <c r="E74" s="87">
        <f>IF(F19=2,0,$S$8*$C46)</f>
        <v>0</v>
      </c>
      <c r="F74" s="88">
        <f>IF($G$8=1,"",E74*$G$9)</f>
        <v>0</v>
      </c>
      <c r="G74" s="89">
        <f>IF($G$8=1,E74*$G$7,F74*12)</f>
        <v>0</v>
      </c>
      <c r="H74" s="72"/>
      <c r="I74" s="87">
        <f>IF(J19=2,0,$S$8*$C46)</f>
        <v>0</v>
      </c>
      <c r="J74" s="88">
        <f>IF($G$8=1,"",I74*$G$9)</f>
        <v>0</v>
      </c>
      <c r="K74" s="89">
        <f>IF($G$8=1,I74*$G$7,J74*12)</f>
        <v>0</v>
      </c>
      <c r="L74" s="72"/>
      <c r="M74" s="87">
        <f>IF(N19=2,0,$S$8*$C46)</f>
        <v>0</v>
      </c>
      <c r="N74" s="88">
        <f>IF($G$8=1,"",M74*$G$9)</f>
        <v>0</v>
      </c>
      <c r="O74" s="89">
        <f>IF($G$8=1,M74*$G$7,N74*12)</f>
        <v>0</v>
      </c>
      <c r="P74" s="72"/>
      <c r="Q74" s="87">
        <f>IF(R19=2,0,$S$8*$C46)</f>
        <v>0</v>
      </c>
      <c r="R74" s="88">
        <f t="shared" si="14"/>
        <v>0</v>
      </c>
      <c r="S74" s="89">
        <f t="shared" si="18"/>
        <v>0</v>
      </c>
      <c r="T74" s="72"/>
      <c r="U74" s="87">
        <f>IF(V19=2,0,$S$8*$C46)</f>
        <v>0</v>
      </c>
      <c r="V74" s="88">
        <f t="shared" si="15"/>
        <v>0</v>
      </c>
      <c r="W74" s="89">
        <f t="shared" si="19"/>
        <v>0</v>
      </c>
      <c r="X74" s="72"/>
      <c r="Y74" s="87">
        <f>IF(Z19=2,0,$S$8*$C46)</f>
        <v>0</v>
      </c>
      <c r="Z74" s="88">
        <f t="shared" si="16"/>
        <v>0</v>
      </c>
      <c r="AA74" s="89">
        <f t="shared" si="20"/>
        <v>0</v>
      </c>
      <c r="AB74" s="72"/>
      <c r="AC74" s="87">
        <f>IF(AD19=2,0,$S$8*$C46)</f>
        <v>0</v>
      </c>
      <c r="AD74" s="88">
        <f t="shared" si="17"/>
        <v>0</v>
      </c>
      <c r="AE74" s="89">
        <f t="shared" si="21"/>
        <v>0</v>
      </c>
      <c r="AF74" s="248"/>
    </row>
    <row r="75" spans="1:32" outlineLevel="1">
      <c r="A75" s="27"/>
      <c r="B75" s="401" t="s">
        <v>176</v>
      </c>
      <c r="C75" s="402"/>
      <c r="D75" s="72"/>
      <c r="E75" s="87">
        <f>IF(F22=2,0,$AD$11)</f>
        <v>0</v>
      </c>
      <c r="F75" s="88">
        <f>IF($G$8=1,"",E75*$AF$11)</f>
        <v>0</v>
      </c>
      <c r="G75" s="89">
        <f>IF($G$8=1,$AE$11,F75)</f>
        <v>0</v>
      </c>
      <c r="H75" s="72"/>
      <c r="I75" s="87">
        <f>IF(J22=2,0,$AD$11)</f>
        <v>0</v>
      </c>
      <c r="J75" s="88">
        <f>IF($G$8=1,"",I75*$AF$11)</f>
        <v>0</v>
      </c>
      <c r="K75" s="89">
        <f>IF($G$8=1,$AE$11,J75)</f>
        <v>0</v>
      </c>
      <c r="L75" s="72"/>
      <c r="M75" s="87">
        <f>IF(N22=2,0,$AD$11)</f>
        <v>0</v>
      </c>
      <c r="N75" s="88">
        <f>IF($G$8=1,"",M75*$AF$11)</f>
        <v>0</v>
      </c>
      <c r="O75" s="89">
        <f>IF($G$8=1,$AE$11,N75)</f>
        <v>0</v>
      </c>
      <c r="P75" s="72"/>
      <c r="Q75" s="87">
        <f>IF(R22=2,0,$AD$11)</f>
        <v>0</v>
      </c>
      <c r="R75" s="88">
        <f>IF($G$8=1,"",Q75*$AF$11)</f>
        <v>0</v>
      </c>
      <c r="S75" s="89">
        <f>IF($G$8=1,$AE$11,R75)</f>
        <v>0</v>
      </c>
      <c r="T75" s="124"/>
      <c r="U75" s="87">
        <f>IF(V22=2,0,$AD$11)</f>
        <v>0</v>
      </c>
      <c r="V75" s="88">
        <f>IF($G$8=1,"",U75*$AF$11)</f>
        <v>0</v>
      </c>
      <c r="W75" s="89">
        <f>IF($G$8=1,$AE$11,V75)</f>
        <v>0</v>
      </c>
      <c r="X75" s="124"/>
      <c r="Y75" s="87">
        <f>IF(Z22=2,0,$AD$11)</f>
        <v>0</v>
      </c>
      <c r="Z75" s="88">
        <f>IF($G$8=1,"",Y75*$AF$11)</f>
        <v>0</v>
      </c>
      <c r="AA75" s="89">
        <f>IF($G$8=1,$AE$11,Z75)</f>
        <v>0</v>
      </c>
      <c r="AB75" s="124"/>
      <c r="AC75" s="87">
        <f>IF(AD22=2,0,$AD$11)</f>
        <v>0</v>
      </c>
      <c r="AD75" s="88">
        <f>IF($G$8=1,"",AC75*$AF$11)</f>
        <v>0</v>
      </c>
      <c r="AE75" s="89">
        <f>IF($G$8=1,$AE$11,AD75)</f>
        <v>0</v>
      </c>
      <c r="AF75" s="248"/>
    </row>
    <row r="76" spans="1:32" outlineLevel="1">
      <c r="A76" s="27"/>
      <c r="B76" s="401" t="s">
        <v>31</v>
      </c>
      <c r="C76" s="402"/>
      <c r="D76" s="72"/>
      <c r="E76" s="87"/>
      <c r="F76" s="88"/>
      <c r="G76" s="89"/>
      <c r="H76" s="72"/>
      <c r="I76" s="87"/>
      <c r="J76" s="88"/>
      <c r="K76" s="89"/>
      <c r="L76" s="72"/>
      <c r="M76" s="87"/>
      <c r="N76" s="88"/>
      <c r="O76" s="89"/>
      <c r="P76" s="72"/>
      <c r="Q76" s="87">
        <f>IF(R26=1,$V5,0)</f>
        <v>0</v>
      </c>
      <c r="R76" s="88">
        <f t="shared" si="14"/>
        <v>0</v>
      </c>
      <c r="S76" s="89">
        <f t="shared" si="18"/>
        <v>0</v>
      </c>
      <c r="T76" s="72"/>
      <c r="U76" s="87">
        <f>IF(V26=1,$V5,0)</f>
        <v>0</v>
      </c>
      <c r="V76" s="88">
        <f t="shared" si="15"/>
        <v>0</v>
      </c>
      <c r="W76" s="89">
        <f t="shared" si="19"/>
        <v>0</v>
      </c>
      <c r="X76" s="72"/>
      <c r="Y76" s="87">
        <f>IF(Z26=1,$V5,0)</f>
        <v>0</v>
      </c>
      <c r="Z76" s="88">
        <f t="shared" si="16"/>
        <v>0</v>
      </c>
      <c r="AA76" s="89">
        <f t="shared" si="20"/>
        <v>0</v>
      </c>
      <c r="AB76" s="72"/>
      <c r="AC76" s="87">
        <f>IF(AD26=1,$V5,0)</f>
        <v>0</v>
      </c>
      <c r="AD76" s="88">
        <f t="shared" si="17"/>
        <v>0</v>
      </c>
      <c r="AE76" s="89">
        <f t="shared" si="21"/>
        <v>0</v>
      </c>
      <c r="AF76" s="248"/>
    </row>
    <row r="77" spans="1:32" outlineLevel="1">
      <c r="A77" s="27"/>
      <c r="B77" s="401" t="s">
        <v>35</v>
      </c>
      <c r="C77" s="402"/>
      <c r="D77" s="72"/>
      <c r="E77" s="87"/>
      <c r="F77" s="88"/>
      <c r="G77" s="89"/>
      <c r="H77" s="72"/>
      <c r="I77" s="87"/>
      <c r="J77" s="88"/>
      <c r="K77" s="89"/>
      <c r="L77" s="72"/>
      <c r="M77" s="87"/>
      <c r="N77" s="88"/>
      <c r="O77" s="89"/>
      <c r="P77" s="72"/>
      <c r="Q77" s="87">
        <f>IF(R27=1,$V6,0)</f>
        <v>0</v>
      </c>
      <c r="R77" s="88">
        <f t="shared" si="14"/>
        <v>0</v>
      </c>
      <c r="S77" s="89">
        <f t="shared" si="18"/>
        <v>0</v>
      </c>
      <c r="T77" s="72"/>
      <c r="U77" s="87">
        <f>IF(V27=1,$V6,0)</f>
        <v>0</v>
      </c>
      <c r="V77" s="88">
        <f t="shared" si="15"/>
        <v>0</v>
      </c>
      <c r="W77" s="89">
        <f t="shared" si="19"/>
        <v>0</v>
      </c>
      <c r="X77" s="72"/>
      <c r="Y77" s="87">
        <f>IF(Z27=1,$V6,0)</f>
        <v>0</v>
      </c>
      <c r="Z77" s="88">
        <f t="shared" si="16"/>
        <v>0</v>
      </c>
      <c r="AA77" s="89">
        <f t="shared" si="20"/>
        <v>0</v>
      </c>
      <c r="AB77" s="72"/>
      <c r="AC77" s="87">
        <f>IF(AD27=1,$V6,0)</f>
        <v>0</v>
      </c>
      <c r="AD77" s="88">
        <f t="shared" si="17"/>
        <v>0</v>
      </c>
      <c r="AE77" s="89">
        <f t="shared" si="21"/>
        <v>0</v>
      </c>
      <c r="AF77" s="248"/>
    </row>
    <row r="78" spans="1:32" outlineLevel="1">
      <c r="A78" s="27"/>
      <c r="B78" s="401" t="s">
        <v>33</v>
      </c>
      <c r="C78" s="402"/>
      <c r="D78" s="72"/>
      <c r="E78" s="87"/>
      <c r="F78" s="88"/>
      <c r="G78" s="89"/>
      <c r="H78" s="72"/>
      <c r="I78" s="87"/>
      <c r="J78" s="88"/>
      <c r="K78" s="89"/>
      <c r="L78" s="72"/>
      <c r="M78" s="87"/>
      <c r="N78" s="88"/>
      <c r="O78" s="89"/>
      <c r="P78" s="72"/>
      <c r="Q78" s="87">
        <f>IF(R28=1,$V7,0)</f>
        <v>0</v>
      </c>
      <c r="R78" s="88">
        <f t="shared" si="14"/>
        <v>0</v>
      </c>
      <c r="S78" s="89">
        <f t="shared" si="18"/>
        <v>0</v>
      </c>
      <c r="T78" s="72"/>
      <c r="U78" s="87">
        <f>IF(V28=1,$V7,0)</f>
        <v>0</v>
      </c>
      <c r="V78" s="88">
        <f t="shared" si="15"/>
        <v>0</v>
      </c>
      <c r="W78" s="89">
        <f t="shared" si="19"/>
        <v>0</v>
      </c>
      <c r="X78" s="72"/>
      <c r="Y78" s="87">
        <f>IF(Z28=1,$V7,0)</f>
        <v>0</v>
      </c>
      <c r="Z78" s="88">
        <f t="shared" si="16"/>
        <v>0</v>
      </c>
      <c r="AA78" s="89">
        <f t="shared" si="20"/>
        <v>0</v>
      </c>
      <c r="AB78" s="72"/>
      <c r="AC78" s="87">
        <f>IF(AD28=1,$V7,0)</f>
        <v>0</v>
      </c>
      <c r="AD78" s="88">
        <f t="shared" si="17"/>
        <v>0</v>
      </c>
      <c r="AE78" s="89">
        <f t="shared" si="21"/>
        <v>0</v>
      </c>
      <c r="AF78" s="248"/>
    </row>
    <row r="79" spans="1:32" outlineLevel="1">
      <c r="A79" s="27"/>
      <c r="B79" s="401" t="s">
        <v>32</v>
      </c>
      <c r="C79" s="402"/>
      <c r="D79" s="72"/>
      <c r="E79" s="87"/>
      <c r="F79" s="88"/>
      <c r="G79" s="89"/>
      <c r="H79" s="72"/>
      <c r="I79" s="87"/>
      <c r="J79" s="88"/>
      <c r="K79" s="89"/>
      <c r="L79" s="72"/>
      <c r="M79" s="87"/>
      <c r="N79" s="88"/>
      <c r="O79" s="89"/>
      <c r="P79" s="72"/>
      <c r="Q79" s="87">
        <f>IF(R29=1,$V8,0)</f>
        <v>0</v>
      </c>
      <c r="R79" s="88">
        <f t="shared" si="14"/>
        <v>0</v>
      </c>
      <c r="S79" s="89">
        <f t="shared" si="18"/>
        <v>0</v>
      </c>
      <c r="T79" s="124"/>
      <c r="U79" s="87">
        <f>IF(V29=1,$V8,0)</f>
        <v>0</v>
      </c>
      <c r="V79" s="88">
        <f t="shared" si="15"/>
        <v>0</v>
      </c>
      <c r="W79" s="89">
        <f t="shared" si="19"/>
        <v>0</v>
      </c>
      <c r="X79" s="124"/>
      <c r="Y79" s="87">
        <f>IF(Z29=1,$V8,0)</f>
        <v>0</v>
      </c>
      <c r="Z79" s="88">
        <f t="shared" si="16"/>
        <v>0</v>
      </c>
      <c r="AA79" s="89">
        <f t="shared" si="20"/>
        <v>0</v>
      </c>
      <c r="AB79" s="124"/>
      <c r="AC79" s="87">
        <f>IF(AD29=1,$V8,0)</f>
        <v>0</v>
      </c>
      <c r="AD79" s="88">
        <f t="shared" si="17"/>
        <v>0</v>
      </c>
      <c r="AE79" s="89">
        <f t="shared" si="21"/>
        <v>0</v>
      </c>
      <c r="AF79" s="248"/>
    </row>
    <row r="80" spans="1:32" outlineLevel="1">
      <c r="A80" s="27"/>
      <c r="B80" s="401" t="s">
        <v>27</v>
      </c>
      <c r="C80" s="402"/>
      <c r="D80" s="72"/>
      <c r="E80" s="87"/>
      <c r="F80" s="88"/>
      <c r="G80" s="89"/>
      <c r="H80" s="72"/>
      <c r="I80" s="87"/>
      <c r="J80" s="88"/>
      <c r="K80" s="89"/>
      <c r="L80" s="72"/>
      <c r="M80" s="87"/>
      <c r="N80" s="88"/>
      <c r="O80" s="89"/>
      <c r="P80" s="72"/>
      <c r="Q80" s="87">
        <f>IF(R30=1,$V9,0)</f>
        <v>0</v>
      </c>
      <c r="R80" s="88">
        <f t="shared" si="14"/>
        <v>0</v>
      </c>
      <c r="S80" s="89">
        <f t="shared" si="18"/>
        <v>0</v>
      </c>
      <c r="T80" s="124"/>
      <c r="U80" s="87">
        <f>IF(V30=1,$V9,0)</f>
        <v>0</v>
      </c>
      <c r="V80" s="88">
        <f t="shared" si="15"/>
        <v>0</v>
      </c>
      <c r="W80" s="89">
        <f t="shared" si="19"/>
        <v>0</v>
      </c>
      <c r="X80" s="124"/>
      <c r="Y80" s="87">
        <f>IF(Z30=1,$V9,0)</f>
        <v>0</v>
      </c>
      <c r="Z80" s="88">
        <f t="shared" si="16"/>
        <v>0</v>
      </c>
      <c r="AA80" s="89">
        <f t="shared" si="20"/>
        <v>0</v>
      </c>
      <c r="AB80" s="124"/>
      <c r="AC80" s="87">
        <f>IF(AD30=1,$V9,0)</f>
        <v>0</v>
      </c>
      <c r="AD80" s="88">
        <f t="shared" si="17"/>
        <v>0</v>
      </c>
      <c r="AE80" s="89">
        <f t="shared" si="21"/>
        <v>0</v>
      </c>
      <c r="AF80" s="248"/>
    </row>
    <row r="81" spans="1:40" outlineLevel="1">
      <c r="A81" s="27"/>
      <c r="B81" s="401" t="s">
        <v>1</v>
      </c>
      <c r="C81" s="402"/>
      <c r="D81" s="72"/>
      <c r="E81" s="87"/>
      <c r="F81" s="88"/>
      <c r="G81" s="89"/>
      <c r="H81" s="72"/>
      <c r="I81" s="87"/>
      <c r="J81" s="88"/>
      <c r="K81" s="89"/>
      <c r="L81" s="72"/>
      <c r="M81" s="87"/>
      <c r="N81" s="88"/>
      <c r="O81" s="89"/>
      <c r="P81" s="72"/>
      <c r="Q81" s="87">
        <f>IF(Q58=0,IF(R31=1,$V10,0),0)</f>
        <v>0</v>
      </c>
      <c r="R81" s="88">
        <f>IF($G$8=1,"",Q81*$G$9)</f>
        <v>0</v>
      </c>
      <c r="S81" s="89">
        <f>IF($G$8=1,Q81*$G$7,R81*12)</f>
        <v>0</v>
      </c>
      <c r="T81" s="124"/>
      <c r="U81" s="87">
        <f>IF(U58=0,IF(V31=1,$V10,0),0)</f>
        <v>0</v>
      </c>
      <c r="V81" s="88">
        <f t="shared" si="15"/>
        <v>0</v>
      </c>
      <c r="W81" s="89">
        <f t="shared" si="19"/>
        <v>0</v>
      </c>
      <c r="X81" s="124"/>
      <c r="Y81" s="87">
        <f>IF(Y58=0,IF(Z31=1,$V10,0),0)</f>
        <v>0</v>
      </c>
      <c r="Z81" s="88">
        <f t="shared" si="16"/>
        <v>0</v>
      </c>
      <c r="AA81" s="89">
        <f t="shared" si="20"/>
        <v>0</v>
      </c>
      <c r="AB81" s="124"/>
      <c r="AC81" s="87">
        <f>IF(AC58=0,IF(AD31=1,$V10,0),0)</f>
        <v>0</v>
      </c>
      <c r="AD81" s="88">
        <f>IF($G$8=1,"",AC81*$G$9)</f>
        <v>0</v>
      </c>
      <c r="AE81" s="89">
        <f t="shared" si="21"/>
        <v>0</v>
      </c>
      <c r="AF81" s="248"/>
    </row>
    <row r="82" spans="1:40" outlineLevel="1">
      <c r="A82" s="27"/>
      <c r="B82" s="90" t="s">
        <v>85</v>
      </c>
      <c r="C82" s="91"/>
      <c r="D82" s="72"/>
      <c r="E82" s="87"/>
      <c r="F82" s="88"/>
      <c r="G82" s="89"/>
      <c r="H82" s="72"/>
      <c r="I82" s="87"/>
      <c r="J82" s="88"/>
      <c r="K82" s="89"/>
      <c r="L82" s="72"/>
      <c r="M82" s="87"/>
      <c r="N82" s="88"/>
      <c r="O82" s="89"/>
      <c r="P82" s="72"/>
      <c r="Q82" s="87">
        <f>IF(Q59=0,IF(R32=1,$AA6,0),0)</f>
        <v>0</v>
      </c>
      <c r="R82" s="88">
        <f>IF($G$8=1,$Q$82,$Q$82)</f>
        <v>0</v>
      </c>
      <c r="S82" s="89">
        <f>IF($G$8=1,$R$82,$R$82)</f>
        <v>0</v>
      </c>
      <c r="T82" s="124"/>
      <c r="U82" s="87">
        <f>IF(U59=0,IF(V32=1,$AA6,0),0)</f>
        <v>0</v>
      </c>
      <c r="V82" s="88">
        <f>IF($G$8=1,$Q$82,$Q$82)</f>
        <v>0</v>
      </c>
      <c r="W82" s="89">
        <f>IF($G$8=1,$R$82,$R$82)</f>
        <v>0</v>
      </c>
      <c r="X82" s="124"/>
      <c r="Y82" s="87">
        <f>IF(Y59=0,IF(Z32=1,$AA6,0),0)</f>
        <v>0</v>
      </c>
      <c r="Z82" s="88">
        <f>IF($G$8=1,$Q$82,$Q$82)</f>
        <v>0</v>
      </c>
      <c r="AA82" s="89">
        <f>IF($G$8=1,$R$82,$R$82)</f>
        <v>0</v>
      </c>
      <c r="AB82" s="124"/>
      <c r="AC82" s="87">
        <f>IF(AC59=0,IF(AD32=1,$AA6,0),0)</f>
        <v>0</v>
      </c>
      <c r="AD82" s="88">
        <f>IF($G$8=1,$Q$82,$Q$82)</f>
        <v>0</v>
      </c>
      <c r="AE82" s="89">
        <f>IF($G$8=1,$R$82,$R$82)</f>
        <v>0</v>
      </c>
      <c r="AF82" s="248"/>
    </row>
    <row r="83" spans="1:40" outlineLevel="1">
      <c r="A83" s="27"/>
      <c r="B83" s="90" t="s">
        <v>84</v>
      </c>
      <c r="C83" s="91"/>
      <c r="D83" s="72"/>
      <c r="E83" s="87"/>
      <c r="F83" s="88"/>
      <c r="G83" s="89"/>
      <c r="H83" s="72"/>
      <c r="I83" s="87"/>
      <c r="J83" s="88"/>
      <c r="K83" s="89"/>
      <c r="L83" s="72"/>
      <c r="M83" s="87"/>
      <c r="N83" s="88"/>
      <c r="O83" s="89"/>
      <c r="P83" s="72"/>
      <c r="Q83" s="87">
        <f>IF(Q60=0,IF(R33=1,$AA9,0),0)</f>
        <v>0</v>
      </c>
      <c r="R83" s="88">
        <f>IF($G$8=1,$Q$83,$Q$83)</f>
        <v>0</v>
      </c>
      <c r="S83" s="89">
        <f>IF($G$8=1,$R$83,$R$83)</f>
        <v>0</v>
      </c>
      <c r="T83" s="124"/>
      <c r="U83" s="87">
        <f>IF(U60=0,IF(V33=1,$AA9,0),0)</f>
        <v>0</v>
      </c>
      <c r="V83" s="88">
        <f>IF($G$8=1,$Q$83,$Q$83)</f>
        <v>0</v>
      </c>
      <c r="W83" s="89">
        <f>IF($G$8=1,$R$83,$R$83)</f>
        <v>0</v>
      </c>
      <c r="X83" s="124"/>
      <c r="Y83" s="87">
        <f>IF(Y60=0,IF(Z33=1,$AA9,0),0)</f>
        <v>0</v>
      </c>
      <c r="Z83" s="88">
        <f>IF($G$8=1,$Q$83,$Q$83)</f>
        <v>0</v>
      </c>
      <c r="AA83" s="89">
        <f>IF($G$8=1,$R$83,$R$83)</f>
        <v>0</v>
      </c>
      <c r="AB83" s="124"/>
      <c r="AC83" s="87">
        <f>IF(AC60=0,IF(AD33=1,$AA9,0),0)</f>
        <v>0</v>
      </c>
      <c r="AD83" s="88">
        <f>IF($G$8=1,$Q$83,$Q$83)</f>
        <v>0</v>
      </c>
      <c r="AE83" s="89">
        <f>IF($G$8=1,$R$83,$R$83)</f>
        <v>0</v>
      </c>
      <c r="AF83" s="248"/>
    </row>
    <row r="84" spans="1:40" outlineLevel="1">
      <c r="A84" s="27"/>
      <c r="B84" s="130" t="s">
        <v>140</v>
      </c>
      <c r="C84" s="131"/>
      <c r="D84" s="72"/>
      <c r="E84" s="87"/>
      <c r="F84" s="88"/>
      <c r="G84" s="89"/>
      <c r="H84" s="72"/>
      <c r="I84" s="87"/>
      <c r="J84" s="88"/>
      <c r="K84" s="89"/>
      <c r="L84" s="72"/>
      <c r="M84" s="87"/>
      <c r="N84" s="88"/>
      <c r="O84" s="89"/>
      <c r="P84" s="72"/>
      <c r="Q84" s="87">
        <f>IF(Q61=0,IF(R34=1,$Z10,0),0)</f>
        <v>0</v>
      </c>
      <c r="R84" s="88">
        <f>IF($G$8=1,"",Q84*$G$9)</f>
        <v>0</v>
      </c>
      <c r="S84" s="89">
        <f>IF($G$8=1,Q84*$G$7,R84*12)</f>
        <v>0</v>
      </c>
      <c r="T84" s="124"/>
      <c r="U84" s="87">
        <f>IF(U61=0,IF(V34=1,$Z10,0),0)</f>
        <v>0</v>
      </c>
      <c r="V84" s="88">
        <f>IF($G$8=1,"",U84*$G$9)</f>
        <v>0</v>
      </c>
      <c r="W84" s="89">
        <f>IF($G$8=1,U84*$G$7,V84*12)</f>
        <v>0</v>
      </c>
      <c r="X84" s="124"/>
      <c r="Y84" s="87">
        <f>IF(Y61=0,IF(Z34=1,$Z10,0),0)</f>
        <v>0</v>
      </c>
      <c r="Z84" s="88">
        <f>IF($G$8=1,"",Y84*$G$9)</f>
        <v>0</v>
      </c>
      <c r="AA84" s="89">
        <f>IF($G$8=1,Y84*$G$7,Z84*12)</f>
        <v>0</v>
      </c>
      <c r="AB84" s="124"/>
      <c r="AC84" s="87">
        <f>IF(AC61=0,IF(AD34=1,$Z10,0),0)</f>
        <v>0</v>
      </c>
      <c r="AD84" s="88">
        <f>IF($G$8=1,"",AC84*$G$9)</f>
        <v>0</v>
      </c>
      <c r="AE84" s="89">
        <f>IF($G$8=1,AC84*$G$7,AD84*12)</f>
        <v>0</v>
      </c>
      <c r="AF84" s="248"/>
    </row>
    <row r="85" spans="1:40" s="17" customFormat="1" ht="20.100000000000001" customHeight="1">
      <c r="A85" s="14"/>
      <c r="B85" s="374" t="s">
        <v>10</v>
      </c>
      <c r="C85" s="375"/>
      <c r="D85" s="72"/>
      <c r="E85" s="92">
        <f>SUM(E66:E84)</f>
        <v>72.52087499999999</v>
      </c>
      <c r="F85" s="93">
        <f>IF($G$8=1,"",SUM(F66:F84))</f>
        <v>1740.501</v>
      </c>
      <c r="G85" s="94">
        <f>SUM(G66:G84)</f>
        <v>20886.011999999999</v>
      </c>
      <c r="H85" s="72"/>
      <c r="I85" s="92">
        <f>SUM(I66:I84)</f>
        <v>154.125</v>
      </c>
      <c r="J85" s="93">
        <f>IF($G$8=1,"",SUM(J66:J84))</f>
        <v>4023</v>
      </c>
      <c r="K85" s="94">
        <f>SUM(K66:K84)</f>
        <v>48276</v>
      </c>
      <c r="L85" s="72"/>
      <c r="M85" s="92">
        <f>SUM(M66:M84)</f>
        <v>108.5625</v>
      </c>
      <c r="N85" s="93">
        <f>IF($G$8=1,"",SUM(N66:N84))</f>
        <v>2767.5</v>
      </c>
      <c r="O85" s="94">
        <f>SUM(O66:O84)</f>
        <v>33210</v>
      </c>
      <c r="P85" s="72"/>
      <c r="Q85" s="92">
        <f>SUM(Q66:Q84)</f>
        <v>76.542374999999993</v>
      </c>
      <c r="R85" s="93">
        <f>IF($G$8=1,"",SUM(R66:R84))</f>
        <v>1866.501</v>
      </c>
      <c r="S85" s="94">
        <f>SUM(S66:S84)</f>
        <v>22398.011999999999</v>
      </c>
      <c r="T85" s="72"/>
      <c r="U85" s="92">
        <f>SUM(U66:U84)</f>
        <v>159.375</v>
      </c>
      <c r="V85" s="93">
        <f>IF($G$8=1,"",SUM(V66:V84))</f>
        <v>4149</v>
      </c>
      <c r="W85" s="94">
        <f>SUM(W66:W84)</f>
        <v>49788</v>
      </c>
      <c r="X85" s="72"/>
      <c r="Y85" s="92">
        <f>SUM(Y66:Y84)</f>
        <v>120.5625</v>
      </c>
      <c r="Z85" s="93">
        <f>IF($G$8=1,"",SUM(Z66:Z84))</f>
        <v>2893.5</v>
      </c>
      <c r="AA85" s="94">
        <f>SUM(AA66:AA84)</f>
        <v>34722</v>
      </c>
      <c r="AB85" s="72"/>
      <c r="AC85" s="92">
        <f>SUM(AC66:AC84)</f>
        <v>168.03750000000002</v>
      </c>
      <c r="AD85" s="93">
        <f>IF($G$8=1,"",SUM(AD66:AD84))</f>
        <v>4032.8999999999996</v>
      </c>
      <c r="AE85" s="94">
        <f>SUM(AE66:AE84)</f>
        <v>52948.08</v>
      </c>
      <c r="AF85" s="250"/>
      <c r="AI85" s="29"/>
      <c r="AJ85" s="29"/>
      <c r="AK85" s="29"/>
      <c r="AL85" s="29"/>
      <c r="AM85" s="29"/>
      <c r="AN85" s="29"/>
    </row>
    <row r="86" spans="1:40" ht="5.0999999999999996" customHeight="1">
      <c r="A86" s="27"/>
      <c r="B86" s="65"/>
      <c r="C86" s="65"/>
      <c r="D86" s="72"/>
      <c r="E86" s="28"/>
      <c r="F86" s="28"/>
      <c r="G86" s="28"/>
      <c r="H86" s="72"/>
      <c r="I86" s="28"/>
      <c r="J86" s="28"/>
      <c r="K86" s="28"/>
      <c r="L86" s="72"/>
      <c r="M86" s="28"/>
      <c r="N86" s="28"/>
      <c r="O86" s="28"/>
      <c r="P86" s="72"/>
      <c r="Q86" s="28"/>
      <c r="R86" s="28"/>
      <c r="S86" s="28"/>
      <c r="T86" s="72"/>
      <c r="U86" s="28"/>
      <c r="V86" s="28"/>
      <c r="W86" s="28"/>
      <c r="X86" s="72"/>
      <c r="Y86" s="28"/>
      <c r="Z86" s="28"/>
      <c r="AA86" s="28"/>
      <c r="AB86" s="72"/>
      <c r="AC86" s="28"/>
      <c r="AD86" s="28"/>
      <c r="AE86" s="28"/>
      <c r="AF86" s="248"/>
      <c r="AI86" s="17"/>
      <c r="AJ86" s="17"/>
      <c r="AK86" s="17"/>
      <c r="AL86" s="17"/>
      <c r="AM86" s="17"/>
      <c r="AN86" s="17"/>
    </row>
    <row r="87" spans="1:40" s="97" customFormat="1" ht="20.100000000000001" customHeight="1">
      <c r="A87" s="95"/>
      <c r="B87" s="374" t="s">
        <v>12</v>
      </c>
      <c r="C87" s="375"/>
      <c r="D87" s="96"/>
      <c r="E87" s="103">
        <f>E63-E85</f>
        <v>41.052375000000012</v>
      </c>
      <c r="F87" s="104">
        <f>F63-F85</f>
        <v>985.25700000000029</v>
      </c>
      <c r="G87" s="105">
        <f>G63-G85</f>
        <v>11823.084000000003</v>
      </c>
      <c r="H87" s="96"/>
      <c r="I87" s="103">
        <f>I63-I85</f>
        <v>573.02324999999996</v>
      </c>
      <c r="J87" s="104">
        <f>J63-J85</f>
        <v>13428.558000000001</v>
      </c>
      <c r="K87" s="105">
        <f>K63-K85</f>
        <v>161142.696</v>
      </c>
      <c r="L87" s="96"/>
      <c r="M87" s="103">
        <f>M63-M85</f>
        <v>281.08575000000002</v>
      </c>
      <c r="N87" s="104">
        <f>N63-N85</f>
        <v>6584.0580000000009</v>
      </c>
      <c r="O87" s="105">
        <f>O63-O85</f>
        <v>79008.695999999996</v>
      </c>
      <c r="P87" s="96"/>
      <c r="Q87" s="103">
        <f>Q63-Q85</f>
        <v>118.24837500000001</v>
      </c>
      <c r="R87" s="104">
        <f>R63-R85</f>
        <v>2808.4769999999999</v>
      </c>
      <c r="S87" s="105">
        <f>S63-S85</f>
        <v>33701.724000000002</v>
      </c>
      <c r="T87" s="96"/>
      <c r="U87" s="103">
        <f>U63-U85</f>
        <v>648.99074999999993</v>
      </c>
      <c r="V87" s="104">
        <f>V63-V85</f>
        <v>15251.777999999998</v>
      </c>
      <c r="W87" s="105">
        <f>W63-W85</f>
        <v>183021.33600000001</v>
      </c>
      <c r="X87" s="96"/>
      <c r="Y87" s="103">
        <f>Y63-Y85</f>
        <v>297.80324999999999</v>
      </c>
      <c r="Z87" s="104">
        <f>Z63-Z85</f>
        <v>7147.2780000000002</v>
      </c>
      <c r="AA87" s="105">
        <f>AA63-AA85</f>
        <v>85767.335999999996</v>
      </c>
      <c r="AB87" s="96"/>
      <c r="AC87" s="103">
        <f>AC63-AC85</f>
        <v>703.32825000000003</v>
      </c>
      <c r="AD87" s="104">
        <f>AD63-AD85</f>
        <v>16879.877999999997</v>
      </c>
      <c r="AE87" s="105">
        <f>AE63-AE85</f>
        <v>198005.25599999999</v>
      </c>
      <c r="AF87" s="256"/>
      <c r="AI87" s="29"/>
      <c r="AJ87" s="29"/>
      <c r="AK87" s="29"/>
      <c r="AL87" s="29"/>
      <c r="AM87" s="29"/>
      <c r="AN87" s="29"/>
    </row>
    <row r="88" spans="1:40" ht="5.0999999999999996" customHeight="1">
      <c r="A88" s="27"/>
      <c r="B88" s="65"/>
      <c r="C88" s="65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48"/>
      <c r="AI88" s="97"/>
      <c r="AJ88" s="97"/>
      <c r="AK88" s="97"/>
      <c r="AL88" s="97"/>
      <c r="AM88" s="97"/>
      <c r="AN88" s="97"/>
    </row>
    <row r="89" spans="1:40">
      <c r="A89" s="27"/>
      <c r="B89" s="405" t="s">
        <v>88</v>
      </c>
      <c r="C89" s="406"/>
      <c r="D89" s="28"/>
      <c r="E89" s="98"/>
      <c r="F89" s="99" t="s">
        <v>80</v>
      </c>
      <c r="G89" s="100" t="s">
        <v>23</v>
      </c>
      <c r="H89" s="28"/>
      <c r="I89" s="98"/>
      <c r="J89" s="99" t="s">
        <v>80</v>
      </c>
      <c r="K89" s="100" t="s">
        <v>23</v>
      </c>
      <c r="L89" s="28"/>
      <c r="M89" s="98"/>
      <c r="N89" s="99" t="s">
        <v>80</v>
      </c>
      <c r="O89" s="100" t="s">
        <v>23</v>
      </c>
      <c r="P89" s="28"/>
      <c r="Q89" s="98"/>
      <c r="R89" s="99" t="s">
        <v>80</v>
      </c>
      <c r="S89" s="100" t="s">
        <v>23</v>
      </c>
      <c r="T89" s="28"/>
      <c r="U89" s="98"/>
      <c r="V89" s="99" t="s">
        <v>80</v>
      </c>
      <c r="W89" s="100" t="s">
        <v>23</v>
      </c>
      <c r="X89" s="28"/>
      <c r="Y89" s="98"/>
      <c r="Z89" s="99" t="s">
        <v>80</v>
      </c>
      <c r="AA89" s="100" t="s">
        <v>23</v>
      </c>
      <c r="AB89" s="28"/>
      <c r="AC89" s="98"/>
      <c r="AD89" s="99" t="s">
        <v>80</v>
      </c>
      <c r="AE89" s="100" t="s">
        <v>23</v>
      </c>
      <c r="AF89" s="248"/>
    </row>
    <row r="90" spans="1:40" s="148" customFormat="1" ht="15" customHeight="1">
      <c r="A90" s="142"/>
      <c r="B90" s="143" t="s">
        <v>90</v>
      </c>
      <c r="C90" s="144"/>
      <c r="D90" s="72"/>
      <c r="E90" s="145">
        <f>G63</f>
        <v>32709.096000000001</v>
      </c>
      <c r="F90" s="146">
        <f>G90/G90</f>
        <v>1</v>
      </c>
      <c r="G90" s="147">
        <f>E63/$G$6</f>
        <v>0.75715500000000002</v>
      </c>
      <c r="H90" s="72"/>
      <c r="I90" s="145">
        <f>K63</f>
        <v>209418.696</v>
      </c>
      <c r="J90" s="146">
        <f>K90/K90</f>
        <v>1</v>
      </c>
      <c r="K90" s="147">
        <f>I63/$G$6</f>
        <v>4.8476549999999996</v>
      </c>
      <c r="L90" s="72"/>
      <c r="M90" s="145">
        <f>O63</f>
        <v>112218.696</v>
      </c>
      <c r="N90" s="146">
        <f>O90/O90</f>
        <v>1</v>
      </c>
      <c r="O90" s="147">
        <f>M63/$G$6</f>
        <v>2.597655</v>
      </c>
      <c r="P90" s="72"/>
      <c r="Q90" s="145">
        <f>S63</f>
        <v>56099.735999999997</v>
      </c>
      <c r="R90" s="146">
        <f>S90/S90</f>
        <v>1</v>
      </c>
      <c r="S90" s="147">
        <f>Q63/$G$6</f>
        <v>1.298605</v>
      </c>
      <c r="T90" s="72"/>
      <c r="U90" s="145">
        <f>W63</f>
        <v>232809.33600000001</v>
      </c>
      <c r="V90" s="146">
        <f>W90/W90</f>
        <v>1</v>
      </c>
      <c r="W90" s="147">
        <f>U63/$G$6</f>
        <v>5.3891049999999998</v>
      </c>
      <c r="X90" s="72"/>
      <c r="Y90" s="145">
        <f>AA63</f>
        <v>120489.336</v>
      </c>
      <c r="Z90" s="146">
        <f>AA90/AA90</f>
        <v>1</v>
      </c>
      <c r="AA90" s="147">
        <f>Y63/$G$6</f>
        <v>2.7891049999999997</v>
      </c>
      <c r="AB90" s="72"/>
      <c r="AC90" s="145">
        <f>AE63</f>
        <v>250953.33600000001</v>
      </c>
      <c r="AD90" s="146">
        <f>AE90/AE90</f>
        <v>1</v>
      </c>
      <c r="AE90" s="147">
        <f>AC63/$G$6</f>
        <v>5.8091050000000006</v>
      </c>
      <c r="AF90" s="248"/>
    </row>
    <row r="91" spans="1:40" s="153" customFormat="1" ht="15" customHeight="1">
      <c r="A91" s="149"/>
      <c r="B91" s="150" t="s">
        <v>91</v>
      </c>
      <c r="C91" s="151"/>
      <c r="D91" s="152"/>
      <c r="E91" s="139">
        <f>G85</f>
        <v>20886.011999999999</v>
      </c>
      <c r="F91" s="140">
        <f>G91/G90</f>
        <v>0.63853834419636657</v>
      </c>
      <c r="G91" s="141">
        <f>E85/$G$6</f>
        <v>0.48347249999999992</v>
      </c>
      <c r="H91" s="152"/>
      <c r="I91" s="139">
        <f>K85</f>
        <v>48276</v>
      </c>
      <c r="J91" s="140">
        <f>K91/K90</f>
        <v>0.21195815296261805</v>
      </c>
      <c r="K91" s="141">
        <f>I85/$G$6</f>
        <v>1.0275000000000001</v>
      </c>
      <c r="L91" s="152"/>
      <c r="M91" s="139">
        <f>O85</f>
        <v>33210</v>
      </c>
      <c r="N91" s="140">
        <f>O91/O90</f>
        <v>0.27861667542456564</v>
      </c>
      <c r="O91" s="141">
        <f>M85/$G$6</f>
        <v>0.72375</v>
      </c>
      <c r="P91" s="152"/>
      <c r="Q91" s="139">
        <f>S85</f>
        <v>22398.011999999999</v>
      </c>
      <c r="R91" s="140">
        <f>S91/S90</f>
        <v>0.3929466619949869</v>
      </c>
      <c r="S91" s="141">
        <f>Q85/$G$6</f>
        <v>0.51028249999999997</v>
      </c>
      <c r="T91" s="152"/>
      <c r="U91" s="139">
        <f>W85</f>
        <v>49788</v>
      </c>
      <c r="V91" s="140">
        <f>W91/W90</f>
        <v>0.19715704184646615</v>
      </c>
      <c r="W91" s="141">
        <f>U85/$G$6</f>
        <v>1.0625</v>
      </c>
      <c r="X91" s="152"/>
      <c r="Y91" s="139">
        <f>AA85</f>
        <v>34722</v>
      </c>
      <c r="Z91" s="140">
        <f>AA91/AA90</f>
        <v>0.28817488047240963</v>
      </c>
      <c r="AA91" s="141">
        <f>Y85/$G$6</f>
        <v>0.80374999999999996</v>
      </c>
      <c r="AB91" s="152"/>
      <c r="AC91" s="139">
        <f>AE85</f>
        <v>52948.08</v>
      </c>
      <c r="AD91" s="140">
        <f>AE91/AE90</f>
        <v>0.19284382017539708</v>
      </c>
      <c r="AE91" s="141">
        <f>AC85/$G$6</f>
        <v>1.1202500000000002</v>
      </c>
      <c r="AF91" s="248"/>
    </row>
    <row r="92" spans="1:40" s="97" customFormat="1" ht="20.100000000000001" customHeight="1">
      <c r="A92" s="95"/>
      <c r="B92" s="374" t="s">
        <v>25</v>
      </c>
      <c r="C92" s="375"/>
      <c r="D92" s="96"/>
      <c r="E92" s="103">
        <f>G87</f>
        <v>11823.084000000003</v>
      </c>
      <c r="F92" s="104">
        <f>G92/G90</f>
        <v>0.36146165580363349</v>
      </c>
      <c r="G92" s="105">
        <f>E87/$G$6</f>
        <v>0.27368250000000011</v>
      </c>
      <c r="H92" s="96"/>
      <c r="I92" s="103">
        <f>K87</f>
        <v>161142.696</v>
      </c>
      <c r="J92" s="104">
        <f>K92/K90</f>
        <v>0.788041847037382</v>
      </c>
      <c r="K92" s="105">
        <f>I87/$G$6</f>
        <v>3.8201549999999997</v>
      </c>
      <c r="L92" s="96"/>
      <c r="M92" s="103">
        <f>O87</f>
        <v>79008.695999999996</v>
      </c>
      <c r="N92" s="104">
        <f>O92/O90</f>
        <v>0.72138332457543441</v>
      </c>
      <c r="O92" s="105">
        <f>M87/$G$6</f>
        <v>1.8739050000000002</v>
      </c>
      <c r="P92" s="96"/>
      <c r="Q92" s="103">
        <f>S87</f>
        <v>33701.724000000002</v>
      </c>
      <c r="R92" s="104">
        <f>S92/S90</f>
        <v>0.60705333800501304</v>
      </c>
      <c r="S92" s="105">
        <f>Q87/$G$6</f>
        <v>0.78832250000000004</v>
      </c>
      <c r="T92" s="96"/>
      <c r="U92" s="103">
        <f>W87</f>
        <v>183021.33600000001</v>
      </c>
      <c r="V92" s="104">
        <f>W92/W90</f>
        <v>0.80284295815353379</v>
      </c>
      <c r="W92" s="105">
        <f>U87/$G$6</f>
        <v>4.3266049999999998</v>
      </c>
      <c r="X92" s="96"/>
      <c r="Y92" s="103">
        <f>AA87</f>
        <v>85767.335999999996</v>
      </c>
      <c r="Z92" s="104">
        <f>AA92/AA90</f>
        <v>0.71182511952759042</v>
      </c>
      <c r="AA92" s="105">
        <f>Y87/$G$6</f>
        <v>1.985355</v>
      </c>
      <c r="AB92" s="96"/>
      <c r="AC92" s="103">
        <f>AE87</f>
        <v>198005.25599999999</v>
      </c>
      <c r="AD92" s="104">
        <f>AE92/AE90</f>
        <v>0.80715617982460286</v>
      </c>
      <c r="AE92" s="105">
        <f>AC87/$G$6</f>
        <v>4.6888550000000002</v>
      </c>
      <c r="AF92" s="256"/>
      <c r="AI92" s="29"/>
      <c r="AJ92" s="29"/>
      <c r="AK92" s="29"/>
      <c r="AL92" s="29"/>
      <c r="AM92" s="29"/>
      <c r="AN92" s="29"/>
    </row>
    <row r="93" spans="1:40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48"/>
    </row>
    <row r="94" spans="1:40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48"/>
    </row>
    <row r="95" spans="1:40">
      <c r="E95" s="123"/>
    </row>
    <row r="245" spans="11:11">
      <c r="K245" s="29">
        <v>1</v>
      </c>
    </row>
  </sheetData>
  <mergeCells count="64">
    <mergeCell ref="A45:A62"/>
    <mergeCell ref="B15:C26"/>
    <mergeCell ref="Q5:R5"/>
    <mergeCell ref="Q6:R6"/>
    <mergeCell ref="Q8:R8"/>
    <mergeCell ref="B3:C11"/>
    <mergeCell ref="E3:G3"/>
    <mergeCell ref="E4:F4"/>
    <mergeCell ref="E5:F5"/>
    <mergeCell ref="E6:F6"/>
    <mergeCell ref="E7:F7"/>
    <mergeCell ref="E9:F9"/>
    <mergeCell ref="Q4:R4"/>
    <mergeCell ref="A37:A44"/>
    <mergeCell ref="I4:J4"/>
    <mergeCell ref="I5:J5"/>
    <mergeCell ref="B89:C89"/>
    <mergeCell ref="I3:K3"/>
    <mergeCell ref="B81:C81"/>
    <mergeCell ref="B80:C80"/>
    <mergeCell ref="B75:C75"/>
    <mergeCell ref="B76:C76"/>
    <mergeCell ref="B77:C77"/>
    <mergeCell ref="B78:C78"/>
    <mergeCell ref="B79:C79"/>
    <mergeCell ref="B57:C57"/>
    <mergeCell ref="B58:C58"/>
    <mergeCell ref="B66:C66"/>
    <mergeCell ref="B68:C68"/>
    <mergeCell ref="B71:C71"/>
    <mergeCell ref="B72:C72"/>
    <mergeCell ref="B74:C74"/>
    <mergeCell ref="M3:O3"/>
    <mergeCell ref="I15:K15"/>
    <mergeCell ref="B45:C45"/>
    <mergeCell ref="B73:C73"/>
    <mergeCell ref="B69:C69"/>
    <mergeCell ref="B48:C48"/>
    <mergeCell ref="B49:C49"/>
    <mergeCell ref="B52:C52"/>
    <mergeCell ref="B53:C53"/>
    <mergeCell ref="B54:C54"/>
    <mergeCell ref="B50:C50"/>
    <mergeCell ref="I6:J6"/>
    <mergeCell ref="I21:J21"/>
    <mergeCell ref="E15:G15"/>
    <mergeCell ref="B55:C55"/>
    <mergeCell ref="B56:C56"/>
    <mergeCell ref="B92:C92"/>
    <mergeCell ref="B1:AE1"/>
    <mergeCell ref="B87:C87"/>
    <mergeCell ref="B85:C85"/>
    <mergeCell ref="B63:C63"/>
    <mergeCell ref="M15:O15"/>
    <mergeCell ref="E13:O13"/>
    <mergeCell ref="U15:W15"/>
    <mergeCell ref="Q13:AE13"/>
    <mergeCell ref="AC15:AE15"/>
    <mergeCell ref="I7:J7"/>
    <mergeCell ref="Q7:R7"/>
    <mergeCell ref="B13:C13"/>
    <mergeCell ref="Y15:AA15"/>
    <mergeCell ref="Q3:AE3"/>
    <mergeCell ref="Q15:S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4"/>
  <dimension ref="A1:AV71"/>
  <sheetViews>
    <sheetView zoomScaleNormal="100" workbookViewId="0">
      <selection activeCell="U16" sqref="U16"/>
    </sheetView>
  </sheetViews>
  <sheetFormatPr defaultRowHeight="15" outlineLevelCol="1"/>
  <cols>
    <col min="1" max="1" width="3.140625" style="162" customWidth="1"/>
    <col min="2" max="3" width="28.7109375" style="67" customWidth="1"/>
    <col min="4" max="4" width="15" customWidth="1"/>
    <col min="5" max="5" width="39.85546875" style="203" customWidth="1"/>
    <col min="6" max="18" width="5.7109375" style="162" customWidth="1"/>
    <col min="19" max="19" width="24.5703125" style="164" customWidth="1" outlineLevel="1"/>
    <col min="20" max="20" width="28.85546875" style="167" customWidth="1" outlineLevel="1"/>
    <col min="21" max="21" width="10.5703125" style="167" customWidth="1" outlineLevel="1"/>
    <col min="22" max="22" width="2" style="167" customWidth="1" outlineLevel="1"/>
    <col min="23" max="23" width="33.140625" style="164" customWidth="1" outlineLevel="1" collapsed="1"/>
    <col min="24" max="24" width="9.140625" style="164" customWidth="1" outlineLevel="1" collapsed="1"/>
    <col min="25" max="25" width="82" style="164" customWidth="1" outlineLevel="1"/>
    <col min="26" max="26" width="11.7109375" style="164" customWidth="1" outlineLevel="1" collapsed="1"/>
    <col min="27" max="27" width="15.85546875" style="164" customWidth="1" outlineLevel="1"/>
    <col min="28" max="28" width="9.140625" style="164" customWidth="1" outlineLevel="1" collapsed="1"/>
    <col min="29" max="29" width="15.5703125" style="164" customWidth="1" outlineLevel="1"/>
    <col min="30" max="30" width="12.28515625" style="164" customWidth="1" outlineLevel="1"/>
    <col min="31" max="45" width="9.140625" style="164" customWidth="1" outlineLevel="1"/>
    <col min="46" max="48" width="9.140625" style="164"/>
    <col min="49" max="16384" width="9.140625" style="162"/>
  </cols>
  <sheetData>
    <row r="1" spans="1:47" ht="53.25" customHeight="1">
      <c r="A1" s="222"/>
      <c r="B1" s="223" t="s">
        <v>152</v>
      </c>
      <c r="C1" s="222"/>
      <c r="D1" s="224"/>
      <c r="E1" s="225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15" t="s">
        <v>178</v>
      </c>
      <c r="AT1" s="222"/>
      <c r="AU1" s="222"/>
    </row>
    <row r="2" spans="1:47" hidden="1">
      <c r="A2" s="222"/>
      <c r="B2" s="221" t="s">
        <v>97</v>
      </c>
      <c r="C2" s="183">
        <f>Parâmetros!D2</f>
        <v>41749</v>
      </c>
      <c r="D2" s="1"/>
      <c r="E2" s="3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16" t="s">
        <v>144</v>
      </c>
      <c r="W2" s="202">
        <f>C2</f>
        <v>41749</v>
      </c>
      <c r="AT2" s="222"/>
      <c r="AU2" s="222"/>
    </row>
    <row r="3" spans="1:47" hidden="1">
      <c r="A3" s="222"/>
      <c r="B3" s="221" t="s">
        <v>105</v>
      </c>
      <c r="C3" s="2" t="str">
        <f>Parâmetros!D3</f>
        <v>Centro Cultural e de Entretenimento Espaço Teste</v>
      </c>
      <c r="D3" s="1"/>
      <c r="E3" s="3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17" t="s">
        <v>145</v>
      </c>
      <c r="W3" s="164" t="s">
        <v>94</v>
      </c>
      <c r="AT3" s="222"/>
      <c r="AU3" s="222"/>
    </row>
    <row r="4" spans="1:47" hidden="1">
      <c r="A4" s="222"/>
      <c r="B4" s="221" t="s">
        <v>106</v>
      </c>
      <c r="C4" s="2" t="str">
        <f>Parâmetros!D4</f>
        <v>Espaço Teste</v>
      </c>
      <c r="D4" s="1"/>
      <c r="E4" s="3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W4" s="164" t="str">
        <f>C3</f>
        <v>Centro Cultural e de Entretenimento Espaço Teste</v>
      </c>
      <c r="AT4" s="222"/>
      <c r="AU4" s="222"/>
    </row>
    <row r="5" spans="1:47" hidden="1">
      <c r="A5" s="222"/>
      <c r="B5" s="221" t="s">
        <v>149</v>
      </c>
      <c r="C5" s="184" t="str">
        <f>Parâmetros!D5</f>
        <v>CI-RJ 019|14</v>
      </c>
      <c r="D5" s="1"/>
      <c r="E5" s="3"/>
      <c r="F5" s="222"/>
      <c r="G5" s="222"/>
      <c r="H5" s="222"/>
      <c r="I5" s="222"/>
      <c r="J5" s="335"/>
      <c r="K5" s="222"/>
      <c r="L5" s="222"/>
      <c r="M5" s="222"/>
      <c r="N5" s="222"/>
      <c r="O5" s="222"/>
      <c r="P5" s="222"/>
      <c r="Q5" s="222"/>
      <c r="R5" s="222"/>
      <c r="S5" s="215" t="s">
        <v>177</v>
      </c>
      <c r="W5" s="164" t="str">
        <f>C5&amp;" – "&amp;C4</f>
        <v>CI-RJ 019|14 – Espaço Teste</v>
      </c>
      <c r="AT5" s="222"/>
      <c r="AU5" s="222"/>
    </row>
    <row r="6" spans="1:47" hidden="1">
      <c r="A6" s="222"/>
      <c r="B6" s="221" t="s">
        <v>98</v>
      </c>
      <c r="C6" s="2" t="str">
        <f>Parâmetros!I2</f>
        <v>Sr Funalano de Tal</v>
      </c>
      <c r="D6" s="1"/>
      <c r="E6" s="66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18" t="s">
        <v>179</v>
      </c>
      <c r="W6" s="164" t="str">
        <f>"Att: "&amp;C6</f>
        <v>Att: Sr Funalano de Tal</v>
      </c>
      <c r="AT6" s="222"/>
      <c r="AU6" s="222"/>
    </row>
    <row r="7" spans="1:47" hidden="1">
      <c r="A7" s="222"/>
      <c r="B7" s="221" t="s">
        <v>146</v>
      </c>
      <c r="C7" s="2" t="str">
        <f>Parâmetros!I3</f>
        <v>Gerente</v>
      </c>
      <c r="D7" s="1"/>
      <c r="E7" s="66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16" t="s">
        <v>180</v>
      </c>
      <c r="W7" s="164" t="str">
        <f>IF(C7="","",C7)</f>
        <v>Gerente</v>
      </c>
      <c r="AT7" s="222"/>
      <c r="AU7" s="222"/>
    </row>
    <row r="8" spans="1:47" hidden="1">
      <c r="A8" s="222"/>
      <c r="B8" s="35" t="s">
        <v>135</v>
      </c>
      <c r="C8" s="185">
        <f>Parâmetros!I4</f>
        <v>30</v>
      </c>
      <c r="D8" s="1"/>
      <c r="E8" s="66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17" t="s">
        <v>181</v>
      </c>
      <c r="AT8" s="222"/>
      <c r="AU8" s="222"/>
    </row>
    <row r="9" spans="1:47" hidden="1">
      <c r="A9" s="222"/>
      <c r="B9" s="35" t="s">
        <v>136</v>
      </c>
      <c r="C9" s="185">
        <f>Parâmetros!I5</f>
        <v>4</v>
      </c>
      <c r="D9" s="1"/>
      <c r="E9" s="66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W9" s="164" t="str">
        <f>"Prezado(a) "&amp;C6&amp;","</f>
        <v>Prezado(a) Sr Funalano de Tal,</v>
      </c>
      <c r="AT9" s="222"/>
      <c r="AU9" s="222"/>
    </row>
    <row r="10" spans="1:47" hidden="1">
      <c r="A10" s="222"/>
      <c r="B10" s="35" t="s">
        <v>141</v>
      </c>
      <c r="C10" s="186">
        <f>Parâmetros!N2</f>
        <v>2</v>
      </c>
      <c r="D10" s="1"/>
      <c r="E10" s="66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W10" s="164" t="s">
        <v>95</v>
      </c>
      <c r="AT10" s="222"/>
      <c r="AU10" s="222"/>
    </row>
    <row r="11" spans="1:47" hidden="1">
      <c r="A11" s="222"/>
      <c r="B11" s="35" t="s">
        <v>143</v>
      </c>
      <c r="C11" s="65" t="str">
        <f>Parâmetros!N3</f>
        <v>Até o Término da Temporada</v>
      </c>
      <c r="D11" s="1"/>
      <c r="E11" s="66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W11" s="164" t="str">
        <f>"Conforme conversarmos segue a proposta, para "&amp;T16&amp;" da Compre Ingressos."</f>
        <v>Conforme conversarmos segue a proposta, para Cota de Ingressos da Compre Ingressos.</v>
      </c>
      <c r="AT11" s="222"/>
      <c r="AU11" s="222"/>
    </row>
    <row r="12" spans="1:47" hidden="1">
      <c r="A12" s="222"/>
      <c r="B12" s="35" t="s">
        <v>148</v>
      </c>
      <c r="C12" s="65" t="str">
        <f>Parâmetros!N4</f>
        <v>Funcionário Compre Ingressos</v>
      </c>
      <c r="D12" s="1"/>
      <c r="E12" s="66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AT12" s="222"/>
      <c r="AU12" s="222"/>
    </row>
    <row r="13" spans="1:47" hidden="1">
      <c r="A13" s="222"/>
      <c r="B13" s="35" t="s">
        <v>158</v>
      </c>
      <c r="C13" s="65" t="str">
        <f>Parâmetros!N5</f>
        <v>Executivo de Vendas</v>
      </c>
      <c r="D13" s="1"/>
      <c r="E13" s="66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AT13" s="222"/>
      <c r="AU13" s="222"/>
    </row>
    <row r="14" spans="1:47" hidden="1">
      <c r="A14" s="222"/>
      <c r="B14" s="221"/>
      <c r="C14" s="221"/>
      <c r="D14" s="224"/>
      <c r="E14" s="226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AT14" s="222"/>
      <c r="AU14" s="222"/>
    </row>
    <row r="15" spans="1:47">
      <c r="A15" s="222"/>
      <c r="B15" s="362" t="s">
        <v>237</v>
      </c>
      <c r="C15" s="368" t="str">
        <f>IF(U16="","",(INDEX(Produtos,MATCH(U16,Ordem,0),2)))</f>
        <v>Cota de Ingressos - Tx.Ser.- % Sobre Venda nos Canais Externos</v>
      </c>
      <c r="D15" s="369"/>
      <c r="E15" s="370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Y15" s="173" t="s">
        <v>39</v>
      </c>
      <c r="AT15" s="222"/>
      <c r="AU15" s="222"/>
    </row>
    <row r="16" spans="1:47">
      <c r="A16" s="222"/>
      <c r="B16" s="363"/>
      <c r="C16" s="371"/>
      <c r="D16" s="372"/>
      <c r="E16" s="373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164" t="s">
        <v>102</v>
      </c>
      <c r="T16" s="167" t="str">
        <f>IF(OR(U16=1,U16=2,U16=3),"Cota de Ingressos",IF(OR(U16=3,U16=4,U16=5),"Promoção Itaú","Sistema de Venda de ingressos"))</f>
        <v>Cota de Ingressos</v>
      </c>
      <c r="U16" s="665">
        <f>Simulador!H32</f>
        <v>1</v>
      </c>
      <c r="V16" s="164"/>
      <c r="W16" s="164" t="str">
        <f>"Ref.: "&amp;T16&amp;" para o "&amp;C3</f>
        <v>Ref.: Cota de Ingressos para o Centro Cultural e de Entretenimento Espaço Teste</v>
      </c>
      <c r="X16" s="173"/>
      <c r="Y16" s="164" t="s">
        <v>221</v>
      </c>
      <c r="Z16" s="173" t="s">
        <v>102</v>
      </c>
      <c r="AA16" s="174" t="s">
        <v>39</v>
      </c>
      <c r="AB16" s="174" t="s">
        <v>11</v>
      </c>
      <c r="AC16" s="174" t="s">
        <v>129</v>
      </c>
      <c r="AD16" s="174" t="s">
        <v>130</v>
      </c>
      <c r="AE16" s="174" t="s">
        <v>134</v>
      </c>
      <c r="AF16" s="174" t="s">
        <v>41</v>
      </c>
      <c r="AG16" s="173" t="s">
        <v>5</v>
      </c>
      <c r="AH16" s="173" t="s">
        <v>40</v>
      </c>
      <c r="AI16" s="173" t="s">
        <v>42</v>
      </c>
      <c r="AJ16" s="173" t="s">
        <v>31</v>
      </c>
      <c r="AK16" s="173" t="s">
        <v>35</v>
      </c>
      <c r="AL16" s="173" t="s">
        <v>33</v>
      </c>
      <c r="AM16" s="173" t="s">
        <v>67</v>
      </c>
      <c r="AN16" s="173" t="s">
        <v>27</v>
      </c>
      <c r="AO16" s="173" t="s">
        <v>1</v>
      </c>
      <c r="AP16" s="173" t="s">
        <v>86</v>
      </c>
      <c r="AQ16" s="173" t="s">
        <v>87</v>
      </c>
      <c r="AR16" s="173" t="s">
        <v>157</v>
      </c>
      <c r="AS16" s="173"/>
      <c r="AT16" s="227"/>
      <c r="AU16" s="227"/>
    </row>
    <row r="17" spans="1:48" s="166" customFormat="1">
      <c r="A17" s="227"/>
      <c r="B17" s="228"/>
      <c r="C17" s="227"/>
      <c r="D17" s="227"/>
      <c r="E17" s="229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164" t="s">
        <v>128</v>
      </c>
      <c r="T17" s="204" t="str">
        <f>IF(U16=1,AA17,IF(U16=2,AA18,IF(U16=3,AA19,IF(U16=4,AA20,IF(U16=5,AA21,IF(U16=6,AA22,IF(U16=7,AA23,IF(U16=8,AA24,IF(U16=9,AA25,IF(U16=10,AA26))))))))))</f>
        <v>CI – C01</v>
      </c>
      <c r="U17" s="172"/>
      <c r="V17" s="164"/>
      <c r="W17" s="164" t="str">
        <f>"Proposta de Negócio – "&amp;T17&amp;":"</f>
        <v>Proposta de Negócio – CI – C01:</v>
      </c>
      <c r="X17" s="167">
        <v>1</v>
      </c>
      <c r="Y17" s="164" t="s">
        <v>107</v>
      </c>
      <c r="Z17" s="164" t="s">
        <v>103</v>
      </c>
      <c r="AA17" s="168" t="s">
        <v>117</v>
      </c>
      <c r="AB17" s="175">
        <f>Calculadora!G17</f>
        <v>0.15</v>
      </c>
      <c r="AC17" s="167">
        <f>Calculadora!G18</f>
        <v>1</v>
      </c>
      <c r="AD17" s="167"/>
      <c r="AE17" s="167">
        <f>Calculadora!G19</f>
        <v>2</v>
      </c>
      <c r="AF17" s="167">
        <f>Calculadora!G21</f>
        <v>2</v>
      </c>
      <c r="AG17" s="167"/>
      <c r="AH17" s="164"/>
      <c r="AI17" s="164"/>
      <c r="AJ17" s="164"/>
      <c r="AK17" s="167"/>
      <c r="AL17" s="167"/>
      <c r="AM17" s="167"/>
      <c r="AN17" s="167"/>
      <c r="AO17" s="167"/>
      <c r="AP17" s="167"/>
      <c r="AQ17" s="167"/>
      <c r="AR17" s="167"/>
      <c r="AS17" s="164"/>
      <c r="AT17" s="222"/>
      <c r="AU17" s="222"/>
      <c r="AV17" s="173"/>
    </row>
    <row r="18" spans="1:48" ht="20.100000000000001" customHeight="1">
      <c r="A18" s="222"/>
      <c r="B18" s="129" t="s">
        <v>11</v>
      </c>
      <c r="C18" s="222"/>
      <c r="D18" s="224"/>
      <c r="E18" s="234">
        <v>1</v>
      </c>
      <c r="F18" s="234">
        <v>1</v>
      </c>
      <c r="G18" s="234">
        <v>2</v>
      </c>
      <c r="H18" s="234"/>
      <c r="I18" s="234"/>
      <c r="J18" s="234"/>
      <c r="K18" s="234"/>
      <c r="L18" s="234"/>
      <c r="M18" s="234"/>
      <c r="N18" s="222"/>
      <c r="O18" s="222"/>
      <c r="P18" s="222"/>
      <c r="Q18" s="222"/>
      <c r="R18" s="222"/>
      <c r="S18" s="169" t="s">
        <v>11</v>
      </c>
      <c r="T18" s="204">
        <f>IF(U16=1,0,IF(U16=2,AB18,IF(U16=3,AB19,IF(U16=4,0,IF(U16=5,AB21,IF(U16=6,AB22,IF(U16=7,0,IF(U16=8,AB24,IF(U16=9,AB25,IF(U16=10,AB26))))))))))</f>
        <v>0</v>
      </c>
      <c r="U18" s="176">
        <f>IF(U16=1,AB17,IF(U16=2,0,IF(U16=3,0,IF(U16=4,AB20,IF(U16=5,0,IF(U16=6,0,IF(U16=7,AB23,IF(U16=8,0,IF(U16=9,0,IF(U16=10,0))))))))))</f>
        <v>0.15</v>
      </c>
      <c r="V18" s="164"/>
      <c r="W18" s="182" t="str">
        <f>IF(E18=2,"","- Taxa de Serviços: "&amp;IF(U18=0%,TEXT(T18,"R$ ##,00"),TEXT(U18,"##,00%"))&amp;" "&amp;IF(OR(U16=1,U16=2,U16=4,U16=5,U16=7,U16=8),"por ingresso vendido pela web, Call Center e PDV´s",IF(OR(U16=3,U16=6,U16=9),"por transação pela web, Call Center e PDV´s","por ingresso emitido pelo sistema da Compre Ingressos"))&amp;". Esta taxa é cobrada do comprador do ingresso. Ou seja, a cada ingresso vendido é acrescida esta Taxa de Serviço.")</f>
        <v>- Taxa de Serviços: 15,00% por ingresso vendido pela web, Call Center e PDV´s. Esta taxa é cobrada do comprador do ingresso. Ou seja, a cada ingresso vendido é acrescida esta Taxa de Serviço.</v>
      </c>
      <c r="X18" s="167">
        <f>X17+1</f>
        <v>2</v>
      </c>
      <c r="Y18" s="164" t="s">
        <v>108</v>
      </c>
      <c r="Z18" s="164" t="s">
        <v>103</v>
      </c>
      <c r="AA18" s="168" t="s">
        <v>118</v>
      </c>
      <c r="AB18" s="177">
        <f>Calculadora!K17</f>
        <v>15</v>
      </c>
      <c r="AC18" s="167">
        <f>Calculadora!K18</f>
        <v>1</v>
      </c>
      <c r="AD18" s="167"/>
      <c r="AE18" s="167">
        <f>Calculadora!K19</f>
        <v>2</v>
      </c>
      <c r="AF18" s="167">
        <f>Calculadora!K21</f>
        <v>2</v>
      </c>
      <c r="AG18" s="167"/>
      <c r="AK18" s="167"/>
      <c r="AL18" s="167"/>
      <c r="AM18" s="167"/>
      <c r="AN18" s="167"/>
      <c r="AO18" s="167"/>
      <c r="AP18" s="167"/>
      <c r="AQ18" s="167"/>
      <c r="AR18" s="167"/>
      <c r="AT18" s="222"/>
      <c r="AU18" s="222"/>
    </row>
    <row r="19" spans="1:48" ht="20.100000000000001" customHeight="1">
      <c r="A19" s="222"/>
      <c r="B19" s="129" t="s">
        <v>132</v>
      </c>
      <c r="C19" s="222"/>
      <c r="D19" s="224"/>
      <c r="E19" s="234">
        <v>1</v>
      </c>
      <c r="F19" s="234">
        <v>1</v>
      </c>
      <c r="G19" s="234">
        <v>2</v>
      </c>
      <c r="H19" s="234"/>
      <c r="I19" s="234"/>
      <c r="J19" s="234"/>
      <c r="K19" s="234"/>
      <c r="L19" s="234"/>
      <c r="M19" s="234"/>
      <c r="N19" s="222"/>
      <c r="O19" s="222"/>
      <c r="P19" s="222"/>
      <c r="Q19" s="222"/>
      <c r="R19" s="222"/>
      <c r="S19" s="169" t="s">
        <v>132</v>
      </c>
      <c r="T19" s="204">
        <f>IF(U16=1,AC17,IF(U16=2,AC18,IF(U16=3,AC19,IF(U16=4,AC20,IF(U16=5,AC21,IF(U16=6,AC22,IF(U16=7,AC23,IF(U16=8,AC24,IF(U16=9,AC25,IF(U16=10,AC26))))))))))</f>
        <v>1</v>
      </c>
      <c r="U19" s="176">
        <f>Calculadora!$S$6</f>
        <v>3.5000000000000003E-2</v>
      </c>
      <c r="V19" s="164"/>
      <c r="W19" s="163" t="str">
        <f>IF(E19=2,"",IF(T19=1,"- Taxa Administrativa dos Cartões de Crédito: "&amp;TEXT(U19,"##,0%")&amp;", debitado no repasse das vendas efetuadas pela internet, pelo Call Center e PDV´s, e na bilheteria, se optar em utilizar POS/TEF da Compre Ingressos.",""))</f>
        <v>- Taxa Administrativa dos Cartões de Crédito: 3,5%, debitado no repasse das vendas efetuadas pela internet, pelo Call Center e PDV´s, e na bilheteria, se optar em utilizar POS/TEF da Compre Ingressos.</v>
      </c>
      <c r="X19" s="167">
        <f t="shared" ref="X19:X26" si="0">X18+1</f>
        <v>3</v>
      </c>
      <c r="Y19" s="164" t="s">
        <v>109</v>
      </c>
      <c r="Z19" s="164" t="s">
        <v>103</v>
      </c>
      <c r="AA19" s="168" t="s">
        <v>119</v>
      </c>
      <c r="AB19" s="177">
        <f>Calculadora!O17</f>
        <v>15</v>
      </c>
      <c r="AC19" s="167">
        <f>Calculadora!O18</f>
        <v>1</v>
      </c>
      <c r="AD19" s="167"/>
      <c r="AE19" s="167">
        <f>Calculadora!O19</f>
        <v>2</v>
      </c>
      <c r="AF19" s="167">
        <f>Calculadora!O21</f>
        <v>2</v>
      </c>
      <c r="AG19" s="167"/>
      <c r="AK19" s="167"/>
      <c r="AL19" s="167"/>
      <c r="AM19" s="167"/>
      <c r="AN19" s="167"/>
      <c r="AO19" s="167"/>
      <c r="AP19" s="167"/>
      <c r="AQ19" s="167"/>
      <c r="AR19" s="167"/>
      <c r="AT19" s="222"/>
      <c r="AU19" s="222"/>
    </row>
    <row r="20" spans="1:48" ht="20.100000000000001" customHeight="1">
      <c r="A20" s="222"/>
      <c r="B20" s="129" t="s">
        <v>137</v>
      </c>
      <c r="C20" s="222"/>
      <c r="D20" s="224"/>
      <c r="E20" s="234">
        <v>1</v>
      </c>
      <c r="F20" s="234">
        <v>1</v>
      </c>
      <c r="G20" s="234">
        <v>2</v>
      </c>
      <c r="H20" s="234"/>
      <c r="I20" s="234"/>
      <c r="J20" s="234"/>
      <c r="K20" s="234"/>
      <c r="L20" s="234"/>
      <c r="M20" s="234"/>
      <c r="N20" s="222"/>
      <c r="O20" s="222"/>
      <c r="P20" s="222"/>
      <c r="Q20" s="222"/>
      <c r="R20" s="222"/>
      <c r="S20" s="169" t="s">
        <v>137</v>
      </c>
      <c r="T20" s="204"/>
      <c r="U20" s="156">
        <f>C8</f>
        <v>30</v>
      </c>
      <c r="V20" s="164"/>
      <c r="W20" s="164" t="str">
        <f>IF(E20=2,"",IF(W19="","","- Prazo de Repasse: Venda em Cartão de Crédito: "&amp;U20&amp;" dias, após o evento, sempre nas quintas-feiras da semana."))</f>
        <v>- Prazo de Repasse: Venda em Cartão de Crédito: 30 dias, após o evento, sempre nas quintas-feiras da semana.</v>
      </c>
      <c r="X20" s="167">
        <f t="shared" si="0"/>
        <v>4</v>
      </c>
      <c r="Y20" s="164" t="s">
        <v>110</v>
      </c>
      <c r="Z20" s="164" t="s">
        <v>41</v>
      </c>
      <c r="AA20" s="168" t="s">
        <v>120</v>
      </c>
      <c r="AB20" s="178">
        <f>Calculadora!G17</f>
        <v>0.15</v>
      </c>
      <c r="AC20" s="167">
        <f>Calculadora!G18</f>
        <v>1</v>
      </c>
      <c r="AD20" s="167"/>
      <c r="AE20" s="167">
        <f>Calculadora!G19</f>
        <v>2</v>
      </c>
      <c r="AF20" s="167">
        <f>Calculadora!G21</f>
        <v>2</v>
      </c>
      <c r="AG20" s="167"/>
      <c r="AK20" s="167"/>
      <c r="AL20" s="167"/>
      <c r="AM20" s="167"/>
      <c r="AN20" s="167"/>
      <c r="AO20" s="167"/>
      <c r="AP20" s="167"/>
      <c r="AQ20" s="167"/>
      <c r="AR20" s="167"/>
      <c r="AT20" s="222"/>
      <c r="AU20" s="222"/>
    </row>
    <row r="21" spans="1:48" ht="20.100000000000001" customHeight="1">
      <c r="A21" s="222"/>
      <c r="B21" s="129" t="s">
        <v>133</v>
      </c>
      <c r="C21" s="222"/>
      <c r="D21" s="224"/>
      <c r="E21" s="234">
        <v>1</v>
      </c>
      <c r="F21" s="234">
        <v>1</v>
      </c>
      <c r="G21" s="234">
        <v>2</v>
      </c>
      <c r="H21" s="234"/>
      <c r="I21" s="234"/>
      <c r="J21" s="234"/>
      <c r="K21" s="234"/>
      <c r="L21" s="234"/>
      <c r="M21" s="234"/>
      <c r="N21" s="222"/>
      <c r="O21" s="222"/>
      <c r="P21" s="222"/>
      <c r="Q21" s="222"/>
      <c r="R21" s="222"/>
      <c r="S21" s="169" t="s">
        <v>133</v>
      </c>
      <c r="T21" s="204">
        <f>IF(U16=1,AD17,IF(U16=2,AD18,IF(U16=3,AD19,IF(U16=4,AD20,IF(U16=5,AD21,IF(U16=6,AD22,IF(U16=7,AD23,IF(U16=8,AD24,IF(U16=9,AD25,IF(U16=10,AD26))))))))))</f>
        <v>0</v>
      </c>
      <c r="U21" s="176">
        <f>IF(T21=1,Calculadora!S7,0)</f>
        <v>0</v>
      </c>
      <c r="V21" s="164"/>
      <c r="W21" s="163" t="str">
        <f>IF(E21=2,"",IF(T21=1,"- Taxa Administrativa dos Cartões de Débito: "&amp;TEXT(U21,"##,0%")&amp;" Débito nas vendas efetuadas na bilheteria, se optar em utilizar POS/TEF da Compre Ingressos.",""))</f>
        <v/>
      </c>
      <c r="X21" s="167">
        <f t="shared" si="0"/>
        <v>5</v>
      </c>
      <c r="Y21" s="164" t="s">
        <v>111</v>
      </c>
      <c r="Z21" s="164" t="s">
        <v>41</v>
      </c>
      <c r="AA21" s="168" t="s">
        <v>121</v>
      </c>
      <c r="AB21" s="177">
        <f>Calculadora!K17</f>
        <v>15</v>
      </c>
      <c r="AC21" s="167">
        <f>Calculadora!K18</f>
        <v>1</v>
      </c>
      <c r="AD21" s="167"/>
      <c r="AE21" s="167">
        <f>Calculadora!K19</f>
        <v>2</v>
      </c>
      <c r="AF21" s="167">
        <f>Calculadora!K21</f>
        <v>2</v>
      </c>
      <c r="AG21" s="167"/>
      <c r="AK21" s="167"/>
      <c r="AL21" s="167"/>
      <c r="AM21" s="167"/>
      <c r="AN21" s="167"/>
      <c r="AO21" s="167"/>
      <c r="AP21" s="167"/>
      <c r="AQ21" s="167"/>
      <c r="AR21" s="167"/>
      <c r="AT21" s="222"/>
      <c r="AU21" s="222"/>
    </row>
    <row r="22" spans="1:48" ht="20.100000000000001" customHeight="1">
      <c r="A22" s="222"/>
      <c r="B22" s="129" t="s">
        <v>138</v>
      </c>
      <c r="C22" s="222"/>
      <c r="D22" s="224"/>
      <c r="E22" s="234">
        <v>1</v>
      </c>
      <c r="F22" s="234">
        <v>1</v>
      </c>
      <c r="G22" s="234">
        <v>2</v>
      </c>
      <c r="H22" s="234"/>
      <c r="I22" s="234"/>
      <c r="J22" s="234"/>
      <c r="K22" s="234"/>
      <c r="L22" s="234"/>
      <c r="M22" s="234"/>
      <c r="N22" s="222"/>
      <c r="O22" s="222"/>
      <c r="P22" s="222"/>
      <c r="Q22" s="222"/>
      <c r="R22" s="222"/>
      <c r="S22" s="169" t="s">
        <v>138</v>
      </c>
      <c r="T22" s="204"/>
      <c r="U22" s="156">
        <f>C9</f>
        <v>4</v>
      </c>
      <c r="V22" s="164"/>
      <c r="W22" s="164" t="str">
        <f>IF(E22=2,"",IF(W21="","","- Prazo de Repasse: Venda em Cartão de Débito (vendas na bilheteria): "&amp;U22&amp;" dias, após o evento, sempre nas quintas-feiras da semana."))</f>
        <v/>
      </c>
      <c r="X22" s="167">
        <f t="shared" si="0"/>
        <v>6</v>
      </c>
      <c r="Y22" s="164" t="s">
        <v>112</v>
      </c>
      <c r="Z22" s="164" t="s">
        <v>41</v>
      </c>
      <c r="AA22" s="168" t="s">
        <v>122</v>
      </c>
      <c r="AB22" s="177">
        <f>Calculadora!O17</f>
        <v>15</v>
      </c>
      <c r="AC22" s="167">
        <f>Calculadora!O18</f>
        <v>1</v>
      </c>
      <c r="AD22" s="167"/>
      <c r="AE22" s="167">
        <f>Calculadora!O19</f>
        <v>2</v>
      </c>
      <c r="AF22" s="167">
        <f>Calculadora!O21</f>
        <v>2</v>
      </c>
      <c r="AG22" s="167"/>
      <c r="AK22" s="167"/>
      <c r="AL22" s="167"/>
      <c r="AM22" s="167"/>
      <c r="AN22" s="167"/>
      <c r="AO22" s="167"/>
      <c r="AP22" s="167"/>
      <c r="AQ22" s="167"/>
      <c r="AR22" s="167"/>
      <c r="AT22" s="222"/>
      <c r="AU22" s="222"/>
    </row>
    <row r="23" spans="1:48" ht="20.100000000000001" customHeight="1">
      <c r="A23" s="222"/>
      <c r="B23" s="129" t="s">
        <v>131</v>
      </c>
      <c r="C23" s="222"/>
      <c r="D23" s="224"/>
      <c r="E23" s="234">
        <v>1</v>
      </c>
      <c r="F23" s="234">
        <v>1</v>
      </c>
      <c r="G23" s="234">
        <v>2</v>
      </c>
      <c r="H23" s="234"/>
      <c r="I23" s="234"/>
      <c r="J23" s="234"/>
      <c r="K23" s="234"/>
      <c r="L23" s="234"/>
      <c r="M23" s="234"/>
      <c r="N23" s="222"/>
      <c r="O23" s="222"/>
      <c r="P23" s="222"/>
      <c r="Q23" s="222"/>
      <c r="R23" s="222"/>
      <c r="S23" s="169" t="s">
        <v>131</v>
      </c>
      <c r="T23" s="204">
        <f>IF(U16=1,AE17,IF(U16=2,AE18,IF(U16=3,AE19,IF(U16=4,AE20,IF(U16=5,AE21,IF(U16=6,AE22,IF(U16=7,AE23,IF(U16=8,AE24,IF(U16=9,AE25,IF(U16=10,AE26))))))))))</f>
        <v>2</v>
      </c>
      <c r="U23" s="176">
        <f>IF(T23=1,Calculadora!S8,0)</f>
        <v>0</v>
      </c>
      <c r="V23" s="164"/>
      <c r="W23" s="163" t="str">
        <f>IF(E23=2,"",IF(T23=1,"- Taxa Administrativa dos Cartões de Crédito: "&amp;TEXT(U23,"##,0%")&amp;", debitado no repasse das vendas efetuadas pela internet, pelo Call Center e PDV´s, e na bilheteria, se optar em utilizar POS/TEF da Compre Ingressos.",""))</f>
        <v/>
      </c>
      <c r="X23" s="167">
        <f t="shared" si="0"/>
        <v>7</v>
      </c>
      <c r="Y23" s="164" t="s">
        <v>113</v>
      </c>
      <c r="Z23" s="164" t="s">
        <v>104</v>
      </c>
      <c r="AA23" s="168" t="s">
        <v>123</v>
      </c>
      <c r="AB23" s="178">
        <f>Calculadora!S17</f>
        <v>0.15</v>
      </c>
      <c r="AC23" s="167">
        <f>Calculadora!S18</f>
        <v>1</v>
      </c>
      <c r="AD23" s="167">
        <f>Calculadora!S18</f>
        <v>1</v>
      </c>
      <c r="AE23" s="167">
        <f>Calculadora!S19</f>
        <v>2</v>
      </c>
      <c r="AF23" s="167">
        <f>Calculadora!S21</f>
        <v>2</v>
      </c>
      <c r="AG23" s="167">
        <f>Calculadora!S23</f>
        <v>1</v>
      </c>
      <c r="AH23" s="167">
        <f>Calculadora!S24</f>
        <v>2</v>
      </c>
      <c r="AI23" s="167">
        <f>Calculadora!S25</f>
        <v>2</v>
      </c>
      <c r="AJ23" s="167">
        <f>Calculadora!S26</f>
        <v>2</v>
      </c>
      <c r="AK23" s="167">
        <f>Calculadora!S27</f>
        <v>2</v>
      </c>
      <c r="AL23" s="167">
        <f>Calculadora!S28</f>
        <v>2</v>
      </c>
      <c r="AM23" s="167">
        <f>Calculadora!S29</f>
        <v>2</v>
      </c>
      <c r="AN23" s="167">
        <f>Calculadora!S30</f>
        <v>2</v>
      </c>
      <c r="AO23" s="167">
        <f>Calculadora!S31</f>
        <v>2</v>
      </c>
      <c r="AP23" s="167">
        <f>Calculadora!S32</f>
        <v>2</v>
      </c>
      <c r="AQ23" s="167">
        <f>Calculadora!S33</f>
        <v>2</v>
      </c>
      <c r="AR23" s="167">
        <f>Calculadora!S34</f>
        <v>2</v>
      </c>
      <c r="AT23" s="222"/>
      <c r="AU23" s="222"/>
    </row>
    <row r="24" spans="1:48" ht="20.100000000000001" customHeight="1">
      <c r="A24" s="222"/>
      <c r="B24" s="129" t="s">
        <v>41</v>
      </c>
      <c r="C24" s="222"/>
      <c r="D24" s="224"/>
      <c r="E24" s="234">
        <v>1</v>
      </c>
      <c r="F24" s="234">
        <v>1</v>
      </c>
      <c r="G24" s="234">
        <v>2</v>
      </c>
      <c r="H24" s="234"/>
      <c r="I24" s="234"/>
      <c r="J24" s="234"/>
      <c r="K24" s="234"/>
      <c r="L24" s="234"/>
      <c r="M24" s="234"/>
      <c r="N24" s="222"/>
      <c r="O24" s="222"/>
      <c r="P24" s="222"/>
      <c r="Q24" s="222"/>
      <c r="R24" s="222"/>
      <c r="S24" s="169" t="s">
        <v>41</v>
      </c>
      <c r="T24" s="167">
        <f>IF(U16=1,AF17,IF(U16=2,AF18,IF(U16=3,AF19,IF(U16=4,AF20,IF(U16=5,AF21,IF(U16=6,AF22,IF(U16=7,AF23,IF(U16=8,AF24,IF(U16=9,AF25,IF(U16=10,AF26))))))))))</f>
        <v>2</v>
      </c>
      <c r="U24" s="176">
        <f>IF(T24=1,Calculadora!K10,0)</f>
        <v>0</v>
      </c>
      <c r="V24" s="164"/>
      <c r="W24" s="163" t="str">
        <f>IF(E24=2,"",IF(T24=1,"- Promoção Itaú Card: Complemento de "&amp;TEXT(U24,"##%")&amp;" sobre o valor do desconto da meia-entrada. Para a vendas na web, Call Center e PDV´s da Compre Ingressos. E na bilheteria, se optar em utilizar POS/TEF da Compre Ingressos.",""))</f>
        <v/>
      </c>
      <c r="X24" s="167">
        <f t="shared" si="0"/>
        <v>8</v>
      </c>
      <c r="Y24" s="164" t="s">
        <v>114</v>
      </c>
      <c r="Z24" s="164" t="s">
        <v>104</v>
      </c>
      <c r="AA24" s="168" t="s">
        <v>124</v>
      </c>
      <c r="AB24" s="177">
        <f>Calculadora!W17</f>
        <v>15</v>
      </c>
      <c r="AC24" s="167">
        <f>Calculadora!W18</f>
        <v>1</v>
      </c>
      <c r="AD24" s="167">
        <f>Calculadora!W18</f>
        <v>1</v>
      </c>
      <c r="AE24" s="167">
        <f>Calculadora!W19</f>
        <v>2</v>
      </c>
      <c r="AF24" s="167">
        <f>Calculadora!W21</f>
        <v>2</v>
      </c>
      <c r="AG24" s="167">
        <f>Calculadora!W23</f>
        <v>1</v>
      </c>
      <c r="AH24" s="167">
        <f>Calculadora!W24</f>
        <v>2</v>
      </c>
      <c r="AI24" s="167">
        <f>Calculadora!W25</f>
        <v>2</v>
      </c>
      <c r="AJ24" s="167">
        <f>Calculadora!W26</f>
        <v>2</v>
      </c>
      <c r="AK24" s="167">
        <f>Calculadora!W27</f>
        <v>2</v>
      </c>
      <c r="AL24" s="167">
        <f>Calculadora!W28</f>
        <v>2</v>
      </c>
      <c r="AM24" s="167">
        <f>Calculadora!W29</f>
        <v>2</v>
      </c>
      <c r="AN24" s="167">
        <f>Calculadora!W30</f>
        <v>2</v>
      </c>
      <c r="AO24" s="167">
        <f>Calculadora!W31</f>
        <v>2</v>
      </c>
      <c r="AP24" s="167">
        <f>Calculadora!W32</f>
        <v>2</v>
      </c>
      <c r="AQ24" s="167">
        <f>Calculadora!W33</f>
        <v>2</v>
      </c>
      <c r="AR24" s="167">
        <f>Calculadora!W34</f>
        <v>2</v>
      </c>
      <c r="AT24" s="222"/>
      <c r="AU24" s="222"/>
    </row>
    <row r="25" spans="1:48" ht="20.100000000000001" customHeight="1">
      <c r="A25" s="222"/>
      <c r="B25" s="129" t="s">
        <v>5</v>
      </c>
      <c r="C25" s="222"/>
      <c r="D25" s="224"/>
      <c r="E25" s="234">
        <v>1</v>
      </c>
      <c r="F25" s="234">
        <v>1</v>
      </c>
      <c r="G25" s="234">
        <v>2</v>
      </c>
      <c r="H25" s="234"/>
      <c r="I25" s="234"/>
      <c r="J25" s="234"/>
      <c r="K25" s="234"/>
      <c r="L25" s="234"/>
      <c r="M25" s="234"/>
      <c r="N25" s="222"/>
      <c r="O25" s="222"/>
      <c r="P25" s="222"/>
      <c r="Q25" s="222"/>
      <c r="R25" s="222"/>
      <c r="S25" s="169" t="s">
        <v>41</v>
      </c>
      <c r="T25" s="204"/>
      <c r="U25" s="172"/>
      <c r="V25" s="164"/>
      <c r="W25" s="164" t="str">
        <f>IF(W24="","","- Objetivo da Promoção: Oferecer 50% de desconto para o titular do cartão Itaucard/itaú na web, Call Center, PDV´s da Compre ingressos. Esta compra obrigatoriamente deverá ser realizada pelo Cartão Itaú, nas POS/TEF da Compre Ingressos na bilheteria.")</f>
        <v/>
      </c>
      <c r="X25" s="167">
        <f t="shared" si="0"/>
        <v>9</v>
      </c>
      <c r="Y25" s="164" t="s">
        <v>115</v>
      </c>
      <c r="Z25" s="164" t="s">
        <v>104</v>
      </c>
      <c r="AA25" s="168" t="s">
        <v>125</v>
      </c>
      <c r="AB25" s="177">
        <f>Calculadora!AA17</f>
        <v>15</v>
      </c>
      <c r="AC25" s="167">
        <f>Calculadora!AA18</f>
        <v>1</v>
      </c>
      <c r="AD25" s="167">
        <f>Calculadora!AA18</f>
        <v>1</v>
      </c>
      <c r="AE25" s="167">
        <f>Calculadora!AA19</f>
        <v>2</v>
      </c>
      <c r="AF25" s="167">
        <f>Calculadora!AA21</f>
        <v>2</v>
      </c>
      <c r="AG25" s="167">
        <f>Calculadora!AA23</f>
        <v>1</v>
      </c>
      <c r="AH25" s="167">
        <f>Calculadora!AA24</f>
        <v>2</v>
      </c>
      <c r="AI25" s="167">
        <f>Calculadora!AA25</f>
        <v>2</v>
      </c>
      <c r="AJ25" s="167">
        <f>Calculadora!AA26</f>
        <v>2</v>
      </c>
      <c r="AK25" s="167">
        <f>Calculadora!AA27</f>
        <v>2</v>
      </c>
      <c r="AL25" s="167">
        <f>Calculadora!AA28</f>
        <v>2</v>
      </c>
      <c r="AM25" s="167">
        <f>Calculadora!AA29</f>
        <v>2</v>
      </c>
      <c r="AN25" s="167">
        <f>Calculadora!AA30</f>
        <v>2</v>
      </c>
      <c r="AO25" s="167">
        <f>Calculadora!AA31</f>
        <v>2</v>
      </c>
      <c r="AP25" s="167">
        <f>Calculadora!AA32</f>
        <v>2</v>
      </c>
      <c r="AQ25" s="167">
        <f>Calculadora!AA33</f>
        <v>2</v>
      </c>
      <c r="AR25" s="167">
        <f>Calculadora!AA34</f>
        <v>2</v>
      </c>
      <c r="AT25" s="222"/>
      <c r="AU25" s="222"/>
    </row>
    <row r="26" spans="1:48" ht="20.100000000000001" customHeight="1">
      <c r="A26" s="222"/>
      <c r="B26" s="129" t="s">
        <v>40</v>
      </c>
      <c r="C26" s="222"/>
      <c r="D26" s="224"/>
      <c r="E26" s="234">
        <v>1</v>
      </c>
      <c r="F26" s="234">
        <v>1</v>
      </c>
      <c r="G26" s="234">
        <v>2</v>
      </c>
      <c r="H26" s="234"/>
      <c r="I26" s="234"/>
      <c r="J26" s="234"/>
      <c r="K26" s="234"/>
      <c r="L26" s="234"/>
      <c r="M26" s="234"/>
      <c r="N26" s="222"/>
      <c r="O26" s="222"/>
      <c r="P26" s="222"/>
      <c r="Q26" s="222"/>
      <c r="R26" s="222"/>
      <c r="S26" s="169" t="s">
        <v>5</v>
      </c>
      <c r="T26" s="204">
        <f>IF(U16=1,AG17,IF(U16=2,AG18,IF(U16=3,AG19,IF(U16=4,AG20,IF(U16=5,AG21,IF(U16=6,AG22,IF(U16=7,AG23,IF(U16=8,AG24,IF(U16=9,AG25,IF(U16=10,AG26))))))))))</f>
        <v>0</v>
      </c>
      <c r="U26" s="179">
        <f>Calculadora!S4</f>
        <v>0.2</v>
      </c>
      <c r="V26" s="164"/>
      <c r="W26" s="165" t="b">
        <f>IF(E25=2,"",IF(T26=2,"- Custo papel ingresso (papel ingresso com dois picotes): cortesia",IF(T26=1,"- Custo papel ingresso: "&amp;TEXT(U26,"R$ 0,00")&amp;" por ingresso impresso;""")))</f>
        <v>0</v>
      </c>
      <c r="X26" s="167">
        <f t="shared" si="0"/>
        <v>10</v>
      </c>
      <c r="Y26" s="164" t="s">
        <v>116</v>
      </c>
      <c r="Z26" s="164" t="s">
        <v>104</v>
      </c>
      <c r="AA26" s="168" t="s">
        <v>126</v>
      </c>
      <c r="AB26" s="177">
        <f>Calculadora!AE17</f>
        <v>5</v>
      </c>
      <c r="AC26" s="167">
        <f>Calculadora!AE18</f>
        <v>1</v>
      </c>
      <c r="AD26" s="167">
        <f>Calculadora!AE18</f>
        <v>1</v>
      </c>
      <c r="AE26" s="167">
        <f>Calculadora!AE19</f>
        <v>2</v>
      </c>
      <c r="AF26" s="167">
        <f>Calculadora!AE21</f>
        <v>2</v>
      </c>
      <c r="AG26" s="167">
        <f>Calculadora!AE23</f>
        <v>1</v>
      </c>
      <c r="AH26" s="167">
        <f>Calculadora!AE24</f>
        <v>2</v>
      </c>
      <c r="AI26" s="167">
        <f>Calculadora!AE25</f>
        <v>2</v>
      </c>
      <c r="AJ26" s="167">
        <f>Calculadora!AE26</f>
        <v>2</v>
      </c>
      <c r="AK26" s="167">
        <f>Calculadora!AE27</f>
        <v>2</v>
      </c>
      <c r="AL26" s="167">
        <f>Calculadora!AE28</f>
        <v>2</v>
      </c>
      <c r="AM26" s="167">
        <f>Calculadora!AE29</f>
        <v>2</v>
      </c>
      <c r="AN26" s="167">
        <f>Calculadora!AE30</f>
        <v>2</v>
      </c>
      <c r="AO26" s="167">
        <f>Calculadora!AE31</f>
        <v>2</v>
      </c>
      <c r="AP26" s="167">
        <f>Calculadora!AE32</f>
        <v>2</v>
      </c>
      <c r="AQ26" s="167">
        <f>Calculadora!AE33</f>
        <v>2</v>
      </c>
      <c r="AR26" s="167">
        <f>Calculadora!AE34</f>
        <v>2</v>
      </c>
      <c r="AT26" s="222"/>
      <c r="AU26" s="222"/>
    </row>
    <row r="27" spans="1:48" ht="20.100000000000001" customHeight="1">
      <c r="A27" s="222"/>
      <c r="B27" s="35" t="s">
        <v>141</v>
      </c>
      <c r="C27" s="222"/>
      <c r="D27" s="224"/>
      <c r="E27" s="234">
        <v>1</v>
      </c>
      <c r="F27" s="234">
        <v>1</v>
      </c>
      <c r="G27" s="234">
        <v>2</v>
      </c>
      <c r="H27" s="234"/>
      <c r="I27" s="234"/>
      <c r="J27" s="234"/>
      <c r="K27" s="234"/>
      <c r="L27" s="234"/>
      <c r="M27" s="234"/>
      <c r="N27" s="222"/>
      <c r="O27" s="222"/>
      <c r="P27" s="222"/>
      <c r="Q27" s="222"/>
      <c r="R27" s="222"/>
      <c r="S27" s="169" t="s">
        <v>40</v>
      </c>
      <c r="T27" s="204">
        <f>IF(U16=1,AH17,IF(U16=2,AH18,IF(U16=3,AH19,IF(U16=4,AH20,IF(U16=5,AH21,IF(U16=6,AH22,IF(U16=7,AH23,IF(U16=8,AH24,IF(U16=9,AH25,IF(U16=10,AH26))))))))))</f>
        <v>0</v>
      </c>
      <c r="U27" s="180">
        <f>Calculadora!W11</f>
        <v>1000</v>
      </c>
      <c r="V27" s="164"/>
      <c r="W27" s="163" t="str">
        <f>IF(E26=2,"",IF(T27=2,"- Sistema: instalação de um sistema de venda e emissão de ingressos, on-line e real time. Nosso sistema é intuitivo e de fácil utilização, com 3 cliques a venda é efetuada. Sem custo.","- Sistema: instalação de um sistema de venda e emissão de ingressos, on-line e real time. Nosso sistema é intuitivo e de fácil utilização, com 3 cliques a venda é efetuada. A um custo de "&amp;TEXT(U27,"R$ #.###,00")&amp;" por mês."))</f>
        <v>- Sistema: instalação de um sistema de venda e emissão de ingressos, on-line e real time. Nosso sistema é intuitivo e de fácil utilização, com 3 cliques a venda é efetuada. A um custo de R$ 1.000,00 por mês.</v>
      </c>
      <c r="AA27" s="181"/>
      <c r="AB27" s="167"/>
      <c r="AT27" s="222"/>
      <c r="AU27" s="222"/>
    </row>
    <row r="28" spans="1:48" ht="20.100000000000001" customHeight="1">
      <c r="A28" s="222"/>
      <c r="B28" s="129" t="s">
        <v>42</v>
      </c>
      <c r="C28" s="222"/>
      <c r="D28" s="224"/>
      <c r="E28" s="234">
        <v>1</v>
      </c>
      <c r="F28" s="234">
        <v>1</v>
      </c>
      <c r="G28" s="234">
        <v>2</v>
      </c>
      <c r="H28" s="234"/>
      <c r="I28" s="234"/>
      <c r="J28" s="234"/>
      <c r="K28" s="234"/>
      <c r="L28" s="234"/>
      <c r="M28" s="234"/>
      <c r="N28" s="222"/>
      <c r="O28" s="222"/>
      <c r="P28" s="222"/>
      <c r="Q28" s="222"/>
      <c r="R28" s="222"/>
      <c r="S28" s="170" t="s">
        <v>141</v>
      </c>
      <c r="T28" s="204"/>
      <c r="U28" s="180"/>
      <c r="V28" s="164"/>
      <c r="W28" s="163" t="str">
        <f>IF(E27=2,"",IF(OR(U16=1,U16=2,U16=3,U16=4,U16=5,U16=6),"- Prazo de Contrato: "&amp;C11,IF(OR(U16=7,U16=8,U16=9,U16=10),"- Prazo de Contrato: "&amp;C10&amp;" Ano(s).")))</f>
        <v>- Prazo de Contrato: Até o Término da Temporada</v>
      </c>
      <c r="AA28" s="167"/>
      <c r="AB28" s="167"/>
      <c r="AT28" s="222"/>
      <c r="AU28" s="222"/>
    </row>
    <row r="29" spans="1:48" ht="20.100000000000001" customHeight="1">
      <c r="A29" s="222"/>
      <c r="B29" s="114" t="s">
        <v>153</v>
      </c>
      <c r="C29" s="222"/>
      <c r="D29" s="224"/>
      <c r="E29" s="234">
        <v>1</v>
      </c>
      <c r="F29" s="234">
        <v>1</v>
      </c>
      <c r="G29" s="234">
        <v>2</v>
      </c>
      <c r="H29" s="234"/>
      <c r="I29" s="234"/>
      <c r="J29" s="234"/>
      <c r="K29" s="234"/>
      <c r="L29" s="234"/>
      <c r="M29" s="234"/>
      <c r="N29" s="222"/>
      <c r="O29" s="222"/>
      <c r="P29" s="222"/>
      <c r="Q29" s="222"/>
      <c r="R29" s="222"/>
      <c r="S29" s="169" t="s">
        <v>42</v>
      </c>
      <c r="T29" s="204">
        <f>IF(U16=1,AI17,IF(U16=2,AI18,IF(U16=3,AI19,IF(U16=4,AI20,IF(U16=5,AI21,IF(U16=6,AI22,IF(U16=7,AI23,IF(U16=8,AI24,IF(U16=9,AI25,IF(U16=10,AI26))))))))))</f>
        <v>0</v>
      </c>
      <c r="U29" s="180">
        <f>Calculadora!W4</f>
        <v>10000</v>
      </c>
      <c r="V29" s="164"/>
      <c r="W29" s="164" t="str">
        <f>IF(E28=2,"",IF(T29=2,"- Administração da Bilheteria: gerenciamento da todas as atividades da bilheteria. Sem custo.","- Administração da Bilheteria: gerenciamento de todos os trabalhos da bilheteria. A um custo de "&amp;TEXT(U29,"R$ #.###,00")&amp;" por mês."))</f>
        <v>- Administração da Bilheteria: gerenciamento de todos os trabalhos da bilheteria. A um custo de R$ 10.000,00 por mês.</v>
      </c>
      <c r="AA29" s="167"/>
      <c r="AB29" s="167"/>
      <c r="AT29" s="222"/>
      <c r="AU29" s="222"/>
    </row>
    <row r="30" spans="1:48" ht="20.100000000000001" customHeight="1">
      <c r="A30" s="222"/>
      <c r="B30" s="114" t="s">
        <v>33</v>
      </c>
      <c r="C30" s="222"/>
      <c r="D30" s="224"/>
      <c r="E30" s="234">
        <v>1</v>
      </c>
      <c r="F30" s="234">
        <v>1</v>
      </c>
      <c r="G30" s="234">
        <v>2</v>
      </c>
      <c r="H30" s="234"/>
      <c r="I30" s="234"/>
      <c r="J30" s="234"/>
      <c r="K30" s="234"/>
      <c r="L30" s="234"/>
      <c r="M30" s="234"/>
      <c r="N30" s="222"/>
      <c r="O30" s="222"/>
      <c r="P30" s="222"/>
      <c r="Q30" s="222"/>
      <c r="R30" s="222"/>
      <c r="S30" s="171" t="s">
        <v>153</v>
      </c>
      <c r="T30" s="204">
        <f>IF(U16=1,AJ17,IF(U16=2,AJ18,IF(U16=3,AJ19,IF(U16=4,AJ20,IF(U16=5,AJ21,IF(U16=6,AJ22,IF(U16=7,AJ23,IF(U16=8,AJ24,IF(U16=9,AJ25,IF(U16=10,AJ26))))))))))</f>
        <v>0</v>
      </c>
      <c r="U30" s="180">
        <f>Calculadora!W5+Calculadora!W6</f>
        <v>183.33333333333334</v>
      </c>
      <c r="V30" s="164"/>
      <c r="W30" s="164" t="str">
        <f>IF(E29=2,"",IF(T30=2,"- Equipamento(s): Computador(es)/Notbook(s) e Impressora(s) cedidos na forma de comodato. Sem custo.","- Equipamento(s): Computador(es)/Notbook(s) e Impressora(s) cedidos na forma de comodato. A um custo de "&amp;TEXT(U30,"R$ #.###,00")&amp;" por mês."))</f>
        <v>- Equipamento(s): Computador(es)/Notbook(s) e Impressora(s) cedidos na forma de comodato. A um custo de R$ 183,33 por mês.</v>
      </c>
      <c r="AA30" s="167"/>
      <c r="AB30" s="167"/>
      <c r="AT30" s="222"/>
      <c r="AU30" s="222"/>
    </row>
    <row r="31" spans="1:48" ht="20.100000000000001" customHeight="1">
      <c r="A31" s="222"/>
      <c r="B31" s="129" t="s">
        <v>67</v>
      </c>
      <c r="C31" s="222"/>
      <c r="D31" s="224"/>
      <c r="E31" s="234">
        <v>1</v>
      </c>
      <c r="F31" s="234">
        <v>1</v>
      </c>
      <c r="G31" s="234">
        <v>2</v>
      </c>
      <c r="H31" s="234"/>
      <c r="I31" s="234"/>
      <c r="J31" s="234"/>
      <c r="K31" s="234"/>
      <c r="L31" s="234"/>
      <c r="M31" s="234"/>
      <c r="N31" s="222"/>
      <c r="O31" s="222"/>
      <c r="P31" s="222"/>
      <c r="Q31" s="222"/>
      <c r="R31" s="222"/>
      <c r="S31" s="171" t="s">
        <v>33</v>
      </c>
      <c r="T31" s="204">
        <f>IF(U16=1,AL17,IF(U16=2,AL18,IF(U16=3,AL19,IF(U16=4,AL20,IF(U16=5,AL21,IF(U16=6,AL22,IF(U16=7,AL23,IF(U16=8,AL24,IF(U16=9,AL25,IF(U16=10,AL26))))))))))</f>
        <v>0</v>
      </c>
      <c r="U31" s="180">
        <f>Calculadora!W7</f>
        <v>100</v>
      </c>
      <c r="V31" s="164"/>
      <c r="W31" s="164" t="str">
        <f>IF(E30=2,"",IF(T31=2,"- Telefone(s): cedidos na forma de comodato. Sem custo.","- Telefone(s): cedidos na forma de comodato. A um custo de "&amp;TEXT(U31,"R$ #.###,00")&amp;" por mês."))</f>
        <v>- Telefone(s): cedidos na forma de comodato. A um custo de R$ 100,00 por mês.</v>
      </c>
      <c r="AA31" s="167"/>
      <c r="AB31" s="167"/>
      <c r="AT31" s="222"/>
      <c r="AU31" s="222"/>
    </row>
    <row r="32" spans="1:48" ht="20.100000000000001" customHeight="1">
      <c r="A32" s="222"/>
      <c r="B32" s="114" t="s">
        <v>27</v>
      </c>
      <c r="C32" s="222"/>
      <c r="D32" s="224"/>
      <c r="E32" s="234">
        <v>1</v>
      </c>
      <c r="F32" s="234">
        <v>1</v>
      </c>
      <c r="G32" s="234">
        <v>2</v>
      </c>
      <c r="H32" s="234"/>
      <c r="I32" s="234"/>
      <c r="J32" s="234"/>
      <c r="K32" s="234"/>
      <c r="L32" s="234"/>
      <c r="M32" s="234"/>
      <c r="N32" s="222"/>
      <c r="O32" s="222"/>
      <c r="P32" s="222"/>
      <c r="Q32" s="222"/>
      <c r="R32" s="222"/>
      <c r="S32" s="169" t="s">
        <v>67</v>
      </c>
      <c r="T32" s="204">
        <f>IF(U16=1,AM17,IF(U16=2,AM18,IF(U16=3,AM19,IF(U16=4,AM20,IF(U16=5,AM21,IF(U16=6,AM22,IF(U16=7,AM23,IF(U16=8,AM24,IF(U16=9,AM25,IF(U16=10,AM26))))))))))</f>
        <v>0</v>
      </c>
      <c r="U32" s="180">
        <f>Calculadora!W8</f>
        <v>120</v>
      </c>
      <c r="V32" s="164"/>
      <c r="W32" s="164" t="str">
        <f>IF(E31=2,"",IF(T32=2,"- Máquinas de Cartão de Crédito e Débito (POS/TEF): cedidos na forma de comodato. Sem custo.","- Máquinas de Cartão de Crédito e Débito (POS/TEF): cedidos na forma de comodato. A um custo de "&amp;TEXT(U32,"R$ #.###,00")&amp;" por mês."))</f>
        <v>- Máquinas de Cartão de Crédito e Débito (POS/TEF): cedidos na forma de comodato. A um custo de R$ 120,00 por mês.</v>
      </c>
      <c r="AA32" s="167"/>
      <c r="AB32" s="167"/>
      <c r="AT32" s="222"/>
      <c r="AU32" s="222"/>
    </row>
    <row r="33" spans="1:47" ht="20.100000000000001" customHeight="1">
      <c r="A33" s="222"/>
      <c r="B33" s="114" t="s">
        <v>1</v>
      </c>
      <c r="C33" s="222"/>
      <c r="D33" s="224"/>
      <c r="E33" s="234">
        <v>1</v>
      </c>
      <c r="F33" s="234">
        <v>1</v>
      </c>
      <c r="G33" s="234">
        <v>2</v>
      </c>
      <c r="H33" s="234"/>
      <c r="I33" s="234"/>
      <c r="J33" s="234"/>
      <c r="K33" s="234"/>
      <c r="L33" s="234"/>
      <c r="M33" s="234"/>
      <c r="N33" s="222"/>
      <c r="O33" s="222"/>
      <c r="P33" s="222"/>
      <c r="Q33" s="222"/>
      <c r="R33" s="222"/>
      <c r="S33" s="171" t="s">
        <v>27</v>
      </c>
      <c r="T33" s="204">
        <f>IF(U16=1,AN17,IF(U16=2,AN18,IF(U16=3,AN19,IF(U16=4,AN20,IF(U16=5,AN21,IF(U16=6,AN22,IF(U16=7,AN23,IF(U16=8,AN24,IF(U16=9,AN25,IF(U16=10,AN26))))))))))</f>
        <v>0</v>
      </c>
      <c r="U33" s="180">
        <f>Calculadora!W9</f>
        <v>100</v>
      </c>
      <c r="V33" s="164"/>
      <c r="W33" s="164" t="str">
        <f>IF(E32=2,"",IF(T33=2,"- Link Internet: instalação de um link de internet, sem custo.","- Link Internet: instalação de um link de internet, a um custo de "&amp;TEXT(U33,"R$ #.###,00")&amp;" por mês."))</f>
        <v>- Link Internet: instalação de um link de internet, a um custo de R$ 100,00 por mês.</v>
      </c>
      <c r="AA33" s="167"/>
      <c r="AB33" s="167"/>
      <c r="AT33" s="222"/>
      <c r="AU33" s="222"/>
    </row>
    <row r="34" spans="1:47" ht="20.100000000000001" customHeight="1">
      <c r="A34" s="222"/>
      <c r="B34" s="114" t="s">
        <v>86</v>
      </c>
      <c r="C34" s="222"/>
      <c r="D34" s="224"/>
      <c r="E34" s="234">
        <v>1</v>
      </c>
      <c r="F34" s="234">
        <v>1</v>
      </c>
      <c r="G34" s="234">
        <v>2</v>
      </c>
      <c r="H34" s="234"/>
      <c r="I34" s="234"/>
      <c r="J34" s="234"/>
      <c r="K34" s="234"/>
      <c r="L34" s="234"/>
      <c r="M34" s="234"/>
      <c r="N34" s="222"/>
      <c r="O34" s="222"/>
      <c r="P34" s="222"/>
      <c r="Q34" s="222"/>
      <c r="R34" s="222"/>
      <c r="S34" s="171" t="s">
        <v>1</v>
      </c>
      <c r="T34" s="204">
        <f>IF(U16=1,AO17,IF(U16=2,AO18,IF(U16=3,AO19,IF(U16=4,AO20,IF(U16=5,AO21,IF(U16=6,AO22,IF(U16=7,AO23,IF(U16=8,AO24,IF(U16=9,AO25,IF(U16=10,AO26))))))))))</f>
        <v>0</v>
      </c>
      <c r="U34" s="180">
        <f>Calculadora!W10</f>
        <v>3150</v>
      </c>
      <c r="V34" s="164"/>
      <c r="W34" s="164" t="str">
        <f>IF(E33=2,"",IF(T34=2,"- Bilheteiras(os): disponibilização de funcionários contratados pela Compre Ingressos, para a bilheteria, sem custo.","- Bilheteiras(os): disponibilização de funcionários contratados pela Compre Ingressos, para a bilheteria, a um custo de "&amp;TEXT(U34,"R$ #.###,00")&amp;" por mês."))</f>
        <v>- Bilheteiras(os): disponibilização de funcionários contratados pela Compre Ingressos, para a bilheteria, a um custo de R$ 3.150,00 por mês.</v>
      </c>
      <c r="AA34" s="167"/>
      <c r="AB34" s="167"/>
      <c r="AT34" s="222"/>
      <c r="AU34" s="222"/>
    </row>
    <row r="35" spans="1:47" ht="20.100000000000001" customHeight="1">
      <c r="A35" s="222"/>
      <c r="B35" s="114" t="s">
        <v>87</v>
      </c>
      <c r="C35" s="222"/>
      <c r="D35" s="224"/>
      <c r="E35" s="234">
        <v>1</v>
      </c>
      <c r="F35" s="234">
        <v>1</v>
      </c>
      <c r="G35" s="234">
        <v>2</v>
      </c>
      <c r="H35" s="234"/>
      <c r="I35" s="234"/>
      <c r="J35" s="234"/>
      <c r="K35" s="234"/>
      <c r="L35" s="234"/>
      <c r="M35" s="234"/>
      <c r="N35" s="222"/>
      <c r="O35" s="222"/>
      <c r="P35" s="222"/>
      <c r="Q35" s="222"/>
      <c r="R35" s="222"/>
      <c r="S35" s="171" t="s">
        <v>86</v>
      </c>
      <c r="T35" s="204">
        <f>IF(U16=1,AP17,IF(U16=2,AP18,IF(U16=3,AP19,IF(U16=4,AP20,IF(U16=5,AP21,IF(U16=6,AP22,IF(U16=7,AP23,IF(U16=8,AP24,IF(U16=9,AP25,IF(U16=10,AP26))))))))))</f>
        <v>0</v>
      </c>
      <c r="U35" s="180">
        <f>Calculadora!AA4</f>
        <v>150</v>
      </c>
      <c r="V35" s="164"/>
      <c r="W35" s="164" t="str">
        <f>IF(E34=2,"",IF(T35=2,"- Treinamento Local: disponibilização um funcionário da Compre Ingressos, para treinamento dos funcionários da bilheteria, sem custo.","- Treinamento Local: disponibilização um funcionário da Compre Ingressos, para treinamento dos funcionários da bilheteria, a um custo de "&amp;TEXT(U35,"R$ #.###,00")&amp;" a diária."))</f>
        <v>- Treinamento Local: disponibilização um funcionário da Compre Ingressos, para treinamento dos funcionários da bilheteria, a um custo de R$ 150,00 a diária.</v>
      </c>
      <c r="AA35" s="167"/>
      <c r="AB35" s="167"/>
      <c r="AT35" s="222"/>
      <c r="AU35" s="222"/>
    </row>
    <row r="36" spans="1:47" ht="20.100000000000001" customHeight="1">
      <c r="A36" s="222"/>
      <c r="B36" s="114" t="s">
        <v>140</v>
      </c>
      <c r="C36" s="222"/>
      <c r="D36" s="224"/>
      <c r="E36" s="234">
        <v>1</v>
      </c>
      <c r="F36" s="234">
        <v>1</v>
      </c>
      <c r="G36" s="234">
        <v>2</v>
      </c>
      <c r="H36" s="234"/>
      <c r="I36" s="234"/>
      <c r="J36" s="234"/>
      <c r="K36" s="234"/>
      <c r="L36" s="234"/>
      <c r="M36" s="234"/>
      <c r="N36" s="222"/>
      <c r="O36" s="222"/>
      <c r="P36" s="222"/>
      <c r="Q36" s="222"/>
      <c r="R36" s="222"/>
      <c r="S36" s="171" t="s">
        <v>87</v>
      </c>
      <c r="T36" s="204">
        <f>IF(U16=1,AQ17,IF(U16=2,AQ18,IF(U16=3,AQ19,IF(U16=4,AQ20,IF(U16=5,AQ21,IF(U16=6,AQ22,IF(U16=7,AQ23,IF(U16=8,AQ24,IF(U16=9,AQ25,IF(U16=10,AQ26))))))))))</f>
        <v>0</v>
      </c>
      <c r="U36" s="180">
        <f>Calculadora!AA7</f>
        <v>150</v>
      </c>
      <c r="V36" s="164"/>
      <c r="W36" s="164" t="str">
        <f>IF(E35=2,"",IF(T36=2,"- Suporte Local: disponibilização um funcionário da Compre Ingressos, para suporte técnico na bilheteria, sem custo.","- Suporte Local: disponibilização um funcionário da Compre Ingressos, para suporte técnico na bilheteria, a um custo de "&amp;TEXT(U36,"R$ #.###,00")&amp;" a diária."))</f>
        <v>- Suporte Local: disponibilização um funcionário da Compre Ingressos, para suporte técnico na bilheteria, a um custo de R$ 150,00 a diária.</v>
      </c>
      <c r="AA36" s="167"/>
      <c r="AB36" s="167"/>
      <c r="AT36" s="222"/>
      <c r="AU36" s="222"/>
    </row>
    <row r="37" spans="1:47" ht="20.100000000000001" customHeight="1">
      <c r="A37" s="222"/>
      <c r="B37" s="221"/>
      <c r="C37" s="222"/>
      <c r="D37" s="224"/>
      <c r="E37" s="234"/>
      <c r="F37" s="235"/>
      <c r="G37" s="235"/>
      <c r="H37" s="235"/>
      <c r="I37" s="235"/>
      <c r="J37" s="235"/>
      <c r="K37" s="235"/>
      <c r="L37" s="235"/>
      <c r="M37" s="235"/>
      <c r="N37" s="222"/>
      <c r="O37" s="222"/>
      <c r="P37" s="222"/>
      <c r="Q37" s="222"/>
      <c r="R37" s="222"/>
      <c r="S37" s="171" t="s">
        <v>140</v>
      </c>
      <c r="T37" s="204">
        <f>IF(U16=1,AR17,IF(U16=2,AR18,IF(U16=3,AR19,IF(U16=4,AR20,IF(U16=5,AR21,IF(U16=6,AR22,IF(U16=7,AR23,IF(U16=8,AR24,IF(U16=9,AR25,IF(U16=10,AR26))))))))))</f>
        <v>0</v>
      </c>
      <c r="U37" s="180">
        <f>Calculadora!AA10</f>
        <v>1000</v>
      </c>
      <c r="V37" s="164"/>
      <c r="W37" s="164" t="str">
        <f>IF(E36=2,"",IF(T37=2,"- Transporte de Valores: serviço de transporte de valores monetários da bilheteria, sem custo.","- Transporte de Valores: serviço de transporte de valores monetários da bilheteria, a um custo de "&amp;TEXT(U37,"R$ #.###,00")&amp;" por mês."))</f>
        <v>- Transporte de Valores: serviço de transporte de valores monetários da bilheteria, a um custo de R$ 1.000,00 por mês.</v>
      </c>
      <c r="AA37" s="167"/>
      <c r="AB37" s="167"/>
      <c r="AT37" s="222"/>
      <c r="AU37" s="222"/>
    </row>
    <row r="38" spans="1:47" ht="20.100000000000001" customHeight="1">
      <c r="A38" s="222"/>
      <c r="B38" s="230" t="s">
        <v>171</v>
      </c>
      <c r="C38" s="222"/>
      <c r="D38" s="224"/>
      <c r="E38" s="234"/>
      <c r="F38" s="235"/>
      <c r="G38" s="235"/>
      <c r="H38" s="235"/>
      <c r="I38" s="235"/>
      <c r="J38" s="235"/>
      <c r="K38" s="235"/>
      <c r="L38" s="235"/>
      <c r="M38" s="235"/>
      <c r="N38" s="222"/>
      <c r="O38" s="222"/>
      <c r="P38" s="222"/>
      <c r="Q38" s="222"/>
      <c r="R38" s="222"/>
      <c r="T38" s="204"/>
      <c r="U38" s="180"/>
      <c r="V38" s="164"/>
      <c r="W38" s="159" t="str">
        <f>IF(AND(W39="",W40="",W41="",W42=""),"","Facilidades do Sistema")</f>
        <v>Facilidades do Sistema</v>
      </c>
      <c r="AA38" s="167"/>
      <c r="AB38" s="167"/>
      <c r="AT38" s="222"/>
      <c r="AU38" s="222"/>
    </row>
    <row r="39" spans="1:47" ht="20.100000000000001" customHeight="1">
      <c r="A39" s="222"/>
      <c r="B39" s="231" t="s">
        <v>172</v>
      </c>
      <c r="C39" s="222"/>
      <c r="D39" s="224"/>
      <c r="E39" s="234">
        <v>1</v>
      </c>
      <c r="F39" s="234">
        <v>1</v>
      </c>
      <c r="G39" s="234">
        <v>2</v>
      </c>
      <c r="H39" s="234"/>
      <c r="I39" s="234"/>
      <c r="J39" s="234"/>
      <c r="K39" s="234"/>
      <c r="L39" s="234"/>
      <c r="M39" s="234"/>
      <c r="N39" s="222"/>
      <c r="O39" s="222"/>
      <c r="P39" s="222"/>
      <c r="Q39" s="222"/>
      <c r="R39" s="222"/>
      <c r="T39" s="204"/>
      <c r="U39" s="180"/>
      <c r="V39" s="164"/>
      <c r="W39" s="172" t="str">
        <f>IF(E39=2,"","- Venda pela Internet: total segurança, o produtor pode inserir até 10 fotos, além do release completo, e vídeo do youtube, dando maior informação para o espectador na hora da compra.")</f>
        <v>- Venda pela Internet: total segurança, o produtor pode inserir até 10 fotos, além do release completo, e vídeo do youtube, dando maior informação para o espectador na hora da compra.</v>
      </c>
      <c r="AA39" s="167"/>
      <c r="AB39" s="167"/>
      <c r="AT39" s="222"/>
      <c r="AU39" s="222"/>
    </row>
    <row r="40" spans="1:47" ht="20.100000000000001" customHeight="1">
      <c r="A40" s="222"/>
      <c r="B40" s="232" t="s">
        <v>173</v>
      </c>
      <c r="C40" s="222"/>
      <c r="D40" s="224"/>
      <c r="E40" s="234">
        <v>1</v>
      </c>
      <c r="F40" s="234">
        <v>1</v>
      </c>
      <c r="G40" s="234">
        <v>2</v>
      </c>
      <c r="H40" s="234"/>
      <c r="I40" s="234"/>
      <c r="J40" s="234"/>
      <c r="K40" s="234"/>
      <c r="L40" s="234"/>
      <c r="M40" s="234"/>
      <c r="N40" s="222"/>
      <c r="O40" s="222"/>
      <c r="P40" s="222"/>
      <c r="Q40" s="222"/>
      <c r="R40" s="222"/>
      <c r="T40" s="204"/>
      <c r="U40" s="180"/>
      <c r="V40" s="164"/>
      <c r="W40" s="172" t="str">
        <f>IF(E40=2,"","- Venda pelas Redes Sociais: Campanhas exclusivas de venda nas redes sociais (Facebook, Twiter, etc), através da nossa agência.")</f>
        <v>- Venda pelas Redes Sociais: Campanhas exclusivas de venda nas redes sociais (Facebook, Twiter, etc), através da nossa agência.</v>
      </c>
      <c r="AA40" s="167"/>
      <c r="AB40" s="167"/>
      <c r="AT40" s="222"/>
      <c r="AU40" s="222"/>
    </row>
    <row r="41" spans="1:47" ht="20.100000000000001" customHeight="1">
      <c r="A41" s="222"/>
      <c r="B41" s="232" t="s">
        <v>175</v>
      </c>
      <c r="C41" s="222"/>
      <c r="D41" s="224"/>
      <c r="E41" s="234">
        <v>1</v>
      </c>
      <c r="F41" s="234">
        <v>1</v>
      </c>
      <c r="G41" s="234">
        <v>2</v>
      </c>
      <c r="H41" s="234"/>
      <c r="I41" s="234"/>
      <c r="J41" s="234"/>
      <c r="K41" s="234"/>
      <c r="L41" s="234"/>
      <c r="M41" s="234"/>
      <c r="N41" s="222"/>
      <c r="O41" s="222"/>
      <c r="P41" s="222"/>
      <c r="Q41" s="222"/>
      <c r="R41" s="222"/>
      <c r="T41" s="204"/>
      <c r="U41" s="180"/>
      <c r="V41" s="164"/>
      <c r="W41" s="172" t="str">
        <f>IF(E41=2,"","- Venda pelo Call Center: atendimento das 9:00h ás 21:00h, de segunda a domingo, profissionais aptos a dar informação do evento e realizar a venda.")</f>
        <v>- Venda pelo Call Center: atendimento das 9:00h ás 21:00h, de segunda a domingo, profissionais aptos a dar informação do evento e realizar a venda.</v>
      </c>
      <c r="AA41" s="167"/>
      <c r="AB41" s="167"/>
      <c r="AT41" s="222"/>
      <c r="AU41" s="222"/>
    </row>
    <row r="42" spans="1:47" ht="20.100000000000001" customHeight="1">
      <c r="A42" s="222"/>
      <c r="B42" s="232" t="s">
        <v>174</v>
      </c>
      <c r="C42" s="222"/>
      <c r="D42" s="224"/>
      <c r="E42" s="234">
        <v>1</v>
      </c>
      <c r="F42" s="234">
        <v>1</v>
      </c>
      <c r="G42" s="234">
        <v>2</v>
      </c>
      <c r="H42" s="234"/>
      <c r="I42" s="234"/>
      <c r="J42" s="234"/>
      <c r="K42" s="234"/>
      <c r="L42" s="234"/>
      <c r="M42" s="234"/>
      <c r="N42" s="222"/>
      <c r="O42" s="222"/>
      <c r="P42" s="222"/>
      <c r="Q42" s="222"/>
      <c r="R42" s="222"/>
      <c r="T42" s="204"/>
      <c r="U42" s="180"/>
      <c r="V42" s="164"/>
      <c r="W42" s="172" t="str">
        <f>IF(E42=2,"","- Borderô Web: login e senha específica para acompanhar as vendas realizadas pelos canais de venda (Web e Call Center), direto do site da Compre Ingressos.")</f>
        <v>- Borderô Web: login e senha específica para acompanhar as vendas realizadas pelos canais de venda (Web e Call Center), direto do site da Compre Ingressos.</v>
      </c>
      <c r="AA42" s="167"/>
      <c r="AB42" s="167"/>
      <c r="AT42" s="222"/>
      <c r="AU42" s="222"/>
    </row>
    <row r="43" spans="1:47" ht="20.100000000000001" customHeight="1">
      <c r="A43" s="222"/>
      <c r="B43" s="221"/>
      <c r="C43" s="222"/>
      <c r="D43" s="224"/>
      <c r="E43" s="234"/>
      <c r="F43" s="235"/>
      <c r="G43" s="235"/>
      <c r="H43" s="235"/>
      <c r="I43" s="235"/>
      <c r="J43" s="235"/>
      <c r="K43" s="235"/>
      <c r="L43" s="235"/>
      <c r="M43" s="235"/>
      <c r="N43" s="222"/>
      <c r="O43" s="222"/>
      <c r="P43" s="222"/>
      <c r="Q43" s="222"/>
      <c r="R43" s="222"/>
      <c r="T43" s="204"/>
      <c r="U43" s="180"/>
      <c r="V43" s="164"/>
      <c r="W43" s="172"/>
      <c r="AA43" s="167"/>
      <c r="AB43" s="167"/>
      <c r="AT43" s="222"/>
      <c r="AU43" s="222"/>
    </row>
    <row r="44" spans="1:47" ht="20.100000000000001" customHeight="1">
      <c r="A44" s="222"/>
      <c r="B44" s="230" t="s">
        <v>160</v>
      </c>
      <c r="C44" s="222"/>
      <c r="D44" s="233" t="s">
        <v>177</v>
      </c>
      <c r="E44" s="234"/>
      <c r="F44" s="235"/>
      <c r="G44" s="235"/>
      <c r="H44" s="235"/>
      <c r="I44" s="235"/>
      <c r="J44" s="235"/>
      <c r="K44" s="235"/>
      <c r="L44" s="235"/>
      <c r="M44" s="235"/>
      <c r="N44" s="222"/>
      <c r="O44" s="222"/>
      <c r="P44" s="222"/>
      <c r="Q44" s="222"/>
      <c r="R44" s="222"/>
      <c r="W44" s="159" t="str">
        <f>IF(AND(W45="",W46="",W47="",W48="",W49=""),"","Vantagens Adicionais")</f>
        <v>Vantagens Adicionais</v>
      </c>
      <c r="AA44" s="167"/>
      <c r="AB44" s="167"/>
      <c r="AT44" s="222"/>
      <c r="AU44" s="222"/>
    </row>
    <row r="45" spans="1:47" ht="20.100000000000001" customHeight="1">
      <c r="A45" s="222"/>
      <c r="B45" s="221" t="s">
        <v>161</v>
      </c>
      <c r="C45" s="222"/>
      <c r="D45" s="224"/>
      <c r="E45" s="234">
        <v>1</v>
      </c>
      <c r="F45" s="234">
        <v>1</v>
      </c>
      <c r="G45" s="234">
        <v>2</v>
      </c>
      <c r="H45" s="234">
        <v>2</v>
      </c>
      <c r="I45" s="234"/>
      <c r="J45" s="234"/>
      <c r="K45" s="234"/>
      <c r="L45" s="234"/>
      <c r="M45" s="234"/>
      <c r="N45" s="222"/>
      <c r="O45" s="222"/>
      <c r="P45" s="222"/>
      <c r="Q45" s="222"/>
      <c r="R45" s="222"/>
      <c r="S45" s="172" t="s">
        <v>161</v>
      </c>
      <c r="T45" s="204">
        <f>H45</f>
        <v>2</v>
      </c>
      <c r="U45" s="180">
        <f>Calculadora!AE5</f>
        <v>1000</v>
      </c>
      <c r="V45" s="164"/>
      <c r="W45" s="157" t="str">
        <f>IF(E45=2,"",IF(T45=3,"- Divulgação pela mídia Impressa: anuncio (GUIA OFF, ROTEIRO CAMARIM, GUIA TEATRO CARIOCA, O GLOBO), dividida por 4 espetáculos por inserção, rodiziado com todas as produções, em lugar indeterminado e conforme grade, sem custo.","- Divulgação pela mídia Impressa: anuncio (GUIA OFF, ROTEIRO CAMARIM, GUIA TEATRO CARIOCA, O GLOBO), dividida por 4 espetáculos por inserção, rodiziado com todas as produções, em lugar indeterminado e conforme grade, a um custo de "&amp;TEXT(U45,"R$ #.###,00")&amp;IF(H45=1," por mês."," por utilização.")))</f>
        <v>- Divulgação pela mídia Impressa: anuncio (GUIA OFF, ROTEIRO CAMARIM, GUIA TEATRO CARIOCA, O GLOBO), dividida por 4 espetáculos por inserção, rodiziado com todas as produções, em lugar indeterminado e conforme grade, a um custo de R$ 1.000,00 por utilização.</v>
      </c>
      <c r="AA45" s="167"/>
      <c r="AB45" s="167"/>
      <c r="AT45" s="222"/>
      <c r="AU45" s="222"/>
    </row>
    <row r="46" spans="1:47" ht="20.100000000000001" customHeight="1">
      <c r="A46" s="222"/>
      <c r="B46" s="221" t="s">
        <v>162</v>
      </c>
      <c r="C46" s="222"/>
      <c r="D46" s="224"/>
      <c r="E46" s="234">
        <v>1</v>
      </c>
      <c r="F46" s="234">
        <v>1</v>
      </c>
      <c r="G46" s="234">
        <v>2</v>
      </c>
      <c r="H46" s="234">
        <v>2</v>
      </c>
      <c r="I46" s="234"/>
      <c r="J46" s="234"/>
      <c r="K46" s="234"/>
      <c r="L46" s="234"/>
      <c r="M46" s="234"/>
      <c r="N46" s="222"/>
      <c r="O46" s="222"/>
      <c r="P46" s="222"/>
      <c r="Q46" s="222"/>
      <c r="R46" s="222"/>
      <c r="S46" s="172" t="s">
        <v>162</v>
      </c>
      <c r="T46" s="204">
        <f t="shared" ref="T46:T49" si="1">H46</f>
        <v>2</v>
      </c>
      <c r="U46" s="180">
        <f>Calculadora!AE6</f>
        <v>1000</v>
      </c>
      <c r="V46" s="164"/>
      <c r="W46" s="157" t="str">
        <f>IF(E46=2,"",IF(T46=3,"- Divulgação pela mídia On-Line: pelo site da Compre Ingressos, pela loja no Facebook da Compre Ingressos, sem custo.","- Divulgação pela mídia On-Line: pelo site da Compre Ingressos, pela loja no Facebook da Compre Ingressos, a um custo de "&amp;TEXT(U46,"R$ #.###,00")&amp;IF(H45=1," por mês."," por utilização.")))</f>
        <v>- Divulgação pela mídia On-Line: pelo site da Compre Ingressos, pela loja no Facebook da Compre Ingressos, a um custo de R$ 1.000,00 por utilização.</v>
      </c>
      <c r="AA46" s="167"/>
      <c r="AB46" s="167"/>
      <c r="AT46" s="222"/>
      <c r="AU46" s="222"/>
    </row>
    <row r="47" spans="1:47" ht="20.100000000000001" customHeight="1">
      <c r="A47" s="222"/>
      <c r="B47" s="221" t="s">
        <v>163</v>
      </c>
      <c r="C47" s="222"/>
      <c r="D47" s="224"/>
      <c r="E47" s="234">
        <v>1</v>
      </c>
      <c r="F47" s="234">
        <v>1</v>
      </c>
      <c r="G47" s="234">
        <v>2</v>
      </c>
      <c r="H47" s="234">
        <v>2</v>
      </c>
      <c r="I47" s="234"/>
      <c r="J47" s="234"/>
      <c r="K47" s="234"/>
      <c r="L47" s="234"/>
      <c r="M47" s="234"/>
      <c r="N47" s="222"/>
      <c r="O47" s="222"/>
      <c r="P47" s="222"/>
      <c r="Q47" s="222"/>
      <c r="R47" s="222"/>
      <c r="S47" s="172" t="s">
        <v>163</v>
      </c>
      <c r="T47" s="204">
        <f t="shared" si="1"/>
        <v>2</v>
      </c>
      <c r="U47" s="180">
        <f>Calculadora!AE7</f>
        <v>1000</v>
      </c>
      <c r="V47" s="164"/>
      <c r="W47" s="165" t="str">
        <f>IF(E47=2,"",IF(T47=3,"- E-mail Marketing: envio de e-mail marketing, para campanhas e promoções específicas de venda, ou para divulgação, sem custo.","- E-mail Marketing: envio de e-mail marketing, para campanhas e promoções específicas de venda, ou para divulgação, a um custo de "&amp;TEXT(U47,"R$ #.###,00")&amp;IF(H45=1," por mês."," por utilização.")))</f>
        <v>- E-mail Marketing: envio de e-mail marketing, para campanhas e promoções específicas de venda, ou para divulgação, a um custo de R$ 1.000,00 por utilização.</v>
      </c>
      <c r="AA47" s="167"/>
      <c r="AB47" s="167"/>
      <c r="AT47" s="222"/>
      <c r="AU47" s="222"/>
    </row>
    <row r="48" spans="1:47" ht="20.100000000000001" customHeight="1">
      <c r="A48" s="222"/>
      <c r="B48" s="221" t="s">
        <v>164</v>
      </c>
      <c r="C48" s="222"/>
      <c r="D48" s="224"/>
      <c r="E48" s="234">
        <v>1</v>
      </c>
      <c r="F48" s="234">
        <v>1</v>
      </c>
      <c r="G48" s="234">
        <v>2</v>
      </c>
      <c r="H48" s="234">
        <v>2</v>
      </c>
      <c r="I48" s="234"/>
      <c r="J48" s="234"/>
      <c r="K48" s="234"/>
      <c r="L48" s="234"/>
      <c r="M48" s="234"/>
      <c r="N48" s="222"/>
      <c r="O48" s="222"/>
      <c r="P48" s="222"/>
      <c r="Q48" s="222"/>
      <c r="R48" s="222"/>
      <c r="S48" s="172" t="s">
        <v>164</v>
      </c>
      <c r="T48" s="204">
        <f t="shared" si="1"/>
        <v>2</v>
      </c>
      <c r="U48" s="180">
        <f>Calculadora!AE8</f>
        <v>1000</v>
      </c>
      <c r="V48" s="164"/>
      <c r="W48" s="157" t="str">
        <f>IF(E48=2,"",IF(T48=3,"- Destaque Home Page: destaque na Home Page da Compre Ingresso, sem custo.","- Destaque Home Page: destaque na Home Page da Compre Ingresso, a um custo de "&amp;TEXT(U48,"R$ #.###,00")&amp;IF(H45=1," por mês."," por utilização.")))</f>
        <v>- Destaque Home Page: destaque na Home Page da Compre Ingresso, a um custo de R$ 1.000,00 por utilização.</v>
      </c>
      <c r="AA48" s="167"/>
      <c r="AB48" s="167"/>
      <c r="AT48" s="222"/>
      <c r="AU48" s="222"/>
    </row>
    <row r="49" spans="1:47" ht="20.100000000000001" customHeight="1">
      <c r="A49" s="222"/>
      <c r="B49" s="221" t="s">
        <v>165</v>
      </c>
      <c r="C49" s="222"/>
      <c r="D49" s="224"/>
      <c r="E49" s="234">
        <v>1</v>
      </c>
      <c r="F49" s="234">
        <v>1</v>
      </c>
      <c r="G49" s="234">
        <v>2</v>
      </c>
      <c r="H49" s="234">
        <v>2</v>
      </c>
      <c r="I49" s="234"/>
      <c r="J49" s="234"/>
      <c r="K49" s="234"/>
      <c r="L49" s="234"/>
      <c r="M49" s="234"/>
      <c r="N49" s="222"/>
      <c r="O49" s="222"/>
      <c r="P49" s="222"/>
      <c r="Q49" s="222"/>
      <c r="R49" s="222"/>
      <c r="S49" s="172" t="s">
        <v>165</v>
      </c>
      <c r="T49" s="204">
        <f t="shared" si="1"/>
        <v>2</v>
      </c>
      <c r="U49" s="180">
        <f>Calculadora!AE9</f>
        <v>1000</v>
      </c>
      <c r="V49" s="164"/>
      <c r="W49" s="163" t="str">
        <f>IF(E49=2,"",IF(T49=3,"- Página no Site: um página exclusiva do evento no site da Compre Ingressos, com todas as apresentações, sem custo.","- Página no Site: um página exclusiva do evento no site da Compre Ingressos, com todas as apresentações, a um custo de "&amp;TEXT(U49,"R$ #.###,00")&amp;IF(H45=1," por mês."," por utilização.")))</f>
        <v>- Página no Site: um página exclusiva do evento no site da Compre Ingressos, com todas as apresentações, a um custo de R$ 1.000,00 por utilização.</v>
      </c>
      <c r="AA49" s="167"/>
      <c r="AB49" s="167"/>
      <c r="AT49" s="222"/>
      <c r="AU49" s="222"/>
    </row>
    <row r="50" spans="1:47">
      <c r="A50" s="222"/>
      <c r="B50" s="221"/>
      <c r="C50" s="222"/>
      <c r="D50" s="224"/>
      <c r="E50" s="234"/>
      <c r="F50" s="235"/>
      <c r="G50" s="235"/>
      <c r="H50" s="235"/>
      <c r="I50" s="235"/>
      <c r="J50" s="235"/>
      <c r="K50" s="235"/>
      <c r="L50" s="235"/>
      <c r="M50" s="235"/>
      <c r="N50" s="222"/>
      <c r="O50" s="222"/>
      <c r="P50" s="222"/>
      <c r="Q50" s="222"/>
      <c r="R50" s="222"/>
      <c r="T50" s="204"/>
      <c r="U50" s="172"/>
      <c r="V50" s="164"/>
      <c r="AA50" s="167"/>
      <c r="AB50" s="167"/>
      <c r="AT50" s="222"/>
      <c r="AU50" s="222"/>
    </row>
    <row r="51" spans="1:47">
      <c r="A51" s="222"/>
      <c r="B51" s="364" t="s">
        <v>96</v>
      </c>
      <c r="C51" s="365"/>
      <c r="D51" s="224"/>
      <c r="E51" s="366">
        <v>1</v>
      </c>
      <c r="F51" s="236">
        <v>1</v>
      </c>
      <c r="G51" s="236">
        <v>2</v>
      </c>
      <c r="H51" s="236"/>
      <c r="I51" s="236"/>
      <c r="J51" s="236"/>
      <c r="K51" s="236"/>
      <c r="L51" s="236"/>
      <c r="M51" s="236"/>
      <c r="N51" s="222"/>
      <c r="O51" s="222"/>
      <c r="P51" s="222"/>
      <c r="Q51" s="222"/>
      <c r="R51" s="222"/>
      <c r="T51" s="367">
        <f>E51</f>
        <v>1</v>
      </c>
      <c r="U51" s="172"/>
      <c r="V51" s="164"/>
      <c r="W51" s="159" t="str">
        <f>IF(W52="","","Outros Serviços do Grupo Compre Ingressos:")</f>
        <v>Outros Serviços do Grupo Compre Ingressos:</v>
      </c>
      <c r="AA51" s="167"/>
      <c r="AB51" s="167"/>
      <c r="AT51" s="222"/>
      <c r="AU51" s="222"/>
    </row>
    <row r="52" spans="1:47" ht="20.100000000000001" customHeight="1">
      <c r="A52" s="222"/>
      <c r="B52" s="364"/>
      <c r="C52" s="365"/>
      <c r="D52" s="224"/>
      <c r="E52" s="366"/>
      <c r="F52" s="236"/>
      <c r="G52" s="236"/>
      <c r="H52" s="236"/>
      <c r="I52" s="236"/>
      <c r="J52" s="236"/>
      <c r="K52" s="236"/>
      <c r="L52" s="236"/>
      <c r="M52" s="236"/>
      <c r="N52" s="222"/>
      <c r="O52" s="222"/>
      <c r="P52" s="222"/>
      <c r="Q52" s="222"/>
      <c r="R52" s="222"/>
      <c r="S52" s="172"/>
      <c r="T52" s="367"/>
      <c r="U52" s="180"/>
      <c r="V52" s="164"/>
      <c r="W52" s="163" t="str">
        <f>IF(T51=2,"","Vendas de Grupos através do nosso departamento de relacionamento com Grupos. Patrocínios e Ações de Relacionamento através da Alux Cultural, nossa empresa de captação de recursos, via leis de incentivo ou recursos de marketing.")</f>
        <v>Vendas de Grupos através do nosso departamento de relacionamento com Grupos. Patrocínios e Ações de Relacionamento através da Alux Cultural, nossa empresa de captação de recursos, via leis de incentivo ou recursos de marketing.</v>
      </c>
      <c r="AA52" s="167"/>
      <c r="AB52" s="167"/>
      <c r="AT52" s="222"/>
      <c r="AU52" s="222"/>
    </row>
    <row r="53" spans="1:47" ht="20.100000000000001" customHeight="1">
      <c r="A53" s="222"/>
      <c r="B53" s="221"/>
      <c r="C53" s="222"/>
      <c r="D53" s="224"/>
      <c r="E53" s="234"/>
      <c r="F53" s="235"/>
      <c r="G53" s="235"/>
      <c r="H53" s="235"/>
      <c r="I53" s="235"/>
      <c r="J53" s="235"/>
      <c r="K53" s="235"/>
      <c r="L53" s="235"/>
      <c r="M53" s="235"/>
      <c r="N53" s="222"/>
      <c r="O53" s="222"/>
      <c r="P53" s="222"/>
      <c r="Q53" s="222"/>
      <c r="R53" s="222"/>
      <c r="S53" s="172"/>
      <c r="T53" s="204"/>
      <c r="U53" s="180"/>
      <c r="V53" s="164"/>
      <c r="W53" s="163" t="s">
        <v>155</v>
      </c>
      <c r="AA53" s="167"/>
      <c r="AB53" s="167"/>
      <c r="AT53" s="222"/>
      <c r="AU53" s="222"/>
    </row>
    <row r="54" spans="1:47" ht="20.100000000000001" customHeight="1">
      <c r="A54" s="222"/>
      <c r="B54" s="221"/>
      <c r="C54" s="222"/>
      <c r="D54" s="224"/>
      <c r="E54" s="234"/>
      <c r="F54" s="235"/>
      <c r="G54" s="235"/>
      <c r="H54" s="235"/>
      <c r="I54" s="235"/>
      <c r="J54" s="235"/>
      <c r="K54" s="235"/>
      <c r="L54" s="235"/>
      <c r="M54" s="235"/>
      <c r="N54" s="222"/>
      <c r="O54" s="222"/>
      <c r="P54" s="222"/>
      <c r="Q54" s="222"/>
      <c r="R54" s="222"/>
      <c r="S54" s="172"/>
      <c r="T54" s="204"/>
      <c r="U54" s="180"/>
      <c r="V54" s="164"/>
      <c r="AA54" s="167"/>
      <c r="AB54" s="167"/>
      <c r="AT54" s="222"/>
      <c r="AU54" s="222"/>
    </row>
    <row r="55" spans="1:47">
      <c r="A55" s="222"/>
      <c r="B55" s="221"/>
      <c r="C55" s="221"/>
      <c r="D55" s="224"/>
      <c r="E55" s="226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AT55" s="222"/>
      <c r="AU55" s="222"/>
    </row>
    <row r="56" spans="1:47">
      <c r="A56" s="222"/>
      <c r="B56" s="221"/>
      <c r="C56" s="221"/>
      <c r="D56" s="224"/>
      <c r="E56" s="226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AT56" s="222"/>
      <c r="AU56" s="222"/>
    </row>
    <row r="57" spans="1:47">
      <c r="A57" s="222"/>
      <c r="B57" s="221"/>
      <c r="C57" s="221"/>
      <c r="D57" s="224"/>
      <c r="E57" s="226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AT57" s="222"/>
      <c r="AU57" s="222"/>
    </row>
    <row r="58" spans="1:47">
      <c r="A58" s="222"/>
      <c r="B58" s="221"/>
      <c r="C58" s="221"/>
      <c r="D58" s="224"/>
      <c r="E58" s="226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AT58" s="222"/>
      <c r="AU58" s="222"/>
    </row>
    <row r="59" spans="1:47">
      <c r="A59" s="222"/>
      <c r="B59" s="221"/>
      <c r="C59" s="221"/>
      <c r="D59" s="224"/>
      <c r="E59" s="226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AT59" s="222"/>
      <c r="AU59" s="222"/>
    </row>
    <row r="60" spans="1:47">
      <c r="A60" s="222"/>
      <c r="B60" s="221"/>
      <c r="C60" s="221"/>
      <c r="D60" s="224"/>
      <c r="E60" s="226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AT60" s="222"/>
      <c r="AU60" s="222"/>
    </row>
    <row r="61" spans="1:47">
      <c r="A61" s="222"/>
      <c r="B61" s="221"/>
      <c r="C61" s="221"/>
      <c r="D61" s="224"/>
      <c r="E61" s="226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AT61" s="222"/>
      <c r="AU61" s="222"/>
    </row>
    <row r="62" spans="1:47">
      <c r="A62" s="222"/>
      <c r="B62" s="221"/>
      <c r="C62" s="221"/>
      <c r="D62" s="224"/>
      <c r="E62" s="226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AT62" s="222"/>
      <c r="AU62" s="222"/>
    </row>
    <row r="63" spans="1:47">
      <c r="A63" s="222"/>
      <c r="B63" s="221"/>
      <c r="C63" s="221"/>
      <c r="D63" s="224"/>
      <c r="E63" s="226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AT63" s="222"/>
      <c r="AU63" s="222"/>
    </row>
    <row r="64" spans="1:47">
      <c r="A64" s="222"/>
      <c r="B64" s="221"/>
      <c r="C64" s="221"/>
      <c r="D64" s="224"/>
      <c r="E64" s="226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AT64" s="222"/>
      <c r="AU64" s="222"/>
    </row>
    <row r="65" spans="1:47">
      <c r="A65" s="222"/>
      <c r="B65" s="221"/>
      <c r="C65" s="221"/>
      <c r="D65" s="224"/>
      <c r="E65" s="226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AT65" s="222"/>
      <c r="AU65" s="222"/>
    </row>
    <row r="66" spans="1:47">
      <c r="A66" s="222"/>
      <c r="B66" s="221"/>
      <c r="C66" s="221"/>
      <c r="D66" s="224"/>
      <c r="E66" s="226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AT66" s="222"/>
      <c r="AU66" s="222"/>
    </row>
    <row r="67" spans="1:47">
      <c r="A67" s="222"/>
      <c r="B67" s="221"/>
      <c r="C67" s="221"/>
      <c r="D67" s="224"/>
      <c r="E67" s="226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AT67" s="222"/>
      <c r="AU67" s="222"/>
    </row>
    <row r="68" spans="1:47">
      <c r="A68" s="222"/>
      <c r="B68" s="221"/>
      <c r="C68" s="221"/>
      <c r="D68" s="224"/>
      <c r="E68" s="226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AT68" s="222"/>
      <c r="AU68" s="222"/>
    </row>
    <row r="69" spans="1:47">
      <c r="A69" s="222"/>
      <c r="B69" s="221"/>
      <c r="C69" s="221"/>
      <c r="D69" s="224"/>
      <c r="E69" s="226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AT69" s="222"/>
      <c r="AU69" s="222"/>
    </row>
    <row r="70" spans="1:47">
      <c r="A70" s="222"/>
      <c r="B70" s="221"/>
      <c r="C70" s="221"/>
      <c r="D70" s="224"/>
      <c r="E70" s="226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AT70" s="222"/>
      <c r="AU70" s="222"/>
    </row>
    <row r="71" spans="1:47">
      <c r="A71" s="222"/>
      <c r="B71" s="221"/>
      <c r="C71" s="221"/>
      <c r="D71" s="224"/>
      <c r="E71" s="226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AT71" s="222"/>
      <c r="AU71" s="222"/>
    </row>
  </sheetData>
  <mergeCells count="6">
    <mergeCell ref="B15:B16"/>
    <mergeCell ref="B51:B52"/>
    <mergeCell ref="C51:C52"/>
    <mergeCell ref="E51:E52"/>
    <mergeCell ref="T51:T52"/>
    <mergeCell ref="C15:E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B69"/>
  <sheetViews>
    <sheetView workbookViewId="0"/>
  </sheetViews>
  <sheetFormatPr defaultRowHeight="15"/>
  <cols>
    <col min="1" max="1" width="91.28515625" style="161" bestFit="1" customWidth="1"/>
    <col min="2" max="16384" width="9.140625" style="128"/>
  </cols>
  <sheetData>
    <row r="1" spans="1:2" ht="50.1" customHeight="1">
      <c r="A1" s="187"/>
    </row>
    <row r="2" spans="1:2">
      <c r="A2" s="205">
        <f>'Dados Proposta'!W2</f>
        <v>41749</v>
      </c>
      <c r="B2" s="127"/>
    </row>
    <row r="3" spans="1:2">
      <c r="A3" s="206" t="str">
        <f>'Dados Proposta'!W5</f>
        <v>CI-RJ 019|14 – Espaço Teste</v>
      </c>
      <c r="B3" s="127"/>
    </row>
    <row r="4" spans="1:2">
      <c r="A4" s="158" t="str">
        <f>'Dados Proposta'!W3</f>
        <v>Ao</v>
      </c>
      <c r="B4" s="127"/>
    </row>
    <row r="5" spans="1:2">
      <c r="A5" s="158" t="str">
        <f>'Dados Proposta'!W4</f>
        <v>Centro Cultural e de Entretenimento Espaço Teste</v>
      </c>
      <c r="B5" s="127"/>
    </row>
    <row r="6" spans="1:2">
      <c r="A6" s="158"/>
      <c r="B6" s="127"/>
    </row>
    <row r="7" spans="1:2">
      <c r="A7" s="158" t="str">
        <f>'Dados Proposta'!W6</f>
        <v>Att: Sr Funalano de Tal</v>
      </c>
      <c r="B7" s="127"/>
    </row>
    <row r="8" spans="1:2">
      <c r="A8" s="158" t="str">
        <f>'Dados Proposta'!W7</f>
        <v>Gerente</v>
      </c>
      <c r="B8" s="127"/>
    </row>
    <row r="9" spans="1:2">
      <c r="A9" s="158"/>
      <c r="B9" s="127"/>
    </row>
    <row r="10" spans="1:2">
      <c r="A10" s="207" t="str">
        <f>'Dados Proposta'!W16</f>
        <v>Ref.: Cota de Ingressos para o Centro Cultural e de Entretenimento Espaço Teste</v>
      </c>
      <c r="B10" s="127"/>
    </row>
    <row r="11" spans="1:2">
      <c r="A11" s="158"/>
      <c r="B11" s="127"/>
    </row>
    <row r="12" spans="1:2">
      <c r="A12" s="208"/>
      <c r="B12" s="127"/>
    </row>
    <row r="13" spans="1:2">
      <c r="A13" s="208" t="str">
        <f>'Dados Proposta'!W9</f>
        <v>Prezado(a) Sr Funalano de Tal,</v>
      </c>
      <c r="B13" s="127"/>
    </row>
    <row r="14" spans="1:2">
      <c r="A14" s="208"/>
      <c r="B14" s="127"/>
    </row>
    <row r="15" spans="1:2" ht="25.5">
      <c r="A15" s="209" t="str">
        <f>'Dados Proposta'!W10</f>
        <v>Obrigado por contatar a Compreingressos.com. Pelo nosso sistema já foram emitidos mais de 60 milhões de ingressos em 15 anos de funcionamento.</v>
      </c>
      <c r="B15" s="127"/>
    </row>
    <row r="16" spans="1:2">
      <c r="A16" s="208"/>
      <c r="B16" s="127"/>
    </row>
    <row r="17" spans="1:2">
      <c r="A17" s="208" t="str">
        <f>'Dados Proposta'!W11</f>
        <v>Conforme conversarmos segue a proposta, para Cota de Ingressos da Compre Ingressos.</v>
      </c>
      <c r="B17" s="127"/>
    </row>
    <row r="18" spans="1:2">
      <c r="A18" s="210"/>
      <c r="B18" s="127"/>
    </row>
    <row r="19" spans="1:2">
      <c r="A19" s="159" t="str">
        <f>'Dados Proposta'!W17</f>
        <v>Proposta de Negócio – CI – C01:</v>
      </c>
      <c r="B19" s="127"/>
    </row>
    <row r="20" spans="1:2" ht="25.5">
      <c r="A20" s="211" t="str">
        <f>'Dados Proposta'!W27</f>
        <v>- Sistema: instalação de um sistema de venda e emissão de ingressos, on-line e real time. Nosso sistema é intuitivo e de fácil utilização, com 3 cliques a venda é efetuada. A um custo de R$ 1.000,00 por mês.</v>
      </c>
      <c r="B20" s="127"/>
    </row>
    <row r="21" spans="1:2">
      <c r="A21" s="211" t="str">
        <f>'Dados Proposta'!W29</f>
        <v>- Administração da Bilheteria: gerenciamento de todos os trabalhos da bilheteria. A um custo de R$ 10.000,00 por mês.</v>
      </c>
      <c r="B21" s="127"/>
    </row>
    <row r="22" spans="1:2" ht="25.5">
      <c r="A22" s="211" t="str">
        <f>'Dados Proposta'!W30</f>
        <v>- Equipamento(s): Computador(es)/Notbook(s) e Impressora(s) cedidos na forma de comodato. A um custo de R$ 183,33 por mês.</v>
      </c>
      <c r="B22" s="127"/>
    </row>
    <row r="23" spans="1:2">
      <c r="A23" s="211" t="str">
        <f>'Dados Proposta'!W31</f>
        <v>- Telefone(s): cedidos na forma de comodato. A um custo de R$ 100,00 por mês.</v>
      </c>
      <c r="B23" s="127"/>
    </row>
    <row r="24" spans="1:2">
      <c r="A24" s="211" t="str">
        <f>'Dados Proposta'!W32</f>
        <v>- Máquinas de Cartão de Crédito e Débito (POS/TEF): cedidos na forma de comodato. A um custo de R$ 120,00 por mês.</v>
      </c>
      <c r="B24" s="127"/>
    </row>
    <row r="25" spans="1:2">
      <c r="A25" s="211" t="str">
        <f>'Dados Proposta'!W33</f>
        <v>- Link Internet: instalação de um link de internet, a um custo de R$ 100,00 por mês.</v>
      </c>
      <c r="B25" s="127"/>
    </row>
    <row r="26" spans="1:2" ht="25.5">
      <c r="A26" s="211" t="str">
        <f>'Dados Proposta'!W34</f>
        <v>- Bilheteiras(os): disponibilização de funcionários contratados pela Compre Ingressos, para a bilheteria, a um custo de R$ 3.150,00 por mês.</v>
      </c>
      <c r="B26" s="127"/>
    </row>
    <row r="27" spans="1:2" ht="25.5">
      <c r="A27" s="211" t="str">
        <f>'Dados Proposta'!W35</f>
        <v>- Treinamento Local: disponibilização um funcionário da Compre Ingressos, para treinamento dos funcionários da bilheteria, a um custo de R$ 150,00 a diária.</v>
      </c>
      <c r="B27" s="127"/>
    </row>
    <row r="28" spans="1:2" ht="25.5">
      <c r="A28" s="211" t="str">
        <f>'Dados Proposta'!W36</f>
        <v>- Suporte Local: disponibilização um funcionário da Compre Ingressos, para suporte técnico na bilheteria, a um custo de R$ 150,00 a diária.</v>
      </c>
      <c r="B28" s="127"/>
    </row>
    <row r="29" spans="1:2">
      <c r="A29" s="157" t="b">
        <f>'Dados Proposta'!W26</f>
        <v>0</v>
      </c>
      <c r="B29" s="127"/>
    </row>
    <row r="30" spans="1:2" ht="25.5">
      <c r="A30" s="211" t="str">
        <f>'Dados Proposta'!W19</f>
        <v>- Taxa Administrativa dos Cartões de Crédito: 3,5%, debitado no repasse das vendas efetuadas pela internet, pelo Call Center e PDV´s, e na bilheteria, se optar em utilizar POS/TEF da Compre Ingressos.</v>
      </c>
      <c r="B30" s="127"/>
    </row>
    <row r="31" spans="1:2" ht="25.5">
      <c r="A31" s="211" t="str">
        <f>'Dados Proposta'!W21</f>
        <v/>
      </c>
      <c r="B31" s="127"/>
    </row>
    <row r="32" spans="1:2">
      <c r="A32" s="211" t="str">
        <f>'Dados Proposta'!W23</f>
        <v/>
      </c>
      <c r="B32" s="127"/>
    </row>
    <row r="33" spans="1:2" ht="25.5">
      <c r="A33" s="211" t="str">
        <f>'Dados Proposta'!W20</f>
        <v>- Prazo de Repasse: Venda em Cartão de Crédito: 30 dias, após o evento, sempre nas quintas-feiras da semana.</v>
      </c>
      <c r="B33" s="127"/>
    </row>
    <row r="34" spans="1:2" ht="25.5">
      <c r="A34" s="211" t="str">
        <f>'Dados Proposta'!W22</f>
        <v/>
      </c>
      <c r="B34" s="127"/>
    </row>
    <row r="35" spans="1:2" ht="25.5">
      <c r="A35" s="212" t="str">
        <f>'Dados Proposta'!W18</f>
        <v>- Taxa de Serviços: 15,00% por ingresso vendido pela web, Call Center e PDV´s. Esta taxa é cobrada do comprador do ingresso. Ou seja, a cada ingresso vendido é acrescida esta Taxa de Serviço.</v>
      </c>
      <c r="B35" s="127"/>
    </row>
    <row r="36" spans="1:2">
      <c r="A36" s="212" t="str">
        <f>'Dados Proposta'!W24</f>
        <v/>
      </c>
      <c r="B36" s="127"/>
    </row>
    <row r="37" spans="1:2">
      <c r="A37" s="212" t="str">
        <f>'Dados Proposta'!W25</f>
        <v/>
      </c>
      <c r="B37" s="127"/>
    </row>
    <row r="38" spans="1:2">
      <c r="A38" s="212" t="str">
        <f>'Dados Proposta'!W29</f>
        <v>- Administração da Bilheteria: gerenciamento de todos os trabalhos da bilheteria. A um custo de R$ 10.000,00 por mês.</v>
      </c>
      <c r="B38" s="127"/>
    </row>
    <row r="39" spans="1:2">
      <c r="A39" s="212" t="str">
        <f>'Dados Proposta'!W37</f>
        <v>- Transporte de Valores: serviço de transporte de valores monetários da bilheteria, a um custo de R$ 1.000,00 por mês.</v>
      </c>
      <c r="B39" s="127"/>
    </row>
    <row r="40" spans="1:2">
      <c r="A40" s="157" t="str">
        <f>'Dados Proposta'!W28</f>
        <v>- Prazo de Contrato: Até o Término da Temporada</v>
      </c>
      <c r="B40" s="127"/>
    </row>
    <row r="41" spans="1:2">
      <c r="A41" s="208"/>
      <c r="B41" s="127"/>
    </row>
    <row r="42" spans="1:2">
      <c r="A42" s="159" t="str">
        <f>'Dados Proposta'!W38</f>
        <v>Facilidades do Sistema</v>
      </c>
      <c r="B42" s="127"/>
    </row>
    <row r="43" spans="1:2" ht="25.5">
      <c r="A43" s="212" t="str">
        <f>'Dados Proposta'!W39</f>
        <v>- Venda pela Internet: total segurança, o produtor pode inserir até 10 fotos, além do release completo, e vídeo do youtube, dando maior informação para o espectador na hora da compra.</v>
      </c>
      <c r="B43" s="127"/>
    </row>
    <row r="44" spans="1:2" ht="25.5">
      <c r="A44" s="212" t="str">
        <f>'Dados Proposta'!W40</f>
        <v>- Venda pelas Redes Sociais: Campanhas exclusivas de venda nas redes sociais (Facebook, Twiter, etc), através da nossa agência.</v>
      </c>
      <c r="B44" s="127"/>
    </row>
    <row r="45" spans="1:2" ht="25.5">
      <c r="A45" s="212" t="str">
        <f>'Dados Proposta'!W41</f>
        <v>- Venda pelo Call Center: atendimento das 9:00h ás 21:00h, de segunda a domingo, profissionais aptos a dar informação do evento e realizar a venda.</v>
      </c>
      <c r="B45" s="127"/>
    </row>
    <row r="46" spans="1:2" ht="25.5">
      <c r="A46" s="212" t="str">
        <f>'Dados Proposta'!W42</f>
        <v>- Borderô Web: login e senha específica para acompanhar as vendas realizadas pelos canais de venda (Web e Call Center), direto do site da Compre Ingressos.</v>
      </c>
      <c r="B46" s="127"/>
    </row>
    <row r="47" spans="1:2">
      <c r="A47" s="158"/>
      <c r="B47" s="127"/>
    </row>
    <row r="48" spans="1:2">
      <c r="A48" s="159" t="str">
        <f>'Dados Proposta'!W44</f>
        <v>Vantagens Adicionais</v>
      </c>
      <c r="B48" s="127"/>
    </row>
    <row r="49" spans="1:2" ht="38.25">
      <c r="A49" s="212" t="str">
        <f>'Dados Proposta'!W45</f>
        <v>- Divulgação pela mídia Impressa: anuncio (GUIA OFF, ROTEIRO CAMARIM, GUIA TEATRO CARIOCA, O GLOBO), dividida por 4 espetáculos por inserção, rodiziado com todas as produções, em lugar indeterminado e conforme grade, a um custo de R$ 1.000,00 por utilização.</v>
      </c>
      <c r="B49" s="127"/>
    </row>
    <row r="50" spans="1:2" ht="25.5">
      <c r="A50" s="212" t="str">
        <f>'Dados Proposta'!W46</f>
        <v>- Divulgação pela mídia On-Line: pelo site da Compre Ingressos, pela loja no Facebook da Compre Ingressos, a um custo de R$ 1.000,00 por utilização.</v>
      </c>
      <c r="B50" s="127"/>
    </row>
    <row r="51" spans="1:2" ht="25.5">
      <c r="A51" s="212" t="str">
        <f>'Dados Proposta'!W46</f>
        <v>- Divulgação pela mídia On-Line: pelo site da Compre Ingressos, pela loja no Facebook da Compre Ingressos, a um custo de R$ 1.000,00 por utilização.</v>
      </c>
      <c r="B51" s="127"/>
    </row>
    <row r="52" spans="1:2" ht="25.5">
      <c r="A52" s="212" t="str">
        <f>'Dados Proposta'!W48</f>
        <v>- Destaque Home Page: destaque na Home Page da Compre Ingresso, a um custo de R$ 1.000,00 por utilização.</v>
      </c>
      <c r="B52" s="127"/>
    </row>
    <row r="53" spans="1:2" ht="25.5">
      <c r="A53" s="212" t="str">
        <f>'Dados Proposta'!W49</f>
        <v>- Página no Site: um página exclusiva do evento no site da Compre Ingressos, com todas as apresentações, a um custo de R$ 1.000,00 por utilização.</v>
      </c>
      <c r="B53" s="127"/>
    </row>
    <row r="54" spans="1:2">
      <c r="A54" s="158"/>
      <c r="B54" s="127"/>
    </row>
    <row r="55" spans="1:2">
      <c r="A55" s="159" t="str">
        <f>'Dados Proposta'!W51</f>
        <v>Outros Serviços do Grupo Compre Ingressos:</v>
      </c>
      <c r="B55" s="127"/>
    </row>
    <row r="56" spans="1:2" ht="38.25">
      <c r="A56" s="212" t="str">
        <f>'Dados Proposta'!W52</f>
        <v>Vendas de Grupos através do nosso departamento de relacionamento com Grupos. Patrocínios e Ações de Relacionamento através da Alux Cultural, nossa empresa de captação de recursos, via leis de incentivo ou recursos de marketing.</v>
      </c>
      <c r="B56" s="127"/>
    </row>
    <row r="58" spans="1:2">
      <c r="A58" s="161" t="str">
        <f>'Dados Proposta'!W53</f>
        <v>Atenciosamente,</v>
      </c>
    </row>
    <row r="61" spans="1:2">
      <c r="A61" s="213" t="str">
        <f>'Dados Proposta'!C12</f>
        <v>Funcionário Compre Ingressos</v>
      </c>
    </row>
    <row r="62" spans="1:2">
      <c r="A62" s="214" t="str">
        <f>'Dados Proposta'!C13</f>
        <v>Executivo de Vendas</v>
      </c>
    </row>
    <row r="65" spans="1:1">
      <c r="A65" s="160" t="s">
        <v>99</v>
      </c>
    </row>
    <row r="66" spans="1:1">
      <c r="A66" s="160"/>
    </row>
    <row r="67" spans="1:1">
      <c r="A67" s="160" t="s">
        <v>169</v>
      </c>
    </row>
    <row r="68" spans="1:1">
      <c r="A68" s="160"/>
    </row>
    <row r="69" spans="1:1">
      <c r="A69" s="160" t="s">
        <v>170</v>
      </c>
    </row>
  </sheetData>
  <printOptions horizontalCentered="1"/>
  <pageMargins left="0.39370078740157483" right="0.39370078740157483" top="0.78740157480314965" bottom="0.78740157480314965" header="0.51181102362204722" footer="0.31496062992125984"/>
  <pageSetup paperSize="9" orientation="portrait" horizontalDpi="0" verticalDpi="0" r:id="rId1"/>
  <headerFooter>
    <oddFooter>&amp;CCOMPREINGRESSOS.COM - GESTÃO E VENDA DE INGRESSOS
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0"/>
  <sheetViews>
    <sheetView zoomScale="80" zoomScaleNormal="80" workbookViewId="0">
      <selection sqref="A1:O1"/>
    </sheetView>
  </sheetViews>
  <sheetFormatPr defaultRowHeight="15"/>
  <cols>
    <col min="1" max="1" width="24" style="311" customWidth="1"/>
    <col min="2" max="2" width="17.140625" style="311" customWidth="1"/>
    <col min="3" max="3" width="19.28515625" style="311" bestFit="1" customWidth="1"/>
    <col min="4" max="4" width="18.42578125" style="311" bestFit="1" customWidth="1"/>
    <col min="5" max="5" width="0.85546875" style="311" customWidth="1"/>
    <col min="6" max="6" width="20.28515625" style="311" customWidth="1"/>
    <col min="7" max="7" width="0.85546875" style="311" customWidth="1"/>
    <col min="8" max="8" width="25.7109375" style="311" customWidth="1"/>
    <col min="9" max="9" width="28.140625" style="311" bestFit="1" customWidth="1"/>
    <col min="10" max="10" width="20" style="311" bestFit="1" customWidth="1"/>
    <col min="11" max="11" width="0.85546875" style="311" customWidth="1"/>
    <col min="12" max="12" width="9.140625" style="311"/>
    <col min="13" max="13" width="18.85546875" style="311" customWidth="1"/>
    <col min="14" max="14" width="12.140625" style="311" bestFit="1" customWidth="1"/>
    <col min="15" max="15" width="13" style="311" bestFit="1" customWidth="1"/>
    <col min="16" max="16384" width="9.140625" style="311"/>
  </cols>
  <sheetData>
    <row r="1" spans="1:15" ht="21">
      <c r="A1" s="541" t="s">
        <v>230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3"/>
    </row>
    <row r="2" spans="1:15" ht="5.0999999999999996" customHeight="1">
      <c r="A2" s="513"/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</row>
    <row r="3" spans="1:15">
      <c r="A3" s="544" t="s">
        <v>97</v>
      </c>
      <c r="B3" s="433"/>
      <c r="C3" s="545">
        <f>Parâmetros!D2</f>
        <v>41749</v>
      </c>
      <c r="D3" s="546"/>
      <c r="E3" s="546"/>
      <c r="F3" s="547"/>
      <c r="G3" s="495"/>
      <c r="H3" s="544" t="s">
        <v>135</v>
      </c>
      <c r="I3" s="548">
        <f>Parâmetros!I4</f>
        <v>30</v>
      </c>
      <c r="J3" s="547"/>
      <c r="K3" s="549"/>
      <c r="L3" s="550"/>
      <c r="M3" s="546"/>
      <c r="N3" s="546"/>
      <c r="O3" s="547"/>
    </row>
    <row r="4" spans="1:15">
      <c r="A4" s="551" t="s">
        <v>105</v>
      </c>
      <c r="B4" s="2"/>
      <c r="C4" s="552" t="str">
        <f>Parâmetros!D3</f>
        <v>Centro Cultural e de Entretenimento Espaço Teste</v>
      </c>
      <c r="D4" s="532"/>
      <c r="E4" s="532"/>
      <c r="F4" s="533"/>
      <c r="G4" s="495"/>
      <c r="H4" s="551" t="s">
        <v>136</v>
      </c>
      <c r="I4" s="185">
        <f>Parâmetros!I5</f>
        <v>4</v>
      </c>
      <c r="J4" s="533"/>
      <c r="K4" s="549"/>
      <c r="L4" s="495"/>
      <c r="M4" s="532"/>
      <c r="N4" s="532"/>
      <c r="O4" s="533"/>
    </row>
    <row r="5" spans="1:15">
      <c r="A5" s="551" t="s">
        <v>106</v>
      </c>
      <c r="B5" s="2"/>
      <c r="C5" s="552" t="str">
        <f>Parâmetros!D4</f>
        <v>Espaço Teste</v>
      </c>
      <c r="D5" s="532"/>
      <c r="E5" s="532"/>
      <c r="F5" s="533"/>
      <c r="G5" s="495"/>
      <c r="H5" s="551" t="s">
        <v>141</v>
      </c>
      <c r="I5" s="186">
        <f>Parâmetros!N2</f>
        <v>2</v>
      </c>
      <c r="J5" s="533"/>
      <c r="K5" s="549"/>
      <c r="L5" s="495"/>
      <c r="M5" s="532"/>
      <c r="N5" s="532"/>
      <c r="O5" s="533"/>
    </row>
    <row r="6" spans="1:15">
      <c r="A6" s="551" t="s">
        <v>149</v>
      </c>
      <c r="B6" s="2"/>
      <c r="C6" s="553" t="str">
        <f>Parâmetros!D5</f>
        <v>CI-RJ 019|14</v>
      </c>
      <c r="D6" s="532"/>
      <c r="E6" s="532"/>
      <c r="F6" s="533"/>
      <c r="G6" s="495"/>
      <c r="H6" s="551" t="s">
        <v>229</v>
      </c>
      <c r="I6" s="37" t="str">
        <f>Parâmetros!N3</f>
        <v>Até o Término da Temporada</v>
      </c>
      <c r="J6" s="533"/>
      <c r="K6" s="549"/>
      <c r="L6" s="495"/>
      <c r="M6" s="532"/>
      <c r="N6" s="532"/>
      <c r="O6" s="533"/>
    </row>
    <row r="7" spans="1:15">
      <c r="A7" s="551" t="s">
        <v>98</v>
      </c>
      <c r="B7" s="2"/>
      <c r="C7" s="532" t="str">
        <f>Parâmetros!I2</f>
        <v>Sr Funalano de Tal</v>
      </c>
      <c r="D7" s="532"/>
      <c r="E7" s="532"/>
      <c r="F7" s="533"/>
      <c r="G7" s="495"/>
      <c r="H7" s="551" t="s">
        <v>148</v>
      </c>
      <c r="I7" s="37" t="str">
        <f>Parâmetros!N4</f>
        <v>Funcionário Compre Ingressos</v>
      </c>
      <c r="J7" s="533"/>
      <c r="K7" s="549"/>
      <c r="L7" s="495"/>
      <c r="M7" s="532"/>
      <c r="N7" s="532"/>
      <c r="O7" s="533"/>
    </row>
    <row r="8" spans="1:15">
      <c r="A8" s="554" t="s">
        <v>146</v>
      </c>
      <c r="B8" s="438"/>
      <c r="C8" s="555" t="str">
        <f>Parâmetros!I3</f>
        <v>Gerente</v>
      </c>
      <c r="D8" s="555"/>
      <c r="E8" s="555"/>
      <c r="F8" s="556"/>
      <c r="G8" s="495"/>
      <c r="H8" s="554" t="s">
        <v>158</v>
      </c>
      <c r="I8" s="557" t="str">
        <f>Parâmetros!N5</f>
        <v>Executivo de Vendas</v>
      </c>
      <c r="J8" s="556"/>
      <c r="K8" s="549"/>
      <c r="L8" s="495"/>
      <c r="M8" s="532"/>
      <c r="N8" s="532"/>
      <c r="O8" s="533"/>
    </row>
    <row r="9" spans="1:15" ht="5.0999999999999996" customHeight="1">
      <c r="A9" s="513"/>
      <c r="B9" s="513"/>
      <c r="C9" s="513"/>
      <c r="D9" s="513"/>
      <c r="E9" s="513"/>
      <c r="F9" s="513"/>
      <c r="G9" s="513"/>
      <c r="H9" s="513"/>
      <c r="I9" s="513"/>
      <c r="J9" s="513"/>
      <c r="K9" s="513"/>
      <c r="L9" s="537"/>
      <c r="M9" s="513"/>
      <c r="N9" s="513"/>
      <c r="O9" s="538"/>
    </row>
    <row r="10" spans="1:15" ht="18.75">
      <c r="A10" s="624" t="s">
        <v>187</v>
      </c>
      <c r="B10" s="546"/>
      <c r="C10" s="546"/>
      <c r="D10" s="559"/>
      <c r="E10" s="549"/>
      <c r="F10" s="625" t="s">
        <v>185</v>
      </c>
      <c r="G10" s="546"/>
      <c r="H10" s="546"/>
      <c r="I10" s="546"/>
      <c r="J10" s="560" t="s">
        <v>200</v>
      </c>
      <c r="K10" s="549"/>
      <c r="L10" s="561"/>
      <c r="M10" s="2"/>
      <c r="N10" s="2"/>
      <c r="O10" s="436"/>
    </row>
    <row r="11" spans="1:15">
      <c r="A11" s="551" t="s">
        <v>26</v>
      </c>
      <c r="B11" s="532"/>
      <c r="C11" s="338">
        <f>Parâmetros!D7</f>
        <v>300</v>
      </c>
      <c r="D11" s="339"/>
      <c r="E11" s="549"/>
      <c r="F11" s="551" t="s">
        <v>194</v>
      </c>
      <c r="G11" s="532"/>
      <c r="H11" s="37"/>
      <c r="I11" s="37"/>
      <c r="J11" s="326">
        <f>Parâmetros!I8</f>
        <v>2</v>
      </c>
      <c r="K11" s="549"/>
      <c r="L11" s="561"/>
      <c r="M11" s="2"/>
      <c r="N11" s="2"/>
      <c r="O11" s="436"/>
    </row>
    <row r="12" spans="1:15">
      <c r="A12" s="551" t="s">
        <v>45</v>
      </c>
      <c r="B12" s="532"/>
      <c r="C12" s="430">
        <f>Parâmetros!D8</f>
        <v>14</v>
      </c>
      <c r="D12" s="431"/>
      <c r="E12" s="549"/>
      <c r="F12" s="551" t="s">
        <v>195</v>
      </c>
      <c r="G12" s="532"/>
      <c r="H12" s="37"/>
      <c r="I12" s="37"/>
      <c r="J12" s="326">
        <f>Parâmetros!I12</f>
        <v>2</v>
      </c>
      <c r="K12" s="549"/>
      <c r="L12" s="562"/>
      <c r="M12" s="438"/>
      <c r="N12" s="438"/>
      <c r="O12" s="437"/>
    </row>
    <row r="13" spans="1:15" ht="18.75">
      <c r="A13" s="551" t="s">
        <v>79</v>
      </c>
      <c r="B13" s="532"/>
      <c r="C13" s="563">
        <f>Parâmetros!D9</f>
        <v>6</v>
      </c>
      <c r="D13" s="563"/>
      <c r="E13" s="549"/>
      <c r="F13" s="564" t="s">
        <v>77</v>
      </c>
      <c r="G13" s="532"/>
      <c r="H13" s="565">
        <f>Parâmetros!H16</f>
        <v>416.66666666666669</v>
      </c>
      <c r="I13" s="309">
        <f>Parâmetros!I16</f>
        <v>10000</v>
      </c>
      <c r="J13" s="566">
        <f>Parâmetros!J16</f>
        <v>1</v>
      </c>
      <c r="K13" s="549"/>
      <c r="L13" s="567" t="s">
        <v>200</v>
      </c>
      <c r="M13" s="626" t="s">
        <v>199</v>
      </c>
      <c r="N13" s="568" t="s">
        <v>197</v>
      </c>
      <c r="O13" s="569" t="s">
        <v>198</v>
      </c>
    </row>
    <row r="14" spans="1:15">
      <c r="A14" s="551" t="s">
        <v>78</v>
      </c>
      <c r="B14" s="532"/>
      <c r="C14" s="570" t="str">
        <f>IF(Parâmetros!D10=1,"Teatro/Ciunema","Show/Evento")</f>
        <v>Show/Evento</v>
      </c>
      <c r="D14" s="570"/>
      <c r="E14" s="549"/>
      <c r="F14" s="564" t="s">
        <v>31</v>
      </c>
      <c r="G14" s="532"/>
      <c r="H14" s="565">
        <f>Parâmetros!H17</f>
        <v>2.7777777777777781</v>
      </c>
      <c r="I14" s="309">
        <f>Parâmetros!I17</f>
        <v>66.666666666666671</v>
      </c>
      <c r="J14" s="566">
        <f>Parâmetros!J17</f>
        <v>1</v>
      </c>
      <c r="K14" s="549"/>
      <c r="L14" s="571">
        <f>Parâmetros!L23</f>
        <v>1</v>
      </c>
      <c r="M14" s="37" t="s">
        <v>166</v>
      </c>
      <c r="N14" s="572">
        <f>Parâmetros!N23</f>
        <v>41.666666666666664</v>
      </c>
      <c r="O14" s="473">
        <f>Parâmetros!O23</f>
        <v>1000</v>
      </c>
    </row>
    <row r="15" spans="1:15">
      <c r="A15" s="551" t="s">
        <v>184</v>
      </c>
      <c r="B15" s="532"/>
      <c r="C15" s="342">
        <f>Parâmetros!D12</f>
        <v>2</v>
      </c>
      <c r="D15" s="343"/>
      <c r="E15" s="549"/>
      <c r="F15" s="564" t="s">
        <v>35</v>
      </c>
      <c r="G15" s="532"/>
      <c r="H15" s="565">
        <f>Parâmetros!H18</f>
        <v>4.8611111111111116</v>
      </c>
      <c r="I15" s="309">
        <f>Parâmetros!I18</f>
        <v>116.66666666666667</v>
      </c>
      <c r="J15" s="566">
        <f>Parâmetros!J18</f>
        <v>1</v>
      </c>
      <c r="K15" s="549"/>
      <c r="L15" s="571">
        <f>Parâmetros!L24</f>
        <v>2</v>
      </c>
      <c r="M15" s="37" t="s">
        <v>167</v>
      </c>
      <c r="N15" s="572">
        <f>Parâmetros!N24</f>
        <v>83.333333333333329</v>
      </c>
      <c r="O15" s="473">
        <f>Parâmetros!O24</f>
        <v>1000</v>
      </c>
    </row>
    <row r="16" spans="1:15">
      <c r="A16" s="573" t="s">
        <v>16</v>
      </c>
      <c r="B16" s="574"/>
      <c r="C16" s="344">
        <f>Parâmetros!D13</f>
        <v>0.7</v>
      </c>
      <c r="D16" s="345"/>
      <c r="E16" s="549"/>
      <c r="F16" s="564" t="s">
        <v>196</v>
      </c>
      <c r="G16" s="532"/>
      <c r="H16" s="565">
        <f>Parâmetros!H19</f>
        <v>4.166666666666667</v>
      </c>
      <c r="I16" s="309">
        <f>Parâmetros!I19</f>
        <v>100</v>
      </c>
      <c r="J16" s="566">
        <f>Parâmetros!J19</f>
        <v>1</v>
      </c>
      <c r="K16" s="549"/>
      <c r="L16" s="571">
        <f>Parâmetros!L25</f>
        <v>4</v>
      </c>
      <c r="M16" s="37" t="s">
        <v>163</v>
      </c>
      <c r="N16" s="572">
        <f>Parâmetros!N25</f>
        <v>166.66666666666666</v>
      </c>
      <c r="O16" s="473">
        <f>Parâmetros!O25</f>
        <v>1000</v>
      </c>
    </row>
    <row r="17" spans="1:15">
      <c r="A17" s="573" t="s">
        <v>17</v>
      </c>
      <c r="B17" s="574"/>
      <c r="C17" s="344">
        <f>Parâmetros!D14</f>
        <v>0.5</v>
      </c>
      <c r="D17" s="345"/>
      <c r="E17" s="549"/>
      <c r="F17" s="551" t="s">
        <v>67</v>
      </c>
      <c r="G17" s="532"/>
      <c r="H17" s="565">
        <f>Parâmetros!H20</f>
        <v>5</v>
      </c>
      <c r="I17" s="309">
        <f>Parâmetros!I20</f>
        <v>120</v>
      </c>
      <c r="J17" s="566">
        <f>Parâmetros!J20</f>
        <v>1</v>
      </c>
      <c r="K17" s="549"/>
      <c r="L17" s="571">
        <f>Parâmetros!L26</f>
        <v>2</v>
      </c>
      <c r="M17" s="37" t="s">
        <v>201</v>
      </c>
      <c r="N17" s="572">
        <f>Parâmetros!N26</f>
        <v>83.333333333333329</v>
      </c>
      <c r="O17" s="473">
        <f>Parâmetros!O26</f>
        <v>1000</v>
      </c>
    </row>
    <row r="18" spans="1:15">
      <c r="A18" s="551" t="s">
        <v>30</v>
      </c>
      <c r="B18" s="325" t="str">
        <f>Parâmetros!C16</f>
        <v/>
      </c>
      <c r="C18" s="344">
        <f>Parâmetros!D16</f>
        <v>0</v>
      </c>
      <c r="D18" s="345"/>
      <c r="E18" s="549"/>
      <c r="F18" s="551" t="s">
        <v>27</v>
      </c>
      <c r="G18" s="532"/>
      <c r="H18" s="565">
        <f>Parâmetros!H21</f>
        <v>4.166666666666667</v>
      </c>
      <c r="I18" s="309">
        <f>Parâmetros!I21</f>
        <v>100</v>
      </c>
      <c r="J18" s="566">
        <f>Parâmetros!J21</f>
        <v>1</v>
      </c>
      <c r="K18" s="549"/>
      <c r="L18" s="571">
        <f>Parâmetros!L27</f>
        <v>3</v>
      </c>
      <c r="M18" s="37" t="s">
        <v>165</v>
      </c>
      <c r="N18" s="572">
        <f>Parâmetros!N27</f>
        <v>125</v>
      </c>
      <c r="O18" s="473">
        <f>Parâmetros!O27</f>
        <v>1000</v>
      </c>
    </row>
    <row r="19" spans="1:15">
      <c r="A19" s="551" t="s">
        <v>57</v>
      </c>
      <c r="B19" s="575"/>
      <c r="C19" s="336">
        <f>Parâmetros!D17</f>
        <v>0.5</v>
      </c>
      <c r="D19" s="337"/>
      <c r="E19" s="549"/>
      <c r="F19" s="551" t="s">
        <v>1</v>
      </c>
      <c r="G19" s="532"/>
      <c r="H19" s="565">
        <f>Parâmetros!H22</f>
        <v>131.25</v>
      </c>
      <c r="I19" s="309">
        <f>Parâmetros!I22</f>
        <v>3150</v>
      </c>
      <c r="J19" s="566">
        <f>Parâmetros!J22</f>
        <v>1</v>
      </c>
      <c r="K19" s="549"/>
      <c r="L19" s="495"/>
      <c r="M19" s="37"/>
      <c r="N19" s="37"/>
      <c r="O19" s="42"/>
    </row>
    <row r="20" spans="1:15">
      <c r="A20" s="576" t="s">
        <v>74</v>
      </c>
      <c r="B20" s="577"/>
      <c r="C20" s="430">
        <f>Parâmetros!D18</f>
        <v>0.2</v>
      </c>
      <c r="D20" s="431"/>
      <c r="E20" s="549"/>
      <c r="F20" s="551" t="s">
        <v>156</v>
      </c>
      <c r="G20" s="532"/>
      <c r="H20" s="565">
        <f>Parâmetros!H23</f>
        <v>41.666666666666664</v>
      </c>
      <c r="I20" s="309">
        <f>Parâmetros!I23</f>
        <v>1000</v>
      </c>
      <c r="J20" s="566">
        <f>Parâmetros!J23</f>
        <v>1</v>
      </c>
      <c r="K20" s="549"/>
      <c r="L20" s="578"/>
      <c r="M20" s="557"/>
      <c r="N20" s="579"/>
      <c r="O20" s="580"/>
    </row>
    <row r="21" spans="1:15">
      <c r="A21" s="581" t="s">
        <v>6</v>
      </c>
      <c r="B21" s="582"/>
      <c r="C21" s="583">
        <f>Parâmetros!D26</f>
        <v>1.5</v>
      </c>
      <c r="D21" s="584"/>
      <c r="E21" s="549"/>
      <c r="F21" s="554" t="s">
        <v>205</v>
      </c>
      <c r="G21" s="555"/>
      <c r="H21" s="565">
        <f>Parâmetros!H24</f>
        <v>41.666666666666664</v>
      </c>
      <c r="I21" s="309">
        <f>Parâmetros!I24</f>
        <v>1000</v>
      </c>
      <c r="J21" s="566">
        <f>Parâmetros!J24</f>
        <v>1</v>
      </c>
      <c r="K21" s="549"/>
      <c r="L21" s="558" t="s">
        <v>193</v>
      </c>
      <c r="M21" s="546"/>
      <c r="N21" s="546"/>
      <c r="O21" s="547"/>
    </row>
    <row r="22" spans="1:15">
      <c r="A22" s="551" t="s">
        <v>46</v>
      </c>
      <c r="B22" s="532"/>
      <c r="C22" s="339">
        <f>Parâmetros!D19</f>
        <v>150</v>
      </c>
      <c r="D22" s="339"/>
      <c r="E22" s="549"/>
      <c r="F22" s="550"/>
      <c r="G22" s="546"/>
      <c r="H22" s="546"/>
      <c r="I22" s="433"/>
      <c r="J22" s="547"/>
      <c r="K22" s="549"/>
      <c r="L22" s="34">
        <f>Parâmetros!L13</f>
        <v>0.7</v>
      </c>
      <c r="M22" s="37" t="s">
        <v>2</v>
      </c>
      <c r="N22" s="532"/>
      <c r="O22" s="585">
        <f>Parâmetros!O13</f>
        <v>105</v>
      </c>
    </row>
    <row r="23" spans="1:15">
      <c r="A23" s="551" t="s">
        <v>127</v>
      </c>
      <c r="B23" s="532"/>
      <c r="C23" s="563">
        <f>Parâmetros!D20</f>
        <v>24</v>
      </c>
      <c r="D23" s="563"/>
      <c r="E23" s="549"/>
      <c r="F23" s="564" t="s">
        <v>81</v>
      </c>
      <c r="G23" s="532"/>
      <c r="H23" s="37"/>
      <c r="I23" s="2"/>
      <c r="J23" s="42">
        <f>Parâmetros!I9</f>
        <v>150</v>
      </c>
      <c r="K23" s="549"/>
      <c r="L23" s="34">
        <f>Parâmetros!L14</f>
        <v>0.27</v>
      </c>
      <c r="M23" s="37" t="s">
        <v>4</v>
      </c>
      <c r="N23" s="532"/>
      <c r="O23" s="585">
        <f>Parâmetros!O14</f>
        <v>40.5</v>
      </c>
    </row>
    <row r="24" spans="1:15">
      <c r="A24" s="586" t="s">
        <v>48</v>
      </c>
      <c r="B24" s="532"/>
      <c r="C24" s="587">
        <f>Parâmetros!D21</f>
        <v>75</v>
      </c>
      <c r="D24" s="587"/>
      <c r="E24" s="549"/>
      <c r="F24" s="551" t="s">
        <v>85</v>
      </c>
      <c r="G24" s="532"/>
      <c r="H24" s="37"/>
      <c r="I24" s="2"/>
      <c r="J24" s="42">
        <f>Parâmetros!I9</f>
        <v>150</v>
      </c>
      <c r="K24" s="549"/>
      <c r="L24" s="34">
        <f>Parâmetros!L16</f>
        <v>0.01</v>
      </c>
      <c r="M24" s="37" t="s">
        <v>3</v>
      </c>
      <c r="N24" s="532"/>
      <c r="O24" s="585">
        <f>Parâmetros!O16</f>
        <v>1.5</v>
      </c>
    </row>
    <row r="25" spans="1:15">
      <c r="A25" s="573" t="s">
        <v>19</v>
      </c>
      <c r="B25" s="574"/>
      <c r="C25" s="588">
        <f>Parâmetros!D27</f>
        <v>0.05</v>
      </c>
      <c r="D25" s="588"/>
      <c r="E25" s="549"/>
      <c r="F25" s="564" t="s">
        <v>82</v>
      </c>
      <c r="G25" s="532"/>
      <c r="H25" s="37"/>
      <c r="I25" s="2"/>
      <c r="J25" s="42">
        <f>Parâmetros!I13</f>
        <v>150</v>
      </c>
      <c r="K25" s="549"/>
      <c r="L25" s="34">
        <f>Parâmetros!L17</f>
        <v>0.01</v>
      </c>
      <c r="M25" s="37" t="s">
        <v>28</v>
      </c>
      <c r="N25" s="532"/>
      <c r="O25" s="585">
        <f>Parâmetros!O17</f>
        <v>1.5</v>
      </c>
    </row>
    <row r="26" spans="1:15">
      <c r="A26" s="573" t="s">
        <v>188</v>
      </c>
      <c r="B26" s="574"/>
      <c r="C26" s="467">
        <f>Parâmetros!D22</f>
        <v>3.5000000000000003E-2</v>
      </c>
      <c r="D26" s="467"/>
      <c r="E26" s="549"/>
      <c r="F26" s="551" t="s">
        <v>84</v>
      </c>
      <c r="G26" s="532"/>
      <c r="H26" s="37"/>
      <c r="I26" s="2"/>
      <c r="J26" s="42">
        <f>Parâmetros!I14</f>
        <v>300</v>
      </c>
      <c r="K26" s="549"/>
      <c r="L26" s="34">
        <f>Parâmetros!L18</f>
        <v>0.01</v>
      </c>
      <c r="M26" s="37" t="s">
        <v>29</v>
      </c>
      <c r="N26" s="532"/>
      <c r="O26" s="585">
        <f>Parâmetros!O18</f>
        <v>1.5</v>
      </c>
    </row>
    <row r="27" spans="1:15">
      <c r="A27" s="573" t="s">
        <v>189</v>
      </c>
      <c r="B27" s="574"/>
      <c r="C27" s="467">
        <f>Parâmetros!D23</f>
        <v>2.5000000000000001E-2</v>
      </c>
      <c r="D27" s="467"/>
      <c r="E27" s="549"/>
      <c r="F27" s="573" t="s">
        <v>192</v>
      </c>
      <c r="G27" s="532"/>
      <c r="H27" s="574"/>
      <c r="I27" s="2"/>
      <c r="J27" s="324">
        <f>Parâmetros!O7</f>
        <v>0.7</v>
      </c>
      <c r="K27" s="549"/>
      <c r="L27" s="34">
        <f>Parâmetros!L19</f>
        <v>0</v>
      </c>
      <c r="M27" s="37"/>
      <c r="N27" s="532"/>
      <c r="O27" s="585">
        <f>Parâmetros!O19</f>
        <v>0</v>
      </c>
    </row>
    <row r="28" spans="1:15">
      <c r="A28" s="573" t="s">
        <v>190</v>
      </c>
      <c r="B28" s="574"/>
      <c r="C28" s="467">
        <f>Parâmetros!D24</f>
        <v>3.5000000000000003E-2</v>
      </c>
      <c r="D28" s="467"/>
      <c r="E28" s="549"/>
      <c r="F28" s="573" t="s">
        <v>192</v>
      </c>
      <c r="G28" s="532"/>
      <c r="H28" s="574"/>
      <c r="I28" s="2"/>
      <c r="J28" s="324">
        <f>Parâmetros!O8</f>
        <v>0.2</v>
      </c>
      <c r="K28" s="549"/>
      <c r="L28" s="34">
        <f>Parâmetros!L20</f>
        <v>0</v>
      </c>
      <c r="M28" s="438"/>
      <c r="N28" s="438"/>
      <c r="O28" s="585">
        <f>Parâmetros!O20</f>
        <v>0</v>
      </c>
    </row>
    <row r="29" spans="1:15">
      <c r="A29" s="589" t="s">
        <v>191</v>
      </c>
      <c r="B29" s="590"/>
      <c r="C29" s="470">
        <f>Parâmetros!D25</f>
        <v>3.5000000000000003E-2</v>
      </c>
      <c r="D29" s="470"/>
      <c r="E29" s="549"/>
      <c r="F29" s="554" t="s">
        <v>54</v>
      </c>
      <c r="G29" s="555"/>
      <c r="H29" s="591"/>
      <c r="I29" s="438"/>
      <c r="J29" s="54">
        <f>Parâmetros!O9</f>
        <v>0.2</v>
      </c>
      <c r="K29" s="549"/>
      <c r="L29" s="618" t="s">
        <v>231</v>
      </c>
      <c r="M29" s="619"/>
      <c r="N29" s="619"/>
      <c r="O29" s="620"/>
    </row>
    <row r="30" spans="1:15" ht="5.0999999999999996" customHeight="1">
      <c r="A30" s="513"/>
      <c r="B30" s="513"/>
      <c r="C30" s="513"/>
      <c r="D30" s="513"/>
      <c r="E30" s="513"/>
      <c r="F30" s="513"/>
      <c r="G30" s="513"/>
      <c r="H30" s="513"/>
      <c r="I30" s="513"/>
      <c r="J30" s="513"/>
      <c r="K30" s="513"/>
      <c r="L30" s="621"/>
      <c r="M30" s="622"/>
      <c r="N30" s="622"/>
      <c r="O30" s="623"/>
    </row>
    <row r="31" spans="1:15" ht="18.75">
      <c r="A31" s="592"/>
      <c r="B31" s="593" t="s">
        <v>202</v>
      </c>
      <c r="C31" s="594"/>
      <c r="D31" s="595"/>
      <c r="E31" s="596"/>
      <c r="F31" s="593" t="s">
        <v>203</v>
      </c>
      <c r="G31" s="596"/>
      <c r="H31" s="597"/>
      <c r="I31" s="597"/>
      <c r="J31" s="598"/>
      <c r="K31" s="549"/>
      <c r="L31" s="558" t="str">
        <f>I7</f>
        <v>Funcionário Compre Ingressos</v>
      </c>
      <c r="M31" s="546"/>
      <c r="N31" s="546"/>
      <c r="O31" s="547"/>
    </row>
    <row r="32" spans="1:15" ht="18.75">
      <c r="A32" s="599"/>
      <c r="B32" s="600" t="s">
        <v>204</v>
      </c>
      <c r="C32" s="600" t="s">
        <v>206</v>
      </c>
      <c r="D32" s="601" t="s">
        <v>207</v>
      </c>
      <c r="E32" s="547"/>
      <c r="F32" s="602" t="s">
        <v>204</v>
      </c>
      <c r="G32" s="547"/>
      <c r="H32" s="603" t="s">
        <v>206</v>
      </c>
      <c r="I32" s="603" t="s">
        <v>207</v>
      </c>
      <c r="J32" s="604" t="s">
        <v>208</v>
      </c>
      <c r="K32" s="549"/>
      <c r="L32" s="495" t="s">
        <v>224</v>
      </c>
      <c r="M32" s="532"/>
      <c r="N32" s="532"/>
      <c r="O32" s="533"/>
    </row>
    <row r="33" spans="1:15">
      <c r="A33" s="605" t="s">
        <v>211</v>
      </c>
      <c r="B33" s="606">
        <f>Simulador!B5</f>
        <v>32709.096000000001</v>
      </c>
      <c r="C33" s="606">
        <f>Simulador!C5</f>
        <v>209418.696</v>
      </c>
      <c r="D33" s="607">
        <f>Simulador!D5</f>
        <v>112218.696</v>
      </c>
      <c r="E33" s="547"/>
      <c r="F33" s="608">
        <f>Simulador!E5</f>
        <v>0</v>
      </c>
      <c r="G33" s="547"/>
      <c r="H33" s="606">
        <f>Simulador!F5</f>
        <v>0</v>
      </c>
      <c r="I33" s="606">
        <f>Simulador!G5</f>
        <v>0</v>
      </c>
      <c r="J33" s="606">
        <f>Simulador!H5</f>
        <v>0</v>
      </c>
      <c r="K33" s="549"/>
      <c r="L33" s="561"/>
      <c r="M33" s="2"/>
      <c r="N33" s="2"/>
      <c r="O33" s="436"/>
    </row>
    <row r="34" spans="1:15">
      <c r="A34" s="609" t="s">
        <v>212</v>
      </c>
      <c r="B34" s="610">
        <f>Simulador!B6</f>
        <v>20886.011999999999</v>
      </c>
      <c r="C34" s="610">
        <f>Simulador!C6</f>
        <v>48276</v>
      </c>
      <c r="D34" s="611">
        <f>Simulador!D6</f>
        <v>33210</v>
      </c>
      <c r="E34" s="533"/>
      <c r="F34" s="612">
        <f>Simulador!E6</f>
        <v>0</v>
      </c>
      <c r="G34" s="533"/>
      <c r="H34" s="610">
        <f>Simulador!F6</f>
        <v>0</v>
      </c>
      <c r="I34" s="610">
        <f>Simulador!G6</f>
        <v>0</v>
      </c>
      <c r="J34" s="610">
        <f>Simulador!H6</f>
        <v>0</v>
      </c>
      <c r="K34" s="549"/>
      <c r="L34" s="562"/>
      <c r="M34" s="555"/>
      <c r="N34" s="555"/>
      <c r="O34" s="556"/>
    </row>
    <row r="35" spans="1:15">
      <c r="A35" s="609" t="s">
        <v>213</v>
      </c>
      <c r="B35" s="610">
        <f>Simulador!B7</f>
        <v>11823.084000000003</v>
      </c>
      <c r="C35" s="610">
        <f>Simulador!C7</f>
        <v>161142.696</v>
      </c>
      <c r="D35" s="611">
        <f>Simulador!D7</f>
        <v>79008.695999999996</v>
      </c>
      <c r="E35" s="533"/>
      <c r="F35" s="612">
        <f>Simulador!E7</f>
        <v>0</v>
      </c>
      <c r="G35" s="533"/>
      <c r="H35" s="610">
        <f>Simulador!F7</f>
        <v>0</v>
      </c>
      <c r="I35" s="610">
        <f>Simulador!G7</f>
        <v>0</v>
      </c>
      <c r="J35" s="610">
        <f>Simulador!H7</f>
        <v>0</v>
      </c>
      <c r="K35" s="549"/>
      <c r="L35" s="613" t="s">
        <v>225</v>
      </c>
      <c r="M35" s="433"/>
      <c r="N35" s="433"/>
      <c r="O35" s="435"/>
    </row>
    <row r="36" spans="1:15" ht="21">
      <c r="A36" s="599" t="s">
        <v>219</v>
      </c>
      <c r="B36" s="614">
        <f>Simulador!B8</f>
        <v>41.052375000000012</v>
      </c>
      <c r="C36" s="614">
        <f>Simulador!C8</f>
        <v>573.02324999999996</v>
      </c>
      <c r="D36" s="615">
        <f>Simulador!D8</f>
        <v>281.08575000000002</v>
      </c>
      <c r="E36" s="556"/>
      <c r="F36" s="616">
        <f>Simulador!E8</f>
        <v>0</v>
      </c>
      <c r="G36" s="556"/>
      <c r="H36" s="614">
        <f>Simulador!F8</f>
        <v>0</v>
      </c>
      <c r="I36" s="614">
        <f>Simulador!G8</f>
        <v>0</v>
      </c>
      <c r="J36" s="614">
        <f>Simulador!H8</f>
        <v>0</v>
      </c>
      <c r="K36" s="549"/>
      <c r="L36" s="537"/>
      <c r="M36" s="513"/>
      <c r="N36" s="513"/>
      <c r="O36" s="538"/>
    </row>
    <row r="37" spans="1:15" ht="5.0999999999999996" customHeight="1">
      <c r="A37" s="513"/>
      <c r="B37" s="513"/>
      <c r="C37" s="513"/>
      <c r="D37" s="513"/>
      <c r="E37" s="513"/>
      <c r="F37" s="513"/>
      <c r="G37" s="513"/>
      <c r="H37" s="513"/>
      <c r="I37" s="513"/>
      <c r="J37" s="513"/>
      <c r="K37" s="513"/>
      <c r="L37" s="495"/>
      <c r="M37" s="2"/>
      <c r="N37" s="2"/>
      <c r="O37" s="436"/>
    </row>
    <row r="38" spans="1:15" ht="18.75">
      <c r="A38" s="540" t="s">
        <v>222</v>
      </c>
      <c r="B38" s="530"/>
      <c r="C38" s="530"/>
      <c r="D38" s="530"/>
      <c r="E38" s="530"/>
      <c r="F38" s="530"/>
      <c r="G38" s="530"/>
      <c r="H38" s="530"/>
      <c r="I38" s="530"/>
      <c r="J38" s="512"/>
      <c r="K38" s="1"/>
      <c r="L38" s="495" t="s">
        <v>224</v>
      </c>
      <c r="M38" s="2"/>
      <c r="N38" s="2"/>
      <c r="O38" s="436"/>
    </row>
    <row r="39" spans="1:15" ht="5.0999999999999996" customHeight="1">
      <c r="A39" s="534"/>
      <c r="B39" s="535"/>
      <c r="C39" s="535"/>
      <c r="D39" s="535"/>
      <c r="E39" s="535"/>
      <c r="F39" s="535"/>
      <c r="G39" s="535"/>
      <c r="H39" s="535"/>
      <c r="I39" s="535"/>
      <c r="J39" s="536"/>
      <c r="K39" s="513"/>
      <c r="L39" s="561"/>
      <c r="M39" s="2"/>
      <c r="N39" s="2"/>
      <c r="O39" s="436"/>
    </row>
    <row r="40" spans="1:15" ht="15.75">
      <c r="A40" s="531" t="s">
        <v>223</v>
      </c>
      <c r="B40" s="37" t="str">
        <f>Simulador!C29</f>
        <v>Cota de Ingressos - Tx.Ser. - Valor Fixo Sobre Venda  nos Canais Externos</v>
      </c>
      <c r="C40" s="37"/>
      <c r="D40" s="37"/>
      <c r="E40" s="37"/>
      <c r="F40" s="37"/>
      <c r="G40" s="514"/>
      <c r="H40" s="532"/>
      <c r="I40" s="532"/>
      <c r="J40" s="533"/>
      <c r="K40" s="1"/>
      <c r="L40" s="561"/>
      <c r="M40" s="2"/>
      <c r="N40" s="2"/>
      <c r="O40" s="436"/>
    </row>
    <row r="41" spans="1:15" ht="5.0999999999999996" customHeight="1">
      <c r="A41" s="537"/>
      <c r="B41" s="513"/>
      <c r="C41" s="513"/>
      <c r="D41" s="513"/>
      <c r="E41" s="513"/>
      <c r="F41" s="513"/>
      <c r="G41" s="513"/>
      <c r="H41" s="513"/>
      <c r="I41" s="513"/>
      <c r="J41" s="538"/>
      <c r="K41" s="513"/>
      <c r="L41" s="561"/>
      <c r="M41" s="2"/>
      <c r="N41" s="2"/>
      <c r="O41" s="436"/>
    </row>
    <row r="42" spans="1:15" ht="18.75">
      <c r="A42" s="515" t="s">
        <v>211</v>
      </c>
      <c r="B42" s="516">
        <f>Simulador!B30</f>
        <v>209418.696</v>
      </c>
      <c r="C42" s="515" t="s">
        <v>212</v>
      </c>
      <c r="D42" s="517">
        <f>Simulador!D30</f>
        <v>48276</v>
      </c>
      <c r="E42" s="518"/>
      <c r="F42" s="519" t="s">
        <v>213</v>
      </c>
      <c r="G42" s="520"/>
      <c r="H42" s="516">
        <f>Simulador!F30</f>
        <v>161142.696</v>
      </c>
      <c r="I42" s="515" t="s">
        <v>219</v>
      </c>
      <c r="J42" s="516">
        <f>Simulador!H30</f>
        <v>573.02324999999996</v>
      </c>
      <c r="K42" s="1"/>
      <c r="L42" s="578" t="s">
        <v>97</v>
      </c>
      <c r="M42" s="591" t="s">
        <v>228</v>
      </c>
      <c r="N42" s="591"/>
      <c r="O42" s="617"/>
    </row>
    <row r="43" spans="1:15" ht="5.0999999999999996" customHeight="1">
      <c r="A43" s="534"/>
      <c r="B43" s="535"/>
      <c r="C43" s="535"/>
      <c r="D43" s="535"/>
      <c r="E43" s="535"/>
      <c r="F43" s="535"/>
      <c r="G43" s="535"/>
      <c r="H43" s="535"/>
      <c r="I43" s="535"/>
      <c r="J43" s="536"/>
      <c r="K43" s="513"/>
      <c r="L43" s="613"/>
      <c r="M43" s="433"/>
      <c r="N43" s="433"/>
      <c r="O43" s="435"/>
    </row>
    <row r="44" spans="1:15" ht="5.0999999999999996" customHeight="1">
      <c r="A44" s="534"/>
      <c r="B44" s="535"/>
      <c r="C44" s="535"/>
      <c r="D44" s="535"/>
      <c r="E44" s="535"/>
      <c r="F44" s="535"/>
      <c r="G44" s="535"/>
      <c r="H44" s="535"/>
      <c r="I44" s="535"/>
      <c r="J44" s="536"/>
      <c r="K44" s="513"/>
      <c r="L44" s="561"/>
      <c r="M44" s="2"/>
      <c r="N44" s="2"/>
      <c r="O44" s="436"/>
    </row>
    <row r="45" spans="1:15" ht="15.75">
      <c r="A45" s="531" t="s">
        <v>220</v>
      </c>
      <c r="B45" s="37" t="str">
        <f>IF(J45="","",(INDEX(Produtos,MATCH(J45,Ordem,0),2)))</f>
        <v>Cota de Ingressos - Tx.Ser.- % Sobre Venda nos Canais Externos</v>
      </c>
      <c r="C45" s="37"/>
      <c r="D45" s="37"/>
      <c r="E45" s="37"/>
      <c r="F45" s="37"/>
      <c r="G45" s="514"/>
      <c r="H45" s="532"/>
      <c r="I45" s="532"/>
      <c r="J45" s="539">
        <f>Simulador!H32</f>
        <v>1</v>
      </c>
      <c r="K45" s="1"/>
      <c r="L45" s="561" t="s">
        <v>226</v>
      </c>
      <c r="M45" s="2"/>
      <c r="N45" s="2"/>
      <c r="O45" s="436"/>
    </row>
    <row r="46" spans="1:15" ht="5.0999999999999996" customHeight="1">
      <c r="A46" s="537"/>
      <c r="B46" s="513"/>
      <c r="C46" s="513"/>
      <c r="D46" s="513"/>
      <c r="E46" s="513"/>
      <c r="F46" s="513"/>
      <c r="G46" s="513"/>
      <c r="H46" s="513"/>
      <c r="I46" s="513"/>
      <c r="J46" s="538"/>
      <c r="K46" s="513"/>
      <c r="L46" s="561"/>
      <c r="M46" s="2"/>
      <c r="N46" s="2"/>
      <c r="O46" s="436"/>
    </row>
    <row r="47" spans="1:15" ht="18.75">
      <c r="A47" s="515" t="s">
        <v>211</v>
      </c>
      <c r="B47" s="516">
        <f>Simulador!B33</f>
        <v>32709.096000000001</v>
      </c>
      <c r="C47" s="515" t="s">
        <v>212</v>
      </c>
      <c r="D47" s="517">
        <f>Simulador!D33</f>
        <v>20886.011999999999</v>
      </c>
      <c r="E47" s="518"/>
      <c r="F47" s="519" t="s">
        <v>213</v>
      </c>
      <c r="G47" s="520"/>
      <c r="H47" s="516">
        <f>Simulador!F33</f>
        <v>11823.084000000003</v>
      </c>
      <c r="I47" s="515" t="s">
        <v>219</v>
      </c>
      <c r="J47" s="516">
        <f>Simulador!H33</f>
        <v>41.052375000000012</v>
      </c>
      <c r="K47" s="1"/>
      <c r="L47" s="495"/>
      <c r="M47" s="575"/>
      <c r="N47" s="575"/>
      <c r="O47" s="263"/>
    </row>
    <row r="48" spans="1:15">
      <c r="A48" s="521" t="s">
        <v>227</v>
      </c>
      <c r="B48" s="522"/>
      <c r="C48" s="522"/>
      <c r="D48" s="522"/>
      <c r="E48" s="522"/>
      <c r="F48" s="522"/>
      <c r="G48" s="522"/>
      <c r="H48" s="522"/>
      <c r="I48" s="522"/>
      <c r="J48" s="523"/>
      <c r="K48" s="1"/>
      <c r="L48" s="495" t="s">
        <v>224</v>
      </c>
      <c r="M48" s="532"/>
      <c r="N48" s="532"/>
      <c r="O48" s="533"/>
    </row>
    <row r="49" spans="1:15">
      <c r="A49" s="524" t="str">
        <f>IF(Simulador!A35="","",Simulador!A35)</f>
        <v/>
      </c>
      <c r="B49" s="525"/>
      <c r="C49" s="525"/>
      <c r="D49" s="525"/>
      <c r="E49" s="525"/>
      <c r="F49" s="525"/>
      <c r="G49" s="525"/>
      <c r="H49" s="525"/>
      <c r="I49" s="525"/>
      <c r="J49" s="526"/>
      <c r="K49" s="37"/>
      <c r="L49" s="495"/>
      <c r="M49" s="532"/>
      <c r="N49" s="532"/>
      <c r="O49" s="533"/>
    </row>
    <row r="50" spans="1:15">
      <c r="A50" s="527"/>
      <c r="B50" s="528"/>
      <c r="C50" s="528"/>
      <c r="D50" s="528"/>
      <c r="E50" s="528"/>
      <c r="F50" s="528"/>
      <c r="G50" s="528"/>
      <c r="H50" s="528"/>
      <c r="I50" s="528"/>
      <c r="J50" s="529"/>
      <c r="K50" s="37"/>
      <c r="L50" s="578" t="s">
        <v>97</v>
      </c>
      <c r="M50" s="591" t="s">
        <v>228</v>
      </c>
      <c r="N50" s="591"/>
      <c r="O50" s="617"/>
    </row>
  </sheetData>
  <mergeCells count="25">
    <mergeCell ref="L29:O30"/>
    <mergeCell ref="A48:J48"/>
    <mergeCell ref="A49:J50"/>
    <mergeCell ref="C27:D27"/>
    <mergeCell ref="C28:D28"/>
    <mergeCell ref="C29:D29"/>
    <mergeCell ref="D42:E42"/>
    <mergeCell ref="D47:E47"/>
    <mergeCell ref="A1:O1"/>
    <mergeCell ref="C21:D21"/>
    <mergeCell ref="C22:D22"/>
    <mergeCell ref="C23:D23"/>
    <mergeCell ref="C24:D24"/>
    <mergeCell ref="C11:D11"/>
    <mergeCell ref="C12:D12"/>
    <mergeCell ref="C13:D13"/>
    <mergeCell ref="C14:D14"/>
    <mergeCell ref="C25:D25"/>
    <mergeCell ref="C26:D26"/>
    <mergeCell ref="C15:D15"/>
    <mergeCell ref="C16:D16"/>
    <mergeCell ref="C17:D17"/>
    <mergeCell ref="C18:D18"/>
    <mergeCell ref="C19:D19"/>
    <mergeCell ref="C20:D20"/>
  </mergeCells>
  <printOptions horizontalCentered="1"/>
  <pageMargins left="0" right="0" top="0.98425196850393704" bottom="0.78740157480314965" header="0.31496062992125984" footer="0.31496062992125984"/>
  <pageSetup paperSize="9" scale="63" orientation="landscape" horizontalDpi="0" verticalDpi="0" r:id="rId1"/>
  <headerFooter>
    <oddHeader>&amp;F</oddHead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Instruções</vt:lpstr>
      <vt:lpstr>Parâmetros</vt:lpstr>
      <vt:lpstr>Simulador</vt:lpstr>
      <vt:lpstr>Calculadora</vt:lpstr>
      <vt:lpstr>Dados Proposta</vt:lpstr>
      <vt:lpstr>Proposta</vt:lpstr>
      <vt:lpstr>Impressão</vt:lpstr>
      <vt:lpstr>Proposta!Area_de_impressao</vt:lpstr>
      <vt:lpstr>Ordem</vt:lpstr>
      <vt:lpstr>Ordenar_Dados</vt:lpstr>
      <vt:lpstr>Ordenar_Relação</vt:lpstr>
      <vt:lpstr>Produtos</vt:lpstr>
      <vt:lpstr>Resultado_Dados</vt:lpstr>
      <vt:lpstr>Resultado_Ordem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Billy_26</dc:creator>
  <cp:lastModifiedBy>Billy_26</cp:lastModifiedBy>
  <cp:lastPrinted>2014-04-28T18:02:49Z</cp:lastPrinted>
  <dcterms:created xsi:type="dcterms:W3CDTF">2013-06-04T18:20:34Z</dcterms:created>
  <dcterms:modified xsi:type="dcterms:W3CDTF">2014-04-28T21:24:22Z</dcterms:modified>
</cp:coreProperties>
</file>