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clh19\Documents\Carnegie\SEM\SEM_Code\SEM-1.2-master\"/>
    </mc:Choice>
  </mc:AlternateContent>
  <xr:revisionPtr revIDLastSave="0" documentId="13_ncr:1_{8597FABB-68BC-4BD3-B4AF-0D7ECAB62854}" xr6:coauthVersionLast="45" xr6:coauthVersionMax="45" xr10:uidLastSave="{00000000-0000-0000-0000-000000000000}"/>
  <bookViews>
    <workbookView xWindow="-108" yWindow="-108" windowWidth="23256" windowHeight="12576"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3" i="1" l="1"/>
  <c r="E122" i="1"/>
  <c r="Z120" i="1"/>
  <c r="B120" i="1" s="1"/>
  <c r="Q120" i="1"/>
  <c r="Z119" i="1"/>
  <c r="Q119" i="1"/>
  <c r="B119" i="1"/>
  <c r="J118" i="1"/>
  <c r="M118" i="1" s="1"/>
  <c r="I118" i="1"/>
  <c r="G118" i="1"/>
  <c r="X87" i="1" l="1"/>
  <c r="T87" i="1"/>
  <c r="Q87" i="1"/>
  <c r="L86" i="1"/>
  <c r="J86" i="1"/>
  <c r="M86" i="1" s="1"/>
  <c r="I86" i="1"/>
  <c r="G86" i="1"/>
  <c r="X99" i="1" l="1"/>
  <c r="T99" i="1"/>
  <c r="Q99" i="1"/>
  <c r="L98" i="1"/>
  <c r="J98" i="1"/>
  <c r="M98" i="1" s="1"/>
  <c r="I98" i="1"/>
  <c r="G98" i="1"/>
  <c r="X93" i="1" l="1"/>
  <c r="T93" i="1"/>
  <c r="Q93" i="1"/>
  <c r="L92" i="1"/>
  <c r="J92" i="1"/>
  <c r="M92" i="1" s="1"/>
  <c r="I92" i="1"/>
  <c r="G92" i="1"/>
  <c r="X81" i="1"/>
  <c r="T81" i="1"/>
  <c r="Q81" i="1"/>
  <c r="L80" i="1"/>
  <c r="J80" i="1"/>
  <c r="M80" i="1" s="1"/>
  <c r="I80" i="1"/>
  <c r="G80" i="1"/>
  <c r="B144" i="1" l="1"/>
  <c r="B143" i="1"/>
  <c r="B142" i="1"/>
  <c r="D141" i="1"/>
  <c r="D138" i="1" l="1"/>
  <c r="E137" i="1"/>
  <c r="Z136" i="1"/>
  <c r="B136" i="1" s="1"/>
  <c r="Q136" i="1"/>
  <c r="Z135" i="1"/>
  <c r="B135" i="1" s="1"/>
  <c r="Q135" i="1"/>
  <c r="J134" i="1"/>
  <c r="M134" i="1" s="1"/>
  <c r="G134" i="1"/>
  <c r="J133" i="1"/>
  <c r="M133" i="1" s="1"/>
  <c r="G133" i="1"/>
  <c r="J132" i="1"/>
  <c r="M132" i="1" s="1"/>
  <c r="G132" i="1"/>
  <c r="B130" i="1"/>
  <c r="E129" i="1"/>
  <c r="Z127" i="1"/>
  <c r="B127" i="1" s="1"/>
  <c r="Q127" i="1"/>
  <c r="Z126" i="1"/>
  <c r="B126" i="1" s="1"/>
  <c r="Q126" i="1"/>
  <c r="J125" i="1"/>
  <c r="M125" i="1" s="1"/>
  <c r="I125" i="1"/>
  <c r="G125" i="1"/>
  <c r="X114" i="1"/>
  <c r="T114" i="1"/>
  <c r="R114" i="1"/>
  <c r="Q114" i="1"/>
  <c r="L113" i="1"/>
  <c r="J113" i="1"/>
  <c r="M113" i="1" s="1"/>
  <c r="I113" i="1"/>
  <c r="G113" i="1"/>
  <c r="X109" i="1"/>
  <c r="T109" i="1"/>
  <c r="R109" i="1"/>
  <c r="Q109" i="1"/>
  <c r="L108" i="1"/>
  <c r="J108" i="1"/>
  <c r="M108" i="1" s="1"/>
  <c r="I108" i="1"/>
  <c r="G108" i="1"/>
  <c r="X104" i="1"/>
  <c r="T104" i="1"/>
  <c r="R104" i="1"/>
  <c r="Q104" i="1"/>
  <c r="L103" i="1"/>
  <c r="J103" i="1"/>
  <c r="M103" i="1" s="1"/>
  <c r="I103" i="1"/>
  <c r="G103" i="1"/>
  <c r="B48" i="1"/>
  <c r="B47" i="1" s="1"/>
  <c r="C46" i="1"/>
  <c r="B46" i="1"/>
  <c r="B122" i="1" l="1"/>
  <c r="N118" i="1"/>
  <c r="B118" i="1" s="1"/>
  <c r="N98" i="1"/>
  <c r="B98" i="1" s="1"/>
  <c r="N86" i="1"/>
  <c r="B86" i="1" s="1"/>
  <c r="U99" i="1"/>
  <c r="V99" i="1" s="1"/>
  <c r="Z99" i="1" s="1"/>
  <c r="B99" i="1" s="1"/>
  <c r="U87" i="1"/>
  <c r="V87" i="1" s="1"/>
  <c r="Z87" i="1" s="1"/>
  <c r="B87" i="1" s="1"/>
  <c r="N80" i="1"/>
  <c r="B80" i="1" s="1"/>
  <c r="N92" i="1"/>
  <c r="B92" i="1" s="1"/>
  <c r="U81" i="1"/>
  <c r="V81" i="1" s="1"/>
  <c r="Z81" i="1" s="1"/>
  <c r="B81" i="1" s="1"/>
  <c r="U93" i="1"/>
  <c r="V93" i="1" s="1"/>
  <c r="Z93" i="1" s="1"/>
  <c r="B93" i="1" s="1"/>
  <c r="N133" i="1"/>
  <c r="B133" i="1" s="1"/>
  <c r="N113" i="1"/>
  <c r="B113" i="1" s="1"/>
  <c r="U104" i="1"/>
  <c r="V104" i="1" s="1"/>
  <c r="Z104" i="1" s="1"/>
  <c r="B104" i="1" s="1"/>
  <c r="N108" i="1"/>
  <c r="B108" i="1" s="1"/>
  <c r="N125" i="1"/>
  <c r="B125" i="1" s="1"/>
  <c r="N103" i="1"/>
  <c r="B103" i="1" s="1"/>
  <c r="N134" i="1"/>
  <c r="B134" i="1" s="1"/>
  <c r="N132" i="1"/>
  <c r="B132" i="1" s="1"/>
  <c r="U114" i="1"/>
  <c r="V114" i="1" s="1"/>
  <c r="Z114" i="1" s="1"/>
  <c r="B114" i="1" s="1"/>
  <c r="B129" i="1"/>
  <c r="B137" i="1"/>
  <c r="U109" i="1"/>
  <c r="V109" i="1" s="1"/>
  <c r="Z109" i="1" s="1"/>
  <c r="B109" i="1" s="1"/>
</calcChain>
</file>

<file path=xl/sharedStrings.xml><?xml version="1.0" encoding="utf-8"?>
<sst xmlns="http://schemas.openxmlformats.org/spreadsheetml/2006/main" count="308" uniqueCount="195">
  <si>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</si>
  <si>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</si>
  <si>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</si>
  <si>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</si>
  <si>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</si>
  <si>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</si>
  <si>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</si>
  <si>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</si>
  <si>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</si>
  <si>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</si>
  <si>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</si>
  <si>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</si>
  <si>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</si>
  <si>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</si>
  <si>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</si>
  <si>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</si>
  <si>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</si>
  <si>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</si>
  <si>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</si>
  <si>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</si>
  <si>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</si>
  <si>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</si>
  <si>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</si>
  <si>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</si>
  <si>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</si>
  <si>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</si>
  <si>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</si>
  <si>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</si>
  <si>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</si>
  <si>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</si>
  <si>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</si>
  <si>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</si>
  <si>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</si>
  <si>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</si>
  <si>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</si>
  <si>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</si>
  <si>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</si>
  <si>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</si>
  <si>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</si>
  <si>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</si>
  <si>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</si>
  <si>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</si>
  <si>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</si>
  <si>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</si>
  <si>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</si>
  <si>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</si>
  <si>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</si>
  <si>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</si>
  <si>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</si>
  <si>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</si>
  <si>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</si>
  <si>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</si>
  <si>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</si>
  <si>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</si>
  <si>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</si>
  <si>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</si>
  <si>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</si>
  <si>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</si>
  <si>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</si>
  <si>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</si>
  <si>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</si>
  <si>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</si>
  <si>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</si>
  <si>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</si>
  <si>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</si>
  <si>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</si>
  <si>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</si>
  <si>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</si>
  <si>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</si>
  <si>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</si>
  <si>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</si>
  <si>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</si>
  <si>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</si>
  <si>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</si>
  <si>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</si>
  <si>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</si>
  <si>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</si>
  <si>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</si>
  <si>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</si>
  <si>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</si>
  <si>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</si>
  <si>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</si>
  <si>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</si>
  <si>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</si>
  <si>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</si>
  <si>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</si>
  <si>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</si>
  <si>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</si>
  <si>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</si>
  <si>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</si>
  <si>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</si>
  <si>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</si>
  <si>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</si>
  <si>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</si>
  <si>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</si>
  <si>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</si>
  <si>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</si>
  <si>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</si>
  <si>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</si>
  <si>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</si>
  <si>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</si>
  <si>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</si>
  <si>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</si>
  <si>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</si>
  <si>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</si>
  <si>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</si>
  <si>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</si>
  <si>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</si>
  <si>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</si>
  <si>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</si>
  <si>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</si>
  <si>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</si>
  <si>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</si>
  <si>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</si>
  <si>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</si>
  <si>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</si>
  <si>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</si>
  <si>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</si>
  <si>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</si>
  <si>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</si>
  <si>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</si>
  <si>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</si>
  <si>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</si>
  <si>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</si>
  <si>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</si>
  <si>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</si>
  <si>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</si>
  <si>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</si>
  <si>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</si>
  <si>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</si>
  <si>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</si>
  <si>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</si>
  <si>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</si>
  <si>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</si>
  <si>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</si>
  <si>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</si>
  <si>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</si>
  <si>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</si>
  <si>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</si>
  <si>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</si>
  <si>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</si>
  <si>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</si>
  <si>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</si>
  <si>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</si>
  <si>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</si>
  <si>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</si>
  <si>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</si>
  <si>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</si>
  <si>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</si>
  <si>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</si>
  <si>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</si>
  <si>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</si>
  <si>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</si>
  <si>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</si>
  <si>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</si>
  <si>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</si>
  <si>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</si>
  <si>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</si>
  <si>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</si>
  <si>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</si>
  <si>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</si>
  <si>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</si>
  <si>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</si>
  <si>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</si>
  <si>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</si>
  <si>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</si>
  <si>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</si>
  <si>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</si>
  <si>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</si>
  <si>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</si>
  <si>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</si>
  <si>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</si>
  <si>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</si>
  <si>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</si>
  <si>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</si>
  <si>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</si>
  <si>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</si>
  <si>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</si>
  <si>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FIXED_COST_STORAGE2</t>
  </si>
  <si>
    <t>VAR_COST_TO_STORAGE2</t>
  </si>
  <si>
    <t>VAR_COST_FROM_STORAGE2</t>
  </si>
  <si>
    <t>CHARGING_EFFICIENCY_STORAGE2</t>
  </si>
  <si>
    <t>wind+wind2+unmet</t>
  </si>
  <si>
    <t>solar+solar2+PGP</t>
  </si>
  <si>
    <t>natgas+unmet</t>
  </si>
  <si>
    <t>DECAY_RATE_STORAGE2</t>
  </si>
  <si>
    <t>CHARGING_TIME_STORAGE2</t>
  </si>
  <si>
    <t>solar+solar2+storage+storage2_0.30</t>
  </si>
  <si>
    <t>nuclear+CSP_0.25</t>
  </si>
  <si>
    <t>natgasCCS+nuclear_0.5</t>
  </si>
  <si>
    <t>Input_Data/Lei_Solar_Wind</t>
  </si>
  <si>
    <t>US_capacity_solar_CONUS_unnormalized.csv</t>
  </si>
  <si>
    <t>US_capacity_wind_CONUS_unnormalized.csv</t>
  </si>
  <si>
    <t>US_demand_unnormalized.csv</t>
  </si>
  <si>
    <t>test_190926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</si>
</sst>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7">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s>
  <fills count="13">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right/>
      <top/>
      <bottom/>
      <diagonal/>
    </border>
  </borders>
  <cellStyleXfs count="2">
    <xf numFmtId="0" fontId="0" fillId="0" borderId="0"/>
    <xf numFmtId="0" fontId="6" fillId="0" borderId="1"/>
  </cellStyleXfs>
  <cellXfs count="60">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022"/>
  <sheetViews>
    <sheetView tabSelected="1" topLeftCell="A141" workbookViewId="0">
      <selection activeCell="AB153" sqref="AB153:AB163"/>
    </sheetView>
  </sheetViews>
  <sheetFormatPr defaultColWidth="14.44140625" defaultRowHeight="15" customHeight="1"/>
  <cols>
    <col min="1" max="1" width="34.44140625" customWidth="1"/>
    <col min="2" max="2" width="17.77734375" customWidth="1"/>
    <col min="3" max="3" width="23" customWidth="1"/>
    <col min="4" max="29" width="12.44140625" customWidth="1"/>
  </cols>
  <sheetData>
    <row r="1" spans="1:29" ht="14.25" customHeight="1">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c r="A52" s="14" t="s">
        <v>33</v>
      </c>
      <c r="B52" s="15" t="s">
        <v>194</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c r="A53" s="14" t="s">
        <v>35</v>
      </c>
      <c r="B53" s="15" t="s">
        <v>190</v>
      </c>
      <c r="C53" s="3" t="s">
        <v>36</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c r="A54" s="14" t="s">
        <v>37</v>
      </c>
      <c r="B54" s="15" t="s">
        <v>38</v>
      </c>
      <c r="C54" s="3" t="s">
        <v>39</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c r="A56" s="14" t="s">
        <v>40</v>
      </c>
      <c r="B56" s="15" t="b">
        <v>1</v>
      </c>
      <c r="C56" s="3" t="s">
        <v>41</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c r="A57" s="14" t="s">
        <v>42</v>
      </c>
      <c r="B57" s="15" t="b">
        <v>0</v>
      </c>
      <c r="C57" s="3" t="s">
        <v>43</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c r="A58" s="14" t="s">
        <v>44</v>
      </c>
      <c r="B58" s="15" t="b">
        <v>1</v>
      </c>
      <c r="C58" s="3" t="s">
        <v>45</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c r="A60" s="12" t="s">
        <v>46</v>
      </c>
      <c r="B60" s="12" t="s">
        <v>47</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c r="A61" s="3"/>
      <c r="B61" s="4" t="s">
        <v>48</v>
      </c>
      <c r="C61" s="3" t="s">
        <v>49</v>
      </c>
      <c r="D61" s="4" t="s">
        <v>50</v>
      </c>
      <c r="E61" s="4"/>
      <c r="F61" s="8" t="s">
        <v>51</v>
      </c>
      <c r="G61" s="4" t="s">
        <v>52</v>
      </c>
      <c r="H61" s="8" t="s">
        <v>53</v>
      </c>
      <c r="I61" s="4" t="s">
        <v>54</v>
      </c>
      <c r="J61" s="18" t="s">
        <v>55</v>
      </c>
      <c r="K61" s="8" t="s">
        <v>56</v>
      </c>
      <c r="L61" s="4" t="s">
        <v>57</v>
      </c>
      <c r="M61" s="18" t="s">
        <v>58</v>
      </c>
      <c r="N61" s="20" t="s">
        <v>59</v>
      </c>
      <c r="O61" s="8" t="s">
        <v>60</v>
      </c>
      <c r="P61" s="8" t="s">
        <v>61</v>
      </c>
      <c r="Q61" s="21" t="s">
        <v>62</v>
      </c>
      <c r="R61" s="4" t="s">
        <v>63</v>
      </c>
      <c r="S61" s="8" t="s">
        <v>64</v>
      </c>
      <c r="T61" s="4" t="s">
        <v>65</v>
      </c>
      <c r="U61" s="18" t="s">
        <v>66</v>
      </c>
      <c r="V61" s="18" t="s">
        <v>67</v>
      </c>
      <c r="W61" s="8" t="s">
        <v>68</v>
      </c>
      <c r="X61" s="4" t="s">
        <v>69</v>
      </c>
      <c r="Y61" s="8" t="s">
        <v>70</v>
      </c>
      <c r="Z61" s="20" t="s">
        <v>71</v>
      </c>
      <c r="AA61" s="4"/>
      <c r="AB61" s="4"/>
      <c r="AC61" s="4"/>
    </row>
    <row r="62" spans="1:29" ht="14.25" customHeight="1">
      <c r="A62" s="14" t="s">
        <v>72</v>
      </c>
      <c r="B62" s="16">
        <v>1000000000000</v>
      </c>
      <c r="C62" s="17"/>
      <c r="D62" s="3" t="s">
        <v>73</v>
      </c>
      <c r="E62" s="4"/>
      <c r="F62" s="8"/>
      <c r="G62" s="3"/>
      <c r="H62" s="8"/>
      <c r="I62" s="3"/>
      <c r="J62" s="18"/>
      <c r="K62" s="8"/>
      <c r="L62" s="19"/>
      <c r="M62" s="18"/>
      <c r="N62" s="20"/>
      <c r="O62" s="8"/>
      <c r="P62" s="8"/>
      <c r="Q62" s="21"/>
      <c r="R62" s="4"/>
      <c r="S62" s="8"/>
      <c r="T62" s="4"/>
      <c r="U62" s="18"/>
      <c r="V62" s="18"/>
      <c r="W62" s="18"/>
      <c r="X62" s="4"/>
      <c r="Y62" s="8"/>
      <c r="Z62" s="20"/>
      <c r="AA62" s="4"/>
      <c r="AB62" s="4"/>
      <c r="AC62" s="4"/>
    </row>
    <row r="63" spans="1:29" ht="14.25" customHeight="1">
      <c r="A63" s="14" t="s">
        <v>74</v>
      </c>
      <c r="B63" s="16">
        <v>1000000000000</v>
      </c>
      <c r="C63" s="17"/>
      <c r="D63" s="3" t="s">
        <v>75</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c r="A64" s="14"/>
      <c r="B64" s="15"/>
      <c r="C64" s="3"/>
      <c r="D64" s="4"/>
      <c r="E64" s="4"/>
      <c r="F64" s="8"/>
      <c r="G64" s="3"/>
      <c r="H64" s="8"/>
      <c r="I64" s="3"/>
      <c r="J64" s="18"/>
      <c r="K64" s="8"/>
      <c r="L64" s="4"/>
      <c r="M64" s="18"/>
      <c r="N64" s="20"/>
      <c r="O64" s="8"/>
      <c r="P64" s="8"/>
      <c r="Q64" s="21"/>
      <c r="R64" s="4"/>
      <c r="S64" s="8"/>
      <c r="T64" s="4"/>
      <c r="U64" s="18"/>
      <c r="V64" s="18"/>
      <c r="W64" s="18"/>
      <c r="X64" s="4"/>
      <c r="Y64" s="8"/>
      <c r="Z64" s="20"/>
      <c r="AA64" s="4"/>
      <c r="AB64" s="4"/>
      <c r="AC64" s="4"/>
    </row>
    <row r="65" spans="1:29" ht="14.25" customHeight="1">
      <c r="A65" s="14" t="s">
        <v>76</v>
      </c>
      <c r="B65" s="15" t="s">
        <v>193</v>
      </c>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c r="A66" s="14" t="s">
        <v>77</v>
      </c>
      <c r="B66" s="15" t="b">
        <v>1</v>
      </c>
      <c r="C66" s="3"/>
      <c r="D66" s="3" t="s">
        <v>78</v>
      </c>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c r="A67" s="14"/>
      <c r="B67" s="15"/>
      <c r="C67" s="3"/>
      <c r="D67" s="4"/>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c r="A68" s="14" t="s">
        <v>79</v>
      </c>
      <c r="B68" s="15">
        <v>2016</v>
      </c>
      <c r="C68" s="3"/>
      <c r="D68" s="3" t="s">
        <v>80</v>
      </c>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c r="A69" s="14" t="s">
        <v>81</v>
      </c>
      <c r="B69" s="15">
        <v>1</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c r="A70" s="14" t="s">
        <v>82</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c r="A71" s="14" t="s">
        <v>83</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c r="A72" s="14" t="s">
        <v>84</v>
      </c>
      <c r="B72" s="15">
        <v>2016</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c r="A73" s="14" t="s">
        <v>85</v>
      </c>
      <c r="B73" s="15">
        <v>12</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c r="A74" s="14" t="s">
        <v>86</v>
      </c>
      <c r="B74" s="15">
        <v>31</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c r="A75" s="14" t="s">
        <v>87</v>
      </c>
      <c r="B75" s="15">
        <v>24</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c r="A76" s="14"/>
      <c r="B76" s="15"/>
      <c r="C76" s="3"/>
      <c r="D76" s="4"/>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c r="A77" s="14" t="s">
        <v>88</v>
      </c>
      <c r="B77" s="15">
        <v>0</v>
      </c>
      <c r="C77" s="3" t="s">
        <v>89</v>
      </c>
      <c r="D77" s="3" t="s">
        <v>90</v>
      </c>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c r="A78" s="14"/>
      <c r="B78" s="15"/>
      <c r="C78" s="3"/>
      <c r="D78" s="4"/>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c r="A79" s="14" t="s">
        <v>91</v>
      </c>
      <c r="B79" s="50" t="s">
        <v>191</v>
      </c>
      <c r="C79" s="3"/>
      <c r="D79" s="4"/>
      <c r="E79" s="4"/>
      <c r="F79" s="8"/>
      <c r="G79" s="3"/>
      <c r="H79" s="8"/>
      <c r="I79" s="3"/>
      <c r="J79" s="18"/>
      <c r="K79" s="8"/>
      <c r="L79" s="4"/>
      <c r="M79" s="18"/>
      <c r="N79" s="20"/>
      <c r="O79" s="8"/>
      <c r="P79" s="8"/>
      <c r="Q79" s="21"/>
      <c r="R79" s="4"/>
      <c r="S79" s="8"/>
      <c r="T79" s="4"/>
      <c r="U79" s="22"/>
      <c r="V79" s="22"/>
      <c r="W79" s="23"/>
      <c r="X79" s="24"/>
      <c r="Y79" s="25"/>
      <c r="Z79" s="20"/>
      <c r="AA79" s="4"/>
      <c r="AB79" s="4"/>
      <c r="AC79" s="4"/>
    </row>
    <row r="80" spans="1:29" ht="14.25" customHeight="1">
      <c r="A80" s="14" t="s">
        <v>92</v>
      </c>
      <c r="B80" s="26">
        <f>N80</f>
        <v>1.9528741509529837E-2</v>
      </c>
      <c r="C80" s="3" t="s">
        <v>93</v>
      </c>
      <c r="D80" s="3" t="s">
        <v>94</v>
      </c>
      <c r="E80" s="4"/>
      <c r="F80" s="8">
        <v>1851</v>
      </c>
      <c r="G80" s="9" t="str">
        <f>HYPERLINK("https://www.eia.gov/outlooks/aeo/assumptions/pdf/electricity.pdf","EIA, AEO2018, Electricity Market Module, Table 2")</f>
        <v>EIA, AEO2018, Electricity Market Module, Table 2</v>
      </c>
      <c r="H80" s="8">
        <v>30</v>
      </c>
      <c r="I80" s="9" t="str">
        <f>HYPERLINK("https://www.eia.gov/outlooks/aeo/assumptions/pdf/commercial.pdf","EIA, AEO2018, Commercial Demand Module, Table 3")</f>
        <v>EIA, AEO2018, Commercial Demand Module, Table 3</v>
      </c>
      <c r="J80" s="27">
        <f>DISCOUNT_RATE*(1+DISCOUNT_RATE)^H80/((1+DISCOUNT_RATE)^H80-1)</f>
        <v>8.0586403511111196E-2</v>
      </c>
      <c r="K80" s="8">
        <v>22.02</v>
      </c>
      <c r="L80" s="9" t="str">
        <f>HYPERLINK("https://www.eia.gov/outlooks/aeo/assumptions/pdf/electricity.pdf","EIA, AEO2018, Electricity Market Module, Table 2")</f>
        <v>EIA, AEO2018, Electricity Market Module, Table 2</v>
      </c>
      <c r="M80" s="28">
        <f>F80*J80+K80</f>
        <v>171.18543289906683</v>
      </c>
      <c r="N80" s="29">
        <f>M80/HOURS_PER_YEAR</f>
        <v>1.9528741509529837E-2</v>
      </c>
      <c r="O80" s="8"/>
      <c r="P80" s="8"/>
      <c r="Q80" s="21"/>
      <c r="R80" s="4"/>
      <c r="S80" s="8"/>
      <c r="T80" s="4"/>
      <c r="U80" s="22"/>
      <c r="V80" s="22"/>
      <c r="W80" s="23"/>
      <c r="X80" s="24"/>
      <c r="Y80" s="25"/>
      <c r="Z80" s="20"/>
      <c r="AA80" s="4"/>
      <c r="AB80" s="4"/>
      <c r="AC80" s="4"/>
    </row>
    <row r="81" spans="1:29" ht="14.25" customHeight="1">
      <c r="A81" s="14" t="s">
        <v>95</v>
      </c>
      <c r="B81" s="16">
        <f>Z81</f>
        <v>1E-8</v>
      </c>
      <c r="C81" s="3" t="s">
        <v>96</v>
      </c>
      <c r="D81" s="30" t="s">
        <v>97</v>
      </c>
      <c r="E81" s="4"/>
      <c r="F81" s="8"/>
      <c r="G81" s="3"/>
      <c r="H81" s="8"/>
      <c r="I81" s="3"/>
      <c r="J81" s="18"/>
      <c r="K81" s="8"/>
      <c r="L81" s="19"/>
      <c r="M81" s="18"/>
      <c r="N81" s="20"/>
      <c r="O81" s="8">
        <v>0</v>
      </c>
      <c r="P81" s="8">
        <v>0</v>
      </c>
      <c r="Q81" s="21" t="str">
        <f>IF(AND(O81&lt;&gt;0,P81&lt;&gt;0),"bad fuel cost","OK")</f>
        <v>OK</v>
      </c>
      <c r="R81" s="4"/>
      <c r="S81" s="8">
        <v>9271</v>
      </c>
      <c r="T81" s="9" t="str">
        <f>HYPERLINK("https://www.eia.gov/outlooks/aeo/assumptions/pdf/electricity.pdf","EIA, AEO2018, Electricity Market Module, Table 2")</f>
        <v>EIA, AEO2018, Electricity Market Module, Table 2</v>
      </c>
      <c r="U81" s="22">
        <f>1/S81*Btu_per_kWh</f>
        <v>0.36804461580497705</v>
      </c>
      <c r="V81" s="22">
        <f>(O81/MWh_per_MMBtu/1000)/U81 + P81/1000</f>
        <v>0</v>
      </c>
      <c r="W81" s="23">
        <v>0</v>
      </c>
      <c r="X81" s="9" t="str">
        <f>HYPERLINK("https://www.eia.gov/outlooks/aeo/assumptions/pdf/electricity.pdf","EIA, AEO2018, Electricity Market Module, Table 2")</f>
        <v>EIA, AEO2018, Electricity Market Module, Table 2</v>
      </c>
      <c r="Y81" s="25">
        <v>1E-8</v>
      </c>
      <c r="Z81" s="31">
        <f>V81/U81+W81/1000+Y81</f>
        <v>1E-8</v>
      </c>
      <c r="AA81" s="4"/>
      <c r="AB81" s="4"/>
      <c r="AC81" s="4"/>
    </row>
    <row r="82" spans="1:29" ht="14.25" customHeight="1">
      <c r="A82" s="14" t="s">
        <v>98</v>
      </c>
      <c r="B82" s="15">
        <v>0</v>
      </c>
      <c r="C82" s="3" t="s">
        <v>99</v>
      </c>
      <c r="D82" t="s">
        <v>100</v>
      </c>
      <c r="E82" s="4"/>
      <c r="F82" s="8"/>
      <c r="G82" s="3"/>
      <c r="H82" s="8"/>
      <c r="I82" s="3"/>
      <c r="J82" s="18"/>
      <c r="K82" s="8"/>
      <c r="L82" s="19"/>
      <c r="M82" s="18"/>
      <c r="N82" s="20"/>
      <c r="O82" s="8"/>
      <c r="P82" s="8"/>
      <c r="Q82" s="21"/>
      <c r="R82" s="4"/>
      <c r="S82" s="8"/>
      <c r="T82" s="4"/>
      <c r="U82" s="22"/>
      <c r="V82" s="22"/>
      <c r="W82" s="23"/>
      <c r="X82" s="24"/>
      <c r="Y82" s="25"/>
      <c r="Z82" s="31"/>
      <c r="AA82" s="4"/>
      <c r="AB82" s="4"/>
      <c r="AC82" s="4"/>
    </row>
    <row r="83" spans="1:29" ht="14.25" customHeight="1">
      <c r="A83" s="14" t="s">
        <v>101</v>
      </c>
      <c r="B83" s="15">
        <v>0</v>
      </c>
      <c r="C83" s="3" t="s">
        <v>102</v>
      </c>
      <c r="D83" t="s">
        <v>103</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c r="A84" s="14"/>
      <c r="B84" s="15"/>
      <c r="C84" s="3"/>
      <c r="D84" s="3"/>
      <c r="E84" s="4"/>
      <c r="F84" s="8"/>
      <c r="G84" s="3"/>
      <c r="H84" s="8"/>
      <c r="I84" s="3"/>
      <c r="J84" s="18"/>
      <c r="K84" s="8"/>
      <c r="L84" s="4"/>
      <c r="M84" s="18"/>
      <c r="N84" s="20"/>
      <c r="O84" s="8"/>
      <c r="P84" s="8"/>
      <c r="Q84" s="21"/>
      <c r="R84" s="4"/>
      <c r="S84" s="8"/>
      <c r="T84" s="4"/>
      <c r="U84" s="22"/>
      <c r="V84" s="22"/>
      <c r="W84" s="23"/>
      <c r="X84" s="24"/>
      <c r="Y84" s="25"/>
      <c r="Z84" s="31"/>
      <c r="AA84" s="4"/>
      <c r="AB84" s="4"/>
      <c r="AC84" s="4"/>
    </row>
    <row r="85" spans="1:29" ht="14.25" customHeight="1">
      <c r="A85" s="14" t="s">
        <v>168</v>
      </c>
      <c r="B85" s="50" t="s">
        <v>191</v>
      </c>
      <c r="C85" s="3"/>
      <c r="D85" s="4"/>
      <c r="E85" s="4"/>
      <c r="F85" s="8"/>
      <c r="G85" s="3"/>
      <c r="H85" s="8"/>
      <c r="I85" s="3"/>
      <c r="J85" s="18"/>
      <c r="K85" s="8"/>
      <c r="L85" s="4"/>
      <c r="M85" s="18"/>
      <c r="N85" s="20"/>
      <c r="O85" s="8"/>
      <c r="P85" s="8"/>
      <c r="Q85" s="21"/>
      <c r="R85" s="4"/>
      <c r="S85" s="8"/>
      <c r="T85" s="4"/>
      <c r="U85" s="22"/>
      <c r="V85" s="22"/>
      <c r="W85" s="23"/>
      <c r="X85" s="24"/>
      <c r="Y85" s="25"/>
      <c r="Z85" s="20"/>
      <c r="AA85" s="4"/>
      <c r="AB85" s="4"/>
      <c r="AC85" s="4"/>
    </row>
    <row r="86" spans="1:29" ht="14.25" customHeight="1">
      <c r="A86" s="14" t="s">
        <v>169</v>
      </c>
      <c r="B86" s="26">
        <f>N86</f>
        <v>1.9528741509529837E-2</v>
      </c>
      <c r="C86" s="3" t="s">
        <v>93</v>
      </c>
      <c r="D86" s="3" t="s">
        <v>94</v>
      </c>
      <c r="E86" s="4"/>
      <c r="F86" s="8">
        <v>1851</v>
      </c>
      <c r="G86" s="9" t="str">
        <f>HYPERLINK("https://www.eia.gov/outlooks/aeo/assumptions/pdf/electricity.pdf","EIA, AEO2018, Electricity Market Module, Table 2")</f>
        <v>EIA, AEO2018, Electricity Market Module, Table 2</v>
      </c>
      <c r="H86" s="8">
        <v>30</v>
      </c>
      <c r="I86" s="9" t="str">
        <f>HYPERLINK("https://www.eia.gov/outlooks/aeo/assumptions/pdf/commercial.pdf","EIA, AEO2018, Commercial Demand Module, Table 3")</f>
        <v>EIA, AEO2018, Commercial Demand Module, Table 3</v>
      </c>
      <c r="J86" s="27">
        <f>DISCOUNT_RATE*(1+DISCOUNT_RATE)^H86/((1+DISCOUNT_RATE)^H86-1)</f>
        <v>8.0586403511111196E-2</v>
      </c>
      <c r="K86" s="8">
        <v>22.02</v>
      </c>
      <c r="L86" s="9" t="str">
        <f>HYPERLINK("https://www.eia.gov/outlooks/aeo/assumptions/pdf/electricity.pdf","EIA, AEO2018, Electricity Market Module, Table 2")</f>
        <v>EIA, AEO2018, Electricity Market Module, Table 2</v>
      </c>
      <c r="M86" s="28">
        <f>F86*J86+K86</f>
        <v>171.18543289906683</v>
      </c>
      <c r="N86" s="29">
        <f>M86/HOURS_PER_YEAR</f>
        <v>1.9528741509529837E-2</v>
      </c>
      <c r="O86" s="8"/>
      <c r="P86" s="8"/>
      <c r="Q86" s="21"/>
      <c r="R86" s="4"/>
      <c r="S86" s="8"/>
      <c r="T86" s="4"/>
      <c r="U86" s="22"/>
      <c r="V86" s="22"/>
      <c r="W86" s="23"/>
      <c r="X86" s="24"/>
      <c r="Y86" s="25"/>
      <c r="Z86" s="20"/>
      <c r="AA86" s="4"/>
      <c r="AB86" s="4"/>
      <c r="AC86" s="4"/>
    </row>
    <row r="87" spans="1:29" ht="14.25" customHeight="1">
      <c r="A87" s="14" t="s">
        <v>170</v>
      </c>
      <c r="B87" s="16">
        <f>Z87</f>
        <v>1E-8</v>
      </c>
      <c r="C87" s="3" t="s">
        <v>96</v>
      </c>
      <c r="D87" s="30" t="s">
        <v>97</v>
      </c>
      <c r="E87" s="4"/>
      <c r="F87" s="8"/>
      <c r="G87" s="3"/>
      <c r="H87" s="8"/>
      <c r="I87" s="3"/>
      <c r="J87" s="18"/>
      <c r="K87" s="8"/>
      <c r="L87" s="19"/>
      <c r="M87" s="18"/>
      <c r="N87" s="20"/>
      <c r="O87" s="8">
        <v>0</v>
      </c>
      <c r="P87" s="8">
        <v>0</v>
      </c>
      <c r="Q87" s="21" t="str">
        <f>IF(AND(O87&lt;&gt;0,P87&lt;&gt;0),"bad fuel cost","OK")</f>
        <v>OK</v>
      </c>
      <c r="R87" s="4"/>
      <c r="S87" s="8">
        <v>9271</v>
      </c>
      <c r="T87" s="9" t="str">
        <f>HYPERLINK("https://www.eia.gov/outlooks/aeo/assumptions/pdf/electricity.pdf","EIA, AEO2018, Electricity Market Module, Table 2")</f>
        <v>EIA, AEO2018, Electricity Market Module, Table 2</v>
      </c>
      <c r="U87" s="22">
        <f>1/S87*Btu_per_kWh</f>
        <v>0.36804461580497705</v>
      </c>
      <c r="V87" s="22">
        <f>(O87/MWh_per_MMBtu/1000)/U87 + P87/1000</f>
        <v>0</v>
      </c>
      <c r="W87" s="23">
        <v>0</v>
      </c>
      <c r="X87" s="9" t="str">
        <f>HYPERLINK("https://www.eia.gov/outlooks/aeo/assumptions/pdf/electricity.pdf","EIA, AEO2018, Electricity Market Module, Table 2")</f>
        <v>EIA, AEO2018, Electricity Market Module, Table 2</v>
      </c>
      <c r="Y87" s="25">
        <v>1E-8</v>
      </c>
      <c r="Z87" s="31">
        <f>V87/U87+W87/1000+Y87</f>
        <v>1E-8</v>
      </c>
      <c r="AA87" s="4"/>
      <c r="AB87" s="4"/>
      <c r="AC87" s="4"/>
    </row>
    <row r="88" spans="1:29" ht="14.25" customHeight="1">
      <c r="A88" s="14" t="s">
        <v>171</v>
      </c>
      <c r="B88" s="15">
        <v>0</v>
      </c>
      <c r="C88" s="3" t="s">
        <v>99</v>
      </c>
      <c r="D88" t="s">
        <v>100</v>
      </c>
      <c r="E88" s="4"/>
      <c r="F88" s="8"/>
      <c r="G88" s="3"/>
      <c r="H88" s="8"/>
      <c r="I88" s="3"/>
      <c r="J88" s="18"/>
      <c r="K88" s="8"/>
      <c r="L88" s="19"/>
      <c r="M88" s="18"/>
      <c r="N88" s="20"/>
      <c r="O88" s="8"/>
      <c r="P88" s="8"/>
      <c r="Q88" s="21"/>
      <c r="R88" s="4"/>
      <c r="S88" s="8"/>
      <c r="T88" s="4"/>
      <c r="U88" s="22"/>
      <c r="V88" s="22"/>
      <c r="W88" s="23"/>
      <c r="X88" s="24"/>
      <c r="Y88" s="25"/>
      <c r="Z88" s="31"/>
      <c r="AA88" s="4"/>
      <c r="AB88" s="4"/>
      <c r="AC88" s="4"/>
    </row>
    <row r="89" spans="1:29" ht="14.25" customHeight="1">
      <c r="A89" s="14" t="s">
        <v>172</v>
      </c>
      <c r="B89" s="15">
        <v>0</v>
      </c>
      <c r="C89" s="3" t="s">
        <v>102</v>
      </c>
      <c r="D89" t="s">
        <v>103</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c r="A90" s="14"/>
      <c r="B90" s="15"/>
      <c r="C90" s="3"/>
      <c r="D90" s="3"/>
      <c r="E90" s="4"/>
      <c r="F90" s="8"/>
      <c r="G90" s="3"/>
      <c r="H90" s="8"/>
      <c r="I90" s="3"/>
      <c r="J90" s="18"/>
      <c r="K90" s="8"/>
      <c r="L90" s="4"/>
      <c r="M90" s="18"/>
      <c r="N90" s="20"/>
      <c r="O90" s="8"/>
      <c r="P90" s="8"/>
      <c r="Q90" s="21"/>
      <c r="R90" s="4"/>
      <c r="S90" s="8"/>
      <c r="T90" s="4"/>
      <c r="U90" s="22"/>
      <c r="V90" s="22"/>
      <c r="W90" s="23"/>
      <c r="X90" s="24"/>
      <c r="Y90" s="25"/>
      <c r="Z90" s="31"/>
      <c r="AA90" s="4"/>
      <c r="AB90" s="4"/>
      <c r="AC90" s="4"/>
    </row>
    <row r="91" spans="1:29" ht="14.25" customHeight="1">
      <c r="A91" s="14" t="s">
        <v>104</v>
      </c>
      <c r="B91" s="50" t="s">
        <v>192</v>
      </c>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c r="A92" s="14" t="s">
        <v>105</v>
      </c>
      <c r="B92" s="26">
        <f>N92</f>
        <v>2.0648572594225215E-2</v>
      </c>
      <c r="C92" s="3" t="s">
        <v>93</v>
      </c>
      <c r="D92" s="3" t="s">
        <v>106</v>
      </c>
      <c r="E92" s="4"/>
      <c r="F92" s="8">
        <v>1657</v>
      </c>
      <c r="G92" s="9" t="str">
        <f>HYPERLINK("https://www.eia.gov/outlooks/aeo/assumptions/pdf/electricity.pdf","EIA, AEO2018, Electricity Market Module, Table 2")</f>
        <v>EIA, AEO2018, Electricity Market Module, Table 2</v>
      </c>
      <c r="H92" s="8">
        <v>30</v>
      </c>
      <c r="I92" s="9" t="str">
        <f>HYPERLINK("https://www.eia.gov/outlooks/aeo/assumptions/pdf/commercial.pdf","EIA, AEO2018, Commercial Demand Module, Table 3")</f>
        <v>EIA, AEO2018, Commercial Demand Module, Table 3</v>
      </c>
      <c r="J92" s="27">
        <f>DISCOUNT_RATE*(1+DISCOUNT_RATE)^H92/((1+DISCOUNT_RATE)^H92-1)</f>
        <v>8.0586403511111196E-2</v>
      </c>
      <c r="K92" s="8">
        <v>47.47</v>
      </c>
      <c r="L92" s="9" t="str">
        <f>HYPERLINK("https://www.eia.gov/outlooks/aeo/assumptions/pdf/electricity.pdf","EIA, AEO2018, Electricity Market Module, Table 2")</f>
        <v>EIA, AEO2018, Electricity Market Module, Table 2</v>
      </c>
      <c r="M92" s="28">
        <f>F92*J92+K92</f>
        <v>181.00167061791126</v>
      </c>
      <c r="N92" s="29">
        <f>M92/HOURS_PER_YEAR</f>
        <v>2.0648572594225215E-2</v>
      </c>
      <c r="O92" s="8"/>
      <c r="P92" s="8"/>
      <c r="Q92" s="21"/>
      <c r="R92" s="4"/>
      <c r="S92" s="8"/>
      <c r="T92" s="4"/>
      <c r="U92" s="22"/>
      <c r="V92" s="22"/>
      <c r="W92" s="23"/>
      <c r="X92" s="24"/>
      <c r="Y92" s="25"/>
      <c r="Z92" s="31"/>
      <c r="AA92" s="4"/>
      <c r="AB92" s="4"/>
      <c r="AC92" s="4"/>
    </row>
    <row r="93" spans="1:29" ht="14.25" customHeight="1">
      <c r="A93" s="14" t="s">
        <v>107</v>
      </c>
      <c r="B93" s="16">
        <f>Z93</f>
        <v>1.05E-8</v>
      </c>
      <c r="C93" s="3" t="s">
        <v>96</v>
      </c>
      <c r="D93" s="30" t="s">
        <v>97</v>
      </c>
      <c r="E93" s="4"/>
      <c r="F93" s="8"/>
      <c r="G93" s="3"/>
      <c r="H93" s="8"/>
      <c r="I93" s="3"/>
      <c r="J93" s="18"/>
      <c r="K93" s="8"/>
      <c r="L93" s="19"/>
      <c r="M93" s="18"/>
      <c r="N93" s="20"/>
      <c r="O93" s="8">
        <v>0</v>
      </c>
      <c r="P93" s="8">
        <v>0</v>
      </c>
      <c r="Q93" s="21" t="str">
        <f>IF(AND(O93&lt;&gt;0,P93&lt;&gt;0),"bad fuel cost","OK")</f>
        <v>OK</v>
      </c>
      <c r="R93" s="4"/>
      <c r="S93" s="8">
        <v>9271</v>
      </c>
      <c r="T93" s="9" t="str">
        <f>HYPERLINK("https://www.eia.gov/outlooks/aeo/assumptions/pdf/electricity.pdf","EIA, AEO2018, Electricity Market Module, Table 2")</f>
        <v>EIA, AEO2018, Electricity Market Module, Table 2</v>
      </c>
      <c r="U93" s="22">
        <f>1/S93*Btu_per_kWh</f>
        <v>0.36804461580497705</v>
      </c>
      <c r="V93" s="22">
        <f>(O93/MWh_per_MMBtu/1000)/U93 + P93/1000</f>
        <v>0</v>
      </c>
      <c r="W93" s="23">
        <v>0</v>
      </c>
      <c r="X93" s="9" t="str">
        <f>HYPERLINK("https://www.eia.gov/outlooks/aeo/assumptions/pdf/electricity.pdf","EIA, AEO2018, Electricity Market Module, Table 2")</f>
        <v>EIA, AEO2018, Electricity Market Module, Table 2</v>
      </c>
      <c r="Y93" s="25">
        <v>1.05E-8</v>
      </c>
      <c r="Z93" s="31">
        <f>V93/U93+W93/1000+Y93</f>
        <v>1.05E-8</v>
      </c>
      <c r="AA93" s="4"/>
      <c r="AB93" s="4"/>
      <c r="AC93" s="4"/>
    </row>
    <row r="94" spans="1:29" ht="14.25" customHeight="1">
      <c r="A94" s="14" t="s">
        <v>108</v>
      </c>
      <c r="B94" s="15">
        <v>0</v>
      </c>
      <c r="C94" s="3" t="s">
        <v>99</v>
      </c>
      <c r="D94" s="3" t="s">
        <v>100</v>
      </c>
      <c r="E94" s="4"/>
      <c r="F94" s="8"/>
      <c r="G94" s="3"/>
      <c r="H94" s="8"/>
      <c r="I94" s="3"/>
      <c r="J94" s="18"/>
      <c r="K94" s="8"/>
      <c r="L94" s="19"/>
      <c r="M94" s="18"/>
      <c r="N94" s="20"/>
      <c r="O94" s="8"/>
      <c r="P94" s="8"/>
      <c r="Q94" s="21"/>
      <c r="R94" s="4"/>
      <c r="S94" s="8"/>
      <c r="T94" s="4"/>
      <c r="U94" s="22"/>
      <c r="V94" s="22"/>
      <c r="W94" s="23"/>
      <c r="X94" s="24"/>
      <c r="Y94" s="25"/>
      <c r="Z94" s="31"/>
      <c r="AA94" s="4"/>
      <c r="AB94" s="4"/>
      <c r="AC94" s="4"/>
    </row>
    <row r="95" spans="1:29" ht="14.25" customHeight="1">
      <c r="A95" s="14" t="s">
        <v>109</v>
      </c>
      <c r="B95" s="15">
        <v>0</v>
      </c>
      <c r="C95" s="3" t="s">
        <v>102</v>
      </c>
      <c r="D95" s="3" t="s">
        <v>103</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c r="A96" s="14"/>
      <c r="B96" s="15"/>
      <c r="C96" s="3"/>
      <c r="D96" s="3"/>
      <c r="E96" s="4"/>
      <c r="F96" s="8"/>
      <c r="G96" s="3"/>
      <c r="H96" s="8"/>
      <c r="I96" s="3"/>
      <c r="J96" s="18"/>
      <c r="K96" s="8"/>
      <c r="L96" s="4"/>
      <c r="M96" s="18"/>
      <c r="N96" s="20"/>
      <c r="O96" s="8"/>
      <c r="P96" s="8"/>
      <c r="Q96" s="21"/>
      <c r="R96" s="4"/>
      <c r="S96" s="8"/>
      <c r="T96" s="4"/>
      <c r="U96" s="22"/>
      <c r="V96" s="22"/>
      <c r="W96" s="23"/>
      <c r="X96" s="24"/>
      <c r="Y96" s="25"/>
      <c r="Z96" s="31"/>
      <c r="AA96" s="4"/>
      <c r="AB96" s="4"/>
      <c r="AC96" s="4"/>
    </row>
    <row r="97" spans="1:29" ht="14.25" customHeight="1">
      <c r="A97" s="14" t="s">
        <v>173</v>
      </c>
      <c r="B97" s="50" t="s">
        <v>192</v>
      </c>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c r="A98" s="14" t="s">
        <v>174</v>
      </c>
      <c r="B98" s="26">
        <f>N98</f>
        <v>2.0648572594225215E-2</v>
      </c>
      <c r="C98" s="3" t="s">
        <v>93</v>
      </c>
      <c r="D98" s="3" t="s">
        <v>106</v>
      </c>
      <c r="E98" s="4"/>
      <c r="F98" s="8">
        <v>1657</v>
      </c>
      <c r="G98" s="9" t="str">
        <f>HYPERLINK("https://www.eia.gov/outlooks/aeo/assumptions/pdf/electricity.pdf","EIA, AEO2018, Electricity Market Module, Table 2")</f>
        <v>EIA, AEO2018, Electricity Market Module, Table 2</v>
      </c>
      <c r="H98" s="8">
        <v>30</v>
      </c>
      <c r="I98" s="9" t="str">
        <f>HYPERLINK("https://www.eia.gov/outlooks/aeo/assumptions/pdf/commercial.pdf","EIA, AEO2018, Commercial Demand Module, Table 3")</f>
        <v>EIA, AEO2018, Commercial Demand Module, Table 3</v>
      </c>
      <c r="J98" s="27">
        <f>DISCOUNT_RATE*(1+DISCOUNT_RATE)^H98/((1+DISCOUNT_RATE)^H98-1)</f>
        <v>8.0586403511111196E-2</v>
      </c>
      <c r="K98" s="8">
        <v>47.47</v>
      </c>
      <c r="L98" s="9" t="str">
        <f>HYPERLINK("https://www.eia.gov/outlooks/aeo/assumptions/pdf/electricity.pdf","EIA, AEO2018, Electricity Market Module, Table 2")</f>
        <v>EIA, AEO2018, Electricity Market Module, Table 2</v>
      </c>
      <c r="M98" s="28">
        <f>F98*J98+K98</f>
        <v>181.00167061791126</v>
      </c>
      <c r="N98" s="29">
        <f>M98/HOURS_PER_YEAR</f>
        <v>2.0648572594225215E-2</v>
      </c>
      <c r="O98" s="8"/>
      <c r="P98" s="8"/>
      <c r="Q98" s="21"/>
      <c r="R98" s="4"/>
      <c r="S98" s="8"/>
      <c r="T98" s="4"/>
      <c r="U98" s="22"/>
      <c r="V98" s="22"/>
      <c r="W98" s="23"/>
      <c r="X98" s="24"/>
      <c r="Y98" s="25"/>
      <c r="Z98" s="31"/>
      <c r="AA98" s="4"/>
      <c r="AB98" s="4"/>
      <c r="AC98" s="4"/>
    </row>
    <row r="99" spans="1:29" ht="14.25" customHeight="1">
      <c r="A99" s="14" t="s">
        <v>175</v>
      </c>
      <c r="B99" s="16">
        <f>Z99</f>
        <v>1.05E-8</v>
      </c>
      <c r="C99" s="3" t="s">
        <v>96</v>
      </c>
      <c r="D99" s="30" t="s">
        <v>97</v>
      </c>
      <c r="E99" s="4"/>
      <c r="F99" s="8"/>
      <c r="G99" s="3"/>
      <c r="H99" s="8"/>
      <c r="I99" s="3"/>
      <c r="J99" s="18"/>
      <c r="K99" s="8"/>
      <c r="L99" s="19"/>
      <c r="M99" s="18"/>
      <c r="N99" s="20"/>
      <c r="O99" s="8">
        <v>0</v>
      </c>
      <c r="P99" s="8">
        <v>0</v>
      </c>
      <c r="Q99" s="21" t="str">
        <f>IF(AND(O99&lt;&gt;0,P99&lt;&gt;0),"bad fuel cost","OK")</f>
        <v>OK</v>
      </c>
      <c r="R99" s="4"/>
      <c r="S99" s="8">
        <v>9271</v>
      </c>
      <c r="T99" s="9" t="str">
        <f>HYPERLINK("https://www.eia.gov/outlooks/aeo/assumptions/pdf/electricity.pdf","EIA, AEO2018, Electricity Market Module, Table 2")</f>
        <v>EIA, AEO2018, Electricity Market Module, Table 2</v>
      </c>
      <c r="U99" s="22">
        <f>1/S99*Btu_per_kWh</f>
        <v>0.36804461580497705</v>
      </c>
      <c r="V99" s="22">
        <f>(O99/MWh_per_MMBtu/1000)/U99 + P99/1000</f>
        <v>0</v>
      </c>
      <c r="W99" s="23">
        <v>0</v>
      </c>
      <c r="X99" s="9" t="str">
        <f>HYPERLINK("https://www.eia.gov/outlooks/aeo/assumptions/pdf/electricity.pdf","EIA, AEO2018, Electricity Market Module, Table 2")</f>
        <v>EIA, AEO2018, Electricity Market Module, Table 2</v>
      </c>
      <c r="Y99" s="25">
        <v>1.05E-8</v>
      </c>
      <c r="Z99" s="31">
        <f>V99/U99+W99/1000+Y99</f>
        <v>1.05E-8</v>
      </c>
      <c r="AA99" s="4"/>
      <c r="AB99" s="4"/>
      <c r="AC99" s="4"/>
    </row>
    <row r="100" spans="1:29" ht="14.25" customHeight="1">
      <c r="A100" s="14" t="s">
        <v>176</v>
      </c>
      <c r="B100" s="15">
        <v>0</v>
      </c>
      <c r="C100" s="3" t="s">
        <v>99</v>
      </c>
      <c r="D100" s="3" t="s">
        <v>100</v>
      </c>
      <c r="E100" s="4"/>
      <c r="F100" s="8"/>
      <c r="G100" s="3"/>
      <c r="H100" s="8"/>
      <c r="I100" s="3"/>
      <c r="J100" s="18"/>
      <c r="K100" s="8"/>
      <c r="L100" s="19"/>
      <c r="M100" s="18"/>
      <c r="N100" s="20"/>
      <c r="O100" s="8"/>
      <c r="P100" s="8"/>
      <c r="Q100" s="21"/>
      <c r="R100" s="4"/>
      <c r="S100" s="8"/>
      <c r="T100" s="4"/>
      <c r="U100" s="22"/>
      <c r="V100" s="22"/>
      <c r="W100" s="23"/>
      <c r="X100" s="24"/>
      <c r="Y100" s="25"/>
      <c r="Z100" s="31"/>
      <c r="AA100" s="4"/>
      <c r="AB100" s="4"/>
      <c r="AC100" s="4"/>
    </row>
    <row r="101" spans="1:29" ht="14.25" customHeight="1">
      <c r="A101" s="14" t="s">
        <v>177</v>
      </c>
      <c r="B101" s="15">
        <v>0</v>
      </c>
      <c r="C101" s="3" t="s">
        <v>102</v>
      </c>
      <c r="D101" s="3" t="s">
        <v>103</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c r="A102" s="14"/>
      <c r="B102" s="15"/>
      <c r="C102" s="3"/>
      <c r="D102" s="3"/>
      <c r="E102" s="4"/>
      <c r="F102" s="8"/>
      <c r="G102" s="3"/>
      <c r="H102" s="8"/>
      <c r="I102" s="3"/>
      <c r="J102" s="18"/>
      <c r="K102" s="8"/>
      <c r="L102" s="4"/>
      <c r="M102" s="18"/>
      <c r="N102" s="20"/>
      <c r="O102" s="8"/>
      <c r="P102" s="8"/>
      <c r="Q102" s="21"/>
      <c r="R102" s="4"/>
      <c r="S102" s="8"/>
      <c r="T102" s="4"/>
      <c r="U102" s="22"/>
      <c r="V102" s="22"/>
      <c r="W102" s="23"/>
      <c r="X102" s="24"/>
      <c r="Y102" s="25"/>
      <c r="Z102" s="31"/>
      <c r="AA102" s="4"/>
      <c r="AB102" s="4"/>
      <c r="AC102" s="4"/>
    </row>
    <row r="103" spans="1:29" ht="14.25" customHeight="1">
      <c r="A103" s="14" t="s">
        <v>110</v>
      </c>
      <c r="B103" s="26">
        <f>N103</f>
        <v>1.1841887362491711E-2</v>
      </c>
      <c r="C103" s="3" t="s">
        <v>93</v>
      </c>
      <c r="D103" s="3"/>
      <c r="E103" s="4"/>
      <c r="F103" s="8">
        <v>982</v>
      </c>
      <c r="G103" s="9" t="str">
        <f>HYPERLINK("https://www.eia.gov/outlooks/aeo/assumptions/pdf/electricity.pdf","EIA, AEO2018, Electricity Market Module, Table 2")</f>
        <v>EIA, AEO2018, Electricity Market Module, Table 2</v>
      </c>
      <c r="H103" s="8">
        <v>20</v>
      </c>
      <c r="I103" s="9" t="str">
        <f>HYPERLINK("https://www.eia.gov/outlooks/aeo/assumptions/pdf/commercial.pdf","EIA, AEO2018, Commercial Demand Module, Table 3")</f>
        <v>EIA, AEO2018, Commercial Demand Module, Table 3</v>
      </c>
      <c r="J103" s="27">
        <f>DISCOUNT_RATE*(1+DISCOUNT_RATE)^H103/((1+DISCOUNT_RATE)^H103-1)</f>
        <v>9.4392925743255696E-2</v>
      </c>
      <c r="K103" s="8">
        <v>11.11</v>
      </c>
      <c r="L103" s="9" t="str">
        <f>HYPERLINK("https://www.eia.gov/outlooks/aeo/assumptions/pdf/electricity.pdf","EIA, AEO2018, Electricity Market Module, Table 2")</f>
        <v>EIA, AEO2018, Electricity Market Module, Table 2</v>
      </c>
      <c r="M103" s="28">
        <f>F103*J103+K103</f>
        <v>103.80385307987709</v>
      </c>
      <c r="N103" s="29">
        <f>M103/HOURS_PER_YEAR</f>
        <v>1.1841887362491711E-2</v>
      </c>
      <c r="O103" s="8"/>
      <c r="P103" s="8"/>
      <c r="Q103" s="21"/>
      <c r="R103" s="4"/>
      <c r="S103" s="8"/>
      <c r="T103" s="4"/>
      <c r="U103" s="22"/>
      <c r="V103" s="22"/>
      <c r="W103" s="23"/>
      <c r="X103" s="24"/>
      <c r="Y103" s="25"/>
      <c r="Z103" s="31"/>
      <c r="AA103" s="4"/>
      <c r="AB103" s="4"/>
      <c r="AC103" s="4"/>
    </row>
    <row r="104" spans="1:29" ht="14.25" customHeight="1">
      <c r="A104" s="14" t="s">
        <v>111</v>
      </c>
      <c r="B104" s="16">
        <f>Z104</f>
        <v>3.8992074681058302E-2</v>
      </c>
      <c r="C104" s="3" t="s">
        <v>96</v>
      </c>
      <c r="D104" s="3"/>
      <c r="E104" s="4"/>
      <c r="F104" s="8"/>
      <c r="G104" s="3"/>
      <c r="H104" s="8"/>
      <c r="I104" s="3"/>
      <c r="J104" s="18"/>
      <c r="K104" s="8"/>
      <c r="L104" s="32"/>
      <c r="M104" s="18"/>
      <c r="N104" s="20"/>
      <c r="O104" s="8">
        <v>3</v>
      </c>
      <c r="P104" s="8">
        <v>0</v>
      </c>
      <c r="Q104" s="21" t="str">
        <f>IF(AND(O104&lt;&gt;0,P104&lt;&gt;0),"bad fuel cost","OK")</f>
        <v>OK</v>
      </c>
      <c r="R104" s="33" t="str">
        <f>HYPERLINK("https://www.eia.gov/electricity/annual/html/epa_07_20.html","EIA, EPA2016, Table 7.20")</f>
        <v>EIA, EPA2016, Table 7.20</v>
      </c>
      <c r="S104" s="8">
        <v>6350</v>
      </c>
      <c r="T104" s="9" t="str">
        <f>HYPERLINK("https://www.eia.gov/outlooks/aeo/assumptions/pdf/electricity.pdf","EIA, AEO2018, Electricity Market Module, Table 2")</f>
        <v>EIA, AEO2018, Electricity Market Module, Table 2</v>
      </c>
      <c r="U104" s="22">
        <f>1/S104*Btu_per_kWh</f>
        <v>0.53734513907526638</v>
      </c>
      <c r="V104" s="22">
        <f>(O104/MWh_per_MMBtu/1000)/U104 + P104/1000</f>
        <v>1.9050000000000001E-2</v>
      </c>
      <c r="W104" s="23">
        <v>3.54</v>
      </c>
      <c r="X104" s="9" t="str">
        <f>HYPERLINK("https://www.eia.gov/outlooks/aeo/assumptions/pdf/electricity.pdf","EIA, AEO2018, Electricity Market Module, Table 2")</f>
        <v>EIA, AEO2018, Electricity Market Module, Table 2</v>
      </c>
      <c r="Y104" s="25">
        <v>0</v>
      </c>
      <c r="Z104" s="31">
        <f>V104/U104+W104/1000+Y104</f>
        <v>3.8992074681058302E-2</v>
      </c>
      <c r="AA104" s="4"/>
      <c r="AB104" s="4"/>
      <c r="AC104" s="4"/>
    </row>
    <row r="105" spans="1:29" ht="14.25" customHeight="1">
      <c r="A105" s="14" t="s">
        <v>112</v>
      </c>
      <c r="B105" s="15">
        <v>0</v>
      </c>
      <c r="C105" s="3" t="s">
        <v>99</v>
      </c>
      <c r="D105" s="3" t="s">
        <v>100</v>
      </c>
      <c r="E105" s="4"/>
      <c r="F105" s="8"/>
      <c r="G105" s="3"/>
      <c r="H105" s="8"/>
      <c r="I105" s="3"/>
      <c r="J105" s="18"/>
      <c r="K105" s="8"/>
      <c r="L105" s="19"/>
      <c r="M105" s="18"/>
      <c r="N105" s="20"/>
      <c r="O105" s="8"/>
      <c r="P105" s="8"/>
      <c r="Q105" s="21"/>
      <c r="R105" s="4"/>
      <c r="S105" s="8"/>
      <c r="T105" s="4"/>
      <c r="U105" s="22"/>
      <c r="V105" s="22"/>
      <c r="W105" s="23"/>
      <c r="X105" s="24"/>
      <c r="Y105" s="25"/>
      <c r="Z105" s="31"/>
      <c r="AA105" s="4"/>
      <c r="AB105" s="4"/>
      <c r="AC105" s="4"/>
    </row>
    <row r="106" spans="1:29" ht="14.25" customHeight="1">
      <c r="A106" s="14" t="s">
        <v>113</v>
      </c>
      <c r="B106" s="34">
        <v>0.46100000000000002</v>
      </c>
      <c r="C106" s="3" t="s">
        <v>102</v>
      </c>
      <c r="D106" s="3" t="s">
        <v>114</v>
      </c>
      <c r="E106" s="4"/>
      <c r="F106" s="8"/>
      <c r="G106" s="3"/>
      <c r="H106" s="8"/>
      <c r="I106" s="3"/>
      <c r="J106" s="18"/>
      <c r="K106" s="8"/>
      <c r="L106" s="35"/>
      <c r="M106" s="18"/>
      <c r="N106" s="20"/>
      <c r="O106" s="8"/>
      <c r="P106" s="8"/>
      <c r="Q106" s="21"/>
      <c r="R106" s="4"/>
      <c r="S106" s="8"/>
      <c r="T106" s="4"/>
      <c r="U106" s="22"/>
      <c r="V106" s="22"/>
      <c r="W106" s="23"/>
      <c r="X106" s="24"/>
      <c r="Y106" s="25"/>
      <c r="Z106" s="31"/>
      <c r="AA106" s="4"/>
      <c r="AB106" s="4"/>
      <c r="AC106" s="4"/>
    </row>
    <row r="107" spans="1:29" ht="14.25" customHeight="1">
      <c r="A107" s="14"/>
      <c r="B107" s="15"/>
      <c r="C107" s="3"/>
      <c r="D107" s="3"/>
      <c r="E107" s="4"/>
      <c r="F107" s="8"/>
      <c r="G107" s="3"/>
      <c r="H107" s="8"/>
      <c r="I107" s="3"/>
      <c r="J107" s="18"/>
      <c r="K107" s="8"/>
      <c r="L107" s="4"/>
      <c r="M107" s="18"/>
      <c r="N107" s="20"/>
      <c r="O107" s="8"/>
      <c r="P107" s="8"/>
      <c r="Q107" s="21"/>
      <c r="R107" s="4"/>
      <c r="S107" s="8"/>
      <c r="T107" s="4"/>
      <c r="U107" s="22"/>
      <c r="V107" s="22"/>
      <c r="W107" s="23"/>
      <c r="X107" s="24"/>
      <c r="Y107" s="25"/>
      <c r="Z107" s="31"/>
      <c r="AA107" s="4"/>
      <c r="AB107" s="4"/>
      <c r="AC107" s="4"/>
    </row>
    <row r="108" spans="1:29" ht="14.25" customHeight="1">
      <c r="A108" s="14" t="s">
        <v>115</v>
      </c>
      <c r="B108" s="26">
        <f>N108</f>
        <v>2.7271220888813726E-2</v>
      </c>
      <c r="C108" s="3" t="s">
        <v>93</v>
      </c>
      <c r="D108" s="3"/>
      <c r="E108" s="4"/>
      <c r="F108" s="8">
        <v>2175</v>
      </c>
      <c r="G108" s="9" t="str">
        <f>HYPERLINK("https://www.eia.gov/outlooks/aeo/assumptions/pdf/electricity.pdf","EIA, AEO2018, Electricity Market Module, Table 2")</f>
        <v>EIA, AEO2018, Electricity Market Module, Table 2</v>
      </c>
      <c r="H108" s="8">
        <v>20</v>
      </c>
      <c r="I108" s="9" t="str">
        <f>HYPERLINK("https://www.eia.gov/outlooks/aeo/assumptions/pdf/commercial.pdf","EIA, AEO2018, Commercial Demand Module, Table 3")</f>
        <v>EIA, AEO2018, Commercial Demand Module, Table 3</v>
      </c>
      <c r="J108" s="27">
        <f>DISCOUNT_RATE*(1+DISCOUNT_RATE)^H108/((1+DISCOUNT_RATE)^H108-1)</f>
        <v>9.4392925743255696E-2</v>
      </c>
      <c r="K108" s="8">
        <v>33.75</v>
      </c>
      <c r="L108" s="9" t="str">
        <f>HYPERLINK("https://www.eia.gov/outlooks/aeo/assumptions/pdf/electricity.pdf","EIA, AEO2018, Electricity Market Module, Table 2")</f>
        <v>EIA, AEO2018, Electricity Market Module, Table 2</v>
      </c>
      <c r="M108" s="28">
        <f>F108*J108+K108</f>
        <v>239.05461349158114</v>
      </c>
      <c r="N108" s="29">
        <f>M108/HOURS_PER_YEAR</f>
        <v>2.7271220888813726E-2</v>
      </c>
      <c r="O108" s="8"/>
      <c r="P108" s="8"/>
      <c r="Q108" s="21"/>
      <c r="R108" s="4"/>
      <c r="S108" s="8"/>
      <c r="T108" s="4"/>
      <c r="U108" s="22"/>
      <c r="V108" s="22"/>
      <c r="W108" s="23"/>
      <c r="X108" s="24"/>
      <c r="Y108" s="25"/>
      <c r="Z108" s="31"/>
      <c r="AA108" s="4"/>
      <c r="AB108" s="4"/>
      <c r="AC108" s="4"/>
    </row>
    <row r="109" spans="1:29" ht="14.25" customHeight="1">
      <c r="A109" s="14" t="s">
        <v>116</v>
      </c>
      <c r="B109" s="16">
        <f>Z109</f>
        <v>5.6563468785905562E-2</v>
      </c>
      <c r="C109" s="3" t="s">
        <v>96</v>
      </c>
      <c r="D109" s="3"/>
      <c r="E109" s="4"/>
      <c r="F109" s="8"/>
      <c r="G109" s="3"/>
      <c r="H109" s="8"/>
      <c r="I109" s="3"/>
      <c r="J109" s="18"/>
      <c r="K109" s="8"/>
      <c r="L109" s="32"/>
      <c r="M109" s="18"/>
      <c r="N109" s="20"/>
      <c r="O109" s="8">
        <v>3</v>
      </c>
      <c r="P109" s="8">
        <v>0</v>
      </c>
      <c r="Q109" s="21" t="str">
        <f>IF(AND(O109&lt;&gt;0,P109&lt;&gt;0),"bad fuel cost","OK")</f>
        <v>OK</v>
      </c>
      <c r="R109" s="33" t="str">
        <f>HYPERLINK("https://www.eia.gov/electricity/annual/html/epa_07_20.html","EIA, EPA2016, Table 7.20")</f>
        <v>EIA, EPA2016, Table 7.20</v>
      </c>
      <c r="S109" s="8">
        <v>7493</v>
      </c>
      <c r="T109" s="9" t="str">
        <f>HYPERLINK("https://www.eia.gov/outlooks/aeo/assumptions/pdf/electricity.pdf","EIA, AEO2018, Electricity Market Module, Table 2")</f>
        <v>EIA, AEO2018, Electricity Market Module, Table 2</v>
      </c>
      <c r="U109" s="22">
        <f>1/S109*Btu_per_kWh</f>
        <v>0.4553772365044631</v>
      </c>
      <c r="V109" s="22">
        <f>(O109/MWh_per_MMBtu/1000)/U109 + P109/1000</f>
        <v>2.2478999999999999E-2</v>
      </c>
      <c r="W109" s="23">
        <v>7.2</v>
      </c>
      <c r="X109" s="9" t="str">
        <f>HYPERLINK("https://www.eia.gov/outlooks/aeo/assumptions/pdf/electricity.pdf","EIA, AEO2018, Electricity Market Module, Table 2")</f>
        <v>EIA, AEO2018, Electricity Market Module, Table 2</v>
      </c>
      <c r="Y109" s="25">
        <v>0</v>
      </c>
      <c r="Z109" s="31">
        <f>V109/U109+W109/1000+Y109</f>
        <v>5.6563468785905562E-2</v>
      </c>
      <c r="AA109" s="4"/>
      <c r="AB109" s="4"/>
      <c r="AC109" s="4"/>
    </row>
    <row r="110" spans="1:29" ht="14.25" customHeight="1">
      <c r="A110" s="14" t="s">
        <v>117</v>
      </c>
      <c r="B110" s="15">
        <v>0</v>
      </c>
      <c r="C110" s="3" t="s">
        <v>99</v>
      </c>
      <c r="D110" s="3" t="s">
        <v>100</v>
      </c>
      <c r="E110" s="4"/>
      <c r="F110" s="8"/>
      <c r="G110" s="3"/>
      <c r="H110" s="8"/>
      <c r="I110" s="3"/>
      <c r="J110" s="18"/>
      <c r="K110" s="8"/>
      <c r="L110" s="19"/>
      <c r="M110" s="18"/>
      <c r="N110" s="20"/>
      <c r="O110" s="8"/>
      <c r="P110" s="8"/>
      <c r="Q110" s="21"/>
      <c r="R110" s="4"/>
      <c r="S110" s="8"/>
      <c r="T110" s="4"/>
      <c r="U110" s="22"/>
      <c r="V110" s="22"/>
      <c r="W110" s="23"/>
      <c r="X110" s="24"/>
      <c r="Y110" s="25"/>
      <c r="Z110" s="31"/>
      <c r="AA110" s="4"/>
      <c r="AB110" s="4"/>
      <c r="AC110" s="4"/>
    </row>
    <row r="111" spans="1:29" ht="14.25" customHeight="1">
      <c r="A111" s="14" t="s">
        <v>118</v>
      </c>
      <c r="B111" s="34">
        <v>0.16700000000000001</v>
      </c>
      <c r="C111" s="3" t="s">
        <v>102</v>
      </c>
      <c r="D111" s="3" t="s">
        <v>119</v>
      </c>
      <c r="E111" s="4"/>
      <c r="F111" s="8"/>
      <c r="G111" s="3"/>
      <c r="H111" s="8"/>
      <c r="I111" s="3"/>
      <c r="J111" s="18"/>
      <c r="K111" s="8"/>
      <c r="L111" s="35"/>
      <c r="M111" s="18"/>
      <c r="N111" s="20"/>
      <c r="O111" s="8"/>
      <c r="P111" s="8"/>
      <c r="Q111" s="21"/>
      <c r="R111" s="4"/>
      <c r="S111" s="8"/>
      <c r="T111" s="4"/>
      <c r="U111" s="22"/>
      <c r="V111" s="22"/>
      <c r="W111" s="23"/>
      <c r="X111" s="24"/>
      <c r="Y111" s="25"/>
      <c r="Z111" s="31"/>
      <c r="AA111" s="4"/>
      <c r="AB111" s="4"/>
      <c r="AC111" s="4"/>
    </row>
    <row r="112" spans="1:29" ht="14.25" customHeight="1">
      <c r="A112" s="14"/>
      <c r="B112" s="15"/>
      <c r="C112" s="3"/>
      <c r="D112" s="3"/>
      <c r="E112" s="4"/>
      <c r="F112" s="8"/>
      <c r="G112" s="3"/>
      <c r="H112" s="8"/>
      <c r="I112" s="3"/>
      <c r="J112" s="18"/>
      <c r="K112" s="8"/>
      <c r="L112" s="4"/>
      <c r="M112" s="18"/>
      <c r="N112" s="20"/>
      <c r="O112" s="8"/>
      <c r="P112" s="8"/>
      <c r="Q112" s="21"/>
      <c r="R112" s="4"/>
      <c r="S112" s="8"/>
      <c r="T112" s="4"/>
      <c r="U112" s="22"/>
      <c r="V112" s="22"/>
      <c r="W112" s="23"/>
      <c r="X112" s="24"/>
      <c r="Y112" s="25"/>
      <c r="Z112" s="31"/>
      <c r="AA112" s="4"/>
      <c r="AB112" s="4"/>
      <c r="AC112" s="4"/>
    </row>
    <row r="113" spans="1:29" ht="14.25" customHeight="1">
      <c r="A113" s="14" t="s">
        <v>120</v>
      </c>
      <c r="B113" s="26">
        <f>N113</f>
        <v>6.4753901191501415E-2</v>
      </c>
      <c r="C113" s="3" t="s">
        <v>93</v>
      </c>
      <c r="D113" s="30" t="s">
        <v>121</v>
      </c>
      <c r="E113" s="4"/>
      <c r="F113" s="8">
        <v>5946</v>
      </c>
      <c r="G113" s="9" t="str">
        <f>HYPERLINK("https://www.eia.gov/outlooks/aeo/assumptions/pdf/electricity.pdf","EIA, AEO2018, Electricity Market Module, Table 2")</f>
        <v>EIA, AEO2018, Electricity Market Module, Table 2</v>
      </c>
      <c r="H113" s="8">
        <v>40</v>
      </c>
      <c r="I113" s="9" t="str">
        <f>HYPERLINK("https://www.eia.gov/todayinenergy/detail.php?id=19091","EIA, 2014; NRC, 2018")</f>
        <v>EIA, 2014; NRC, 2018</v>
      </c>
      <c r="J113" s="27">
        <f>DISCOUNT_RATE*(1+DISCOUNT_RATE)^H113/((1+DISCOUNT_RATE)^H113-1)</f>
        <v>7.5009138873610326E-2</v>
      </c>
      <c r="K113" s="8">
        <v>101.28</v>
      </c>
      <c r="L113" s="9" t="str">
        <f>HYPERLINK("https://www.eia.gov/outlooks/aeo/assumptions/pdf/electricity.pdf","EIA, AEO2018, Electricity Market Module, Table 2")</f>
        <v>EIA, AEO2018, Electricity Market Module, Table 2</v>
      </c>
      <c r="M113" s="28">
        <f>F113*J113+K113</f>
        <v>547.28433974248696</v>
      </c>
      <c r="N113" s="36">
        <f>M113/HOURS_PER_YEAR+W114/1000</f>
        <v>6.4753901191501415E-2</v>
      </c>
      <c r="O113" s="8"/>
      <c r="P113" s="8"/>
      <c r="Q113" s="21"/>
      <c r="R113" s="4"/>
      <c r="S113" s="8"/>
      <c r="T113" s="4"/>
      <c r="U113" s="22"/>
      <c r="V113" s="22"/>
      <c r="W113" s="23"/>
      <c r="X113" s="24"/>
      <c r="Y113" s="25"/>
      <c r="Z113" s="37"/>
      <c r="AA113" s="3" t="s">
        <v>122</v>
      </c>
      <c r="AB113" s="4"/>
      <c r="AC113" s="4"/>
    </row>
    <row r="114" spans="1:29" ht="14.25" customHeight="1">
      <c r="A114" s="14" t="s">
        <v>123</v>
      </c>
      <c r="B114" s="16">
        <f>Z114</f>
        <v>2.2838149285310763E-2</v>
      </c>
      <c r="C114" s="3" t="s">
        <v>96</v>
      </c>
      <c r="D114" s="30" t="s">
        <v>121</v>
      </c>
      <c r="E114" s="4"/>
      <c r="F114" s="8"/>
      <c r="G114" s="3"/>
      <c r="H114" s="8"/>
      <c r="I114" s="3"/>
      <c r="J114" s="18"/>
      <c r="K114" s="8"/>
      <c r="L114" s="32"/>
      <c r="M114" s="18"/>
      <c r="N114" s="20"/>
      <c r="O114" s="8">
        <v>0</v>
      </c>
      <c r="P114" s="8">
        <v>7.45</v>
      </c>
      <c r="Q114" s="21" t="str">
        <f>IF(AND(O114&lt;&gt;0,P114&lt;&gt;0),"bad fuel cost","OK")</f>
        <v>OK</v>
      </c>
      <c r="R114" s="9" t="str">
        <f>HYPERLINK("https://www.eia.gov/electricity/annual/html/epa_08_04.html","EIA, EPA2016, Table 8.4")</f>
        <v>EIA, EPA2016, Table 8.4</v>
      </c>
      <c r="S114" s="8">
        <v>10460</v>
      </c>
      <c r="T114" s="9" t="str">
        <f>HYPERLINK("https://www.eia.gov/outlooks/aeo/assumptions/pdf/electricity.pdf","EIA, AEO2018, Electricity Market Module, Table 2")</f>
        <v>EIA, AEO2018, Electricity Market Module, Table 2</v>
      </c>
      <c r="U114" s="22">
        <f>1/S114*Btu_per_kWh</f>
        <v>0.32620856913269042</v>
      </c>
      <c r="V114" s="22">
        <f>(O114/MWh_per_MMBtu/1000)/U114 + P114/1000</f>
        <v>7.45E-3</v>
      </c>
      <c r="W114" s="23">
        <v>2.3199999999999998</v>
      </c>
      <c r="X114" s="9" t="str">
        <f>HYPERLINK("https://www.eia.gov/outlooks/aeo/assumptions/pdf/electricity.pdf","EIA, AEO2018, Electricity Market Module, Table 2")</f>
        <v>EIA, AEO2018, Electricity Market Module, Table 2</v>
      </c>
      <c r="Y114" s="25">
        <v>0</v>
      </c>
      <c r="Z114" s="37">
        <f>V114/U114+Y114</f>
        <v>2.2838149285310763E-2</v>
      </c>
      <c r="AA114" s="3" t="s">
        <v>124</v>
      </c>
      <c r="AB114" s="4"/>
      <c r="AC114" s="4"/>
    </row>
    <row r="115" spans="1:29" ht="14.25" customHeight="1">
      <c r="A115" s="14" t="s">
        <v>125</v>
      </c>
      <c r="B115" s="15">
        <v>0</v>
      </c>
      <c r="C115" s="3" t="s">
        <v>99</v>
      </c>
      <c r="D115" s="3" t="s">
        <v>100</v>
      </c>
      <c r="E115" s="4"/>
      <c r="F115" s="8"/>
      <c r="G115" s="3"/>
      <c r="H115" s="8"/>
      <c r="I115" s="3"/>
      <c r="J115" s="18"/>
      <c r="K115" s="8"/>
      <c r="L115" s="19"/>
      <c r="M115" s="18"/>
      <c r="N115" s="20"/>
      <c r="O115" s="8"/>
      <c r="P115" s="8"/>
      <c r="Q115" s="21"/>
      <c r="R115" s="4"/>
      <c r="S115" s="8"/>
      <c r="T115" s="4"/>
      <c r="U115" s="22"/>
      <c r="V115" s="22"/>
      <c r="W115" s="23"/>
      <c r="X115" s="24"/>
      <c r="Y115" s="25"/>
      <c r="Z115" s="20"/>
      <c r="AA115" s="4"/>
      <c r="AB115" s="4"/>
      <c r="AC115" s="4"/>
    </row>
    <row r="116" spans="1:29" ht="14.25" customHeight="1">
      <c r="A116" s="14" t="s">
        <v>126</v>
      </c>
      <c r="B116" s="15">
        <v>0</v>
      </c>
      <c r="C116" s="3" t="s">
        <v>102</v>
      </c>
      <c r="D116" s="3" t="s">
        <v>103</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c r="A117" s="14"/>
      <c r="B117" s="15"/>
      <c r="C117" s="3"/>
      <c r="D117" s="3"/>
      <c r="E117" s="4"/>
      <c r="F117" s="8"/>
      <c r="G117" s="3"/>
      <c r="H117" s="8"/>
      <c r="I117" s="3"/>
      <c r="J117" s="18"/>
      <c r="K117" s="8"/>
      <c r="L117" s="4"/>
      <c r="M117" s="18"/>
      <c r="N117" s="20"/>
      <c r="O117" s="8"/>
      <c r="P117" s="8"/>
      <c r="Q117" s="21"/>
      <c r="R117" s="4"/>
      <c r="S117" s="8"/>
      <c r="T117" s="4"/>
      <c r="U117" s="22"/>
      <c r="V117" s="22"/>
      <c r="W117" s="23"/>
      <c r="X117" s="24"/>
      <c r="Y117" s="25"/>
      <c r="Z117" s="20"/>
      <c r="AA117" s="4"/>
      <c r="AB117" s="4"/>
      <c r="AC117" s="4"/>
    </row>
    <row r="118" spans="1:29" ht="14.25" customHeight="1">
      <c r="A118" s="14" t="s">
        <v>127</v>
      </c>
      <c r="B118" s="26">
        <f>N118</f>
        <v>4.2392529406082022E-3</v>
      </c>
      <c r="C118" s="3" t="s">
        <v>128</v>
      </c>
      <c r="D118" s="3" t="s">
        <v>129</v>
      </c>
      <c r="E118" s="4"/>
      <c r="F118" s="8">
        <v>261</v>
      </c>
      <c r="G118" s="9" t="str">
        <f>HYPERLINK("http://science.sciencemag.org/content/360/6396/eaas9793/tab-pdf","Davis et al., 2018, Science")</f>
        <v>Davis et al., 2018, Science</v>
      </c>
      <c r="H118" s="8">
        <v>10</v>
      </c>
      <c r="I118" s="9" t="str">
        <f>HYPERLINK("https://www.lazard.com/media/450338/lazard-levelized-cost-of-storage-version-30.pdf","LAZARD, 2017, Appendix A")</f>
        <v>LAZARD, 2017, Appendix A</v>
      </c>
      <c r="J118" s="27">
        <f>DISCOUNT_RATE*(1+DISCOUNT_RATE)^H118/((1+DISCOUNT_RATE)^H118-1)</f>
        <v>0.14237750272736471</v>
      </c>
      <c r="K118" s="8">
        <v>0</v>
      </c>
      <c r="L118" s="32"/>
      <c r="M118" s="28">
        <f>F118*J118+K118</f>
        <v>37.160528211842191</v>
      </c>
      <c r="N118" s="29">
        <f>M118/HOURS_PER_YEAR</f>
        <v>4.2392529406082022E-3</v>
      </c>
      <c r="O118" s="8"/>
      <c r="P118" s="8"/>
      <c r="Q118" s="21"/>
      <c r="R118" s="4"/>
      <c r="S118" s="8"/>
      <c r="T118" s="4"/>
      <c r="U118" s="22"/>
      <c r="V118" s="22"/>
      <c r="W118" s="23"/>
      <c r="X118" s="24"/>
      <c r="Y118" s="25"/>
      <c r="Z118" s="20"/>
      <c r="AA118" s="4"/>
      <c r="AB118" s="4"/>
      <c r="AC118" s="4"/>
    </row>
    <row r="119" spans="1:29" ht="14.25" customHeight="1">
      <c r="A119" s="14" t="s">
        <v>130</v>
      </c>
      <c r="B119" s="16">
        <f t="shared" ref="B119:B120" si="0">Z119</f>
        <v>0</v>
      </c>
      <c r="C119" s="3" t="s">
        <v>93</v>
      </c>
      <c r="D119" s="3"/>
      <c r="E119" s="4"/>
      <c r="F119" s="8"/>
      <c r="G119" s="3"/>
      <c r="H119" s="8"/>
      <c r="I119" s="3"/>
      <c r="J119" s="18"/>
      <c r="K119" s="8"/>
      <c r="L119" s="4"/>
      <c r="M119" s="18"/>
      <c r="N119" s="20"/>
      <c r="O119" s="8">
        <v>0</v>
      </c>
      <c r="P119" s="8">
        <v>0</v>
      </c>
      <c r="Q119" s="21" t="str">
        <f t="shared" ref="Q119:Q120" si="1">IF(AND(O119&lt;&gt;0,P119&lt;&gt;0),"bad fuel cost","OK")</f>
        <v>OK</v>
      </c>
      <c r="R119" s="4"/>
      <c r="S119" s="8">
        <v>0</v>
      </c>
      <c r="T119" s="4"/>
      <c r="U119" s="22">
        <v>1</v>
      </c>
      <c r="V119" s="22"/>
      <c r="W119" s="23">
        <v>0</v>
      </c>
      <c r="X119" s="24"/>
      <c r="Y119" s="25"/>
      <c r="Z119" s="31">
        <f t="shared" ref="Z119:Z120" si="2">V119/U119+W119/1000+Y119</f>
        <v>0</v>
      </c>
      <c r="AA119" s="4"/>
      <c r="AB119" s="4"/>
      <c r="AC119" s="38"/>
    </row>
    <row r="120" spans="1:29" ht="14.25" customHeight="1">
      <c r="A120" s="14" t="s">
        <v>131</v>
      </c>
      <c r="B120" s="16">
        <f t="shared" si="0"/>
        <v>0</v>
      </c>
      <c r="C120" s="3" t="s">
        <v>93</v>
      </c>
      <c r="D120" s="3"/>
      <c r="E120" s="4"/>
      <c r="F120" s="8"/>
      <c r="G120" s="3"/>
      <c r="H120" s="8"/>
      <c r="I120" s="3"/>
      <c r="J120" s="18"/>
      <c r="K120" s="8"/>
      <c r="L120" s="4"/>
      <c r="M120" s="18"/>
      <c r="N120" s="20"/>
      <c r="O120" s="8">
        <v>0</v>
      </c>
      <c r="P120" s="8">
        <v>0</v>
      </c>
      <c r="Q120" s="21" t="str">
        <f t="shared" si="1"/>
        <v>OK</v>
      </c>
      <c r="R120" s="4"/>
      <c r="S120" s="8">
        <v>0</v>
      </c>
      <c r="T120" s="4"/>
      <c r="U120" s="22">
        <v>1</v>
      </c>
      <c r="V120" s="22"/>
      <c r="W120" s="23">
        <v>0</v>
      </c>
      <c r="X120" s="24"/>
      <c r="Y120" s="25"/>
      <c r="Z120" s="31">
        <f t="shared" si="2"/>
        <v>0</v>
      </c>
      <c r="AA120" s="4"/>
      <c r="AB120" s="4"/>
      <c r="AC120" s="4"/>
    </row>
    <row r="121" spans="1:29" ht="14.25" customHeight="1">
      <c r="A121" s="52" t="s">
        <v>163</v>
      </c>
      <c r="B121" s="15">
        <v>0.9</v>
      </c>
      <c r="C121" s="3"/>
      <c r="D121" s="3" t="s">
        <v>132</v>
      </c>
      <c r="E121" s="4"/>
      <c r="F121" s="8"/>
      <c r="G121" s="3"/>
      <c r="H121" s="8"/>
      <c r="I121" s="3"/>
      <c r="J121" s="18"/>
      <c r="K121" s="8"/>
      <c r="L121" s="4"/>
      <c r="M121" s="18"/>
      <c r="N121" s="20"/>
      <c r="O121" s="8"/>
      <c r="P121" s="8"/>
      <c r="Q121" s="21"/>
      <c r="R121" s="4"/>
      <c r="S121" s="8"/>
      <c r="T121" s="4"/>
      <c r="U121" s="22"/>
      <c r="V121" s="22"/>
      <c r="W121" s="23"/>
      <c r="X121" s="24"/>
      <c r="Y121" s="25"/>
      <c r="Z121" s="20"/>
      <c r="AA121" s="4"/>
      <c r="AB121" s="4"/>
      <c r="AC121" s="4"/>
    </row>
    <row r="122" spans="1:29" ht="14.25" customHeight="1">
      <c r="A122" s="52" t="s">
        <v>164</v>
      </c>
      <c r="B122" s="26">
        <f>1.01^(1/HOURS_PER_YEAR)-1</f>
        <v>1.1351290010175319E-6</v>
      </c>
      <c r="C122" s="3" t="s">
        <v>133</v>
      </c>
      <c r="D122" s="3" t="s">
        <v>134</v>
      </c>
      <c r="E122" s="9" t="str">
        <f>HYPERLINK("https://batteryuniversity.com/learn/article/elevating_self_discharge","Buchmann, 2018, Battery University")</f>
        <v>Buchmann, 2018, Battery University</v>
      </c>
      <c r="F122" s="8"/>
      <c r="G122" s="3"/>
      <c r="H122" s="8"/>
      <c r="I122" s="3"/>
      <c r="J122" s="18"/>
      <c r="K122" s="8"/>
      <c r="L122" s="32"/>
      <c r="M122" s="18"/>
      <c r="N122" s="20"/>
      <c r="O122" s="8"/>
      <c r="P122" s="8"/>
      <c r="Q122" s="21"/>
      <c r="R122" s="4"/>
      <c r="S122" s="8"/>
      <c r="T122" s="4"/>
      <c r="U122" s="22"/>
      <c r="V122" s="22"/>
      <c r="W122" s="23"/>
      <c r="X122" s="24"/>
      <c r="Y122" s="25"/>
      <c r="Z122" s="20"/>
      <c r="AA122" s="4"/>
      <c r="AB122" s="4"/>
      <c r="AC122" s="4"/>
    </row>
    <row r="123" spans="1:29" ht="14.25" customHeight="1">
      <c r="A123" s="52" t="s">
        <v>165</v>
      </c>
      <c r="B123" s="34">
        <f>1568/261</f>
        <v>6.0076628352490422</v>
      </c>
      <c r="C123" s="3" t="s">
        <v>135</v>
      </c>
      <c r="D123" s="3" t="s">
        <v>136</v>
      </c>
      <c r="E123" s="4"/>
      <c r="F123" s="8"/>
      <c r="G123" s="9"/>
      <c r="H123" s="8"/>
      <c r="I123" s="3"/>
      <c r="J123" s="18"/>
      <c r="K123" s="8"/>
      <c r="L123" s="4"/>
      <c r="M123" s="18"/>
      <c r="N123" s="20"/>
      <c r="O123" s="8"/>
      <c r="P123" s="8"/>
      <c r="Q123" s="21"/>
      <c r="R123" s="4"/>
      <c r="S123" s="8"/>
      <c r="T123" s="4"/>
      <c r="U123" s="22"/>
      <c r="V123" s="22"/>
      <c r="W123" s="23"/>
      <c r="X123" s="24"/>
      <c r="Y123" s="25"/>
      <c r="Z123" s="20"/>
      <c r="AA123" s="4"/>
      <c r="AB123" s="4"/>
      <c r="AC123" s="4"/>
    </row>
    <row r="124" spans="1:29" ht="14.25" customHeight="1">
      <c r="A124" s="14"/>
      <c r="B124" s="15"/>
      <c r="C124" s="3"/>
      <c r="D124" s="3"/>
      <c r="E124" s="4"/>
      <c r="F124" s="8"/>
      <c r="G124" s="3"/>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c r="A125" s="14" t="s">
        <v>178</v>
      </c>
      <c r="B125" s="26">
        <f>N125</f>
        <v>4.2392529406082022E-3</v>
      </c>
      <c r="C125" s="3" t="s">
        <v>128</v>
      </c>
      <c r="D125" s="3" t="s">
        <v>129</v>
      </c>
      <c r="E125" s="4"/>
      <c r="F125" s="8">
        <v>261</v>
      </c>
      <c r="G125" s="9" t="str">
        <f>HYPERLINK("http://science.sciencemag.org/content/360/6396/eaas9793/tab-pdf","Davis et al., 2018, Science")</f>
        <v>Davis et al., 2018, Science</v>
      </c>
      <c r="H125" s="8">
        <v>10</v>
      </c>
      <c r="I125" s="9" t="str">
        <f>HYPERLINK("https://www.lazard.com/media/450338/lazard-levelized-cost-of-storage-version-30.pdf","LAZARD, 2017, Appendix A")</f>
        <v>LAZARD, 2017, Appendix A</v>
      </c>
      <c r="J125" s="27">
        <f>DISCOUNT_RATE*(1+DISCOUNT_RATE)^H125/((1+DISCOUNT_RATE)^H125-1)</f>
        <v>0.14237750272736471</v>
      </c>
      <c r="K125" s="8">
        <v>0</v>
      </c>
      <c r="L125" s="32"/>
      <c r="M125" s="28">
        <f>F125*J125+K125</f>
        <v>37.160528211842191</v>
      </c>
      <c r="N125" s="29">
        <f>M125/HOURS_PER_YEAR</f>
        <v>4.2392529406082022E-3</v>
      </c>
      <c r="O125" s="8"/>
      <c r="P125" s="8"/>
      <c r="Q125" s="21"/>
      <c r="R125" s="4"/>
      <c r="S125" s="8"/>
      <c r="T125" s="4"/>
      <c r="U125" s="22"/>
      <c r="V125" s="22"/>
      <c r="W125" s="23"/>
      <c r="X125" s="24"/>
      <c r="Y125" s="25"/>
      <c r="Z125" s="20"/>
      <c r="AA125" s="4"/>
      <c r="AB125" s="4"/>
      <c r="AC125" s="4"/>
    </row>
    <row r="126" spans="1:29" ht="14.25" customHeight="1">
      <c r="A126" s="14" t="s">
        <v>179</v>
      </c>
      <c r="B126" s="16">
        <f t="shared" ref="B126:B127" si="3">Z126</f>
        <v>0</v>
      </c>
      <c r="C126" s="3" t="s">
        <v>93</v>
      </c>
      <c r="D126" s="3"/>
      <c r="E126" s="4"/>
      <c r="F126" s="8"/>
      <c r="G126" s="3"/>
      <c r="H126" s="8"/>
      <c r="I126" s="3"/>
      <c r="J126" s="18"/>
      <c r="K126" s="8"/>
      <c r="L126" s="4"/>
      <c r="M126" s="18"/>
      <c r="N126" s="20"/>
      <c r="O126" s="8">
        <v>0</v>
      </c>
      <c r="P126" s="8">
        <v>0</v>
      </c>
      <c r="Q126" s="21" t="str">
        <f t="shared" ref="Q126:Q127" si="4">IF(AND(O126&lt;&gt;0,P126&lt;&gt;0),"bad fuel cost","OK")</f>
        <v>OK</v>
      </c>
      <c r="R126" s="4"/>
      <c r="S126" s="8">
        <v>0</v>
      </c>
      <c r="T126" s="4"/>
      <c r="U126" s="22">
        <v>1</v>
      </c>
      <c r="V126" s="22"/>
      <c r="W126" s="23">
        <v>0</v>
      </c>
      <c r="X126" s="24"/>
      <c r="Y126" s="25"/>
      <c r="Z126" s="31">
        <f t="shared" ref="Z126:Z127" si="5">V126/U126+W126/1000+Y126</f>
        <v>0</v>
      </c>
      <c r="AA126" s="4"/>
      <c r="AB126" s="4"/>
      <c r="AC126" s="38"/>
    </row>
    <row r="127" spans="1:29" ht="14.25" customHeight="1">
      <c r="A127" s="14" t="s">
        <v>180</v>
      </c>
      <c r="B127" s="16">
        <f t="shared" si="3"/>
        <v>0</v>
      </c>
      <c r="C127" s="3" t="s">
        <v>93</v>
      </c>
      <c r="D127" s="3"/>
      <c r="E127" s="4"/>
      <c r="F127" s="8"/>
      <c r="G127" s="3"/>
      <c r="H127" s="8"/>
      <c r="I127" s="3"/>
      <c r="J127" s="18"/>
      <c r="K127" s="8"/>
      <c r="L127" s="4"/>
      <c r="M127" s="18"/>
      <c r="N127" s="20"/>
      <c r="O127" s="8">
        <v>0</v>
      </c>
      <c r="P127" s="8">
        <v>0</v>
      </c>
      <c r="Q127" s="21" t="str">
        <f t="shared" si="4"/>
        <v>OK</v>
      </c>
      <c r="R127" s="4"/>
      <c r="S127" s="8">
        <v>0</v>
      </c>
      <c r="T127" s="4"/>
      <c r="U127" s="22">
        <v>1</v>
      </c>
      <c r="V127" s="22"/>
      <c r="W127" s="23">
        <v>0</v>
      </c>
      <c r="X127" s="24"/>
      <c r="Y127" s="25"/>
      <c r="Z127" s="31">
        <f t="shared" si="5"/>
        <v>0</v>
      </c>
      <c r="AA127" s="4"/>
      <c r="AB127" s="4"/>
      <c r="AC127" s="4"/>
    </row>
    <row r="128" spans="1:29" ht="14.25" customHeight="1">
      <c r="A128" s="52" t="s">
        <v>181</v>
      </c>
      <c r="B128" s="15">
        <v>0.9</v>
      </c>
      <c r="C128" s="3"/>
      <c r="D128" s="3" t="s">
        <v>132</v>
      </c>
      <c r="E128" s="4"/>
      <c r="F128" s="8"/>
      <c r="G128" s="3"/>
      <c r="H128" s="8"/>
      <c r="I128" s="3"/>
      <c r="J128" s="18"/>
      <c r="K128" s="8"/>
      <c r="L128" s="4"/>
      <c r="M128" s="18"/>
      <c r="N128" s="20"/>
      <c r="O128" s="8"/>
      <c r="P128" s="8"/>
      <c r="Q128" s="21"/>
      <c r="R128" s="4"/>
      <c r="S128" s="8"/>
      <c r="T128" s="4"/>
      <c r="U128" s="22"/>
      <c r="V128" s="22"/>
      <c r="W128" s="23"/>
      <c r="X128" s="24"/>
      <c r="Y128" s="25"/>
      <c r="Z128" s="20"/>
      <c r="AA128" s="4"/>
      <c r="AB128" s="4"/>
      <c r="AC128" s="4"/>
    </row>
    <row r="129" spans="1:29" ht="14.25" customHeight="1">
      <c r="A129" s="52" t="s">
        <v>185</v>
      </c>
      <c r="B129" s="26">
        <f>1.01^(1/HOURS_PER_YEAR)-1</f>
        <v>1.1351290010175319E-6</v>
      </c>
      <c r="C129" s="3" t="s">
        <v>133</v>
      </c>
      <c r="D129" s="3" t="s">
        <v>134</v>
      </c>
      <c r="E129" s="9" t="str">
        <f>HYPERLINK("https://batteryuniversity.com/learn/article/elevating_self_discharge","Buchmann, 2018, Battery University")</f>
        <v>Buchmann, 2018, Battery University</v>
      </c>
      <c r="F129" s="8"/>
      <c r="G129" s="3"/>
      <c r="H129" s="8"/>
      <c r="I129" s="3"/>
      <c r="J129" s="18"/>
      <c r="K129" s="8"/>
      <c r="L129" s="32"/>
      <c r="M129" s="18"/>
      <c r="N129" s="20"/>
      <c r="O129" s="8"/>
      <c r="P129" s="8"/>
      <c r="Q129" s="21"/>
      <c r="R129" s="4"/>
      <c r="S129" s="8"/>
      <c r="T129" s="4"/>
      <c r="U129" s="22"/>
      <c r="V129" s="22"/>
      <c r="W129" s="23"/>
      <c r="X129" s="24"/>
      <c r="Y129" s="25"/>
      <c r="Z129" s="20"/>
      <c r="AA129" s="4"/>
      <c r="AB129" s="4"/>
      <c r="AC129" s="4"/>
    </row>
    <row r="130" spans="1:29" ht="14.25" customHeight="1">
      <c r="A130" s="52" t="s">
        <v>186</v>
      </c>
      <c r="B130" s="34">
        <f>1568/261</f>
        <v>6.0076628352490422</v>
      </c>
      <c r="C130" s="3" t="s">
        <v>135</v>
      </c>
      <c r="D130" s="3" t="s">
        <v>136</v>
      </c>
      <c r="E130" s="4"/>
      <c r="F130" s="8"/>
      <c r="G130" s="9"/>
      <c r="H130" s="8"/>
      <c r="I130" s="3"/>
      <c r="J130" s="18"/>
      <c r="K130" s="8"/>
      <c r="L130" s="4"/>
      <c r="M130" s="18"/>
      <c r="N130" s="20"/>
      <c r="O130" s="8"/>
      <c r="P130" s="8"/>
      <c r="Q130" s="21"/>
      <c r="R130" s="4"/>
      <c r="S130" s="8"/>
      <c r="T130" s="4"/>
      <c r="U130" s="22"/>
      <c r="V130" s="22"/>
      <c r="W130" s="23"/>
      <c r="X130" s="24"/>
      <c r="Y130" s="25"/>
      <c r="Z130" s="20"/>
      <c r="AA130" s="4"/>
      <c r="AB130" s="4"/>
      <c r="AC130" s="4"/>
    </row>
    <row r="131" spans="1:29" ht="14.25" customHeight="1">
      <c r="A131" s="14"/>
      <c r="B131" s="15"/>
      <c r="C131" s="3"/>
      <c r="D131" s="3"/>
      <c r="E131" s="4"/>
      <c r="F131" s="8"/>
      <c r="G131" s="3"/>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c r="A132" s="52" t="s">
        <v>137</v>
      </c>
      <c r="B132" s="39">
        <f t="shared" ref="B132:B134" si="6">N132</f>
        <v>3.2304881600325706E-6</v>
      </c>
      <c r="C132" s="3" t="s">
        <v>128</v>
      </c>
      <c r="D132" s="3" t="s">
        <v>138</v>
      </c>
      <c r="E132" s="4"/>
      <c r="F132" s="8">
        <v>0.3</v>
      </c>
      <c r="G132" s="9" t="str">
        <f>HYPERLINK("https://prod-ng.sandia.gov/techlib-noauth/access-control.cgi/2011/114845.pdf","Schoenung, 2011, Sandia Report")</f>
        <v>Schoenung, 2011, Sandia Report</v>
      </c>
      <c r="H132" s="40">
        <v>20</v>
      </c>
      <c r="I132" s="30" t="s">
        <v>139</v>
      </c>
      <c r="J132" s="27">
        <f>DISCOUNT_RATE*(1+DISCOUNT_RATE)^H132/((1+DISCOUNT_RATE)^H132-1)</f>
        <v>9.4392925743255696E-2</v>
      </c>
      <c r="K132" s="8">
        <v>0</v>
      </c>
      <c r="L132" s="32"/>
      <c r="M132" s="28">
        <f t="shared" ref="M132:M134" si="7">F132*J132+K132</f>
        <v>2.8317877722976708E-2</v>
      </c>
      <c r="N132" s="41">
        <f>M132/HOURS_PER_YEAR</f>
        <v>3.2304881600325706E-6</v>
      </c>
      <c r="O132" s="8"/>
      <c r="P132" s="8"/>
      <c r="Q132" s="21"/>
      <c r="R132" s="4"/>
      <c r="S132" s="8"/>
      <c r="T132" s="4"/>
      <c r="U132" s="22"/>
      <c r="V132" s="22"/>
      <c r="W132" s="23"/>
      <c r="X132" s="24"/>
      <c r="Y132" s="25"/>
      <c r="Z132" s="20"/>
      <c r="AA132" s="4"/>
      <c r="AB132" s="4"/>
      <c r="AC132" s="4"/>
    </row>
    <row r="133" spans="1:29" ht="14.25" customHeight="1">
      <c r="A133" s="52" t="s">
        <v>140</v>
      </c>
      <c r="B133" s="39">
        <f t="shared" si="6"/>
        <v>1.184512325345276E-2</v>
      </c>
      <c r="C133" s="3" t="s">
        <v>93</v>
      </c>
      <c r="D133" s="3"/>
      <c r="E133" s="4"/>
      <c r="F133" s="8">
        <v>1100</v>
      </c>
      <c r="G133" s="9" t="str">
        <f t="shared" ref="G133:G134" si="8">HYPERLINK("http://science.sciencemag.org/content/360/6396/eaas9793/tab-pdf","Davis et al., 2018, Science")</f>
        <v>Davis et al., 2018, Science</v>
      </c>
      <c r="H133" s="40">
        <v>20</v>
      </c>
      <c r="I133" s="30" t="s">
        <v>139</v>
      </c>
      <c r="J133" s="27">
        <f>DISCOUNT_RATE*(1+DISCOUNT_RATE)^H133/((1+DISCOUNT_RATE)^H133-1)</f>
        <v>9.4392925743255696E-2</v>
      </c>
      <c r="K133" s="8">
        <v>0</v>
      </c>
      <c r="L133" s="32"/>
      <c r="M133" s="28">
        <f t="shared" si="7"/>
        <v>103.83221831758127</v>
      </c>
      <c r="N133" s="29">
        <f>M133/HOURS_PER_YEAR</f>
        <v>1.184512325345276E-2</v>
      </c>
      <c r="O133" s="8"/>
      <c r="P133" s="8"/>
      <c r="Q133" s="21"/>
      <c r="R133" s="4"/>
      <c r="S133" s="8"/>
      <c r="T133" s="4"/>
      <c r="U133" s="22"/>
      <c r="V133" s="22"/>
      <c r="W133" s="23"/>
      <c r="X133" s="24"/>
      <c r="Y133" s="25"/>
      <c r="Z133" s="20"/>
      <c r="AA133" s="4"/>
      <c r="AB133" s="4"/>
      <c r="AC133" s="4"/>
    </row>
    <row r="134" spans="1:29" ht="14.25" customHeight="1">
      <c r="A134" s="52" t="s">
        <v>141</v>
      </c>
      <c r="B134" s="39">
        <f t="shared" si="6"/>
        <v>4.9534151787166088E-2</v>
      </c>
      <c r="C134" s="3" t="s">
        <v>93</v>
      </c>
      <c r="D134" s="3"/>
      <c r="E134" s="4"/>
      <c r="F134" s="8">
        <v>4600</v>
      </c>
      <c r="G134" s="9" t="str">
        <f t="shared" si="8"/>
        <v>Davis et al., 2018, Science</v>
      </c>
      <c r="H134" s="40">
        <v>20</v>
      </c>
      <c r="I134" s="30" t="s">
        <v>139</v>
      </c>
      <c r="J134" s="27">
        <f>DISCOUNT_RATE*(1+DISCOUNT_RATE)^H134/((1+DISCOUNT_RATE)^H134-1)</f>
        <v>9.4392925743255696E-2</v>
      </c>
      <c r="K134" s="8">
        <v>0</v>
      </c>
      <c r="L134" s="32"/>
      <c r="M134" s="28">
        <f t="shared" si="7"/>
        <v>434.20745841897622</v>
      </c>
      <c r="N134" s="29">
        <f>M134/HOURS_PER_YEAR</f>
        <v>4.9534151787166088E-2</v>
      </c>
      <c r="O134" s="8"/>
      <c r="P134" s="8"/>
      <c r="Q134" s="21"/>
      <c r="R134" s="4"/>
      <c r="S134" s="8"/>
      <c r="T134" s="4"/>
      <c r="U134" s="22"/>
      <c r="V134" s="22"/>
      <c r="W134" s="23"/>
      <c r="X134" s="24"/>
      <c r="Y134" s="25"/>
      <c r="Z134" s="20"/>
      <c r="AA134" s="4"/>
      <c r="AB134" s="4"/>
      <c r="AC134" s="4"/>
    </row>
    <row r="135" spans="1:29" ht="14.25" customHeight="1">
      <c r="A135" s="52" t="s">
        <v>142</v>
      </c>
      <c r="B135" s="16">
        <f t="shared" ref="B135:B136" si="9">Z135</f>
        <v>0</v>
      </c>
      <c r="C135" s="3" t="s">
        <v>93</v>
      </c>
      <c r="D135" s="3"/>
      <c r="E135" s="4"/>
      <c r="F135" s="8"/>
      <c r="G135" s="3"/>
      <c r="H135" s="8"/>
      <c r="I135" s="3"/>
      <c r="J135" s="18"/>
      <c r="K135" s="8"/>
      <c r="L135" s="4"/>
      <c r="M135" s="18"/>
      <c r="N135" s="20"/>
      <c r="O135" s="8">
        <v>0</v>
      </c>
      <c r="P135" s="8">
        <v>0</v>
      </c>
      <c r="Q135" s="21" t="str">
        <f t="shared" ref="Q135:Q136" si="10">IF(AND(O135&lt;&gt;0,P135&lt;&gt;0),"bad fuel cost","OK")</f>
        <v>OK</v>
      </c>
      <c r="R135" s="4"/>
      <c r="S135" s="8">
        <v>0</v>
      </c>
      <c r="T135" s="4"/>
      <c r="U135" s="22">
        <v>1</v>
      </c>
      <c r="V135" s="22"/>
      <c r="W135" s="23">
        <v>0</v>
      </c>
      <c r="X135" s="24"/>
      <c r="Y135" s="25"/>
      <c r="Z135" s="31">
        <f t="shared" ref="Z135:Z136" si="11">V135/U135+W135/1000+Y135</f>
        <v>0</v>
      </c>
      <c r="AA135" s="4"/>
      <c r="AB135" s="4"/>
      <c r="AC135" s="4"/>
    </row>
    <row r="136" spans="1:29" ht="14.25" customHeight="1">
      <c r="A136" s="52" t="s">
        <v>143</v>
      </c>
      <c r="B136" s="16">
        <f t="shared" si="9"/>
        <v>0</v>
      </c>
      <c r="C136" s="3" t="s">
        <v>93</v>
      </c>
      <c r="D136" s="3"/>
      <c r="E136" s="4"/>
      <c r="F136" s="8"/>
      <c r="G136" s="3"/>
      <c r="H136" s="8"/>
      <c r="I136" s="3"/>
      <c r="J136" s="18"/>
      <c r="K136" s="8"/>
      <c r="L136" s="4"/>
      <c r="M136" s="18"/>
      <c r="N136" s="20"/>
      <c r="O136" s="8">
        <v>0</v>
      </c>
      <c r="P136" s="8">
        <v>0</v>
      </c>
      <c r="Q136" s="21" t="str">
        <f t="shared" si="10"/>
        <v>OK</v>
      </c>
      <c r="R136" s="4"/>
      <c r="S136" s="8">
        <v>0</v>
      </c>
      <c r="T136" s="4"/>
      <c r="U136" s="22">
        <v>1</v>
      </c>
      <c r="V136" s="22"/>
      <c r="W136" s="23">
        <v>0</v>
      </c>
      <c r="X136" s="24"/>
      <c r="Y136" s="25"/>
      <c r="Z136" s="31">
        <f t="shared" si="11"/>
        <v>0</v>
      </c>
      <c r="AA136" s="4"/>
      <c r="AB136" s="4"/>
      <c r="AC136" s="4"/>
    </row>
    <row r="137" spans="1:29" ht="14.25" customHeight="1">
      <c r="A137" s="52" t="s">
        <v>156</v>
      </c>
      <c r="B137" s="42">
        <f>1.0001^(1/HOURS_PER_YEAR)-1</f>
        <v>1.1407375488659E-8</v>
      </c>
      <c r="C137" s="3" t="s">
        <v>133</v>
      </c>
      <c r="D137" s="3" t="s">
        <v>144</v>
      </c>
      <c r="E137" s="9" t="str">
        <f>HYPERLINK("http://juser.fz-juelich.de/record/135790/files/Energie%26Umwelt_78-04.pdf","Crotogino et al., 2010, p43")</f>
        <v>Crotogino et al., 2010, p43</v>
      </c>
      <c r="F137" s="8"/>
      <c r="G137" s="3"/>
      <c r="H137" s="8"/>
      <c r="I137" s="3"/>
      <c r="J137" s="18"/>
      <c r="K137" s="8"/>
      <c r="L137" s="4"/>
      <c r="M137" s="18"/>
      <c r="N137" s="20"/>
      <c r="O137" s="8"/>
      <c r="P137" s="8"/>
      <c r="Q137" s="21"/>
      <c r="R137" s="4"/>
      <c r="S137" s="8"/>
      <c r="T137" s="4"/>
      <c r="U137" s="22"/>
      <c r="V137" s="22"/>
      <c r="W137" s="23"/>
      <c r="X137" s="24"/>
      <c r="Y137" s="25"/>
      <c r="Z137" s="20"/>
      <c r="AA137" s="4"/>
      <c r="AB137" s="4"/>
      <c r="AC137" s="4"/>
    </row>
    <row r="138" spans="1:29" ht="14.25" customHeight="1">
      <c r="A138" s="52" t="s">
        <v>157</v>
      </c>
      <c r="B138" s="42">
        <v>0.3</v>
      </c>
      <c r="C138" s="3"/>
      <c r="D138" s="9" t="str">
        <f>HYPERLINK("https://pubs.rsc.org/en/content/articlepdf/2015/ee/c4ee04041d","Pellow et al., 2015, Energy Environ. Sci.")</f>
        <v>Pellow et al., 2015, Energy Environ. Sci.</v>
      </c>
      <c r="E138" s="4"/>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c r="A139" s="52"/>
      <c r="B139" s="42"/>
      <c r="C139" s="3"/>
      <c r="D139" s="9"/>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s="53" customFormat="1" ht="14.4">
      <c r="A140" s="52" t="s">
        <v>158</v>
      </c>
      <c r="B140" s="47" t="s">
        <v>191</v>
      </c>
    </row>
    <row r="141" spans="1:29" s="53" customFormat="1" ht="14.4">
      <c r="A141" s="52" t="s">
        <v>152</v>
      </c>
      <c r="B141" s="48">
        <v>1.9528741509529837E-2</v>
      </c>
      <c r="C141" s="53" t="s">
        <v>93</v>
      </c>
      <c r="D141" s="46">
        <f>0.3*0.08/8760</f>
        <v>2.7397260273972604E-6</v>
      </c>
      <c r="E141" s="53" t="s">
        <v>159</v>
      </c>
    </row>
    <row r="142" spans="1:29" s="53" customFormat="1" ht="14.4">
      <c r="A142" s="52" t="s">
        <v>153</v>
      </c>
      <c r="B142" s="48">
        <f>1100*0.08/8760</f>
        <v>1.0045662100456621E-2</v>
      </c>
      <c r="C142" s="53" t="s">
        <v>128</v>
      </c>
      <c r="E142" s="53" t="s">
        <v>160</v>
      </c>
    </row>
    <row r="143" spans="1:29" s="53" customFormat="1" ht="14.4">
      <c r="A143" s="52" t="s">
        <v>154</v>
      </c>
      <c r="B143" s="49">
        <f>0.00000001</f>
        <v>1E-8</v>
      </c>
      <c r="C143" s="53" t="s">
        <v>93</v>
      </c>
    </row>
    <row r="144" spans="1:29" s="53" customFormat="1" ht="14.4">
      <c r="A144" s="52" t="s">
        <v>155</v>
      </c>
      <c r="B144" s="49">
        <f>0.00000001</f>
        <v>1E-8</v>
      </c>
      <c r="C144" s="53" t="s">
        <v>93</v>
      </c>
    </row>
    <row r="145" spans="1:39" s="53" customFormat="1" ht="14.4">
      <c r="A145" s="52" t="s">
        <v>161</v>
      </c>
      <c r="B145" s="47">
        <v>0.1</v>
      </c>
      <c r="C145" s="53" t="s">
        <v>133</v>
      </c>
      <c r="E145" s="53" t="s">
        <v>166</v>
      </c>
    </row>
    <row r="146" spans="1:39" s="53" customFormat="1" ht="14.4">
      <c r="A146" s="52" t="s">
        <v>162</v>
      </c>
      <c r="B146" s="47">
        <v>1</v>
      </c>
      <c r="D146" s="53" t="s">
        <v>167</v>
      </c>
    </row>
    <row r="147" spans="1:39" s="53" customFormat="1" ht="14.4">
      <c r="A147" s="52"/>
      <c r="B147" s="47"/>
    </row>
    <row r="148" spans="1:39" ht="14.25" customHeight="1">
      <c r="A148" s="14" t="s">
        <v>145</v>
      </c>
      <c r="B148" s="15">
        <v>10</v>
      </c>
      <c r="C148" s="3" t="s">
        <v>93</v>
      </c>
      <c r="D148" s="3"/>
      <c r="E148" s="4"/>
      <c r="F148" s="8"/>
      <c r="G148" s="3"/>
      <c r="H148" s="8"/>
      <c r="I148" s="3"/>
      <c r="J148" s="18"/>
      <c r="K148" s="8"/>
      <c r="L148" s="4"/>
      <c r="M148" s="18"/>
      <c r="N148" s="20"/>
      <c r="O148" s="8"/>
      <c r="P148" s="8"/>
      <c r="Q148" s="21"/>
      <c r="R148" s="4"/>
      <c r="S148" s="8"/>
      <c r="T148" s="4"/>
      <c r="U148" s="22"/>
      <c r="V148" s="22"/>
      <c r="W148" s="23"/>
      <c r="X148" s="24"/>
      <c r="Y148" s="25"/>
      <c r="Z148" s="20"/>
      <c r="AA148" s="4"/>
      <c r="AB148" s="4"/>
      <c r="AC148" s="4"/>
    </row>
    <row r="149" spans="1:39" ht="14.25" customHeight="1">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39" ht="14.25" customHeight="1">
      <c r="A150" s="3"/>
      <c r="B150" s="4"/>
      <c r="C150" s="3" t="s">
        <v>146</v>
      </c>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39" ht="14.25" customHeight="1">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39" s="54" customFormat="1" ht="14.4">
      <c r="A152" s="54" t="s">
        <v>147</v>
      </c>
      <c r="B152" s="43" t="s">
        <v>148</v>
      </c>
    </row>
    <row r="153" spans="1:39" s="44" customFormat="1" ht="43.2">
      <c r="A153" s="44" t="s">
        <v>149</v>
      </c>
      <c r="B153" s="51" t="s">
        <v>79</v>
      </c>
      <c r="C153" s="51" t="s">
        <v>81</v>
      </c>
      <c r="D153" s="51" t="s">
        <v>84</v>
      </c>
      <c r="E153" s="51" t="s">
        <v>85</v>
      </c>
      <c r="F153" s="51" t="s">
        <v>92</v>
      </c>
      <c r="G153" s="51" t="s">
        <v>95</v>
      </c>
      <c r="H153" s="51" t="s">
        <v>169</v>
      </c>
      <c r="I153" s="51" t="s">
        <v>170</v>
      </c>
      <c r="J153" s="51" t="s">
        <v>105</v>
      </c>
      <c r="K153" s="51" t="s">
        <v>107</v>
      </c>
      <c r="L153" s="51" t="s">
        <v>174</v>
      </c>
      <c r="M153" s="51" t="s">
        <v>175</v>
      </c>
      <c r="N153" s="51" t="s">
        <v>110</v>
      </c>
      <c r="O153" s="51" t="s">
        <v>111</v>
      </c>
      <c r="P153" s="51" t="s">
        <v>115</v>
      </c>
      <c r="Q153" s="51" t="s">
        <v>116</v>
      </c>
      <c r="R153" s="51" t="s">
        <v>120</v>
      </c>
      <c r="S153" s="51" t="s">
        <v>123</v>
      </c>
      <c r="T153" s="51" t="s">
        <v>127</v>
      </c>
      <c r="U153" s="51" t="s">
        <v>130</v>
      </c>
      <c r="V153" s="51" t="s">
        <v>131</v>
      </c>
      <c r="W153" s="51" t="s">
        <v>163</v>
      </c>
      <c r="X153" s="51" t="s">
        <v>178</v>
      </c>
      <c r="Y153" s="51" t="s">
        <v>179</v>
      </c>
      <c r="Z153" s="51" t="s">
        <v>180</v>
      </c>
      <c r="AA153" s="51" t="s">
        <v>181</v>
      </c>
      <c r="AB153" s="51" t="s">
        <v>137</v>
      </c>
      <c r="AC153" s="51" t="s">
        <v>140</v>
      </c>
      <c r="AD153" s="51" t="s">
        <v>140</v>
      </c>
      <c r="AE153" s="51" t="s">
        <v>141</v>
      </c>
      <c r="AF153" s="51" t="s">
        <v>142</v>
      </c>
      <c r="AG153" s="51" t="s">
        <v>143</v>
      </c>
      <c r="AH153" s="51" t="s">
        <v>152</v>
      </c>
      <c r="AI153" s="51" t="s">
        <v>153</v>
      </c>
      <c r="AJ153" s="51" t="s">
        <v>154</v>
      </c>
      <c r="AK153" s="51" t="s">
        <v>155</v>
      </c>
      <c r="AL153" s="51" t="s">
        <v>145</v>
      </c>
    </row>
    <row r="154" spans="1:39" s="53" customFormat="1" ht="14.4">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row>
    <row r="155" spans="1:39" s="59" customFormat="1" ht="14.4">
      <c r="A155" s="56" t="s">
        <v>182</v>
      </c>
      <c r="B155" s="57">
        <v>2016</v>
      </c>
      <c r="C155" s="57">
        <v>1</v>
      </c>
      <c r="D155" s="57">
        <v>2016</v>
      </c>
      <c r="E155" s="57">
        <v>1</v>
      </c>
      <c r="F155" s="57">
        <v>-1</v>
      </c>
      <c r="G155" s="57">
        <v>-1</v>
      </c>
      <c r="H155" s="57">
        <v>-1</v>
      </c>
      <c r="I155" s="57">
        <v>-1</v>
      </c>
      <c r="J155" s="57">
        <v>1</v>
      </c>
      <c r="K155" s="57">
        <v>1</v>
      </c>
      <c r="L155" s="57">
        <v>1</v>
      </c>
      <c r="M155" s="57">
        <v>1</v>
      </c>
      <c r="N155" s="57">
        <v>-1</v>
      </c>
      <c r="O155" s="57">
        <v>-1</v>
      </c>
      <c r="P155" s="57">
        <v>-1</v>
      </c>
      <c r="Q155" s="57">
        <v>-1</v>
      </c>
      <c r="R155" s="57">
        <v>-1</v>
      </c>
      <c r="S155" s="57">
        <v>-1</v>
      </c>
      <c r="T155" s="57">
        <v>-1</v>
      </c>
      <c r="U155" s="57">
        <v>-1</v>
      </c>
      <c r="V155" s="57">
        <v>-1</v>
      </c>
      <c r="W155" s="58">
        <v>0.9</v>
      </c>
      <c r="X155" s="57">
        <v>-1</v>
      </c>
      <c r="Y155" s="57">
        <v>-1</v>
      </c>
      <c r="Z155" s="57">
        <v>-1</v>
      </c>
      <c r="AA155" s="58">
        <v>0.9</v>
      </c>
      <c r="AB155" s="57">
        <v>-1</v>
      </c>
      <c r="AC155" s="57">
        <v>-1</v>
      </c>
      <c r="AD155" s="57">
        <v>-1</v>
      </c>
      <c r="AE155" s="57">
        <v>-1</v>
      </c>
      <c r="AF155" s="57">
        <v>-1</v>
      </c>
      <c r="AG155" s="57">
        <v>-1</v>
      </c>
      <c r="AH155" s="57">
        <v>-1</v>
      </c>
      <c r="AI155" s="57">
        <v>-1</v>
      </c>
      <c r="AJ155" s="57">
        <v>-1</v>
      </c>
      <c r="AK155" s="57">
        <v>-1</v>
      </c>
      <c r="AL155" s="57">
        <v>1</v>
      </c>
      <c r="AM155" s="56"/>
    </row>
    <row r="156" spans="1:39" s="59" customFormat="1" ht="14.4">
      <c r="A156" s="56" t="s">
        <v>183</v>
      </c>
      <c r="B156" s="57">
        <v>2016</v>
      </c>
      <c r="C156" s="57">
        <v>1</v>
      </c>
      <c r="D156" s="57">
        <v>2016</v>
      </c>
      <c r="E156" s="57">
        <v>1</v>
      </c>
      <c r="F156" s="57">
        <v>1</v>
      </c>
      <c r="G156" s="57">
        <v>1</v>
      </c>
      <c r="H156" s="57">
        <v>1</v>
      </c>
      <c r="I156" s="57">
        <v>1</v>
      </c>
      <c r="J156" s="57">
        <v>-1</v>
      </c>
      <c r="K156" s="57">
        <v>-1</v>
      </c>
      <c r="L156" s="57">
        <v>-1</v>
      </c>
      <c r="M156" s="57">
        <v>-1</v>
      </c>
      <c r="N156" s="57">
        <v>-1</v>
      </c>
      <c r="O156" s="57">
        <v>-1</v>
      </c>
      <c r="P156" s="57">
        <v>-1</v>
      </c>
      <c r="Q156" s="57">
        <v>-1</v>
      </c>
      <c r="R156" s="57">
        <v>-1</v>
      </c>
      <c r="S156" s="57">
        <v>-1</v>
      </c>
      <c r="T156" s="57">
        <v>-1</v>
      </c>
      <c r="U156" s="57">
        <v>-1</v>
      </c>
      <c r="V156" s="57">
        <v>-1</v>
      </c>
      <c r="W156" s="58">
        <v>0.9</v>
      </c>
      <c r="X156" s="57">
        <v>-1</v>
      </c>
      <c r="Y156" s="57">
        <v>-1</v>
      </c>
      <c r="Z156" s="57">
        <v>-1</v>
      </c>
      <c r="AA156" s="58">
        <v>0.9</v>
      </c>
      <c r="AB156" s="57">
        <v>1</v>
      </c>
      <c r="AC156" s="57">
        <v>1</v>
      </c>
      <c r="AD156" s="57">
        <v>1</v>
      </c>
      <c r="AE156" s="57">
        <v>1</v>
      </c>
      <c r="AF156" s="57">
        <v>1</v>
      </c>
      <c r="AG156" s="57">
        <v>1</v>
      </c>
      <c r="AH156" s="57">
        <v>-1</v>
      </c>
      <c r="AI156" s="57">
        <v>-1</v>
      </c>
      <c r="AJ156" s="57">
        <v>-1</v>
      </c>
      <c r="AK156" s="57">
        <v>-1</v>
      </c>
      <c r="AL156" s="57">
        <v>-1</v>
      </c>
      <c r="AM156" s="56"/>
    </row>
    <row r="157" spans="1:39" s="59" customFormat="1" ht="14.4">
      <c r="A157" s="56" t="s">
        <v>187</v>
      </c>
      <c r="B157" s="57">
        <v>2016</v>
      </c>
      <c r="C157" s="57">
        <v>1</v>
      </c>
      <c r="D157" s="57">
        <v>2016</v>
      </c>
      <c r="E157" s="57">
        <v>1</v>
      </c>
      <c r="F157" s="57">
        <v>1</v>
      </c>
      <c r="G157" s="57">
        <v>1</v>
      </c>
      <c r="H157" s="57">
        <v>1</v>
      </c>
      <c r="I157" s="57">
        <v>1</v>
      </c>
      <c r="J157" s="57">
        <v>-1</v>
      </c>
      <c r="K157" s="57">
        <v>-1</v>
      </c>
      <c r="L157" s="57">
        <v>-1</v>
      </c>
      <c r="M157" s="57">
        <v>-1</v>
      </c>
      <c r="N157" s="57">
        <v>-1</v>
      </c>
      <c r="O157" s="57">
        <v>-1</v>
      </c>
      <c r="P157" s="57">
        <v>-1</v>
      </c>
      <c r="Q157" s="57">
        <v>-1</v>
      </c>
      <c r="R157" s="57">
        <v>-1</v>
      </c>
      <c r="S157" s="57">
        <v>-1</v>
      </c>
      <c r="T157" s="57">
        <v>1</v>
      </c>
      <c r="U157" s="57">
        <v>1</v>
      </c>
      <c r="V157" s="57">
        <v>1</v>
      </c>
      <c r="W157" s="58">
        <v>0.9</v>
      </c>
      <c r="X157" s="57">
        <v>0.3</v>
      </c>
      <c r="Y157" s="57">
        <v>0.3</v>
      </c>
      <c r="Z157" s="57">
        <v>0.3</v>
      </c>
      <c r="AA157" s="58">
        <v>0.3</v>
      </c>
      <c r="AB157" s="57">
        <v>-1</v>
      </c>
      <c r="AC157" s="57">
        <v>-1</v>
      </c>
      <c r="AD157" s="57">
        <v>-1</v>
      </c>
      <c r="AE157" s="57">
        <v>-1</v>
      </c>
      <c r="AF157" s="57">
        <v>-1</v>
      </c>
      <c r="AG157" s="57">
        <v>-1</v>
      </c>
      <c r="AH157" s="57">
        <v>-1</v>
      </c>
      <c r="AI157" s="57">
        <v>-1</v>
      </c>
      <c r="AJ157" s="57">
        <v>-1</v>
      </c>
      <c r="AK157" s="57">
        <v>-1</v>
      </c>
      <c r="AL157" s="57">
        <v>-1</v>
      </c>
      <c r="AM157" s="56"/>
    </row>
    <row r="158" spans="1:39" s="59" customFormat="1" ht="14.4">
      <c r="A158" s="56" t="s">
        <v>188</v>
      </c>
      <c r="B158" s="57">
        <v>2016</v>
      </c>
      <c r="C158" s="57">
        <v>1</v>
      </c>
      <c r="D158" s="57">
        <v>2016</v>
      </c>
      <c r="E158" s="57">
        <v>1</v>
      </c>
      <c r="F158" s="57">
        <v>-1</v>
      </c>
      <c r="G158" s="57">
        <v>-1</v>
      </c>
      <c r="H158" s="57">
        <v>-1</v>
      </c>
      <c r="I158" s="57">
        <v>-1</v>
      </c>
      <c r="J158" s="57">
        <v>-1</v>
      </c>
      <c r="K158" s="57">
        <v>-1</v>
      </c>
      <c r="L158" s="57">
        <v>-1</v>
      </c>
      <c r="M158" s="57">
        <v>-1</v>
      </c>
      <c r="N158" s="57">
        <v>-1</v>
      </c>
      <c r="O158" s="57">
        <v>-1</v>
      </c>
      <c r="P158" s="57">
        <v>-1</v>
      </c>
      <c r="Q158" s="57">
        <v>-1</v>
      </c>
      <c r="R158" s="57">
        <v>2</v>
      </c>
      <c r="S158" s="57">
        <v>2</v>
      </c>
      <c r="T158" s="57">
        <v>-1</v>
      </c>
      <c r="U158" s="57">
        <v>-1</v>
      </c>
      <c r="V158" s="57">
        <v>-1</v>
      </c>
      <c r="W158" s="58">
        <v>0.9</v>
      </c>
      <c r="X158" s="57">
        <v>-1</v>
      </c>
      <c r="Y158" s="57">
        <v>-1</v>
      </c>
      <c r="Z158" s="57">
        <v>-1</v>
      </c>
      <c r="AA158" s="58">
        <v>0.9</v>
      </c>
      <c r="AB158" s="57">
        <v>-1</v>
      </c>
      <c r="AC158" s="57">
        <v>1</v>
      </c>
      <c r="AD158" s="57">
        <v>1</v>
      </c>
      <c r="AE158" s="57">
        <v>1</v>
      </c>
      <c r="AF158" s="57">
        <v>1</v>
      </c>
      <c r="AG158" s="57">
        <v>1</v>
      </c>
      <c r="AH158" s="57">
        <v>0.25</v>
      </c>
      <c r="AI158" s="57">
        <v>0.25</v>
      </c>
      <c r="AJ158" s="57">
        <v>0.25</v>
      </c>
      <c r="AK158" s="57">
        <v>0.25</v>
      </c>
      <c r="AL158" s="57">
        <v>-1</v>
      </c>
      <c r="AM158" s="56"/>
    </row>
    <row r="159" spans="1:39" s="59" customFormat="1" ht="14.4">
      <c r="A159" s="56" t="s">
        <v>184</v>
      </c>
      <c r="B159" s="57">
        <v>2016</v>
      </c>
      <c r="C159" s="57">
        <v>1</v>
      </c>
      <c r="D159" s="57">
        <v>2016</v>
      </c>
      <c r="E159" s="57">
        <v>1</v>
      </c>
      <c r="F159" s="57">
        <v>-1</v>
      </c>
      <c r="G159" s="57">
        <v>-1</v>
      </c>
      <c r="H159" s="57">
        <v>-1</v>
      </c>
      <c r="I159" s="57">
        <v>-1</v>
      </c>
      <c r="J159" s="57">
        <v>-1</v>
      </c>
      <c r="K159" s="57">
        <v>-1</v>
      </c>
      <c r="L159" s="57">
        <v>-1</v>
      </c>
      <c r="M159" s="57">
        <v>-1</v>
      </c>
      <c r="N159" s="57">
        <v>2</v>
      </c>
      <c r="O159" s="57">
        <v>2</v>
      </c>
      <c r="P159" s="57">
        <v>-1</v>
      </c>
      <c r="Q159" s="57">
        <v>-1</v>
      </c>
      <c r="R159" s="57">
        <v>-1</v>
      </c>
      <c r="S159" s="57">
        <v>-1</v>
      </c>
      <c r="T159" s="57">
        <v>-1</v>
      </c>
      <c r="U159" s="57">
        <v>-1</v>
      </c>
      <c r="V159" s="57">
        <v>-1</v>
      </c>
      <c r="W159" s="58">
        <v>0.9</v>
      </c>
      <c r="X159" s="57">
        <v>-1</v>
      </c>
      <c r="Y159" s="57">
        <v>-1</v>
      </c>
      <c r="Z159" s="57">
        <v>-1</v>
      </c>
      <c r="AA159" s="58">
        <v>0.9</v>
      </c>
      <c r="AB159" s="57">
        <v>-1</v>
      </c>
      <c r="AC159" s="57">
        <v>1</v>
      </c>
      <c r="AD159" s="57">
        <v>1</v>
      </c>
      <c r="AE159" s="57">
        <v>1</v>
      </c>
      <c r="AF159" s="57">
        <v>1</v>
      </c>
      <c r="AG159" s="57">
        <v>1</v>
      </c>
      <c r="AH159" s="57">
        <v>1</v>
      </c>
      <c r="AI159" s="57">
        <v>1</v>
      </c>
      <c r="AJ159" s="57">
        <v>1</v>
      </c>
      <c r="AK159" s="57">
        <v>1</v>
      </c>
      <c r="AL159" s="57">
        <v>1</v>
      </c>
      <c r="AM159" s="56"/>
    </row>
    <row r="160" spans="1:39" s="59" customFormat="1" ht="14.4">
      <c r="A160" s="56" t="s">
        <v>189</v>
      </c>
      <c r="B160" s="57">
        <v>2016</v>
      </c>
      <c r="C160" s="57">
        <v>1</v>
      </c>
      <c r="D160" s="57">
        <v>2016</v>
      </c>
      <c r="E160" s="57">
        <v>1</v>
      </c>
      <c r="F160" s="57">
        <v>-1</v>
      </c>
      <c r="G160" s="57">
        <v>-1</v>
      </c>
      <c r="H160" s="57">
        <v>-1</v>
      </c>
      <c r="I160" s="57">
        <v>-1</v>
      </c>
      <c r="J160" s="57">
        <v>-1</v>
      </c>
      <c r="K160" s="57">
        <v>-1</v>
      </c>
      <c r="L160" s="57">
        <v>-1</v>
      </c>
      <c r="M160" s="57">
        <v>-1</v>
      </c>
      <c r="N160" s="57">
        <v>-1</v>
      </c>
      <c r="O160" s="57">
        <v>-1</v>
      </c>
      <c r="P160" s="57">
        <v>1</v>
      </c>
      <c r="Q160" s="57">
        <v>1</v>
      </c>
      <c r="R160" s="57">
        <v>0.5</v>
      </c>
      <c r="S160" s="57">
        <v>0.5</v>
      </c>
      <c r="T160" s="57">
        <v>-1</v>
      </c>
      <c r="U160" s="57">
        <v>-1</v>
      </c>
      <c r="V160" s="57">
        <v>-1</v>
      </c>
      <c r="W160" s="58">
        <v>0.9</v>
      </c>
      <c r="X160" s="57">
        <v>-1</v>
      </c>
      <c r="Y160" s="57">
        <v>-1</v>
      </c>
      <c r="Z160" s="57">
        <v>-1</v>
      </c>
      <c r="AA160" s="58">
        <v>0.9</v>
      </c>
      <c r="AB160" s="57">
        <v>-1</v>
      </c>
      <c r="AC160" s="57">
        <v>-1</v>
      </c>
      <c r="AD160" s="57">
        <v>-1</v>
      </c>
      <c r="AE160" s="57">
        <v>-1</v>
      </c>
      <c r="AF160" s="57">
        <v>-1</v>
      </c>
      <c r="AG160" s="57">
        <v>-1</v>
      </c>
      <c r="AH160" s="57">
        <v>-1</v>
      </c>
      <c r="AI160" s="57">
        <v>-1</v>
      </c>
      <c r="AJ160" s="57">
        <v>-1</v>
      </c>
      <c r="AK160" s="57">
        <v>-1</v>
      </c>
      <c r="AL160" s="57">
        <v>-1</v>
      </c>
      <c r="AM160" s="56"/>
    </row>
    <row r="161" spans="1:39" s="59" customFormat="1" ht="14.4">
      <c r="A161" s="56" t="s">
        <v>150</v>
      </c>
      <c r="B161" s="57">
        <v>2016</v>
      </c>
      <c r="C161" s="57">
        <v>1</v>
      </c>
      <c r="D161" s="57">
        <v>2016</v>
      </c>
      <c r="E161" s="57">
        <v>1</v>
      </c>
      <c r="F161" s="57">
        <v>1</v>
      </c>
      <c r="G161" s="57">
        <v>1</v>
      </c>
      <c r="H161" s="57">
        <v>1</v>
      </c>
      <c r="I161" s="57">
        <v>1</v>
      </c>
      <c r="J161" s="57">
        <v>1</v>
      </c>
      <c r="K161" s="57">
        <v>1</v>
      </c>
      <c r="L161" s="57">
        <v>1</v>
      </c>
      <c r="M161" s="57">
        <v>1</v>
      </c>
      <c r="N161" s="57">
        <v>1</v>
      </c>
      <c r="O161" s="57">
        <v>1</v>
      </c>
      <c r="P161" s="57">
        <v>1</v>
      </c>
      <c r="Q161" s="57">
        <v>1</v>
      </c>
      <c r="R161" s="57">
        <v>1</v>
      </c>
      <c r="S161" s="57">
        <v>1</v>
      </c>
      <c r="T161" s="57">
        <v>1</v>
      </c>
      <c r="U161" s="57">
        <v>1</v>
      </c>
      <c r="V161" s="57">
        <v>1</v>
      </c>
      <c r="W161" s="58">
        <v>0.9</v>
      </c>
      <c r="X161" s="57">
        <v>0.3</v>
      </c>
      <c r="Y161" s="57">
        <v>0.3</v>
      </c>
      <c r="Z161" s="57">
        <v>0.3</v>
      </c>
      <c r="AA161" s="58">
        <v>0.1</v>
      </c>
      <c r="AB161" s="57">
        <v>1</v>
      </c>
      <c r="AC161" s="57">
        <v>1</v>
      </c>
      <c r="AD161" s="57">
        <v>1</v>
      </c>
      <c r="AE161" s="57">
        <v>1</v>
      </c>
      <c r="AF161" s="57">
        <v>1</v>
      </c>
      <c r="AG161" s="57">
        <v>1</v>
      </c>
      <c r="AH161" s="57">
        <v>1</v>
      </c>
      <c r="AI161" s="57">
        <v>1</v>
      </c>
      <c r="AJ161" s="57">
        <v>1</v>
      </c>
      <c r="AK161" s="57">
        <v>1</v>
      </c>
      <c r="AL161" s="57">
        <v>1</v>
      </c>
      <c r="AM161" s="56"/>
    </row>
    <row r="162" spans="1:39" s="53" customFormat="1" ht="14.4">
      <c r="B162" s="45"/>
    </row>
    <row r="163" spans="1:39" s="54" customFormat="1" ht="14.4">
      <c r="A163" s="54" t="s">
        <v>151</v>
      </c>
      <c r="B163" s="43"/>
    </row>
    <row r="164" spans="1:39" ht="14.25" customHeight="1">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row>
    <row r="165" spans="1:39" ht="14.25" customHeight="1">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39" ht="14.25" customHeight="1">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39" ht="14.25" customHeight="1">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39" ht="14.25" customHeight="1">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39" ht="14.25" customHeight="1">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39" ht="14.25" customHeight="1">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39" ht="14.25" customHeight="1">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39" ht="14.25" customHeight="1">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39" ht="14.25" customHeight="1">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39" ht="14.25" customHeight="1">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39" ht="14.25" customHeight="1">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39" ht="14.25" customHeight="1">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case_input_test_190726</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Candise Henry</cp:lastModifiedBy>
  <dcterms:created xsi:type="dcterms:W3CDTF">2019-07-02T23:26:35Z</dcterms:created>
  <dcterms:modified xsi:type="dcterms:W3CDTF">2019-10-08T19:13:13Z</dcterms:modified>
</cp:coreProperties>
</file>