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clh19\Documents\Carnegie\SEM\SEM_Code\SEM-1.2-master\"/>
    </mc:Choice>
  </mc:AlternateContent>
  <xr:revisionPtr revIDLastSave="0" documentId="13_ncr:1_{739019A8-28E8-4C2A-976F-169F51B82D69}" xr6:coauthVersionLast="43" xr6:coauthVersionMax="43" xr10:uidLastSave="{00000000-0000-0000-0000-000000000000}"/>
  <bookViews>
    <workbookView xWindow="-108" yWindow="-108" windowWidth="23256" windowHeight="12576" xr2:uid="{00000000-000D-0000-FFFF-FFFF00000000}"/>
  </bookViews>
  <sheets>
    <sheet name="EIAbase" sheetId="1"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6" i="1" l="1"/>
  <c r="F123" i="1" l="1"/>
  <c r="Z124" i="1"/>
  <c r="Z125" i="1"/>
  <c r="Q124" i="1"/>
  <c r="Q125" i="1"/>
  <c r="J122" i="1"/>
  <c r="J123" i="1"/>
  <c r="M123" i="1" l="1"/>
  <c r="N123" i="1" s="1"/>
  <c r="B123" i="1" s="1"/>
  <c r="M122" i="1"/>
  <c r="N122" i="1" s="1"/>
  <c r="B122" i="1" s="1"/>
  <c r="D119" i="1"/>
  <c r="E118" i="1"/>
  <c r="Z117" i="1"/>
  <c r="B117" i="1" s="1"/>
  <c r="Q117" i="1"/>
  <c r="Z116" i="1"/>
  <c r="B116" i="1" s="1"/>
  <c r="Q116" i="1"/>
  <c r="J115" i="1"/>
  <c r="M115" i="1" s="1"/>
  <c r="G115" i="1"/>
  <c r="J114" i="1"/>
  <c r="M114" i="1" s="1"/>
  <c r="G114" i="1"/>
  <c r="J113" i="1"/>
  <c r="M113" i="1" s="1"/>
  <c r="G113" i="1"/>
  <c r="B111" i="1"/>
  <c r="E110" i="1"/>
  <c r="Z108" i="1"/>
  <c r="B108" i="1" s="1"/>
  <c r="Q108" i="1"/>
  <c r="Z107" i="1"/>
  <c r="B107" i="1" s="1"/>
  <c r="Q107" i="1"/>
  <c r="J106" i="1"/>
  <c r="M106" i="1" s="1"/>
  <c r="I106" i="1"/>
  <c r="G106" i="1"/>
  <c r="X102" i="1"/>
  <c r="T102" i="1"/>
  <c r="R102" i="1"/>
  <c r="Q102" i="1"/>
  <c r="L101" i="1"/>
  <c r="J101" i="1"/>
  <c r="M101" i="1" s="1"/>
  <c r="I101" i="1"/>
  <c r="G101" i="1"/>
  <c r="X97" i="1"/>
  <c r="T97" i="1"/>
  <c r="R97" i="1"/>
  <c r="Q97" i="1"/>
  <c r="L96" i="1"/>
  <c r="J96" i="1"/>
  <c r="M96" i="1" s="1"/>
  <c r="I96" i="1"/>
  <c r="G96" i="1"/>
  <c r="X92" i="1"/>
  <c r="T92" i="1"/>
  <c r="R92" i="1"/>
  <c r="Q92" i="1"/>
  <c r="L91" i="1"/>
  <c r="J91" i="1"/>
  <c r="M91" i="1" s="1"/>
  <c r="I91" i="1"/>
  <c r="G91" i="1"/>
  <c r="X87" i="1"/>
  <c r="T87" i="1"/>
  <c r="Q87" i="1"/>
  <c r="L86" i="1"/>
  <c r="J86" i="1"/>
  <c r="M86" i="1" s="1"/>
  <c r="I86" i="1"/>
  <c r="G86" i="1"/>
  <c r="X81" i="1"/>
  <c r="T81" i="1"/>
  <c r="Q81" i="1"/>
  <c r="L80" i="1"/>
  <c r="J80" i="1"/>
  <c r="M80" i="1" s="1"/>
  <c r="I80" i="1"/>
  <c r="G80" i="1"/>
  <c r="B48" i="1"/>
  <c r="B47" i="1" s="1"/>
  <c r="C46" i="1"/>
  <c r="B46" i="1"/>
  <c r="N114" i="1" l="1"/>
  <c r="B114" i="1" s="1"/>
  <c r="N101" i="1"/>
  <c r="B101" i="1" s="1"/>
  <c r="U92" i="1"/>
  <c r="V92" i="1" s="1"/>
  <c r="Z92" i="1" s="1"/>
  <c r="B92" i="1" s="1"/>
  <c r="U87" i="1"/>
  <c r="V87" i="1" s="1"/>
  <c r="Z87" i="1" s="1"/>
  <c r="B87" i="1" s="1"/>
  <c r="N96" i="1"/>
  <c r="B96" i="1" s="1"/>
  <c r="N106" i="1"/>
  <c r="B106" i="1" s="1"/>
  <c r="N80" i="1"/>
  <c r="B80" i="1" s="1"/>
  <c r="N91" i="1"/>
  <c r="B91" i="1" s="1"/>
  <c r="N115" i="1"/>
  <c r="B115" i="1" s="1"/>
  <c r="N113" i="1"/>
  <c r="B113"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<sst xmlns="http://schemas.openxmlformats.org/spreadsheetml/2006/main" count="263" uniqueCount="181">
  <si>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</si>
  <si>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</si>
  <si>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</si>
  <si>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</si>
  <si>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</si>
  <si>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</si>
  <si>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</si>
  <si>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</si>
  <si>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</si>
  <si>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</si>
  <si>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</si>
  <si>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</si>
  <si>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</si>
  <si>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</si>
  <si>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</si>
  <si>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</si>
  <si>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</si>
  <si>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</si>
  <si>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</si>
  <si>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</si>
  <si>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</si>
  <si>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</si>
  <si>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</si>
  <si>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</si>
  <si>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</si>
  <si>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</si>
  <si>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</si>
  <si>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</si>
  <si>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</si>
  <si>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</si>
  <si>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</si>
  <si>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</si>
  <si>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</si>
  <si>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</si>
  <si>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test</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</si>
  <si>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</si>
  <si>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</si>
  <si>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</si>
  <si>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</si>
  <si>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</si>
  <si>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</si>
  <si>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</si>
  <si>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</si>
  <si>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</si>
  <si>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</si>
  <si>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</si>
  <si>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</si>
  <si>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</si>
  <si>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</si>
  <si>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</si>
  <si>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</si>
  <si>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</si>
  <si>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</si>
  <si>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</si>
  <si>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</si>
  <si>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</si>
  <si>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</si>
  <si>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</si>
  <si>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</si>
  <si>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</si>
  <si>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</si>
  <si>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</si>
  <si>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</si>
  <si>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</si>
  <si>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</si>
  <si>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</si>
  <si>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</si>
  <si>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</si>
  <si>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</si>
  <si>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</si>
  <si>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</si>
  <si>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</si>
  <si>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</si>
  <si>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</si>
  <si>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</si>
  <si>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</si>
  <si>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</si>
  <si>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</si>
  <si>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</si>
  <si>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</si>
  <si>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</si>
  <si>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</si>
  <si>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</si>
  <si>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</si>
  <si>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</si>
  <si>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</si>
  <si>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</si>
  <si>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</si>
  <si>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</si>
  <si>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</si>
  <si>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</si>
  <si>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</si>
  <si>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</si>
  <si>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</si>
  <si>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</si>
  <si>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</si>
  <si>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</si>
  <si>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</si>
  <si>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</si>
  <si>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</si>
  <si>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</si>
  <si>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</si>
  <si>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</si>
  <si>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</si>
  <si>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</si>
  <si>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</si>
  <si>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</si>
  <si>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</si>
  <si>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</si>
  <si>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</si>
  <si>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</si>
  <si>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</si>
  <si>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</si>
  <si>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</si>
  <si>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</si>
  <si>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</si>
  <si>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</si>
  <si>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</si>
  <si>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</si>
  <si>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</si>
  <si>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</si>
  <si>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</si>
  <si>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</si>
  <si>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</si>
  <si>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</si>
  <si>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</si>
  <si>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</si>
  <si>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</si>
  <si>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</si>
  <si>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</si>
  <si>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</si>
  <si>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</si>
  <si>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</si>
  <si>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</si>
  <si>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</si>
  <si>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</si>
  <si>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</si>
  <si>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</si>
  <si>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</si>
  <si>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</si>
  <si>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</si>
  <si>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</si>
  <si>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</si>
  <si>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</si>
  <si>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</si>
  <si>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</si>
  <si>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</si>
  <si>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</si>
  <si>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</si>
  <si>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</si>
  <si>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</si>
  <si>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</si>
  <si>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</si>
  <si>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</si>
  <si>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</si>
  <si>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</si>
  <si>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</si>
  <si>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</si>
  <si>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</si>
  <si>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</si>
  <si>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</si>
  <si>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</si>
  <si>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</si>
  <si>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DECAY_RATE_CSP_STORAGE</t>
  </si>
  <si>
    <t>CHARGING_EFFICIENCY_CSP_STORAGE</t>
  </si>
  <si>
    <t>CHARGING_EFFICIENCY_STORAGE</t>
  </si>
  <si>
    <t>DECAY_RATE_STORAGE</t>
  </si>
  <si>
    <t>CHARGING_TIME_STORAGE</t>
  </si>
  <si>
    <t>10 hours</t>
  </si>
  <si>
    <t>EIAtest2</t>
  </si>
  <si>
    <t>NREL, 2017, Annual Technology Baseline</t>
  </si>
  <si>
    <t>(NREL, 2014, Ivanpah)</t>
  </si>
  <si>
    <t>Capital cost ($/kW)</t>
  </si>
  <si>
    <t>Cost of generating capacity of trough in $/h/kW</t>
  </si>
  <si>
    <t>6 hours (trough)</t>
  </si>
  <si>
    <t>IRENA, 2012</t>
  </si>
  <si>
    <t>Cost of storage capacity in $/h/kWh</t>
  </si>
  <si>
    <t>Assume that all costs are in units of per kWh output.</t>
  </si>
  <si>
    <t>Note: for nuclear we are adding non-fuel variable costs to fixed costs.</t>
  </si>
  <si>
    <t>EIAtest1</t>
  </si>
  <si>
    <t>EIAtest3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</si>
</sst>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u/>
      <sz val="11"/>
      <color theme="10"/>
      <name val="Calibri"/>
    </font>
    <font>
      <sz val="11"/>
      <color rgb="FF000000"/>
      <name val="Calibri"/>
    </font>
    <font>
      <sz val="11"/>
      <color rgb="FF000000"/>
      <name val="Calibri"/>
      <family val="2"/>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rgb="FFFFFF00"/>
      </patternFill>
    </fill>
  </fills>
  <borders count="2">
    <border>
      <left/>
      <right/>
      <top/>
      <bottom/>
      <diagonal/>
    </border>
    <border>
      <left/>
      <right/>
      <top/>
      <bottom/>
      <diagonal/>
    </border>
  </borders>
  <cellStyleXfs count="4">
    <xf numFmtId="0" fontId="0" fillId="0" borderId="0"/>
    <xf numFmtId="0" fontId="6" fillId="0" borderId="0" applyNumberFormat="0" applyFill="0" applyBorder="0" applyAlignment="0" applyProtection="0"/>
    <xf numFmtId="43" fontId="7" fillId="0" borderId="0" applyFont="0" applyFill="0" applyBorder="0" applyAlignment="0" applyProtection="0"/>
    <xf numFmtId="0" fontId="7" fillId="0" borderId="1"/>
  </cellStyleXfs>
  <cellXfs count="7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wrapText="1"/>
    </xf>
    <xf numFmtId="0" fontId="0" fillId="10" borderId="0" xfId="0" applyFill="1" applyAlignment="1">
      <alignment horizontal="left"/>
    </xf>
    <xf numFmtId="0" fontId="0" fillId="10" borderId="0" xfId="0" applyFill="1"/>
    <xf numFmtId="0" fontId="0" fillId="11" borderId="0" xfId="0" applyFill="1" applyAlignment="1">
      <alignment wrapText="1"/>
    </xf>
    <xf numFmtId="0" fontId="0" fillId="0" borderId="0" xfId="0" applyAlignment="1">
      <alignment wrapText="1"/>
    </xf>
    <xf numFmtId="0" fontId="0" fillId="12" borderId="0" xfId="0" applyFill="1"/>
    <xf numFmtId="0" fontId="0" fillId="12" borderId="0" xfId="0" applyFill="1" applyAlignment="1">
      <alignment wrapText="1"/>
    </xf>
    <xf numFmtId="0" fontId="0" fillId="0" borderId="0" xfId="0" applyAlignment="1">
      <alignment horizontal="left"/>
    </xf>
    <xf numFmtId="0" fontId="0" fillId="0" borderId="0" xfId="0"/>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0" borderId="0" xfId="0" applyFont="1" applyAlignment="1">
      <alignment wrapText="1"/>
    </xf>
    <xf numFmtId="0" fontId="6" fillId="0" borderId="0" xfId="1" applyAlignment="1"/>
    <xf numFmtId="0" fontId="0" fillId="0" borderId="1" xfId="0" applyFont="1" applyFill="1" applyBorder="1" applyAlignment="1">
      <alignment horizontal="right"/>
    </xf>
    <xf numFmtId="0" fontId="8" fillId="0" borderId="0" xfId="0" applyFont="1"/>
    <xf numFmtId="0" fontId="0" fillId="0" borderId="0" xfId="0" applyFill="1" applyAlignment="1"/>
    <xf numFmtId="0" fontId="6" fillId="0" borderId="0" xfId="1" applyFill="1" applyAlignment="1"/>
    <xf numFmtId="0" fontId="8" fillId="0" borderId="0" xfId="0" applyFont="1" applyAlignment="1"/>
    <xf numFmtId="0" fontId="6" fillId="0" borderId="0" xfId="1" applyAlignment="1">
      <alignment wrapText="1"/>
    </xf>
    <xf numFmtId="0" fontId="8" fillId="0" borderId="0" xfId="2" applyNumberFormat="1" applyFont="1" applyAlignment="1"/>
    <xf numFmtId="167" fontId="5" fillId="13" borderId="1" xfId="0" applyNumberFormat="1" applyFont="1" applyFill="1" applyBorder="1" applyAlignment="1">
      <alignment horizontal="right"/>
    </xf>
    <xf numFmtId="0" fontId="7" fillId="12" borderId="1" xfId="3" applyFill="1"/>
    <xf numFmtId="0" fontId="7" fillId="12" borderId="1" xfId="3" applyFill="1" applyAlignment="1">
      <alignment wrapText="1"/>
    </xf>
  </cellXfs>
  <cellStyles count="4">
    <cellStyle name="Comma" xfId="2" builtinId="3"/>
    <cellStyle name="Hyperlink" xfId="1" builtinId="8"/>
    <cellStyle name="Normal" xfId="0" builtinId="0"/>
    <cellStyle name="Normal 2" xfId="3" xr:uid="{4FA7AF45-81DF-42A8-BB07-866AF450C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ena.org/documentdownloads/publications/re_technologies_cost_analysis-csp.pdf" TargetMode="External"/><Relationship Id="rId3" Type="http://schemas.openxmlformats.org/officeDocument/2006/relationships/hyperlink" Target="https://atb.nrel.gov/electricity/2017/index.html?t=sc" TargetMode="External"/><Relationship Id="rId7" Type="http://schemas.openxmlformats.org/officeDocument/2006/relationships/hyperlink" Target="https://www.irena.org/documentdownloads/publications/re_technologies_cost_analysis-csp.pdf" TargetMode="External"/><Relationship Id="rId2" Type="http://schemas.openxmlformats.org/officeDocument/2006/relationships/hyperlink" Target="https://atb.nrel.gov/electricity/2017/index.html?t=sc" TargetMode="External"/><Relationship Id="rId1" Type="http://schemas.openxmlformats.org/officeDocument/2006/relationships/hyperlink" Target="https://www.eia.gov/totalenergy/data/monthly/pdf/sec13_18.pdf" TargetMode="External"/><Relationship Id="rId6" Type="http://schemas.openxmlformats.org/officeDocument/2006/relationships/hyperlink" Target="https://www.irena.org/documentdownloads/publications/re_technologies_cost_analysis-csp.pdf" TargetMode="External"/><Relationship Id="rId11" Type="http://schemas.openxmlformats.org/officeDocument/2006/relationships/printerSettings" Target="../printerSettings/printerSettings1.bin"/><Relationship Id="rId5" Type="http://schemas.openxmlformats.org/officeDocument/2006/relationships/hyperlink" Target="https://solarpaces.nrel.gov/ivanpah-solar-electric-generating-system" TargetMode="External"/><Relationship Id="rId10" Type="http://schemas.openxmlformats.org/officeDocument/2006/relationships/hyperlink" Target="https://www.irena.org/documentdownloads/publications/re_technologies_cost_analysis-csp.pdf" TargetMode="External"/><Relationship Id="rId4" Type="http://schemas.openxmlformats.org/officeDocument/2006/relationships/hyperlink" Target="https://atb.nrel.gov/electricity/2017/index.html?t=sc" TargetMode="External"/><Relationship Id="rId9" Type="http://schemas.openxmlformats.org/officeDocument/2006/relationships/hyperlink" Target="https://www.irena.org/documentdownloads/publications/re_technologies_cost_analysis-cs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3"/>
  <sheetViews>
    <sheetView tabSelected="1" topLeftCell="A120" zoomScale="104" zoomScaleNormal="104" workbookViewId="0">
      <pane xSplit="1" topLeftCell="B1" activePane="topRight" state="frozen"/>
      <selection activeCell="A55" sqref="A55"/>
      <selection pane="topRight" activeCell="A136" sqref="A136:AC139"/>
    </sheetView>
  </sheetViews>
  <sheetFormatPr defaultColWidth="14.44140625" defaultRowHeight="15" customHeight="1" x14ac:dyDescent="0.3"/>
  <cols>
    <col min="1" max="1" width="35.44140625" customWidth="1"/>
    <col min="2" max="2" width="17.88671875" customWidth="1"/>
    <col min="3" max="3" width="23" customWidth="1"/>
    <col min="4" max="8" width="12.5546875" customWidth="1"/>
    <col min="9" max="9" width="13.109375" customWidth="1"/>
    <col min="10" max="29" width="12.5546875" customWidth="1"/>
  </cols>
  <sheetData>
    <row r="1" spans="1:29" ht="14.25" customHeight="1" x14ac:dyDescent="0.3">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3">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3">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3">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3">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3">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3">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3">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3">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3">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3">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3">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3">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3">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3">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3">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3">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3">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3">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3">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3">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3">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3">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3">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3">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3">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3">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3">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3">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3">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3">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3">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3">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3">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3">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3">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3">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3">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3">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3">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3">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3">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3">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3">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3">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3">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3">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3">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3">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3">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3">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3">
      <c r="A52" s="14" t="s">
        <v>33</v>
      </c>
      <c r="B52" s="15" t="s">
        <v>34</v>
      </c>
      <c r="C52" s="3" t="s">
        <v>35</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3">
      <c r="A53" s="14" t="s">
        <v>36</v>
      </c>
      <c r="B53" s="15" t="s">
        <v>37</v>
      </c>
      <c r="C53" s="3" t="s">
        <v>38</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3">
      <c r="A54" s="14" t="s">
        <v>39</v>
      </c>
      <c r="B54" s="15" t="s">
        <v>40</v>
      </c>
      <c r="C54" s="3" t="s">
        <v>41</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3">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3">
      <c r="A56" s="14" t="s">
        <v>42</v>
      </c>
      <c r="B56" s="15" t="b">
        <v>1</v>
      </c>
      <c r="C56" s="3" t="s">
        <v>43</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3">
      <c r="A57" s="14" t="s">
        <v>44</v>
      </c>
      <c r="B57" s="15" t="b">
        <v>0</v>
      </c>
      <c r="C57" s="3" t="s">
        <v>45</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3">
      <c r="A58" s="14" t="s">
        <v>46</v>
      </c>
      <c r="B58" s="15" t="b">
        <v>1</v>
      </c>
      <c r="C58" s="3" t="s">
        <v>47</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3">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8" customHeight="1" x14ac:dyDescent="0.3">
      <c r="A60" s="12" t="s">
        <v>48</v>
      </c>
      <c r="B60" s="12" t="s">
        <v>49</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s="60" customFormat="1" ht="69" customHeight="1" x14ac:dyDescent="0.3">
      <c r="A61" s="16"/>
      <c r="B61" s="17" t="s">
        <v>50</v>
      </c>
      <c r="C61" s="16" t="s">
        <v>51</v>
      </c>
      <c r="D61" s="17" t="s">
        <v>52</v>
      </c>
      <c r="E61" s="17"/>
      <c r="F61" s="18" t="s">
        <v>53</v>
      </c>
      <c r="G61" s="17" t="s">
        <v>54</v>
      </c>
      <c r="H61" s="18" t="s">
        <v>55</v>
      </c>
      <c r="I61" s="17" t="s">
        <v>56</v>
      </c>
      <c r="J61" s="19" t="s">
        <v>57</v>
      </c>
      <c r="K61" s="18" t="s">
        <v>58</v>
      </c>
      <c r="L61" s="17" t="s">
        <v>59</v>
      </c>
      <c r="M61" s="19" t="s">
        <v>60</v>
      </c>
      <c r="N61" s="20" t="s">
        <v>61</v>
      </c>
      <c r="O61" s="18" t="s">
        <v>62</v>
      </c>
      <c r="P61" s="18" t="s">
        <v>63</v>
      </c>
      <c r="Q61" s="21" t="s">
        <v>64</v>
      </c>
      <c r="R61" s="17" t="s">
        <v>65</v>
      </c>
      <c r="S61" s="18" t="s">
        <v>66</v>
      </c>
      <c r="T61" s="17" t="s">
        <v>67</v>
      </c>
      <c r="U61" s="19" t="s">
        <v>68</v>
      </c>
      <c r="V61" s="19" t="s">
        <v>69</v>
      </c>
      <c r="W61" s="18" t="s">
        <v>70</v>
      </c>
      <c r="X61" s="17" t="s">
        <v>71</v>
      </c>
      <c r="Y61" s="18" t="s">
        <v>72</v>
      </c>
      <c r="Z61" s="20" t="s">
        <v>73</v>
      </c>
      <c r="AA61" s="17"/>
      <c r="AB61" s="17"/>
      <c r="AC61" s="17"/>
    </row>
    <row r="62" spans="1:29" ht="15" hidden="1" customHeight="1" x14ac:dyDescent="0.3">
      <c r="A62" s="14" t="s">
        <v>74</v>
      </c>
      <c r="B62" s="22">
        <v>1000000000000</v>
      </c>
      <c r="C62" s="23"/>
      <c r="D62" s="3" t="s">
        <v>75</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5" hidden="1" customHeight="1" x14ac:dyDescent="0.3">
      <c r="A63" s="14" t="s">
        <v>76</v>
      </c>
      <c r="B63" s="22">
        <v>1000000000000</v>
      </c>
      <c r="C63" s="23"/>
      <c r="D63" s="3" t="s">
        <v>77</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5" hidden="1" customHeight="1" x14ac:dyDescent="0.3">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5" hidden="1" customHeight="1" x14ac:dyDescent="0.3">
      <c r="A65" s="14" t="s">
        <v>78</v>
      </c>
      <c r="B65" s="15" t="s">
        <v>79</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5" hidden="1" customHeight="1" x14ac:dyDescent="0.3">
      <c r="A66" s="14" t="s">
        <v>80</v>
      </c>
      <c r="B66" s="15" t="b">
        <v>1</v>
      </c>
      <c r="C66" s="3"/>
      <c r="D66" s="3" t="s">
        <v>81</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5" hidden="1" customHeight="1" x14ac:dyDescent="0.3">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5" hidden="1" customHeight="1" x14ac:dyDescent="0.3">
      <c r="A68" s="14" t="s">
        <v>82</v>
      </c>
      <c r="B68" s="15">
        <v>2015</v>
      </c>
      <c r="C68" s="3"/>
      <c r="D68" s="3" t="s">
        <v>83</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5" hidden="1" customHeight="1" x14ac:dyDescent="0.3">
      <c r="A69" s="14" t="s">
        <v>84</v>
      </c>
      <c r="B69" s="15">
        <v>1</v>
      </c>
      <c r="C69" s="3"/>
      <c r="D69" s="3" t="s">
        <v>83</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5" hidden="1" customHeight="1" x14ac:dyDescent="0.3">
      <c r="A70" s="14" t="s">
        <v>85</v>
      </c>
      <c r="B70" s="15">
        <v>1</v>
      </c>
      <c r="C70" s="3"/>
      <c r="D70" s="3" t="s">
        <v>83</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5" hidden="1" customHeight="1" x14ac:dyDescent="0.3">
      <c r="A71" s="14" t="s">
        <v>86</v>
      </c>
      <c r="B71" s="15">
        <v>1</v>
      </c>
      <c r="C71" s="3"/>
      <c r="D71" s="3" t="s">
        <v>83</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5" hidden="1" customHeight="1" x14ac:dyDescent="0.3">
      <c r="A72" s="14" t="s">
        <v>87</v>
      </c>
      <c r="B72" s="15">
        <v>2015</v>
      </c>
      <c r="C72" s="3"/>
      <c r="D72" s="3" t="s">
        <v>83</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5" hidden="1" customHeight="1" x14ac:dyDescent="0.3">
      <c r="A73" s="14" t="s">
        <v>88</v>
      </c>
      <c r="B73" s="15">
        <v>12</v>
      </c>
      <c r="C73" s="3"/>
      <c r="D73" s="3" t="s">
        <v>83</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5" hidden="1" customHeight="1" x14ac:dyDescent="0.3">
      <c r="A74" s="14" t="s">
        <v>89</v>
      </c>
      <c r="B74" s="15">
        <v>31</v>
      </c>
      <c r="C74" s="3"/>
      <c r="D74" s="3" t="s">
        <v>83</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5" hidden="1" customHeight="1" x14ac:dyDescent="0.3">
      <c r="A75" s="14" t="s">
        <v>90</v>
      </c>
      <c r="B75" s="15">
        <v>24</v>
      </c>
      <c r="C75" s="3"/>
      <c r="D75" s="3" t="s">
        <v>83</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5" hidden="1" customHeight="1" x14ac:dyDescent="0.3">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5" hidden="1" customHeight="1" x14ac:dyDescent="0.3">
      <c r="A77" s="14" t="s">
        <v>91</v>
      </c>
      <c r="B77" s="15">
        <v>0</v>
      </c>
      <c r="C77" s="3" t="s">
        <v>92</v>
      </c>
      <c r="D77" s="3" t="s">
        <v>93</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5" hidden="1" customHeight="1" x14ac:dyDescent="0.3">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x14ac:dyDescent="0.3">
      <c r="A79" s="14" t="s">
        <v>94</v>
      </c>
      <c r="B79" s="15" t="s">
        <v>95</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x14ac:dyDescent="0.3">
      <c r="A80" s="14" t="s">
        <v>96</v>
      </c>
      <c r="B80" s="32">
        <f>N80</f>
        <v>1.9528741509529837E-2</v>
      </c>
      <c r="C80" s="3" t="s">
        <v>97</v>
      </c>
      <c r="D80" s="3" t="s">
        <v>98</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x14ac:dyDescent="0.3">
      <c r="A81" s="14" t="s">
        <v>99</v>
      </c>
      <c r="B81" s="22">
        <f>Z81</f>
        <v>1E-8</v>
      </c>
      <c r="C81" s="3" t="s">
        <v>100</v>
      </c>
      <c r="D81" s="36" t="s">
        <v>101</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x14ac:dyDescent="0.3">
      <c r="A82" s="14" t="s">
        <v>102</v>
      </c>
      <c r="B82" s="15">
        <v>0</v>
      </c>
      <c r="C82" s="3" t="s">
        <v>103</v>
      </c>
      <c r="D82" t="s">
        <v>104</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x14ac:dyDescent="0.3">
      <c r="A83" s="14" t="s">
        <v>105</v>
      </c>
      <c r="B83" s="15">
        <v>0</v>
      </c>
      <c r="C83" s="3" t="s">
        <v>106</v>
      </c>
      <c r="D83" t="s">
        <v>107</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x14ac:dyDescent="0.3">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x14ac:dyDescent="0.3">
      <c r="A85" s="14" t="s">
        <v>108</v>
      </c>
      <c r="B85" s="15" t="s">
        <v>109</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x14ac:dyDescent="0.3">
      <c r="A86" s="14" t="s">
        <v>110</v>
      </c>
      <c r="B86" s="32">
        <f>N86</f>
        <v>2.0648572594225215E-2</v>
      </c>
      <c r="C86" s="3" t="s">
        <v>97</v>
      </c>
      <c r="D86" s="3" t="s">
        <v>111</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x14ac:dyDescent="0.3">
      <c r="A87" s="14" t="s">
        <v>112</v>
      </c>
      <c r="B87" s="22">
        <f>Z87</f>
        <v>1.05E-8</v>
      </c>
      <c r="C87" s="3" t="s">
        <v>100</v>
      </c>
      <c r="D87" s="36" t="s">
        <v>101</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x14ac:dyDescent="0.3">
      <c r="A88" s="14" t="s">
        <v>113</v>
      </c>
      <c r="B88" s="15">
        <v>0</v>
      </c>
      <c r="C88" s="3" t="s">
        <v>103</v>
      </c>
      <c r="D88" s="3" t="s">
        <v>104</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x14ac:dyDescent="0.3">
      <c r="A89" s="14" t="s">
        <v>114</v>
      </c>
      <c r="B89" s="15">
        <v>0</v>
      </c>
      <c r="C89" s="3" t="s">
        <v>106</v>
      </c>
      <c r="D89" s="3" t="s">
        <v>107</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x14ac:dyDescent="0.3">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x14ac:dyDescent="0.3">
      <c r="A91" s="14" t="s">
        <v>115</v>
      </c>
      <c r="B91" s="32">
        <f>N91</f>
        <v>1.1841887362491711E-2</v>
      </c>
      <c r="C91" s="3" t="s">
        <v>97</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x14ac:dyDescent="0.3">
      <c r="A92" s="14" t="s">
        <v>116</v>
      </c>
      <c r="B92" s="22">
        <f>Z92</f>
        <v>3.8992074681058302E-2</v>
      </c>
      <c r="C92" s="3" t="s">
        <v>100</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x14ac:dyDescent="0.3">
      <c r="A93" s="14" t="s">
        <v>117</v>
      </c>
      <c r="B93" s="15">
        <v>0</v>
      </c>
      <c r="C93" s="3" t="s">
        <v>103</v>
      </c>
      <c r="D93" s="3" t="s">
        <v>104</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x14ac:dyDescent="0.3">
      <c r="A94" s="14" t="s">
        <v>118</v>
      </c>
      <c r="B94" s="40">
        <v>0.46100000000000002</v>
      </c>
      <c r="C94" s="3" t="s">
        <v>106</v>
      </c>
      <c r="D94" s="3" t="s">
        <v>119</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x14ac:dyDescent="0.3">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x14ac:dyDescent="0.3">
      <c r="A96" s="14" t="s">
        <v>120</v>
      </c>
      <c r="B96" s="32">
        <f>N96</f>
        <v>2.7271220888813726E-2</v>
      </c>
      <c r="C96" s="3" t="s">
        <v>97</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x14ac:dyDescent="0.3">
      <c r="A97" s="14" t="s">
        <v>121</v>
      </c>
      <c r="B97" s="22">
        <f>Z97</f>
        <v>5.6563468785905562E-2</v>
      </c>
      <c r="C97" s="3" t="s">
        <v>100</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x14ac:dyDescent="0.3">
      <c r="A98" s="14" t="s">
        <v>122</v>
      </c>
      <c r="B98" s="15">
        <v>0</v>
      </c>
      <c r="C98" s="3" t="s">
        <v>103</v>
      </c>
      <c r="D98" s="3" t="s">
        <v>104</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x14ac:dyDescent="0.3">
      <c r="A99" s="14" t="s">
        <v>123</v>
      </c>
      <c r="B99" s="40">
        <v>0.16700000000000001</v>
      </c>
      <c r="C99" s="3" t="s">
        <v>106</v>
      </c>
      <c r="D99" s="3" t="s">
        <v>124</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x14ac:dyDescent="0.3">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x14ac:dyDescent="0.3">
      <c r="A101" s="14" t="s">
        <v>125</v>
      </c>
      <c r="B101" s="32">
        <f>N101</f>
        <v>6.4753901191501415E-2</v>
      </c>
      <c r="C101" s="3" t="s">
        <v>97</v>
      </c>
      <c r="D101" s="36" t="s">
        <v>126</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69">
        <f>M101/HOURS_PER_YEAR+W102/1000</f>
        <v>6.4753901191501415E-2</v>
      </c>
      <c r="O101" s="8"/>
      <c r="P101" s="8"/>
      <c r="Q101" s="27"/>
      <c r="R101" s="4"/>
      <c r="S101" s="8"/>
      <c r="T101" s="4"/>
      <c r="U101" s="28"/>
      <c r="V101" s="28"/>
      <c r="W101" s="29"/>
      <c r="X101" s="30"/>
      <c r="Y101" s="31"/>
      <c r="Z101" s="42"/>
      <c r="AA101" s="3" t="s">
        <v>178</v>
      </c>
      <c r="AB101" s="4"/>
      <c r="AC101" s="4"/>
    </row>
    <row r="102" spans="1:29" ht="14.25" customHeight="1" x14ac:dyDescent="0.3">
      <c r="A102" s="14" t="s">
        <v>127</v>
      </c>
      <c r="B102" s="22">
        <f>Z102</f>
        <v>2.2838149285310763E-2</v>
      </c>
      <c r="C102" s="3" t="s">
        <v>100</v>
      </c>
      <c r="D102" s="36" t="s">
        <v>126</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2">
        <f>V102/U102+Y102</f>
        <v>2.2838149285310763E-2</v>
      </c>
      <c r="AA102" s="3" t="s">
        <v>128</v>
      </c>
      <c r="AB102" s="4"/>
      <c r="AC102" s="4"/>
    </row>
    <row r="103" spans="1:29" ht="14.25" customHeight="1" x14ac:dyDescent="0.3">
      <c r="A103" s="14" t="s">
        <v>129</v>
      </c>
      <c r="B103" s="15">
        <v>0</v>
      </c>
      <c r="C103" s="3" t="s">
        <v>103</v>
      </c>
      <c r="D103" s="3" t="s">
        <v>104</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x14ac:dyDescent="0.3">
      <c r="A104" s="14" t="s">
        <v>130</v>
      </c>
      <c r="B104" s="15">
        <v>0</v>
      </c>
      <c r="C104" s="3" t="s">
        <v>106</v>
      </c>
      <c r="D104" s="3" t="s">
        <v>107</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x14ac:dyDescent="0.3">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x14ac:dyDescent="0.3">
      <c r="A106" s="14" t="s">
        <v>131</v>
      </c>
      <c r="B106" s="32">
        <f>N106</f>
        <v>4.2392529406082022E-3</v>
      </c>
      <c r="C106" s="3" t="s">
        <v>132</v>
      </c>
      <c r="D106" s="3" t="s">
        <v>133</v>
      </c>
      <c r="E106" s="4"/>
      <c r="F106" s="8">
        <v>261</v>
      </c>
      <c r="G106" s="9" t="str">
        <f>HYPERLINK("http://science.sciencemag.org/content/360/6396/eaas9793/tab-pdf","Davis et al., 2018, Science")</f>
        <v>Davis et al., 2018, Science</v>
      </c>
      <c r="H106" s="8">
        <v>10</v>
      </c>
      <c r="I106" s="9" t="str">
        <f>HYPERLINK("https://www.lazard.com/media/450338/lazard-levelized-cost-of-storage-version-30.pdf","LAZARD, 2017, Appendix A")</f>
        <v>LAZARD, 2017, Appendix A</v>
      </c>
      <c r="J106" s="33">
        <f>DISCOUNT_RATE*(1+DISCOUNT_RATE)^H106/((1+DISCOUNT_RATE)^H106-1)</f>
        <v>0.14237750272736471</v>
      </c>
      <c r="K106" s="8">
        <v>0</v>
      </c>
      <c r="L106" s="38"/>
      <c r="M106" s="34">
        <f>F106*J106+K106</f>
        <v>37.160528211842191</v>
      </c>
      <c r="N106" s="35">
        <f>M106/HOURS_PER_YEAR</f>
        <v>4.2392529406082022E-3</v>
      </c>
      <c r="O106" s="8"/>
      <c r="P106" s="8"/>
      <c r="Q106" s="27"/>
      <c r="R106" s="4"/>
      <c r="S106" s="8"/>
      <c r="T106" s="4"/>
      <c r="U106" s="28"/>
      <c r="V106" s="28"/>
      <c r="W106" s="29"/>
      <c r="X106" s="30"/>
      <c r="Y106" s="31"/>
      <c r="Z106" s="26"/>
      <c r="AA106" s="4"/>
      <c r="AB106" s="4"/>
      <c r="AC106" s="4"/>
    </row>
    <row r="107" spans="1:29" ht="14.25" customHeight="1" x14ac:dyDescent="0.3">
      <c r="A107" s="14" t="s">
        <v>134</v>
      </c>
      <c r="B107" s="22">
        <f t="shared" ref="B107:B108" si="0">Z107</f>
        <v>0</v>
      </c>
      <c r="C107" s="3" t="s">
        <v>97</v>
      </c>
      <c r="D107" s="3"/>
      <c r="E107" s="4"/>
      <c r="F107" s="8"/>
      <c r="G107" s="3"/>
      <c r="H107" s="8"/>
      <c r="I107" s="3"/>
      <c r="J107" s="24"/>
      <c r="K107" s="8"/>
      <c r="L107" s="4"/>
      <c r="M107" s="24"/>
      <c r="N107" s="26"/>
      <c r="O107" s="8">
        <v>0</v>
      </c>
      <c r="P107" s="8">
        <v>0</v>
      </c>
      <c r="Q107" s="27" t="str">
        <f t="shared" ref="Q107:Q108" si="1">IF(AND(O107&lt;&gt;0,P107&lt;&gt;0),"bad fuel cost","OK")</f>
        <v>OK</v>
      </c>
      <c r="R107" s="4"/>
      <c r="S107" s="8">
        <v>0</v>
      </c>
      <c r="T107" s="4"/>
      <c r="U107" s="28">
        <v>1</v>
      </c>
      <c r="V107" s="28"/>
      <c r="W107" s="29">
        <v>0</v>
      </c>
      <c r="X107" s="30"/>
      <c r="Y107" s="31"/>
      <c r="Z107" s="37">
        <f t="shared" ref="Z107:Z108" si="2">V107/U107+W107/1000+Y107</f>
        <v>0</v>
      </c>
      <c r="AA107" s="4"/>
      <c r="AB107" s="4"/>
      <c r="AC107" s="43"/>
    </row>
    <row r="108" spans="1:29" ht="14.25" customHeight="1" x14ac:dyDescent="0.3">
      <c r="A108" s="14" t="s">
        <v>135</v>
      </c>
      <c r="B108" s="22">
        <f t="shared" si="0"/>
        <v>0</v>
      </c>
      <c r="C108" s="3" t="s">
        <v>97</v>
      </c>
      <c r="D108" s="3"/>
      <c r="E108" s="4"/>
      <c r="F108" s="8"/>
      <c r="G108" s="3"/>
      <c r="H108" s="8"/>
      <c r="I108" s="3"/>
      <c r="J108" s="24"/>
      <c r="K108" s="8"/>
      <c r="L108" s="4"/>
      <c r="M108" s="24"/>
      <c r="N108" s="26"/>
      <c r="O108" s="8">
        <v>0</v>
      </c>
      <c r="P108" s="8">
        <v>0</v>
      </c>
      <c r="Q108" s="27" t="str">
        <f t="shared" si="1"/>
        <v>OK</v>
      </c>
      <c r="R108" s="4"/>
      <c r="S108" s="8">
        <v>0</v>
      </c>
      <c r="T108" s="4"/>
      <c r="U108" s="28">
        <v>1</v>
      </c>
      <c r="V108" s="28"/>
      <c r="W108" s="29">
        <v>0</v>
      </c>
      <c r="X108" s="30"/>
      <c r="Y108" s="31"/>
      <c r="Z108" s="37">
        <f t="shared" si="2"/>
        <v>0</v>
      </c>
      <c r="AA108" s="4"/>
      <c r="AB108" s="4"/>
      <c r="AC108" s="4"/>
    </row>
    <row r="109" spans="1:29" ht="14.25" customHeight="1" x14ac:dyDescent="0.3">
      <c r="A109" s="51" t="s">
        <v>165</v>
      </c>
      <c r="B109" s="15">
        <v>0.9</v>
      </c>
      <c r="C109" s="3"/>
      <c r="D109" s="3" t="s">
        <v>136</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x14ac:dyDescent="0.3">
      <c r="A110" s="51" t="s">
        <v>166</v>
      </c>
      <c r="B110" s="32">
        <f>1.01^(1/HOURS_PER_YEAR)-1</f>
        <v>1.1351290010175319E-6</v>
      </c>
      <c r="C110" s="3" t="s">
        <v>137</v>
      </c>
      <c r="D110" s="3" t="s">
        <v>138</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x14ac:dyDescent="0.3">
      <c r="A111" s="51" t="s">
        <v>167</v>
      </c>
      <c r="B111" s="40">
        <f>1568/261</f>
        <v>6.0076628352490422</v>
      </c>
      <c r="C111" s="3" t="s">
        <v>139</v>
      </c>
      <c r="D111" s="3" t="s">
        <v>140</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x14ac:dyDescent="0.3">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x14ac:dyDescent="0.3">
      <c r="A113" s="51" t="s">
        <v>141</v>
      </c>
      <c r="B113" s="44">
        <f t="shared" ref="B113:B115" si="3">N113</f>
        <v>3.2304881600325706E-6</v>
      </c>
      <c r="C113" s="3" t="s">
        <v>132</v>
      </c>
      <c r="D113" s="3" t="s">
        <v>142</v>
      </c>
      <c r="E113" s="4"/>
      <c r="F113" s="8">
        <v>0.3</v>
      </c>
      <c r="G113" s="9" t="str">
        <f>HYPERLINK("https://prod-ng.sandia.gov/techlib-noauth/access-control.cgi/2011/114845.pdf","Schoenung, 2011, Sandia Report")</f>
        <v>Schoenung, 2011, Sandia Report</v>
      </c>
      <c r="H113" s="45">
        <v>20</v>
      </c>
      <c r="I113" s="36" t="s">
        <v>143</v>
      </c>
      <c r="J113" s="33">
        <f>DISCOUNT_RATE*(1+DISCOUNT_RATE)^H113/((1+DISCOUNT_RATE)^H113-1)</f>
        <v>9.4392925743255696E-2</v>
      </c>
      <c r="K113" s="8">
        <v>0</v>
      </c>
      <c r="L113" s="38"/>
      <c r="M113" s="34">
        <f t="shared" ref="M113:M123" si="4">F113*J113+K113</f>
        <v>2.8317877722976708E-2</v>
      </c>
      <c r="N113" s="46">
        <f>M113/HOURS_PER_YEAR</f>
        <v>3.2304881600325706E-6</v>
      </c>
      <c r="O113" s="8"/>
      <c r="P113" s="8"/>
      <c r="Q113" s="27"/>
      <c r="R113" s="4"/>
      <c r="S113" s="8"/>
      <c r="T113" s="4"/>
      <c r="U113" s="28"/>
      <c r="V113" s="28"/>
      <c r="W113" s="29"/>
      <c r="X113" s="30"/>
      <c r="Y113" s="31"/>
      <c r="Z113" s="26"/>
      <c r="AA113" s="4"/>
      <c r="AB113" s="4"/>
      <c r="AC113" s="4"/>
    </row>
    <row r="114" spans="1:29" ht="14.25" customHeight="1" x14ac:dyDescent="0.3">
      <c r="A114" s="51" t="s">
        <v>144</v>
      </c>
      <c r="B114" s="44">
        <f t="shared" si="3"/>
        <v>1.184512325345276E-2</v>
      </c>
      <c r="C114" s="3" t="s">
        <v>97</v>
      </c>
      <c r="D114" s="3"/>
      <c r="E114" s="4"/>
      <c r="F114" s="8">
        <v>1100</v>
      </c>
      <c r="G114" s="9" t="str">
        <f t="shared" ref="G114:G115" si="5">HYPERLINK("http://science.sciencemag.org/content/360/6396/eaas9793/tab-pdf","Davis et al., 2018, Science")</f>
        <v>Davis et al., 2018, Science</v>
      </c>
      <c r="H114" s="45">
        <v>20</v>
      </c>
      <c r="I114" s="36" t="s">
        <v>143</v>
      </c>
      <c r="J114" s="33">
        <f>DISCOUNT_RATE*(1+DISCOUNT_RATE)^H114/((1+DISCOUNT_RATE)^H114-1)</f>
        <v>9.4392925743255696E-2</v>
      </c>
      <c r="K114" s="8">
        <v>0</v>
      </c>
      <c r="L114" s="38"/>
      <c r="M114" s="34">
        <f t="shared" si="4"/>
        <v>103.83221831758127</v>
      </c>
      <c r="N114" s="35">
        <f>M114/HOURS_PER_YEAR</f>
        <v>1.184512325345276E-2</v>
      </c>
      <c r="O114" s="8"/>
      <c r="P114" s="8"/>
      <c r="Q114" s="27"/>
      <c r="R114" s="4"/>
      <c r="S114" s="8"/>
      <c r="T114" s="4"/>
      <c r="U114" s="28"/>
      <c r="V114" s="28"/>
      <c r="W114" s="29"/>
      <c r="X114" s="30"/>
      <c r="Y114" s="31"/>
      <c r="Z114" s="26"/>
      <c r="AA114" s="4"/>
      <c r="AB114" s="4"/>
      <c r="AC114" s="4"/>
    </row>
    <row r="115" spans="1:29" ht="14.25" customHeight="1" x14ac:dyDescent="0.3">
      <c r="A115" s="51" t="s">
        <v>145</v>
      </c>
      <c r="B115" s="44">
        <f t="shared" si="3"/>
        <v>4.9534151787166088E-2</v>
      </c>
      <c r="C115" s="3" t="s">
        <v>97</v>
      </c>
      <c r="D115" s="3"/>
      <c r="E115" s="4"/>
      <c r="F115" s="8">
        <v>4600</v>
      </c>
      <c r="G115" s="9" t="str">
        <f t="shared" si="5"/>
        <v>Davis et al., 2018, Science</v>
      </c>
      <c r="H115" s="45">
        <v>20</v>
      </c>
      <c r="I115" s="36" t="s">
        <v>143</v>
      </c>
      <c r="J115" s="33">
        <f>DISCOUNT_RATE*(1+DISCOUNT_RATE)^H115/((1+DISCOUNT_RATE)^H115-1)</f>
        <v>9.4392925743255696E-2</v>
      </c>
      <c r="K115" s="8">
        <v>0</v>
      </c>
      <c r="L115" s="38"/>
      <c r="M115" s="34">
        <f t="shared" si="4"/>
        <v>434.20745841897622</v>
      </c>
      <c r="N115" s="35">
        <f>M115/HOURS_PER_YEAR</f>
        <v>4.9534151787166088E-2</v>
      </c>
      <c r="O115" s="8"/>
      <c r="P115" s="8"/>
      <c r="Q115" s="27"/>
      <c r="R115" s="4"/>
      <c r="S115" s="8"/>
      <c r="T115" s="4"/>
      <c r="U115" s="28"/>
      <c r="V115" s="28"/>
      <c r="W115" s="29"/>
      <c r="X115" s="30"/>
      <c r="Y115" s="31"/>
      <c r="Z115" s="26"/>
      <c r="AA115" s="4"/>
      <c r="AB115" s="4"/>
      <c r="AC115" s="4"/>
    </row>
    <row r="116" spans="1:29" ht="14.25" customHeight="1" x14ac:dyDescent="0.3">
      <c r="A116" s="51" t="s">
        <v>146</v>
      </c>
      <c r="B116" s="22">
        <f t="shared" ref="B116:B117" si="6">Z116</f>
        <v>0</v>
      </c>
      <c r="C116" s="3" t="s">
        <v>97</v>
      </c>
      <c r="D116" s="3"/>
      <c r="E116" s="4"/>
      <c r="F116" s="8"/>
      <c r="G116" s="3"/>
      <c r="H116" s="8"/>
      <c r="I116" s="3"/>
      <c r="J116" s="33"/>
      <c r="K116" s="8"/>
      <c r="L116" s="4"/>
      <c r="M116" s="34"/>
      <c r="N116" s="35"/>
      <c r="O116" s="8">
        <v>0</v>
      </c>
      <c r="P116" s="8">
        <v>0</v>
      </c>
      <c r="Q116" s="27" t="str">
        <f t="shared" ref="Q116:Q117" si="7">IF(AND(O116&lt;&gt;0,P116&lt;&gt;0),"bad fuel cost","OK")</f>
        <v>OK</v>
      </c>
      <c r="R116" s="4"/>
      <c r="S116" s="8">
        <v>0</v>
      </c>
      <c r="T116" s="4"/>
      <c r="U116" s="28">
        <v>1</v>
      </c>
      <c r="V116" s="28"/>
      <c r="W116" s="29">
        <v>0</v>
      </c>
      <c r="X116" s="30"/>
      <c r="Y116" s="31"/>
      <c r="Z116" s="37">
        <f t="shared" ref="Z116:Z125" si="8">V116/U116+W116/1000+Y116</f>
        <v>0</v>
      </c>
      <c r="AA116" s="4"/>
      <c r="AB116" s="4"/>
      <c r="AC116" s="4"/>
    </row>
    <row r="117" spans="1:29" ht="14.25" customHeight="1" x14ac:dyDescent="0.3">
      <c r="A117" s="51" t="s">
        <v>147</v>
      </c>
      <c r="B117" s="22">
        <f t="shared" si="6"/>
        <v>0</v>
      </c>
      <c r="C117" s="3" t="s">
        <v>97</v>
      </c>
      <c r="D117" s="3"/>
      <c r="E117" s="4"/>
      <c r="F117" s="8"/>
      <c r="G117" s="3"/>
      <c r="H117" s="8"/>
      <c r="I117" s="3"/>
      <c r="J117" s="33"/>
      <c r="K117" s="8"/>
      <c r="L117" s="4"/>
      <c r="M117" s="34"/>
      <c r="N117" s="35"/>
      <c r="O117" s="8">
        <v>0</v>
      </c>
      <c r="P117" s="8">
        <v>0</v>
      </c>
      <c r="Q117" s="27" t="str">
        <f t="shared" si="7"/>
        <v>OK</v>
      </c>
      <c r="R117" s="4"/>
      <c r="S117" s="8">
        <v>0</v>
      </c>
      <c r="T117" s="4"/>
      <c r="U117" s="28">
        <v>1</v>
      </c>
      <c r="V117" s="28"/>
      <c r="W117" s="29">
        <v>0</v>
      </c>
      <c r="X117" s="30"/>
      <c r="Y117" s="31"/>
      <c r="Z117" s="37">
        <f t="shared" si="8"/>
        <v>0</v>
      </c>
      <c r="AA117" s="4"/>
      <c r="AB117" s="4"/>
      <c r="AC117" s="4"/>
    </row>
    <row r="118" spans="1:29" ht="14.25" customHeight="1" x14ac:dyDescent="0.3">
      <c r="A118" s="51" t="s">
        <v>160</v>
      </c>
      <c r="B118" s="47">
        <f>1.0001^(1/HOURS_PER_YEAR)-1</f>
        <v>1.1407375488659E-8</v>
      </c>
      <c r="C118" s="3" t="s">
        <v>137</v>
      </c>
      <c r="D118" s="3" t="s">
        <v>148</v>
      </c>
      <c r="E118" s="9" t="str">
        <f>HYPERLINK("http://juser.fz-juelich.de/record/135790/files/Energie%26Umwelt_78-04.pdf","Crotogino et al., 2010, p43")</f>
        <v>Crotogino et al., 2010, p43</v>
      </c>
      <c r="F118" s="8"/>
      <c r="G118" s="3"/>
      <c r="H118" s="8"/>
      <c r="I118" s="3"/>
      <c r="J118" s="33"/>
      <c r="K118" s="8"/>
      <c r="L118" s="4"/>
      <c r="M118" s="34"/>
      <c r="N118" s="35"/>
      <c r="O118" s="8"/>
      <c r="P118" s="8"/>
      <c r="Q118" s="27"/>
      <c r="R118" s="4"/>
      <c r="S118" s="8"/>
      <c r="T118" s="4"/>
      <c r="U118" s="28"/>
      <c r="V118" s="28"/>
      <c r="W118" s="29"/>
      <c r="X118" s="30"/>
      <c r="Y118" s="31"/>
      <c r="Z118" s="37"/>
      <c r="AA118" s="4"/>
      <c r="AB118" s="4"/>
      <c r="AC118" s="4"/>
    </row>
    <row r="119" spans="1:29" ht="14.25" customHeight="1" x14ac:dyDescent="0.3">
      <c r="A119" s="51" t="s">
        <v>161</v>
      </c>
      <c r="B119" s="47">
        <v>0.3</v>
      </c>
      <c r="C119" s="3"/>
      <c r="D119" s="9" t="str">
        <f>HYPERLINK("https://pubs.rsc.org/en/content/articlepdf/2015/ee/c4ee04041d","Pellow et al., 2015, Energy Environ. Sci.")</f>
        <v>Pellow et al., 2015, Energy Environ. Sci.</v>
      </c>
      <c r="E119" s="4"/>
      <c r="F119" s="8"/>
      <c r="G119" s="3"/>
      <c r="H119" s="8"/>
      <c r="I119" s="3"/>
      <c r="J119" s="33"/>
      <c r="K119" s="8"/>
      <c r="L119" s="4"/>
      <c r="M119" s="34"/>
      <c r="N119" s="35"/>
      <c r="O119" s="8"/>
      <c r="P119" s="8"/>
      <c r="Q119" s="27"/>
      <c r="R119" s="4"/>
      <c r="S119" s="8"/>
      <c r="T119" s="4"/>
      <c r="U119" s="28"/>
      <c r="V119" s="28"/>
      <c r="W119" s="29"/>
      <c r="X119" s="30"/>
      <c r="Y119" s="31"/>
      <c r="Z119" s="37"/>
      <c r="AA119" s="4"/>
      <c r="AB119" s="4"/>
      <c r="AC119" s="4"/>
    </row>
    <row r="120" spans="1:29" ht="14.25" customHeight="1" x14ac:dyDescent="0.3">
      <c r="A120" s="51"/>
      <c r="B120" s="47"/>
      <c r="C120" s="3"/>
      <c r="D120" s="9"/>
      <c r="E120" s="4"/>
      <c r="F120" s="8"/>
      <c r="G120" s="3"/>
      <c r="H120" s="8"/>
      <c r="I120" s="3"/>
      <c r="J120" s="33"/>
      <c r="K120" s="8"/>
      <c r="L120" s="4"/>
      <c r="M120" s="34"/>
      <c r="N120" s="35"/>
      <c r="O120" s="8"/>
      <c r="P120" s="8"/>
      <c r="Q120" s="27"/>
      <c r="R120" s="4"/>
      <c r="S120" s="8"/>
      <c r="T120" s="4"/>
      <c r="U120" s="28"/>
      <c r="V120" s="28"/>
      <c r="W120" s="29"/>
      <c r="X120" s="30"/>
      <c r="Y120" s="31"/>
      <c r="Z120" s="37"/>
      <c r="AA120" s="4"/>
      <c r="AB120" s="4"/>
      <c r="AC120" s="4"/>
    </row>
    <row r="121" spans="1:29" s="52" customFormat="1" ht="14.4" x14ac:dyDescent="0.3">
      <c r="A121" s="51" t="s">
        <v>162</v>
      </c>
      <c r="B121" s="57" t="s">
        <v>95</v>
      </c>
      <c r="C121" s="56"/>
      <c r="D121" s="56"/>
      <c r="F121" s="8"/>
      <c r="H121" s="8"/>
      <c r="J121" s="33"/>
      <c r="K121" s="8"/>
      <c r="M121" s="34"/>
      <c r="N121" s="35"/>
      <c r="O121" s="8"/>
      <c r="P121" s="8"/>
      <c r="Q121" s="27"/>
      <c r="R121" s="4"/>
      <c r="S121" s="8"/>
      <c r="T121" s="4"/>
      <c r="U121" s="28"/>
      <c r="V121" s="28"/>
      <c r="W121" s="29"/>
      <c r="X121" s="30"/>
      <c r="Y121" s="31"/>
      <c r="Z121" s="37"/>
    </row>
    <row r="122" spans="1:29" s="52" customFormat="1" ht="14.4" x14ac:dyDescent="0.3">
      <c r="A122" s="51" t="s">
        <v>156</v>
      </c>
      <c r="B122" s="58">
        <f>N122</f>
        <v>5.3654107760693806E-2</v>
      </c>
      <c r="C122" s="56" t="s">
        <v>97</v>
      </c>
      <c r="D122" s="68" t="s">
        <v>173</v>
      </c>
      <c r="F122" s="8">
        <v>4600</v>
      </c>
      <c r="G122" s="67" t="s">
        <v>175</v>
      </c>
      <c r="H122" s="8">
        <v>30</v>
      </c>
      <c r="I122" s="61" t="s">
        <v>170</v>
      </c>
      <c r="J122" s="33">
        <f>DISCOUNT_RATE*(1+DISCOUNT_RATE)^H122/((1+DISCOUNT_RATE)^H122-1)</f>
        <v>8.0586403511111196E-2</v>
      </c>
      <c r="K122" s="8">
        <v>0.02</v>
      </c>
      <c r="L122" s="67" t="s">
        <v>175</v>
      </c>
      <c r="M122" s="34">
        <f>AB122*J122+K122</f>
        <v>470.32225089084494</v>
      </c>
      <c r="N122" s="35">
        <f>M122/HOURS_PER_YEAR</f>
        <v>5.3654107760693806E-2</v>
      </c>
      <c r="O122" s="8"/>
      <c r="P122" s="8"/>
      <c r="Q122" s="27"/>
      <c r="R122" s="4"/>
      <c r="S122" s="8"/>
      <c r="T122" s="4"/>
      <c r="U122" s="28"/>
      <c r="V122" s="28"/>
      <c r="W122" s="29"/>
      <c r="X122" s="30"/>
      <c r="Y122" s="31"/>
      <c r="Z122" s="37"/>
      <c r="AA122" s="64" t="s">
        <v>172</v>
      </c>
      <c r="AB122" s="62">
        <v>5836</v>
      </c>
      <c r="AC122" s="65" t="s">
        <v>171</v>
      </c>
    </row>
    <row r="123" spans="1:29" s="52" customFormat="1" ht="14.4" x14ac:dyDescent="0.3">
      <c r="A123" s="51" t="s">
        <v>157</v>
      </c>
      <c r="B123" s="58">
        <f>N123</f>
        <v>2.2985414801784433E-2</v>
      </c>
      <c r="C123" s="56" t="s">
        <v>132</v>
      </c>
      <c r="D123" s="63" t="s">
        <v>176</v>
      </c>
      <c r="F123" s="8">
        <f>7100-F122</f>
        <v>2500</v>
      </c>
      <c r="G123" s="67" t="s">
        <v>175</v>
      </c>
      <c r="H123" s="8">
        <v>30</v>
      </c>
      <c r="I123" s="61" t="s">
        <v>170</v>
      </c>
      <c r="J123" s="33">
        <f>DISCOUNT_RATE*(1+DISCOUNT_RATE)^H123/((1+DISCOUNT_RATE)^H123-1)</f>
        <v>8.0586403511111196E-2</v>
      </c>
      <c r="K123" s="8">
        <v>0.02</v>
      </c>
      <c r="L123" s="67" t="s">
        <v>175</v>
      </c>
      <c r="M123" s="34">
        <f t="shared" si="4"/>
        <v>201.48600877777801</v>
      </c>
      <c r="N123" s="35">
        <f>M123/HOURS_PER_YEAR</f>
        <v>2.2985414801784433E-2</v>
      </c>
      <c r="O123" s="8"/>
      <c r="P123" s="8"/>
      <c r="Q123" s="27"/>
      <c r="R123" s="4"/>
      <c r="S123" s="8"/>
      <c r="T123" s="4"/>
      <c r="U123" s="28"/>
      <c r="V123" s="28"/>
      <c r="W123" s="29"/>
      <c r="X123" s="30"/>
      <c r="Y123" s="31"/>
      <c r="Z123" s="37"/>
    </row>
    <row r="124" spans="1:29" s="52" customFormat="1" ht="14.4" x14ac:dyDescent="0.3">
      <c r="A124" s="51" t="s">
        <v>158</v>
      </c>
      <c r="B124" s="59">
        <v>1E-8</v>
      </c>
      <c r="C124" s="56" t="s">
        <v>97</v>
      </c>
      <c r="D124" s="56"/>
      <c r="F124" s="8"/>
      <c r="H124" s="8"/>
      <c r="J124" s="33"/>
      <c r="K124" s="8"/>
      <c r="M124" s="24"/>
      <c r="N124" s="35"/>
      <c r="O124" s="8">
        <v>0</v>
      </c>
      <c r="P124" s="8">
        <v>0</v>
      </c>
      <c r="Q124" s="27" t="str">
        <f t="shared" ref="Q124:Q125" si="9">IF(AND(O124&lt;&gt;0,P124&lt;&gt;0),"bad fuel cost","OK")</f>
        <v>OK</v>
      </c>
      <c r="R124" s="4"/>
      <c r="S124" s="8">
        <v>0</v>
      </c>
      <c r="T124" s="4"/>
      <c r="U124" s="28">
        <v>1</v>
      </c>
      <c r="V124" s="28"/>
      <c r="W124" s="29">
        <v>0</v>
      </c>
      <c r="X124" s="30"/>
      <c r="Y124" s="31"/>
      <c r="Z124" s="37">
        <f t="shared" si="8"/>
        <v>0</v>
      </c>
    </row>
    <row r="125" spans="1:29" s="52" customFormat="1" ht="14.4" x14ac:dyDescent="0.3">
      <c r="A125" s="51" t="s">
        <v>159</v>
      </c>
      <c r="B125" s="59">
        <v>1E-8</v>
      </c>
      <c r="C125" s="56" t="s">
        <v>97</v>
      </c>
      <c r="D125" s="56"/>
      <c r="F125" s="8"/>
      <c r="H125" s="8"/>
      <c r="J125" s="33"/>
      <c r="K125" s="8"/>
      <c r="M125" s="24"/>
      <c r="N125" s="35"/>
      <c r="O125" s="8">
        <v>0</v>
      </c>
      <c r="P125" s="8">
        <v>0</v>
      </c>
      <c r="Q125" s="27" t="str">
        <f t="shared" si="9"/>
        <v>OK</v>
      </c>
      <c r="R125" s="4"/>
      <c r="S125" s="8">
        <v>0</v>
      </c>
      <c r="T125" s="4"/>
      <c r="U125" s="28">
        <v>1</v>
      </c>
      <c r="V125" s="28"/>
      <c r="W125" s="29">
        <v>0</v>
      </c>
      <c r="X125" s="30"/>
      <c r="Y125" s="31"/>
      <c r="Z125" s="37">
        <f t="shared" si="8"/>
        <v>0</v>
      </c>
    </row>
    <row r="126" spans="1:29" s="52" customFormat="1" ht="14.4" x14ac:dyDescent="0.3">
      <c r="A126" s="51" t="s">
        <v>163</v>
      </c>
      <c r="B126" s="57">
        <f>1/10</f>
        <v>0.1</v>
      </c>
      <c r="C126" s="56" t="s">
        <v>137</v>
      </c>
      <c r="D126" s="52" t="s">
        <v>168</v>
      </c>
      <c r="E126" s="61" t="s">
        <v>170</v>
      </c>
      <c r="F126" s="8"/>
      <c r="H126" s="8"/>
      <c r="J126" s="33"/>
      <c r="K126" s="8"/>
      <c r="M126" s="24"/>
      <c r="N126" s="35"/>
      <c r="O126" s="8"/>
      <c r="P126" s="8"/>
      <c r="Q126" s="27"/>
      <c r="R126" s="4"/>
      <c r="S126" s="8"/>
      <c r="T126" s="4"/>
      <c r="U126" s="28"/>
      <c r="V126" s="28"/>
      <c r="W126" s="29"/>
      <c r="X126" s="30"/>
      <c r="Y126" s="31"/>
      <c r="Z126" s="26"/>
      <c r="AA126" s="66" t="s">
        <v>174</v>
      </c>
      <c r="AB126" s="67" t="s">
        <v>175</v>
      </c>
    </row>
    <row r="127" spans="1:29" s="52" customFormat="1" ht="14.4" x14ac:dyDescent="0.3">
      <c r="A127" s="51" t="s">
        <v>164</v>
      </c>
      <c r="B127" s="57">
        <v>1</v>
      </c>
      <c r="C127" s="56"/>
      <c r="D127" s="66" t="s">
        <v>177</v>
      </c>
      <c r="F127" s="8"/>
      <c r="H127" s="8"/>
      <c r="J127" s="33"/>
      <c r="K127" s="8"/>
      <c r="M127" s="24"/>
      <c r="N127" s="35"/>
      <c r="O127" s="8"/>
      <c r="P127" s="8"/>
      <c r="Q127" s="27"/>
      <c r="R127" s="4"/>
      <c r="S127" s="8"/>
      <c r="T127" s="4"/>
      <c r="U127" s="28"/>
      <c r="V127" s="28"/>
      <c r="W127" s="29"/>
      <c r="X127" s="30"/>
      <c r="Y127" s="31"/>
      <c r="Z127" s="26"/>
    </row>
    <row r="128" spans="1:29" ht="14.25" customHeight="1" x14ac:dyDescent="0.3">
      <c r="A128" s="51"/>
      <c r="B128" s="47"/>
      <c r="C128" s="3"/>
      <c r="D128" s="9"/>
      <c r="E128" s="4"/>
      <c r="F128" s="8"/>
      <c r="G128" s="3"/>
      <c r="H128" s="8"/>
      <c r="I128" s="3"/>
      <c r="J128" s="33"/>
      <c r="K128" s="8"/>
      <c r="L128" s="4"/>
      <c r="M128" s="24"/>
      <c r="N128" s="35"/>
      <c r="O128" s="8"/>
      <c r="P128" s="8"/>
      <c r="Q128" s="27"/>
      <c r="R128" s="4"/>
      <c r="S128" s="8"/>
      <c r="T128" s="4"/>
      <c r="U128" s="28"/>
      <c r="V128" s="28"/>
      <c r="W128" s="29"/>
      <c r="X128" s="30"/>
      <c r="Y128" s="31"/>
      <c r="Z128" s="26"/>
      <c r="AA128" s="4"/>
      <c r="AB128" s="4"/>
      <c r="AC128" s="4"/>
    </row>
    <row r="129" spans="1:29" ht="14.25" customHeight="1" x14ac:dyDescent="0.3">
      <c r="A129" s="14" t="s">
        <v>149</v>
      </c>
      <c r="B129" s="15">
        <v>10</v>
      </c>
      <c r="C129" s="3" t="s">
        <v>97</v>
      </c>
      <c r="D129" s="3"/>
      <c r="E129" s="4"/>
      <c r="F129" s="8"/>
      <c r="G129" s="3"/>
      <c r="H129" s="8"/>
      <c r="I129" s="3"/>
      <c r="J129" s="24"/>
      <c r="K129" s="8"/>
      <c r="L129" s="4"/>
      <c r="M129" s="24"/>
      <c r="N129" s="26"/>
      <c r="O129" s="8"/>
      <c r="P129" s="8"/>
      <c r="Q129" s="27"/>
      <c r="R129" s="4"/>
      <c r="S129" s="8"/>
      <c r="T129" s="4"/>
      <c r="U129" s="28"/>
      <c r="V129" s="28"/>
      <c r="W129" s="29"/>
      <c r="X129" s="30"/>
      <c r="Y129" s="31"/>
      <c r="Z129" s="26"/>
      <c r="AA129" s="4"/>
      <c r="AB129" s="4"/>
      <c r="AC129" s="4"/>
    </row>
    <row r="130" spans="1:29" ht="14.25" customHeight="1" x14ac:dyDescent="0.3">
      <c r="A130" s="3"/>
      <c r="B130" s="4"/>
      <c r="C130" s="3"/>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x14ac:dyDescent="0.3">
      <c r="A131" s="3"/>
      <c r="B131" s="4"/>
      <c r="C131" s="3" t="s">
        <v>150</v>
      </c>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ht="14.25" customHeight="1" x14ac:dyDescent="0.3">
      <c r="A132" s="3"/>
      <c r="B132" s="4"/>
      <c r="C132" s="3"/>
      <c r="D132" s="4"/>
      <c r="E132" s="3"/>
      <c r="F132" s="4"/>
      <c r="G132" s="3"/>
      <c r="H132" s="4"/>
      <c r="I132" s="4"/>
      <c r="J132" s="4"/>
      <c r="K132" s="4"/>
      <c r="L132" s="4"/>
      <c r="M132" s="4"/>
      <c r="N132" s="4"/>
      <c r="O132" s="4"/>
      <c r="P132" s="4"/>
      <c r="Q132" s="4"/>
      <c r="R132" s="4"/>
      <c r="S132" s="4"/>
      <c r="T132" s="4"/>
      <c r="U132" s="4"/>
      <c r="V132" s="4"/>
      <c r="W132" s="4"/>
      <c r="X132" s="4"/>
      <c r="Y132" s="4"/>
      <c r="Z132" s="4"/>
      <c r="AA132" s="4"/>
      <c r="AB132" s="4"/>
      <c r="AC132" s="4"/>
    </row>
    <row r="133" spans="1:29" s="48" customFormat="1" ht="14.4" x14ac:dyDescent="0.3">
      <c r="A133" s="48" t="s">
        <v>151</v>
      </c>
      <c r="B133" s="49" t="s">
        <v>152</v>
      </c>
      <c r="C133" s="50"/>
    </row>
    <row r="134" spans="1:29" s="51" customFormat="1" ht="43.2" x14ac:dyDescent="0.3">
      <c r="A134" s="51" t="s">
        <v>153</v>
      </c>
      <c r="B134" s="51" t="s">
        <v>82</v>
      </c>
      <c r="C134" s="51" t="s">
        <v>84</v>
      </c>
      <c r="D134" s="51" t="s">
        <v>87</v>
      </c>
      <c r="E134" s="51" t="s">
        <v>88</v>
      </c>
      <c r="F134" s="51" t="s">
        <v>96</v>
      </c>
      <c r="G134" s="51" t="s">
        <v>99</v>
      </c>
      <c r="H134" s="51" t="s">
        <v>110</v>
      </c>
      <c r="I134" s="51" t="s">
        <v>112</v>
      </c>
      <c r="J134" s="51" t="s">
        <v>115</v>
      </c>
      <c r="K134" s="51" t="s">
        <v>116</v>
      </c>
      <c r="L134" s="51" t="s">
        <v>120</v>
      </c>
      <c r="M134" s="51" t="s">
        <v>121</v>
      </c>
      <c r="N134" s="51" t="s">
        <v>125</v>
      </c>
      <c r="O134" s="51" t="s">
        <v>127</v>
      </c>
      <c r="P134" s="51" t="s">
        <v>131</v>
      </c>
      <c r="Q134" s="51" t="s">
        <v>134</v>
      </c>
      <c r="R134" s="51" t="s">
        <v>135</v>
      </c>
      <c r="S134" s="51" t="s">
        <v>141</v>
      </c>
      <c r="T134" s="51" t="s">
        <v>144</v>
      </c>
      <c r="U134" s="51" t="s">
        <v>145</v>
      </c>
      <c r="V134" s="51" t="s">
        <v>146</v>
      </c>
      <c r="W134" s="51" t="s">
        <v>147</v>
      </c>
      <c r="X134" s="51" t="s">
        <v>156</v>
      </c>
      <c r="Y134" s="51" t="s">
        <v>157</v>
      </c>
      <c r="Z134" s="51" t="s">
        <v>158</v>
      </c>
      <c r="AA134" s="51" t="s">
        <v>159</v>
      </c>
      <c r="AB134" s="51" t="s">
        <v>149</v>
      </c>
    </row>
    <row r="135" spans="1:29" s="52" customFormat="1" ht="14.4" x14ac:dyDescent="0.3"/>
    <row r="136" spans="1:29" s="53" customFormat="1" ht="14.4" x14ac:dyDescent="0.3">
      <c r="A136" s="70" t="s">
        <v>179</v>
      </c>
      <c r="B136" s="70">
        <v>2015</v>
      </c>
      <c r="C136" s="70">
        <v>1</v>
      </c>
      <c r="D136" s="70">
        <v>2015</v>
      </c>
      <c r="E136" s="70">
        <v>1</v>
      </c>
      <c r="F136" s="70">
        <v>0.25600000000000001</v>
      </c>
      <c r="G136" s="70">
        <v>0.25600000000000001</v>
      </c>
      <c r="H136" s="70">
        <v>1</v>
      </c>
      <c r="I136" s="70">
        <v>1</v>
      </c>
      <c r="J136" s="70">
        <v>0.64</v>
      </c>
      <c r="K136" s="70">
        <v>0.64</v>
      </c>
      <c r="L136" s="70">
        <v>0.73599999999999999</v>
      </c>
      <c r="M136" s="70">
        <v>0.5</v>
      </c>
      <c r="N136" s="70">
        <v>0.25</v>
      </c>
      <c r="O136" s="70">
        <v>0.25</v>
      </c>
      <c r="P136" s="70">
        <v>0.4</v>
      </c>
      <c r="Q136" s="70">
        <v>0.4</v>
      </c>
      <c r="R136" s="70">
        <v>0.4</v>
      </c>
      <c r="S136" s="70">
        <v>0.2</v>
      </c>
      <c r="T136" s="70">
        <v>0.2</v>
      </c>
      <c r="U136" s="70">
        <v>0.2</v>
      </c>
      <c r="V136" s="70">
        <v>0.2</v>
      </c>
      <c r="W136" s="70">
        <v>0.2</v>
      </c>
      <c r="X136" s="70">
        <v>0.1</v>
      </c>
      <c r="Y136" s="70">
        <v>0.1</v>
      </c>
      <c r="Z136" s="70">
        <v>0.05</v>
      </c>
      <c r="AA136" s="70">
        <v>0.05</v>
      </c>
      <c r="AB136" s="70">
        <v>1</v>
      </c>
      <c r="AC136" s="70"/>
    </row>
    <row r="137" spans="1:29" s="53" customFormat="1" ht="14.4" x14ac:dyDescent="0.3">
      <c r="A137" s="70" t="s">
        <v>169</v>
      </c>
      <c r="B137" s="70">
        <v>2015</v>
      </c>
      <c r="C137" s="70">
        <v>1</v>
      </c>
      <c r="D137" s="70">
        <v>2015</v>
      </c>
      <c r="E137" s="70">
        <v>12</v>
      </c>
      <c r="F137" s="70">
        <v>0.25600000000000001</v>
      </c>
      <c r="G137" s="70">
        <v>0.25600000000000001</v>
      </c>
      <c r="H137" s="70">
        <v>1</v>
      </c>
      <c r="I137" s="70">
        <v>1</v>
      </c>
      <c r="J137" s="70">
        <v>0.64</v>
      </c>
      <c r="K137" s="70">
        <v>0.64</v>
      </c>
      <c r="L137" s="70">
        <v>0.73599999999999999</v>
      </c>
      <c r="M137" s="70">
        <v>0.5</v>
      </c>
      <c r="N137" s="70">
        <v>0.25</v>
      </c>
      <c r="O137" s="70">
        <v>0.25</v>
      </c>
      <c r="P137" s="70">
        <v>0.4</v>
      </c>
      <c r="Q137" s="70">
        <v>0.4</v>
      </c>
      <c r="R137" s="70">
        <v>0.4</v>
      </c>
      <c r="S137" s="70">
        <v>0.2</v>
      </c>
      <c r="T137" s="70">
        <v>0.2</v>
      </c>
      <c r="U137" s="70">
        <v>0.2</v>
      </c>
      <c r="V137" s="70">
        <v>0.2</v>
      </c>
      <c r="W137" s="70">
        <v>0.2</v>
      </c>
      <c r="X137" s="70">
        <v>0.1</v>
      </c>
      <c r="Y137" s="70">
        <v>0.1</v>
      </c>
      <c r="Z137" s="70">
        <v>0.05</v>
      </c>
      <c r="AA137" s="70">
        <v>0.05</v>
      </c>
      <c r="AB137" s="70">
        <v>1</v>
      </c>
      <c r="AC137" s="70"/>
    </row>
    <row r="138" spans="1:29" s="54" customFormat="1" ht="14.4" x14ac:dyDescent="0.3">
      <c r="A138" s="70" t="s">
        <v>180</v>
      </c>
      <c r="B138" s="70">
        <v>2015</v>
      </c>
      <c r="C138" s="70">
        <v>1</v>
      </c>
      <c r="D138" s="70">
        <v>2015</v>
      </c>
      <c r="E138" s="70">
        <v>1</v>
      </c>
      <c r="F138" s="70">
        <v>1000</v>
      </c>
      <c r="G138" s="70">
        <v>1000</v>
      </c>
      <c r="H138" s="70">
        <v>1000</v>
      </c>
      <c r="I138" s="70">
        <v>1000</v>
      </c>
      <c r="J138" s="70">
        <v>1000</v>
      </c>
      <c r="K138" s="70">
        <v>1000</v>
      </c>
      <c r="L138" s="70">
        <v>1000</v>
      </c>
      <c r="M138" s="70">
        <v>1000</v>
      </c>
      <c r="N138" s="70">
        <v>1000</v>
      </c>
      <c r="O138" s="70">
        <v>1000</v>
      </c>
      <c r="P138" s="70">
        <v>1000</v>
      </c>
      <c r="Q138" s="70">
        <v>1000</v>
      </c>
      <c r="R138" s="70">
        <v>1000</v>
      </c>
      <c r="S138" s="70">
        <v>1000</v>
      </c>
      <c r="T138" s="70">
        <v>1000</v>
      </c>
      <c r="U138" s="70">
        <v>1000</v>
      </c>
      <c r="V138" s="70">
        <v>1000</v>
      </c>
      <c r="W138" s="70">
        <v>1000</v>
      </c>
      <c r="X138" s="70">
        <v>0.1</v>
      </c>
      <c r="Y138" s="70">
        <v>0.1</v>
      </c>
      <c r="Z138" s="70">
        <v>0.05</v>
      </c>
      <c r="AA138" s="70">
        <v>0.05</v>
      </c>
      <c r="AB138" s="70">
        <v>1</v>
      </c>
      <c r="AC138" s="70"/>
    </row>
    <row r="139" spans="1:29" s="54" customFormat="1" ht="14.4" x14ac:dyDescent="0.3">
      <c r="A139" s="71" t="s">
        <v>154</v>
      </c>
      <c r="B139" s="71">
        <v>2015</v>
      </c>
      <c r="C139" s="71">
        <v>1</v>
      </c>
      <c r="D139" s="71">
        <v>2015</v>
      </c>
      <c r="E139" s="71">
        <v>1</v>
      </c>
      <c r="F139" s="71">
        <v>1</v>
      </c>
      <c r="G139" s="71">
        <v>1</v>
      </c>
      <c r="H139" s="71">
        <v>1</v>
      </c>
      <c r="I139" s="71">
        <v>1</v>
      </c>
      <c r="J139" s="71">
        <v>1</v>
      </c>
      <c r="K139" s="71">
        <v>1</v>
      </c>
      <c r="L139" s="71">
        <v>1</v>
      </c>
      <c r="M139" s="71">
        <v>1</v>
      </c>
      <c r="N139" s="71">
        <v>1</v>
      </c>
      <c r="O139" s="71">
        <v>1</v>
      </c>
      <c r="P139" s="71">
        <v>1</v>
      </c>
      <c r="Q139" s="71">
        <v>1</v>
      </c>
      <c r="R139" s="71">
        <v>1</v>
      </c>
      <c r="S139" s="71">
        <v>1</v>
      </c>
      <c r="T139" s="71">
        <v>1</v>
      </c>
      <c r="U139" s="71">
        <v>1</v>
      </c>
      <c r="V139" s="71">
        <v>1</v>
      </c>
      <c r="W139" s="71">
        <v>1</v>
      </c>
      <c r="X139" s="71">
        <v>1</v>
      </c>
      <c r="Y139" s="71">
        <v>1</v>
      </c>
      <c r="Z139" s="71">
        <v>1</v>
      </c>
      <c r="AA139" s="71">
        <v>1</v>
      </c>
      <c r="AB139" s="71">
        <v>1</v>
      </c>
      <c r="AC139" s="71"/>
    </row>
    <row r="140" spans="1:29" s="52" customFormat="1" ht="14.4" x14ac:dyDescent="0.3">
      <c r="B140" s="55"/>
    </row>
    <row r="141" spans="1:29" s="48" customFormat="1" ht="14.4" x14ac:dyDescent="0.3">
      <c r="A141" s="48" t="s">
        <v>155</v>
      </c>
      <c r="B141" s="49"/>
    </row>
    <row r="142" spans="1:29" ht="14.25" customHeight="1" x14ac:dyDescent="0.3">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x14ac:dyDescent="0.3">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x14ac:dyDescent="0.3">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x14ac:dyDescent="0.3">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x14ac:dyDescent="0.3">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x14ac:dyDescent="0.3">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x14ac:dyDescent="0.3">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x14ac:dyDescent="0.3">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x14ac:dyDescent="0.3">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x14ac:dyDescent="0.3">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x14ac:dyDescent="0.3">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x14ac:dyDescent="0.3">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x14ac:dyDescent="0.3">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x14ac:dyDescent="0.3">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x14ac:dyDescent="0.3">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x14ac:dyDescent="0.3">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x14ac:dyDescent="0.3">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x14ac:dyDescent="0.3">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x14ac:dyDescent="0.3">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x14ac:dyDescent="0.3">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x14ac:dyDescent="0.3">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x14ac:dyDescent="0.3">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x14ac:dyDescent="0.3">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x14ac:dyDescent="0.3">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x14ac:dyDescent="0.3">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x14ac:dyDescent="0.3">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x14ac:dyDescent="0.3">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x14ac:dyDescent="0.3">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x14ac:dyDescent="0.3">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x14ac:dyDescent="0.3">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x14ac:dyDescent="0.3">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x14ac:dyDescent="0.3">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x14ac:dyDescent="0.3">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x14ac:dyDescent="0.3">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x14ac:dyDescent="0.3">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3">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3">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3">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3">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3">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3">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3">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3">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3">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3">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3">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3">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3">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3">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3">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3">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3">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3">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3">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3">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3">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3">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3">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3">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3">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3">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3">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3">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3">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3">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3">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3">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3">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3">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3">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3">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3">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3">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3">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3">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3">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3">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3">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3">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3">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3">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3">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3">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3">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3">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3">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3">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3">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3">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3">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3">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3">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3">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3">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3">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3">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3">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3">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3">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3">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3">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3">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3">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3">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3">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3">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3">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3">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3">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3">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3">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3">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3">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3">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3">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3">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3">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3">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3">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3">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3">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3">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3">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3">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3">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3">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3">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3">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3">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3">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3">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3">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3">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3">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3">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3">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3">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3">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3">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3">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3">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3">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3">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3">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3">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3">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3">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3">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3">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3">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3">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3">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3">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3">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3">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3">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3">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3">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3">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3">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3">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3">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3">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3">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3">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3">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3">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3">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3">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3">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3">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3">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3">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3">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3">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3">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3">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3">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3">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3">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3">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3">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3">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3">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3">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3">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3">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3">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3">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3">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3">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3">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3">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3">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3">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3">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3">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3">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3">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3">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3">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3">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3">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3">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3">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3">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3">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3">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3">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3">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3">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3">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3">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3">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3">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3">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3">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3">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3">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3">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3">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3">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3">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3">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3">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3">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3">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3">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3">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3">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3">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3">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3">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3">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3">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3">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3">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3">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3">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3">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3">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3">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3">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3">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3">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3">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3">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3">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3">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3">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3">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3">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3">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3">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3">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3">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3">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3">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3">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3">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3">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3">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3">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3">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3">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3">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3">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3">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3">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3">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3">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3">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3">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3">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3">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3">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3">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3">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3">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3">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3">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3">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3">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3">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3">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3">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3">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3">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3">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3">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3">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3">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3">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3">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3">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3">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3">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3">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3">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3">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3">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3">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3">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3">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3">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3">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3">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3">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3">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3">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3">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3">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3">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3">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3">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3">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3">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3">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3">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3">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3">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3">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3">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3">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3">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3">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3">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3">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3">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3">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3">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3">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3">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3">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3">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3">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3">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3">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3">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3">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3">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3">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3">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3">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3">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3">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3">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3">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3">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3">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3">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3">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3">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3">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3">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3">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3">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3">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3">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3">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3">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3">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3">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3">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3">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3">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3">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3">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3">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3">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3">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3">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3">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3">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3">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3">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3">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3">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3">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3">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3">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3">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3">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3">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3">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3">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3">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3">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3">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3">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3">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3">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3">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3">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3">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3">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3">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3">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3">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3">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3">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3">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3">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3">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3">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3">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3">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3">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3">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3">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3">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3">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3">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3">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3">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3">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3">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3">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3">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3">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3">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3">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3">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3">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3">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3">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3">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3">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3">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3">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3">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3">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3">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3">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3">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3">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3">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3">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3">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3">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3">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3">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3">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3">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3">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3">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3">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3">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3">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3">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3">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3">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3">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3">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3">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3">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3">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3">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3">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3">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3">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3">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3">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3">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3">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3">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3">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3">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3">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3">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3">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3">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3">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3">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3">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3">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3">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3">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3">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3">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3">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3">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3">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3">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3">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3">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3">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3">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3">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3">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3">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3">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3">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3">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3">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3">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3">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3">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3">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3">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3">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3">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3">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3">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3">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3">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3">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3">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3">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3">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3">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3">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3">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3">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3">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3">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3">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3">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3">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3">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3">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3">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3">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3">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3">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3">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3">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3">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3">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3">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3">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3">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3">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3">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3">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3">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3">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3">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3">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3">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3">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3">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3">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3">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3">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3">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3">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3">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3">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3">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3">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3">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3">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3">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3">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3">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3">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3">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3">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3">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3">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3">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3">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3">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3">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3">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3">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3">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3">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3">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3">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3">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3">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3">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3">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3">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3">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3">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3">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3">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3">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3">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3">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3">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3">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3">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3">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3">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3">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3">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3">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3">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3">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3">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3">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3">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3">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3">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3">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3">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3">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3">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3">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3">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3">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3">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3">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3">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3">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3">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3">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3">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3">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3">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3">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3">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3">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3">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3">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3">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3">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3">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3">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3">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3">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3">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3">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3">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3">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3">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3">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3">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3">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3">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3">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3">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3">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3">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3">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3">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3">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3">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3">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3">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3">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3">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3">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3">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3">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3">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3">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3">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3">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3">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3">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3">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3">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3">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3">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3">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3">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3">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3">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3">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3">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3">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3">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3">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3">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3">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3">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3">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3">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3">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3">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3">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3">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3">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3">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3">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3">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3">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3">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3">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3">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3">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3">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3">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3">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3">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3">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3">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3">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3">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3">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3">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3">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3">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3">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3">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3">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3">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3">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3">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3">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3">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3">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3">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3">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3">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3">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3">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3">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3">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3">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3">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3">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3">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3">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3">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3">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3">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3">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3">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3">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3">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3">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3">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3">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3">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3">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3">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3">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3">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3">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3">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3">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3">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3">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3">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3">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3">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3">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3">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3">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3">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3">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3">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3">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3">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3">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3">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3">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3">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3">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3">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3">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3">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3">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3">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3">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3">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3">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3">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3">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3">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3">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3">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3">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3">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3">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3">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3">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3">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3">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3">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3">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3">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3">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3">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3">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3">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3">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3">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3">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3">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3">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3">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3">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3">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3">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3">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3">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3">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3">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3">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3">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3">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3">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3">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3">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3">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3">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3">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3">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3">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3">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3">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3">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3">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3">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3">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3">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3">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3">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3">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3">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3">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3">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3">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3">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3">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3">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3">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3">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3">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3">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3">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3">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3">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3">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3">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3">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3">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3">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3">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3">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3">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3">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3">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3">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3">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3">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3">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3">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3">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3">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3">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3">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3">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3">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3">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3">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3">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3">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3">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3">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3">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3">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3">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3">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3">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sheetData>
  <hyperlinks>
    <hyperlink ref="C47" r:id="rId1" xr:uid="{00000000-0004-0000-0000-000000000000}"/>
    <hyperlink ref="I122" r:id="rId2" xr:uid="{D078BC54-7018-497A-BC9B-E7427896A753}"/>
    <hyperlink ref="I123" r:id="rId3" xr:uid="{2FDD2F15-E730-42CE-ACA9-BF18C2899CB4}"/>
    <hyperlink ref="E126" r:id="rId4" xr:uid="{106A1E85-C126-4FF6-A685-CC176188432D}"/>
    <hyperlink ref="AC122" r:id="rId5" xr:uid="{B22537B6-2A48-4F10-9860-3C941C623473}"/>
    <hyperlink ref="AB126" r:id="rId6" xr:uid="{F932DE01-2E82-4AE7-B04B-B379E52859FA}"/>
    <hyperlink ref="G122" r:id="rId7" xr:uid="{D039E0BC-0B4C-4A3D-B01F-3584C8D1A27E}"/>
    <hyperlink ref="G123" r:id="rId8" xr:uid="{4251D3C4-D48D-40AF-9F95-DBF7A7108E64}"/>
    <hyperlink ref="L122" r:id="rId9" xr:uid="{3E6DF769-6BC3-4429-8E5F-361E26CB78EB}"/>
    <hyperlink ref="L123" r:id="rId10" xr:uid="{F06F78AA-6714-4B9A-9196-01C1163437A6}"/>
  </hyperlinks>
  <pageMargins left="0.7" right="0.7" top="0.75" bottom="0.75" header="0" footer="0"/>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Candise Henry</cp:lastModifiedBy>
  <dcterms:created xsi:type="dcterms:W3CDTF">2019-07-02T23:26:35Z</dcterms:created>
  <dcterms:modified xsi:type="dcterms:W3CDTF">2019-07-16T22:25:50Z</dcterms:modified>
</cp:coreProperties>
</file>